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aTS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933">
      <text>
        <t xml:space="preserve">se elimaron 4 anteriores por carecer de sentido
	-Luis Camacho Caballero</t>
      </text>
    </comment>
    <comment authorId="0" ref="B10043">
      <text>
        <t xml:space="preserve">se borraron los 7 filtrados por ser exactamente iguales
	-Luis Camacho Caballero</t>
      </text>
    </comment>
    <comment authorId="0" ref="B9648">
      <text>
        <t xml:space="preserve">se eliminaron 4 debajo por carecer de sentido
	-Luis Camacho Caballero</t>
      </text>
    </comment>
    <comment authorId="0" ref="B7821">
      <text>
        <t xml:space="preserve">se eliminaron las 7 primeras por carecer de sentido
	-Luis Camacho Caballero</t>
      </text>
    </comment>
    <comment authorId="0" ref="B7816">
      <text>
        <t xml:space="preserve">se eliminaron las 16 palabras del archivo filtrado por ser exactamente iguales a las de este archivo
	-Luis Camacho Caballero</t>
      </text>
    </comment>
    <comment authorId="0" ref="B7479">
      <text>
        <t xml:space="preserve">elimine el siguiente por ser una repetición de este
	-Luis Camacho Caballero</t>
      </text>
    </comment>
    <comment authorId="0" ref="B6956">
      <text>
        <t xml:space="preserve">eliminados los tres anteriores por carecer de sentido
	-Luis Camacho Caballero</t>
      </text>
    </comment>
    <comment authorId="0" ref="A6955">
      <text>
        <t xml:space="preserve">borré los dos siguientes porque eran copias exactas de este y del anterior, provenían de un archivo "broad"
	-Luis Camacho Caballero</t>
      </text>
    </comment>
    <comment authorId="0" ref="A3798">
      <text>
        <t xml:space="preserve">eliminé 35 y 36 por carecer de sentido, eran solo las vocales q, x
	-Luis Camacho Caballero</t>
      </text>
    </comment>
  </commentList>
</comments>
</file>

<file path=xl/sharedStrings.xml><?xml version="1.0" encoding="utf-8"?>
<sst xmlns="http://schemas.openxmlformats.org/spreadsheetml/2006/main" count="114244" uniqueCount="22215">
  <si>
    <t>orden</t>
  </si>
  <si>
    <t>file</t>
  </si>
  <si>
    <t>language</t>
  </si>
  <si>
    <t>word</t>
  </si>
  <si>
    <t>IPA</t>
  </si>
  <si>
    <t>escrito en quechua</t>
  </si>
  <si>
    <t>translation to spanish</t>
  </si>
  <si>
    <t>translation to english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</si>
  <si>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</si>
  <si>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</si>
  <si>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</si>
  <si>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</si>
  <si>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</si>
  <si>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</si>
  <si>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</si>
  <si>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</si>
  <si>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</si>
  <si>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</si>
  <si>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</si>
  <si>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</si>
  <si>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</si>
  <si>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</si>
  <si>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</si>
  <si>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</si>
  <si>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</si>
  <si>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</si>
  <si>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</si>
  <si>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</si>
  <si>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</si>
  <si>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</si>
  <si>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</si>
  <si>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</si>
  <si>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</si>
  <si>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</si>
  <si>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</si>
  <si>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</si>
  <si>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</si>
  <si>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</si>
  <si>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</si>
  <si>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</si>
  <si>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</si>
  <si>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</si>
  <si>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</si>
  <si>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</si>
  <si>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</si>
  <si>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</si>
  <si>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</si>
  <si>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</si>
  <si>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</si>
  <si>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</si>
  <si>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</si>
  <si>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</si>
  <si>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</si>
  <si>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</si>
  <si>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</si>
  <si>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</si>
  <si>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</si>
  <si>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</si>
  <si>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</si>
  <si>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</si>
  <si>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</si>
  <si>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</si>
  <si>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</si>
  <si>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</si>
  <si>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</si>
  <si>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</si>
  <si>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</si>
  <si>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</si>
  <si>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</si>
  <si>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</si>
  <si>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</si>
  <si>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</si>
  <si>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</si>
  <si>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</si>
  <si>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</si>
  <si>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</si>
  <si>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</si>
  <si>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</si>
  <si>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</si>
  <si>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</si>
  <si>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</si>
  <si>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</si>
  <si>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</si>
  <si>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</si>
  <si>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</si>
  <si>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</si>
  <si>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</si>
  <si>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</si>
  <si>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</si>
  <si>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</si>
  <si>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</si>
  <si>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</si>
  <si>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</si>
  <si>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</si>
  <si>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</si>
  <si>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</si>
  <si>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</si>
  <si>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</si>
  <si>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</si>
  <si>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</si>
  <si>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</si>
  <si>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</si>
  <si>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</si>
  <si>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</si>
  <si>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</si>
  <si>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</si>
  <si>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</si>
  <si>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</si>
  <si>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</si>
  <si>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</si>
  <si>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</si>
  <si>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</si>
  <si>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</si>
  <si>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</si>
  <si>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</si>
  <si>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</si>
  <si>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</si>
  <si>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</si>
  <si>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</si>
  <si>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</si>
  <si>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</si>
  <si>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</si>
  <si>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</si>
  <si>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</si>
  <si>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</si>
  <si>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</si>
  <si>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</si>
  <si>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</si>
  <si>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</si>
  <si>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</si>
  <si>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</si>
  <si>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</si>
  <si>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</si>
  <si>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</si>
  <si>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</si>
  <si>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</si>
  <si>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</si>
  <si>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</si>
  <si>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</si>
  <si>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</si>
  <si>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</si>
  <si>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</si>
  <si>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</si>
  <si>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</si>
  <si>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</si>
  <si>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</si>
  <si>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</si>
  <si>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</si>
  <si>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</si>
  <si>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</si>
  <si>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</si>
  <si>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</si>
  <si>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</si>
  <si>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</si>
  <si>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</si>
  <si>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</si>
  <si>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</si>
  <si>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</si>
  <si>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</si>
  <si>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</si>
  <si>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</si>
  <si>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</si>
  <si>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</si>
  <si>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</si>
  <si>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</si>
  <si>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</si>
  <si>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</si>
  <si>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</si>
  <si>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</si>
  <si>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</si>
  <si>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</si>
  <si>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</si>
  <si>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</si>
  <si>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</si>
  <si>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</si>
  <si>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</si>
  <si>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</si>
  <si>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</si>
  <si>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</si>
  <si>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</si>
  <si>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</si>
  <si>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</si>
  <si>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</si>
  <si>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</si>
  <si>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</si>
  <si>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</si>
  <si>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</si>
  <si>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</si>
  <si>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</si>
  <si>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</si>
  <si>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</si>
  <si>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</si>
  <si>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</si>
  <si>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</si>
  <si>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</si>
  <si>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</si>
  <si>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</si>
  <si>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</si>
  <si>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</si>
  <si>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</si>
  <si>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</si>
  <si>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</si>
  <si>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</si>
  <si>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</si>
  <si>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</si>
  <si>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</si>
  <si>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</si>
  <si>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</si>
  <si>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</si>
  <si>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</si>
  <si>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</si>
  <si>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</si>
  <si>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bul_cyrl_broad.tsv</t>
  </si>
  <si>
    <t>купили</t>
  </si>
  <si>
    <t>k u p i l i</t>
  </si>
  <si>
    <t>kupili</t>
  </si>
  <si>
    <t>купим</t>
  </si>
  <si>
    <t>k u p i m</t>
  </si>
  <si>
    <t>kupim</t>
  </si>
  <si>
    <t>купих</t>
  </si>
  <si>
    <t>k u p i x</t>
  </si>
  <si>
    <t>kupik</t>
  </si>
  <si>
    <t>купиш</t>
  </si>
  <si>
    <t>k u p i ʃ</t>
  </si>
  <si>
    <t>kupish</t>
  </si>
  <si>
    <t>лай</t>
  </si>
  <si>
    <t>l a j</t>
  </si>
  <si>
    <t>lay</t>
  </si>
  <si>
    <t>пи</t>
  </si>
  <si>
    <t>p i</t>
  </si>
  <si>
    <t>pi</t>
  </si>
  <si>
    <t>пий</t>
  </si>
  <si>
    <t>p i j</t>
  </si>
  <si>
    <t>piy</t>
  </si>
  <si>
    <t>пика</t>
  </si>
  <si>
    <t>p i k a</t>
  </si>
  <si>
    <t>pika</t>
  </si>
  <si>
    <t>пикай</t>
  </si>
  <si>
    <t>p i k a j</t>
  </si>
  <si>
    <t>pikay</t>
  </si>
  <si>
    <t>пикали</t>
  </si>
  <si>
    <t>p i k a l i</t>
  </si>
  <si>
    <t>pikali</t>
  </si>
  <si>
    <t>пикан</t>
  </si>
  <si>
    <t>p i k a n</t>
  </si>
  <si>
    <t>pikan</t>
  </si>
  <si>
    <t>пикани</t>
  </si>
  <si>
    <t>p i k a n i</t>
  </si>
  <si>
    <t>pikani</t>
  </si>
  <si>
    <t>пиках</t>
  </si>
  <si>
    <t>p i k a x</t>
  </si>
  <si>
    <t>pikak</t>
  </si>
  <si>
    <t>пили</t>
  </si>
  <si>
    <t>p i l i</t>
  </si>
  <si>
    <t>pili</t>
  </si>
  <si>
    <t>писа</t>
  </si>
  <si>
    <t>p i s a</t>
  </si>
  <si>
    <t>pisa</t>
  </si>
  <si>
    <t>писали</t>
  </si>
  <si>
    <t>p i s a l i</t>
  </si>
  <si>
    <t>pisali</t>
  </si>
  <si>
    <t>писах</t>
  </si>
  <si>
    <t>p i s a x</t>
  </si>
  <si>
    <t>pisak</t>
  </si>
  <si>
    <t>пих</t>
  </si>
  <si>
    <t>p i x</t>
  </si>
  <si>
    <t>pik</t>
  </si>
  <si>
    <t>пиши</t>
  </si>
  <si>
    <t>p i ʃ i</t>
  </si>
  <si>
    <t>pishi</t>
  </si>
  <si>
    <t>сияли</t>
  </si>
  <si>
    <t>s i j a l i</t>
  </si>
  <si>
    <t>siyali</t>
  </si>
  <si>
    <t>ум</t>
  </si>
  <si>
    <t>u m</t>
  </si>
  <si>
    <t>um</t>
  </si>
  <si>
    <t>ши</t>
  </si>
  <si>
    <t>ʃ i</t>
  </si>
  <si>
    <t>shi</t>
  </si>
  <si>
    <t>ший</t>
  </si>
  <si>
    <t>ʃ i j</t>
  </si>
  <si>
    <t>shiy</t>
  </si>
  <si>
    <t>шили</t>
  </si>
  <si>
    <t>ʃ i l i</t>
  </si>
  <si>
    <t>shili</t>
  </si>
  <si>
    <t>ших</t>
  </si>
  <si>
    <t>ʃ i x</t>
  </si>
  <si>
    <t>shik</t>
  </si>
  <si>
    <t>ю</t>
  </si>
  <si>
    <t>j u</t>
  </si>
  <si>
    <t>yu</t>
  </si>
  <si>
    <t>bul_cyrl_broad_filtered.tsv</t>
  </si>
  <si>
    <t>bul_cyrl_narrow.tsv</t>
  </si>
  <si>
    <t>аз</t>
  </si>
  <si>
    <t>a s</t>
  </si>
  <si>
    <t>as</t>
  </si>
  <si>
    <t>аман</t>
  </si>
  <si>
    <t>a m a n</t>
  </si>
  <si>
    <t>aman</t>
  </si>
  <si>
    <t>из</t>
  </si>
  <si>
    <t>i s</t>
  </si>
  <si>
    <t>is</t>
  </si>
  <si>
    <t>им</t>
  </si>
  <si>
    <t>i m</t>
  </si>
  <si>
    <t>im</t>
  </si>
  <si>
    <t>има</t>
  </si>
  <si>
    <t>i m a</t>
  </si>
  <si>
    <t>ima</t>
  </si>
  <si>
    <t>имам</t>
  </si>
  <si>
    <t>i m a m</t>
  </si>
  <si>
    <t>imam</t>
  </si>
  <si>
    <t>have</t>
  </si>
  <si>
    <t>have_got</t>
  </si>
  <si>
    <t>hold</t>
  </si>
  <si>
    <t>имах</t>
  </si>
  <si>
    <t>i m a x</t>
  </si>
  <si>
    <t>imak</t>
  </si>
  <si>
    <t>как</t>
  </si>
  <si>
    <t>k a k</t>
  </si>
  <si>
    <t>kak</t>
  </si>
  <si>
    <t>кап</t>
  </si>
  <si>
    <t>k a p</t>
  </si>
  <si>
    <t>kap</t>
  </si>
  <si>
    <t>куб</t>
  </si>
  <si>
    <t>k u p</t>
  </si>
  <si>
    <t>kup</t>
  </si>
  <si>
    <t>block</t>
  </si>
  <si>
    <t>cube</t>
  </si>
  <si>
    <t>купи</t>
  </si>
  <si>
    <t>k u p i</t>
  </si>
  <si>
    <t>kupi</t>
  </si>
  <si>
    <t>май</t>
  </si>
  <si>
    <t>m a j</t>
  </si>
  <si>
    <t>may</t>
  </si>
  <si>
    <t>мамин</t>
  </si>
  <si>
    <t>m a m i n</t>
  </si>
  <si>
    <t>mamin</t>
  </si>
  <si>
    <t>мас</t>
  </si>
  <si>
    <t>m a s</t>
  </si>
  <si>
    <t>mas</t>
  </si>
  <si>
    <t>ми</t>
  </si>
  <si>
    <t>m i</t>
  </si>
  <si>
    <t>mi</t>
  </si>
  <si>
    <t>миг</t>
  </si>
  <si>
    <t>m i k</t>
  </si>
  <si>
    <t>mik</t>
  </si>
  <si>
    <t>blink_of_an_eye</t>
  </si>
  <si>
    <t>flash</t>
  </si>
  <si>
    <t>heartbeat</t>
  </si>
  <si>
    <t>instant</t>
  </si>
  <si>
    <t>jiffy</t>
  </si>
  <si>
    <t>split_second</t>
  </si>
  <si>
    <t>trice</t>
  </si>
  <si>
    <t>twinkling</t>
  </si>
  <si>
    <t>wink</t>
  </si>
  <si>
    <t>New_York_minute</t>
  </si>
  <si>
    <t>минус</t>
  </si>
  <si>
    <t>m i n ʊ s</t>
  </si>
  <si>
    <t>minus</t>
  </si>
  <si>
    <t>мисис</t>
  </si>
  <si>
    <t>m i s i s</t>
  </si>
  <si>
    <t>misis</t>
  </si>
  <si>
    <t>миши</t>
  </si>
  <si>
    <t>m i ʃ i</t>
  </si>
  <si>
    <t>mishi</t>
  </si>
  <si>
    <t>му</t>
  </si>
  <si>
    <t>m u</t>
  </si>
  <si>
    <t>mu</t>
  </si>
  <si>
    <t>муха</t>
  </si>
  <si>
    <t>m u x a</t>
  </si>
  <si>
    <t>muka</t>
  </si>
  <si>
    <t>fly</t>
  </si>
  <si>
    <t>на</t>
  </si>
  <si>
    <t>n a</t>
  </si>
  <si>
    <t>na</t>
  </si>
  <si>
    <t>нам</t>
  </si>
  <si>
    <t>n a m</t>
  </si>
  <si>
    <t>nam</t>
  </si>
  <si>
    <t>нас</t>
  </si>
  <si>
    <t>n a s</t>
  </si>
  <si>
    <t>nas</t>
  </si>
  <si>
    <t>наш</t>
  </si>
  <si>
    <t>n a ʃ</t>
  </si>
  <si>
    <t>nash</t>
  </si>
  <si>
    <t>наши</t>
  </si>
  <si>
    <t>n a ʃ i</t>
  </si>
  <si>
    <t>nashi</t>
  </si>
  <si>
    <t>ни</t>
  </si>
  <si>
    <t>n i</t>
  </si>
  <si>
    <t>ni</t>
  </si>
  <si>
    <t>пак</t>
  </si>
  <si>
    <t>p a k</t>
  </si>
  <si>
    <t>pak</t>
  </si>
  <si>
    <t>пита</t>
  </si>
  <si>
    <t>p i t a</t>
  </si>
  <si>
    <t>pita</t>
  </si>
  <si>
    <t>сам</t>
  </si>
  <si>
    <t>s a m</t>
  </si>
  <si>
    <t>sam</t>
  </si>
  <si>
    <t>си</t>
  </si>
  <si>
    <t>s i</t>
  </si>
  <si>
    <t>si</t>
  </si>
  <si>
    <t>син</t>
  </si>
  <si>
    <t>s i n</t>
  </si>
  <si>
    <t>sin</t>
  </si>
  <si>
    <t>blue</t>
  </si>
  <si>
    <t>blueness</t>
  </si>
  <si>
    <t>синус</t>
  </si>
  <si>
    <t>s i n ʊ s</t>
  </si>
  <si>
    <t>sinus</t>
  </si>
  <si>
    <t>сияй</t>
  </si>
  <si>
    <t>s i j æ j</t>
  </si>
  <si>
    <t>siyay</t>
  </si>
  <si>
    <t>сух</t>
  </si>
  <si>
    <t>s u x</t>
  </si>
  <si>
    <t>suk</t>
  </si>
  <si>
    <t>dry</t>
  </si>
  <si>
    <t>таз</t>
  </si>
  <si>
    <t>t a s</t>
  </si>
  <si>
    <t>tas</t>
  </si>
  <si>
    <t>ти</t>
  </si>
  <si>
    <t>t i</t>
  </si>
  <si>
    <t>ti</t>
  </si>
  <si>
    <t>тип</t>
  </si>
  <si>
    <t>t i p</t>
  </si>
  <si>
    <t>tip</t>
  </si>
  <si>
    <t>тис</t>
  </si>
  <si>
    <t>t i s</t>
  </si>
  <si>
    <t>tis</t>
  </si>
  <si>
    <t>титан</t>
  </si>
  <si>
    <t>t i t a n</t>
  </si>
  <si>
    <t>titan</t>
  </si>
  <si>
    <t>giant</t>
  </si>
  <si>
    <t>hulk</t>
  </si>
  <si>
    <t>heavyweight</t>
  </si>
  <si>
    <t>whale</t>
  </si>
  <si>
    <t>тих</t>
  </si>
  <si>
    <t>t i x</t>
  </si>
  <si>
    <t>tik</t>
  </si>
  <si>
    <t>quiet</t>
  </si>
  <si>
    <t>тишина</t>
  </si>
  <si>
    <t>t i ʃ i n a</t>
  </si>
  <si>
    <t>tishina</t>
  </si>
  <si>
    <t>silence</t>
  </si>
  <si>
    <t>peace</t>
  </si>
  <si>
    <t>peacefulness</t>
  </si>
  <si>
    <t>peace_of_mind</t>
  </si>
  <si>
    <t>repose</t>
  </si>
  <si>
    <t>serenity</t>
  </si>
  <si>
    <t>heartsease</t>
  </si>
  <si>
    <t>ataraxis</t>
  </si>
  <si>
    <t>туй</t>
  </si>
  <si>
    <t>t u j</t>
  </si>
  <si>
    <t>tuy</t>
  </si>
  <si>
    <t>тук</t>
  </si>
  <si>
    <t>t u k</t>
  </si>
  <si>
    <t>tuk</t>
  </si>
  <si>
    <t>тукан</t>
  </si>
  <si>
    <t>t u k a n</t>
  </si>
  <si>
    <t>tukan</t>
  </si>
  <si>
    <t>тунис</t>
  </si>
  <si>
    <t>t u n i s</t>
  </si>
  <si>
    <t>tunis</t>
  </si>
  <si>
    <t>уши</t>
  </si>
  <si>
    <t>u ʃ i</t>
  </si>
  <si>
    <t>ushi</t>
  </si>
  <si>
    <t>хуй</t>
  </si>
  <si>
    <t>x u j</t>
  </si>
  <si>
    <t>kuy</t>
  </si>
  <si>
    <t>хумус</t>
  </si>
  <si>
    <t>x u m ʊ s</t>
  </si>
  <si>
    <t>kumus</t>
  </si>
  <si>
    <t>cat_latn_broad.tsv</t>
  </si>
  <si>
    <t>ab</t>
  </si>
  <si>
    <t>a p</t>
  </si>
  <si>
    <t>ap</t>
  </si>
  <si>
    <t>acaia</t>
  </si>
  <si>
    <t>a k a j a</t>
  </si>
  <si>
    <t>akaya</t>
  </si>
  <si>
    <t>acumular</t>
  </si>
  <si>
    <t>a k u m u l a ɾ</t>
  </si>
  <si>
    <t>akumular</t>
  </si>
  <si>
    <t>stack</t>
  </si>
  <si>
    <t>pile</t>
  </si>
  <si>
    <t>heap</t>
  </si>
  <si>
    <t>collect</t>
  </si>
  <si>
    <t>take_in</t>
  </si>
  <si>
    <t>store</t>
  </si>
  <si>
    <t>hive_away</t>
  </si>
  <si>
    <t>lay_in</t>
  </si>
  <si>
    <t>put_in</t>
  </si>
  <si>
    <t>salt_away</t>
  </si>
  <si>
    <t>stack_away</t>
  </si>
  <si>
    <t>stash_away</t>
  </si>
  <si>
    <t>hoard</t>
  </si>
  <si>
    <t>stash</t>
  </si>
  <si>
    <t>cache</t>
  </si>
  <si>
    <t>lay_away</t>
  </si>
  <si>
    <t>hive_up</t>
  </si>
  <si>
    <t>squirrel_away</t>
  </si>
  <si>
    <t>ací</t>
  </si>
  <si>
    <t>a s i</t>
  </si>
  <si>
    <t>asi</t>
  </si>
  <si>
    <t>ai</t>
  </si>
  <si>
    <t>a j</t>
  </si>
  <si>
    <t>ay</t>
  </si>
  <si>
    <t>al</t>
  </si>
  <si>
    <t>a l</t>
  </si>
  <si>
    <t>ala</t>
  </si>
  <si>
    <t>a l a</t>
  </si>
  <si>
    <t>wing</t>
  </si>
  <si>
    <t>annex</t>
  </si>
  <si>
    <t>annexe</t>
  </si>
  <si>
    <t>extension</t>
  </si>
  <si>
    <t>eaves</t>
  </si>
  <si>
    <t>side</t>
  </si>
  <si>
    <t>foothill</t>
  </si>
  <si>
    <t>winger</t>
  </si>
  <si>
    <t>alamànic</t>
  </si>
  <si>
    <t>a l a m a n i k</t>
  </si>
  <si>
    <t>alamanik</t>
  </si>
  <si>
    <t>alaric</t>
  </si>
  <si>
    <t>a l a ɾ i k</t>
  </si>
  <si>
    <t>alarik</t>
  </si>
  <si>
    <t>all</t>
  </si>
  <si>
    <t>a ʎ</t>
  </si>
  <si>
    <t>garlic</t>
  </si>
  <si>
    <t>ail</t>
  </si>
  <si>
    <t>Allium_sativum</t>
  </si>
  <si>
    <t>allassa</t>
  </si>
  <si>
    <t>a ʎ a s a</t>
  </si>
  <si>
    <t>allasa</t>
  </si>
  <si>
    <t>allunyar</t>
  </si>
  <si>
    <t>a ʎ u ɲ a ɾ</t>
  </si>
  <si>
    <t>alluñar</t>
  </si>
  <si>
    <t>detach</t>
  </si>
  <si>
    <t>come_off</t>
  </si>
  <si>
    <t>come_away</t>
  </si>
  <si>
    <t>remove</t>
  </si>
  <si>
    <t>allà</t>
  </si>
  <si>
    <t>a ʎ a</t>
  </si>
  <si>
    <t>alla</t>
  </si>
  <si>
    <t>allí</t>
  </si>
  <si>
    <t>a ʎ i</t>
  </si>
  <si>
    <t>alli</t>
  </si>
  <si>
    <t>alt</t>
  </si>
  <si>
    <t>high</t>
  </si>
  <si>
    <t>eminent</t>
  </si>
  <si>
    <t>lofty</t>
  </si>
  <si>
    <t>soaring</t>
  </si>
  <si>
    <t>towering</t>
  </si>
  <si>
    <t>higher</t>
  </si>
  <si>
    <t>tall</t>
  </si>
  <si>
    <t>alto</t>
  </si>
  <si>
    <t>alumini</t>
  </si>
  <si>
    <t>a l u m i n i</t>
  </si>
  <si>
    <t>aluminum</t>
  </si>
  <si>
    <t>aluminium</t>
  </si>
  <si>
    <t>Al</t>
  </si>
  <si>
    <t>atomic_number_13</t>
  </si>
  <si>
    <t>alumínic</t>
  </si>
  <si>
    <t>a l u m i n i k</t>
  </si>
  <si>
    <t>aluminik</t>
  </si>
  <si>
    <t>alumínica</t>
  </si>
  <si>
    <t>a l u m i n i k a</t>
  </si>
  <si>
    <t>aluminika</t>
  </si>
  <si>
    <t>ama</t>
  </si>
  <si>
    <t>a m a</t>
  </si>
  <si>
    <t>amanir</t>
  </si>
  <si>
    <t>a m a n i ɾ</t>
  </si>
  <si>
    <t>amar</t>
  </si>
  <si>
    <t>a m a ɾ</t>
  </si>
  <si>
    <t>love</t>
  </si>
  <si>
    <t>amara</t>
  </si>
  <si>
    <t>a m a ɾ a</t>
  </si>
  <si>
    <t>amarar</t>
  </si>
  <si>
    <t>a m a ɾ a ɾ</t>
  </si>
  <si>
    <t>steep</t>
  </si>
  <si>
    <t>infuse</t>
  </si>
  <si>
    <t>soak</t>
  </si>
  <si>
    <t>imbue</t>
  </si>
  <si>
    <t>impregnate</t>
  </si>
  <si>
    <t>saturate</t>
  </si>
  <si>
    <t>dunk</t>
  </si>
  <si>
    <t>dip</t>
  </si>
  <si>
    <t>souse</t>
  </si>
  <si>
    <t>plunge</t>
  </si>
  <si>
    <t>douse</t>
  </si>
  <si>
    <t>amari</t>
  </si>
  <si>
    <t>a m a ɾ i</t>
  </si>
  <si>
    <t>amb</t>
  </si>
  <si>
    <t>a m</t>
  </si>
  <si>
    <t>am</t>
  </si>
  <si>
    <t>a n</t>
  </si>
  <si>
    <t>an</t>
  </si>
  <si>
    <t>amic</t>
  </si>
  <si>
    <t>a m i k</t>
  </si>
  <si>
    <t>amik</t>
  </si>
  <si>
    <t>fan</t>
  </si>
  <si>
    <t>buff</t>
  </si>
  <si>
    <t>devotee</t>
  </si>
  <si>
    <t>lover</t>
  </si>
  <si>
    <t>friend</t>
  </si>
  <si>
    <t>supporter</t>
  </si>
  <si>
    <t>protagonist</t>
  </si>
  <si>
    <t>champion</t>
  </si>
  <si>
    <t>admirer</t>
  </si>
  <si>
    <t>booster</t>
  </si>
  <si>
    <t>amina</t>
  </si>
  <si>
    <t>a m i n a</t>
  </si>
  <si>
    <t>amine</t>
  </si>
  <si>
    <t>aminoalkane</t>
  </si>
  <si>
    <t>amo</t>
  </si>
  <si>
    <t>a m u</t>
  </si>
  <si>
    <t>amu</t>
  </si>
  <si>
    <t>landlord</t>
  </si>
  <si>
    <t>overlord</t>
  </si>
  <si>
    <t>master</t>
  </si>
  <si>
    <t>lord</t>
  </si>
  <si>
    <t>owner</t>
  </si>
  <si>
    <t>proprietor</t>
  </si>
  <si>
    <t>possessor</t>
  </si>
  <si>
    <t>anal</t>
  </si>
  <si>
    <t>a n a l</t>
  </si>
  <si>
    <t>anal_retentive</t>
  </si>
  <si>
    <t>analític</t>
  </si>
  <si>
    <t>a n a l i t i k</t>
  </si>
  <si>
    <t>analitik</t>
  </si>
  <si>
    <t>analytic</t>
  </si>
  <si>
    <t>analytical</t>
  </si>
  <si>
    <t>uninflected</t>
  </si>
  <si>
    <t>analítica</t>
  </si>
  <si>
    <t>a n a l i t i k a</t>
  </si>
  <si>
    <t>analitika</t>
  </si>
  <si>
    <t>anar</t>
  </si>
  <si>
    <t>a n a ɾ</t>
  </si>
  <si>
    <t>proceed</t>
  </si>
  <si>
    <t>go</t>
  </si>
  <si>
    <t>travel</t>
  </si>
  <si>
    <t>move</t>
  </si>
  <si>
    <t>locomote</t>
  </si>
  <si>
    <t>hike</t>
  </si>
  <si>
    <t>ride</t>
  </si>
  <si>
    <t>leave</t>
  </si>
  <si>
    <t>go_forth</t>
  </si>
  <si>
    <t>go_away</t>
  </si>
  <si>
    <t>run</t>
  </si>
  <si>
    <t>pass</t>
  </si>
  <si>
    <t>lead</t>
  </si>
  <si>
    <t>extend</t>
  </si>
  <si>
    <t>blend</t>
  </si>
  <si>
    <t>blend_in</t>
  </si>
  <si>
    <t>anima</t>
  </si>
  <si>
    <t>a n i m a</t>
  </si>
  <si>
    <t>animal</t>
  </si>
  <si>
    <t>a n i m a l</t>
  </si>
  <si>
    <t>animate_being</t>
  </si>
  <si>
    <t>beast</t>
  </si>
  <si>
    <t>brute</t>
  </si>
  <si>
    <t>creature</t>
  </si>
  <si>
    <t>fauna</t>
  </si>
  <si>
    <t>carnal</t>
  </si>
  <si>
    <t>fleshly</t>
  </si>
  <si>
    <t>sensual</t>
  </si>
  <si>
    <t>wolf</t>
  </si>
  <si>
    <t>savage</t>
  </si>
  <si>
    <t>wildcat</t>
  </si>
  <si>
    <t>dunce</t>
  </si>
  <si>
    <t>dunderhead</t>
  </si>
  <si>
    <t>numskull</t>
  </si>
  <si>
    <t>blockhead</t>
  </si>
  <si>
    <t>bonehead</t>
  </si>
  <si>
    <t>lunkhead</t>
  </si>
  <si>
    <t>hammerhead</t>
  </si>
  <si>
    <t>knucklehead</t>
  </si>
  <si>
    <t>loggerhead</t>
  </si>
  <si>
    <t>muttonhead</t>
  </si>
  <si>
    <t>shithead</t>
  </si>
  <si>
    <t>dumbass</t>
  </si>
  <si>
    <t>fuckhead</t>
  </si>
  <si>
    <t>animar</t>
  </si>
  <si>
    <t>a n i m a ɾ</t>
  </si>
  <si>
    <t>jazz_up</t>
  </si>
  <si>
    <t>juice_up</t>
  </si>
  <si>
    <t>pep_up</t>
  </si>
  <si>
    <t>ginger_up</t>
  </si>
  <si>
    <t>enliven</t>
  </si>
  <si>
    <t>liven</t>
  </si>
  <si>
    <t>liven_up</t>
  </si>
  <si>
    <t>invigorate</t>
  </si>
  <si>
    <t>animate</t>
  </si>
  <si>
    <t>warm_up</t>
  </si>
  <si>
    <t>sparkle</t>
  </si>
  <si>
    <t>scintillate</t>
  </si>
  <si>
    <t>coruscate</t>
  </si>
  <si>
    <t>animize</t>
  </si>
  <si>
    <t>animise</t>
  </si>
  <si>
    <t>push</t>
  </si>
  <si>
    <t>bear_on</t>
  </si>
  <si>
    <t>encourage</t>
  </si>
  <si>
    <t>cheer</t>
  </si>
  <si>
    <t>cheer_up</t>
  </si>
  <si>
    <t>chirk_up</t>
  </si>
  <si>
    <t>jolly_along</t>
  </si>
  <si>
    <t>jolly_up</t>
  </si>
  <si>
    <t>humor</t>
  </si>
  <si>
    <t>humour</t>
  </si>
  <si>
    <t>arouse</t>
  </si>
  <si>
    <t>sex</t>
  </si>
  <si>
    <t>excite</t>
  </si>
  <si>
    <t>turn_on</t>
  </si>
  <si>
    <t>wind_up</t>
  </si>
  <si>
    <t>gladden</t>
  </si>
  <si>
    <t>joy</t>
  </si>
  <si>
    <t>comfort</t>
  </si>
  <si>
    <t>soothe</t>
  </si>
  <si>
    <t>console</t>
  </si>
  <si>
    <t>solace</t>
  </si>
  <si>
    <t>emcee</t>
  </si>
  <si>
    <t>compere</t>
  </si>
  <si>
    <t>anirà</t>
  </si>
  <si>
    <t>a n i ɾ a</t>
  </si>
  <si>
    <t>anira</t>
  </si>
  <si>
    <t>aniràs</t>
  </si>
  <si>
    <t>a n i ɾ a s</t>
  </si>
  <si>
    <t>aniras</t>
  </si>
  <si>
    <t>ant</t>
  </si>
  <si>
    <t>elk</t>
  </si>
  <si>
    <t>European_elk</t>
  </si>
  <si>
    <t>moose</t>
  </si>
  <si>
    <t>Alces_alces</t>
  </si>
  <si>
    <t>anus</t>
  </si>
  <si>
    <t>a n u s</t>
  </si>
  <si>
    <t>any</t>
  </si>
  <si>
    <t>a ɲ</t>
  </si>
  <si>
    <t>añ</t>
  </si>
  <si>
    <t>year</t>
  </si>
  <si>
    <t>twelvemonth</t>
  </si>
  <si>
    <t>yr</t>
  </si>
  <si>
    <t>anà</t>
  </si>
  <si>
    <t>a n a</t>
  </si>
  <si>
    <t>ana</t>
  </si>
  <si>
    <t>aní</t>
  </si>
  <si>
    <t>a n i</t>
  </si>
  <si>
    <t>ani</t>
  </si>
  <si>
    <t>anís</t>
  </si>
  <si>
    <t>a n i s</t>
  </si>
  <si>
    <t>anis</t>
  </si>
  <si>
    <t>anise</t>
  </si>
  <si>
    <t>aniseed</t>
  </si>
  <si>
    <t>anise_seed</t>
  </si>
  <si>
    <t>anisette</t>
  </si>
  <si>
    <t>anisette_de_Bordeaux</t>
  </si>
  <si>
    <t>anise_plant</t>
  </si>
  <si>
    <t>Pimpinella_anisum</t>
  </si>
  <si>
    <t>apa</t>
  </si>
  <si>
    <t>a p a</t>
  </si>
  <si>
    <t>api</t>
  </si>
  <si>
    <t>a p i</t>
  </si>
  <si>
    <t>celery_stick</t>
  </si>
  <si>
    <t>celery</t>
  </si>
  <si>
    <t>pascal_celery</t>
  </si>
  <si>
    <t>Paschal_celery</t>
  </si>
  <si>
    <t>celeriac</t>
  </si>
  <si>
    <t>celery_root</t>
  </si>
  <si>
    <t>real_estate_broker</t>
  </si>
  <si>
    <t>real_estate_agent</t>
  </si>
  <si>
    <t>estate_agent</t>
  </si>
  <si>
    <t>land_agent</t>
  </si>
  <si>
    <t>house_agent</t>
  </si>
  <si>
    <t>cultivated_celery</t>
  </si>
  <si>
    <t>Apium_graveolens_dulce</t>
  </si>
  <si>
    <t>apinyar</t>
  </si>
  <si>
    <t>a p i ɲ a ɾ</t>
  </si>
  <si>
    <t>apiñar</t>
  </si>
  <si>
    <t>jam</t>
  </si>
  <si>
    <t>jampack</t>
  </si>
  <si>
    <t>ram</t>
  </si>
  <si>
    <t>chock_up</t>
  </si>
  <si>
    <t>cram</t>
  </si>
  <si>
    <t>wad</t>
  </si>
  <si>
    <t>crowd</t>
  </si>
  <si>
    <t>crowd_together</t>
  </si>
  <si>
    <t>herd</t>
  </si>
  <si>
    <t>app</t>
  </si>
  <si>
    <t>apunyalar</t>
  </si>
  <si>
    <t>a p u ɲ a l a ɾ</t>
  </si>
  <si>
    <t>apuñalar</t>
  </si>
  <si>
    <t>stab</t>
  </si>
  <si>
    <t>jab</t>
  </si>
  <si>
    <t>knife</t>
  </si>
  <si>
    <t>apura</t>
  </si>
  <si>
    <t>a p u ɾ a</t>
  </si>
  <si>
    <t>apurar</t>
  </si>
  <si>
    <t>a p u ɾ a ɾ</t>
  </si>
  <si>
    <t>worry</t>
  </si>
  <si>
    <t>vex</t>
  </si>
  <si>
    <t>apàtic</t>
  </si>
  <si>
    <t>a p a t i k</t>
  </si>
  <si>
    <t>apatik</t>
  </si>
  <si>
    <t>listless</t>
  </si>
  <si>
    <t>halfhearted</t>
  </si>
  <si>
    <t>half-hearted</t>
  </si>
  <si>
    <t>tepid</t>
  </si>
  <si>
    <t>lukewarm</t>
  </si>
  <si>
    <t>aquilina</t>
  </si>
  <si>
    <t>a k i l i n a</t>
  </si>
  <si>
    <t>akilina</t>
  </si>
  <si>
    <t>aquilí</t>
  </si>
  <si>
    <t>a k i l i</t>
  </si>
  <si>
    <t>akili</t>
  </si>
  <si>
    <t>aquità</t>
  </si>
  <si>
    <t>a k i t a</t>
  </si>
  <si>
    <t>akita</t>
  </si>
  <si>
    <t>aquí</t>
  </si>
  <si>
    <t>a k i</t>
  </si>
  <si>
    <t>aki</t>
  </si>
  <si>
    <t>ara</t>
  </si>
  <si>
    <t>a ɾ a</t>
  </si>
  <si>
    <t>now</t>
  </si>
  <si>
    <t>aran</t>
  </si>
  <si>
    <t>a ɾ a n</t>
  </si>
  <si>
    <t>aranya</t>
  </si>
  <si>
    <t>a ɾ a ɲ a</t>
  </si>
  <si>
    <t>araña</t>
  </si>
  <si>
    <t>spider</t>
  </si>
  <si>
    <t>chandelier</t>
  </si>
  <si>
    <t>pendant</t>
  </si>
  <si>
    <t>pendent</t>
  </si>
  <si>
    <t>ari</t>
  </si>
  <si>
    <t>a ɾ i</t>
  </si>
  <si>
    <t>Aryan</t>
  </si>
  <si>
    <t>Indo-European</t>
  </si>
  <si>
    <t>ace</t>
  </si>
  <si>
    <t>adept</t>
  </si>
  <si>
    <t>sensation</t>
  </si>
  <si>
    <t>maven</t>
  </si>
  <si>
    <t>mavin</t>
  </si>
  <si>
    <t>virtuoso</t>
  </si>
  <si>
    <t>genius</t>
  </si>
  <si>
    <t>hotshot</t>
  </si>
  <si>
    <t>star</t>
  </si>
  <si>
    <t>superstar</t>
  </si>
  <si>
    <t>whiz</t>
  </si>
  <si>
    <t>whizz</t>
  </si>
  <si>
    <t>wizard</t>
  </si>
  <si>
    <t>wiz</t>
  </si>
  <si>
    <t>assassina</t>
  </si>
  <si>
    <t>a s a s i n a</t>
  </si>
  <si>
    <t>asasina</t>
  </si>
  <si>
    <t>murderess</t>
  </si>
  <si>
    <t>assassinar</t>
  </si>
  <si>
    <t>a s a s i n a ɾ</t>
  </si>
  <si>
    <t>asasinar</t>
  </si>
  <si>
    <t>murder</t>
  </si>
  <si>
    <t>slay</t>
  </si>
  <si>
    <t>hit</t>
  </si>
  <si>
    <t>dispatch</t>
  </si>
  <si>
    <t>bump_off</t>
  </si>
  <si>
    <t>off</t>
  </si>
  <si>
    <t>polish_off</t>
  </si>
  <si>
    <t>assassinate</t>
  </si>
  <si>
    <t>assassí</t>
  </si>
  <si>
    <t>a s a s i</t>
  </si>
  <si>
    <t>asasi</t>
  </si>
  <si>
    <t>bloodthirsty</t>
  </si>
  <si>
    <t>bloody-minded</t>
  </si>
  <si>
    <t>sanguinary</t>
  </si>
  <si>
    <t>killer</t>
  </si>
  <si>
    <t>slayer</t>
  </si>
  <si>
    <t>murderer</t>
  </si>
  <si>
    <t>liquidator</t>
  </si>
  <si>
    <t>manslayer</t>
  </si>
  <si>
    <t>assimilar</t>
  </si>
  <si>
    <t>a s i m i l a ɾ</t>
  </si>
  <si>
    <t>asimilar</t>
  </si>
  <si>
    <t>assimilate</t>
  </si>
  <si>
    <t>digest</t>
  </si>
  <si>
    <t>absorb</t>
  </si>
  <si>
    <t>ingest</t>
  </si>
  <si>
    <t>assumir</t>
  </si>
  <si>
    <t>a s u m i ɾ</t>
  </si>
  <si>
    <t>asumir</t>
  </si>
  <si>
    <t>assume</t>
  </si>
  <si>
    <t>acquire</t>
  </si>
  <si>
    <t>adopt</t>
  </si>
  <si>
    <t>take_on</t>
  </si>
  <si>
    <t>take</t>
  </si>
  <si>
    <t>take_over</t>
  </si>
  <si>
    <t>assís</t>
  </si>
  <si>
    <t>a s i s</t>
  </si>
  <si>
    <t>asis</t>
  </si>
  <si>
    <t>atac</t>
  </si>
  <si>
    <t>a t a k</t>
  </si>
  <si>
    <t>atak</t>
  </si>
  <si>
    <t>attack</t>
  </si>
  <si>
    <t>tone-beginning</t>
  </si>
  <si>
    <t>lurch</t>
  </si>
  <si>
    <t>lunge</t>
  </si>
  <si>
    <t>attempt</t>
  </si>
  <si>
    <t>onslaught</t>
  </si>
  <si>
    <t>onset</t>
  </si>
  <si>
    <t>onrush</t>
  </si>
  <si>
    <t>strike</t>
  </si>
  <si>
    <t>offense</t>
  </si>
  <si>
    <t>offence</t>
  </si>
  <si>
    <t>offensive</t>
  </si>
  <si>
    <t>fire</t>
  </si>
  <si>
    <t>flak</t>
  </si>
  <si>
    <t>flack</t>
  </si>
  <si>
    <t>blast</t>
  </si>
  <si>
    <t>atacar</t>
  </si>
  <si>
    <t>a t a k a ɾ</t>
  </si>
  <si>
    <t>atakar</t>
  </si>
  <si>
    <t>assail</t>
  </si>
  <si>
    <t>assault</t>
  </si>
  <si>
    <t>set_on</t>
  </si>
  <si>
    <t>charge</t>
  </si>
  <si>
    <t>bear_down</t>
  </si>
  <si>
    <t>pique</t>
  </si>
  <si>
    <t>offend</t>
  </si>
  <si>
    <t>atalaiar</t>
  </si>
  <si>
    <t>a t a l a j a ɾ</t>
  </si>
  <si>
    <t>atalayar</t>
  </si>
  <si>
    <t>atall</t>
  </si>
  <si>
    <t>a t a ʎ</t>
  </si>
  <si>
    <t>atallar</t>
  </si>
  <si>
    <t>a t a ʎ a ɾ</t>
  </si>
  <si>
    <t>clip</t>
  </si>
  <si>
    <t>curtail</t>
  </si>
  <si>
    <t>cut_short</t>
  </si>
  <si>
    <t>truncate</t>
  </si>
  <si>
    <t>short-circuit</t>
  </si>
  <si>
    <t>short</t>
  </si>
  <si>
    <t>atupar</t>
  </si>
  <si>
    <t>a t u p a ɾ</t>
  </si>
  <si>
    <t>atura</t>
  </si>
  <si>
    <t>a t u ɾ a</t>
  </si>
  <si>
    <t>aturar</t>
  </si>
  <si>
    <t>a t u ɾ a ɾ</t>
  </si>
  <si>
    <t>stall</t>
  </si>
  <si>
    <t>interrupt</t>
  </si>
  <si>
    <t>disrupt</t>
  </si>
  <si>
    <t>break_up</t>
  </si>
  <si>
    <t>cut_off</t>
  </si>
  <si>
    <t>stop</t>
  </si>
  <si>
    <t>stop_over</t>
  </si>
  <si>
    <t>settle</t>
  </si>
  <si>
    <t>halt</t>
  </si>
  <si>
    <t>kibosh</t>
  </si>
  <si>
    <t>end</t>
  </si>
  <si>
    <t>finish</t>
  </si>
  <si>
    <t>terminate</t>
  </si>
  <si>
    <t>cease</t>
  </si>
  <si>
    <t>atípic</t>
  </si>
  <si>
    <t>a t i p i k</t>
  </si>
  <si>
    <t>atipik</t>
  </si>
  <si>
    <t>atypical</t>
  </si>
  <si>
    <t>irregular</t>
  </si>
  <si>
    <t>untypical</t>
  </si>
  <si>
    <t>ca</t>
  </si>
  <si>
    <t>k a</t>
  </si>
  <si>
    <t>ka</t>
  </si>
  <si>
    <t>dog</t>
  </si>
  <si>
    <t>domestic_dog</t>
  </si>
  <si>
    <t>Canis_familiaris</t>
  </si>
  <si>
    <t>caiac</t>
  </si>
  <si>
    <t>k a j a k</t>
  </si>
  <si>
    <t>kayak</t>
  </si>
  <si>
    <t>canoe</t>
  </si>
  <si>
    <t>caiuc</t>
  </si>
  <si>
    <t>k a j u k</t>
  </si>
  <si>
    <t>kayuk</t>
  </si>
  <si>
    <t>cal</t>
  </si>
  <si>
    <t>k a l</t>
  </si>
  <si>
    <t>kal</t>
  </si>
  <si>
    <t>cala</t>
  </si>
  <si>
    <t>k a l a</t>
  </si>
  <si>
    <t>kala</t>
  </si>
  <si>
    <t>probe</t>
  </si>
  <si>
    <t>bight</t>
  </si>
  <si>
    <t>cove</t>
  </si>
  <si>
    <t>inlet</t>
  </si>
  <si>
    <t>recess</t>
  </si>
  <si>
    <t>calamar</t>
  </si>
  <si>
    <t>k a l a m a ɾ</t>
  </si>
  <si>
    <t>kalamar</t>
  </si>
  <si>
    <t>squid</t>
  </si>
  <si>
    <t>calamari</t>
  </si>
  <si>
    <t>calamary</t>
  </si>
  <si>
    <t>calar</t>
  </si>
  <si>
    <t>k a l a ɾ</t>
  </si>
  <si>
    <t>kalar</t>
  </si>
  <si>
    <t>imbrue</t>
  </si>
  <si>
    <t>drench</t>
  </si>
  <si>
    <t>light_up</t>
  </si>
  <si>
    <t>fire_up</t>
  </si>
  <si>
    <t>light</t>
  </si>
  <si>
    <t>lower</t>
  </si>
  <si>
    <t>take_down</t>
  </si>
  <si>
    <t>let_down</t>
  </si>
  <si>
    <t>get_down</t>
  </si>
  <si>
    <t>bring_down</t>
  </si>
  <si>
    <t>calarà</t>
  </si>
  <si>
    <t>k a l a ɾ a</t>
  </si>
  <si>
    <t>kalara</t>
  </si>
  <si>
    <t>calaràs</t>
  </si>
  <si>
    <t>k a l a ɾ a s</t>
  </si>
  <si>
    <t>kalaras</t>
  </si>
  <si>
    <t>call</t>
  </si>
  <si>
    <t>k a ʎ</t>
  </si>
  <si>
    <t>kall</t>
  </si>
  <si>
    <t>ghetto</t>
  </si>
  <si>
    <t>callus</t>
  </si>
  <si>
    <t>callar</t>
  </si>
  <si>
    <t>k a ʎ a ɾ</t>
  </si>
  <si>
    <t>kallar</t>
  </si>
  <si>
    <t>hush</t>
  </si>
  <si>
    <t>close_up</t>
  </si>
  <si>
    <t>clam_up</t>
  </si>
  <si>
    <t>dummy_up</t>
  </si>
  <si>
    <t>shut_up</t>
  </si>
  <si>
    <t>belt_up</t>
  </si>
  <si>
    <t>button_up</t>
  </si>
  <si>
    <t>be_quiet</t>
  </si>
  <si>
    <t>keep_mum</t>
  </si>
  <si>
    <t>quieten</t>
  </si>
  <si>
    <t>quiesce</t>
  </si>
  <si>
    <t>quiet_down</t>
  </si>
  <si>
    <t>pipe_down</t>
  </si>
  <si>
    <t>callis</t>
  </si>
  <si>
    <t>k a ʎ i s</t>
  </si>
  <si>
    <t>kallis</t>
  </si>
  <si>
    <t>calo</t>
  </si>
  <si>
    <t>k a l u</t>
  </si>
  <si>
    <t>kalu</t>
  </si>
  <si>
    <t>calà</t>
  </si>
  <si>
    <t>cam</t>
  </si>
  <si>
    <t>k a m</t>
  </si>
  <si>
    <t>kam</t>
  </si>
  <si>
    <t>cama</t>
  </si>
  <si>
    <t>k a m a</t>
  </si>
  <si>
    <t>kama</t>
  </si>
  <si>
    <t>leg</t>
  </si>
  <si>
    <t>shank</t>
  </si>
  <si>
    <t>camamilla</t>
  </si>
  <si>
    <t>k a m a m i ʎ a</t>
  </si>
  <si>
    <t>kamamilla</t>
  </si>
  <si>
    <t>camomile_tea</t>
  </si>
  <si>
    <t>chamomile</t>
  </si>
  <si>
    <t>camomile</t>
  </si>
  <si>
    <t>Chamaemelum_nobilis</t>
  </si>
  <si>
    <t>Anthemis_nobilis</t>
  </si>
  <si>
    <t>caminar</t>
  </si>
  <si>
    <t>k a m i n a ɾ</t>
  </si>
  <si>
    <t>kaminar</t>
  </si>
  <si>
    <t>walk</t>
  </si>
  <si>
    <t>tramp</t>
  </si>
  <si>
    <t>camp</t>
  </si>
  <si>
    <t>arena</t>
  </si>
  <si>
    <t>scene_of_action</t>
  </si>
  <si>
    <t>course</t>
  </si>
  <si>
    <t>horizon</t>
  </si>
  <si>
    <t>view</t>
  </si>
  <si>
    <t>purview</t>
  </si>
  <si>
    <t>area</t>
  </si>
  <si>
    <t>sector</t>
  </si>
  <si>
    <t>sphere</t>
  </si>
  <si>
    <t>discipline</t>
  </si>
  <si>
    <t>subject</t>
  </si>
  <si>
    <t>subject_area</t>
  </si>
  <si>
    <t>subject_field</t>
  </si>
  <si>
    <t>field</t>
  </si>
  <si>
    <t>field_of_study</t>
  </si>
  <si>
    <t>study</t>
  </si>
  <si>
    <t>bailiwick</t>
  </si>
  <si>
    <t>playing_field</t>
  </si>
  <si>
    <t>athletic_field</t>
  </si>
  <si>
    <t>playing_area</t>
  </si>
  <si>
    <t>country</t>
  </si>
  <si>
    <t>rural_area</t>
  </si>
  <si>
    <t>countryside</t>
  </si>
  <si>
    <t>field_of_force</t>
  </si>
  <si>
    <t>force_field</t>
  </si>
  <si>
    <t>setting</t>
  </si>
  <si>
    <t>background</t>
  </si>
  <si>
    <t>scope</t>
  </si>
  <si>
    <t>domain</t>
  </si>
  <si>
    <t>orbit</t>
  </si>
  <si>
    <t>camussa</t>
  </si>
  <si>
    <t>k a m u s a</t>
  </si>
  <si>
    <t>kamusa</t>
  </si>
  <si>
    <t>chamois</t>
  </si>
  <si>
    <t>Rupicapra_rupicapra</t>
  </si>
  <si>
    <t>chamois_leather</t>
  </si>
  <si>
    <t>chammy</t>
  </si>
  <si>
    <t>chammy_leather</t>
  </si>
  <si>
    <t>shammy</t>
  </si>
  <si>
    <t>shammy_leather</t>
  </si>
  <si>
    <t>suede</t>
  </si>
  <si>
    <t>suede_leather</t>
  </si>
  <si>
    <t>camàlic</t>
  </si>
  <si>
    <t>k a m a l i k</t>
  </si>
  <si>
    <t>kamalik</t>
  </si>
  <si>
    <t>menial</t>
  </si>
  <si>
    <t>porter</t>
  </si>
  <si>
    <t>camí</t>
  </si>
  <si>
    <t>k a m i</t>
  </si>
  <si>
    <t>kami</t>
  </si>
  <si>
    <t>course_of_action</t>
  </si>
  <si>
    <t>road</t>
  </si>
  <si>
    <t>way</t>
  </si>
  <si>
    <t>path</t>
  </si>
  <si>
    <t>way_of_life</t>
  </si>
  <si>
    <t>track</t>
  </si>
  <si>
    <t>cart_track</t>
  </si>
  <si>
    <t>cartroad</t>
  </si>
  <si>
    <t>route</t>
  </si>
  <si>
    <t>itinerary</t>
  </si>
  <si>
    <t>direction</t>
  </si>
  <si>
    <t>can</t>
  </si>
  <si>
    <t>k a n</t>
  </si>
  <si>
    <t>kan</t>
  </si>
  <si>
    <t>cana</t>
  </si>
  <si>
    <t>k a n a</t>
  </si>
  <si>
    <t>kana</t>
  </si>
  <si>
    <t>canal</t>
  </si>
  <si>
    <t>k a n a l</t>
  </si>
  <si>
    <t>kanal</t>
  </si>
  <si>
    <t>conduit</t>
  </si>
  <si>
    <t>duct</t>
  </si>
  <si>
    <t>sluice</t>
  </si>
  <si>
    <t>sluiceway</t>
  </si>
  <si>
    <t>penstock</t>
  </si>
  <si>
    <t>source</t>
  </si>
  <si>
    <t>epithelial_duct</t>
  </si>
  <si>
    <t>channel</t>
  </si>
  <si>
    <t>transmission_channel</t>
  </si>
  <si>
    <t>canalla</t>
  </si>
  <si>
    <t>k a n a ʎ a</t>
  </si>
  <si>
    <t>kanalla</t>
  </si>
  <si>
    <t>rotter</t>
  </si>
  <si>
    <t>dirty_dog</t>
  </si>
  <si>
    <t>rat</t>
  </si>
  <si>
    <t>skunk</t>
  </si>
  <si>
    <t>stinker</t>
  </si>
  <si>
    <t>stinkpot</t>
  </si>
  <si>
    <t>bum</t>
  </si>
  <si>
    <t>puke</t>
  </si>
  <si>
    <t>crumb</t>
  </si>
  <si>
    <t>lowlife</t>
  </si>
  <si>
    <t>scum_bag</t>
  </si>
  <si>
    <t>so-and-so</t>
  </si>
  <si>
    <t>git</t>
  </si>
  <si>
    <t>villain</t>
  </si>
  <si>
    <t>scoundrel</t>
  </si>
  <si>
    <t>worm</t>
  </si>
  <si>
    <t>louse</t>
  </si>
  <si>
    <t>insect</t>
  </si>
  <si>
    <t>dirt_ball</t>
  </si>
  <si>
    <t>wretch</t>
  </si>
  <si>
    <t>canana</t>
  </si>
  <si>
    <t>k a n a n a</t>
  </si>
  <si>
    <t>kanana</t>
  </si>
  <si>
    <t>cartridge_belt</t>
  </si>
  <si>
    <t>canari</t>
  </si>
  <si>
    <t>k a n a ɾ i</t>
  </si>
  <si>
    <t>kanari</t>
  </si>
  <si>
    <t>canary</t>
  </si>
  <si>
    <t>canary_bird</t>
  </si>
  <si>
    <t>canaris</t>
  </si>
  <si>
    <t>k a n a ɾ i s</t>
  </si>
  <si>
    <t>kanaris</t>
  </si>
  <si>
    <t>canilla</t>
  </si>
  <si>
    <t>k a n i ʎ a</t>
  </si>
  <si>
    <t>kanilla</t>
  </si>
  <si>
    <t>canina</t>
  </si>
  <si>
    <t>k a n i n a</t>
  </si>
  <si>
    <t>kanina</t>
  </si>
  <si>
    <t>cant</t>
  </si>
  <si>
    <t>singing</t>
  </si>
  <si>
    <t>vocalizing</t>
  </si>
  <si>
    <t>chant</t>
  </si>
  <si>
    <t>song</t>
  </si>
  <si>
    <t>canya</t>
  </si>
  <si>
    <t>k a ɲ a</t>
  </si>
  <si>
    <t>kaña</t>
  </si>
  <si>
    <t>stem</t>
  </si>
  <si>
    <t>shin</t>
  </si>
  <si>
    <t>reed</t>
  </si>
  <si>
    <t>stalk</t>
  </si>
  <si>
    <t>canyar</t>
  </si>
  <si>
    <t>k a ɲ a ɾ</t>
  </si>
  <si>
    <t>kañar</t>
  </si>
  <si>
    <t>canebrake</t>
  </si>
  <si>
    <t>canyissar</t>
  </si>
  <si>
    <t>k a ɲ i s a ɾ</t>
  </si>
  <si>
    <t>kañisar</t>
  </si>
  <si>
    <t>canyís</t>
  </si>
  <si>
    <t>k a ɲ i s</t>
  </si>
  <si>
    <t>kañis</t>
  </si>
  <si>
    <t>ditch_reed</t>
  </si>
  <si>
    <t>common_reed</t>
  </si>
  <si>
    <t>carrizo</t>
  </si>
  <si>
    <t>Phragmites_communis</t>
  </si>
  <si>
    <t>caní</t>
  </si>
  <si>
    <t>k a n i</t>
  </si>
  <si>
    <t>kani</t>
  </si>
  <si>
    <t>cap</t>
  </si>
  <si>
    <t>head</t>
  </si>
  <si>
    <t>masthead</t>
  </si>
  <si>
    <t>caput</t>
  </si>
  <si>
    <t>mind</t>
  </si>
  <si>
    <t>brain</t>
  </si>
  <si>
    <t>psyche</t>
  </si>
  <si>
    <t>nous</t>
  </si>
  <si>
    <t>terminal</t>
  </si>
  <si>
    <t>cape</t>
  </si>
  <si>
    <t>ness</t>
  </si>
  <si>
    <t>boss</t>
  </si>
  <si>
    <t>hirer</t>
  </si>
  <si>
    <t>captain</t>
  </si>
  <si>
    <t>chieftain</t>
  </si>
  <si>
    <t>foreman</t>
  </si>
  <si>
    <t>chief</t>
  </si>
  <si>
    <t>gaffer</t>
  </si>
  <si>
    <t>honcho</t>
  </si>
  <si>
    <t>top_dog</t>
  </si>
  <si>
    <t>headman</t>
  </si>
  <si>
    <t>tribal_chief</t>
  </si>
  <si>
    <t>ringleader</t>
  </si>
  <si>
    <t>capa</t>
  </si>
  <si>
    <t>k a p a</t>
  </si>
  <si>
    <t>kapa</t>
  </si>
  <si>
    <t>application</t>
  </si>
  <si>
    <t>coating</t>
  </si>
  <si>
    <t>covering</t>
  </si>
  <si>
    <t>layer</t>
  </si>
  <si>
    <t>cloak</t>
  </si>
  <si>
    <t>coat</t>
  </si>
  <si>
    <t>film</t>
  </si>
  <si>
    <t>bed</t>
  </si>
  <si>
    <t>blanket</t>
  </si>
  <si>
    <t>mantle</t>
  </si>
  <si>
    <t>capar</t>
  </si>
  <si>
    <t>k a p a ɾ</t>
  </si>
  <si>
    <t>kapar</t>
  </si>
  <si>
    <t>caponize</t>
  </si>
  <si>
    <t>caponise</t>
  </si>
  <si>
    <t>geld</t>
  </si>
  <si>
    <t>cut</t>
  </si>
  <si>
    <t>capaç</t>
  </si>
  <si>
    <t>k a p a s</t>
  </si>
  <si>
    <t>kapas</t>
  </si>
  <si>
    <t>able</t>
  </si>
  <si>
    <t>adequate</t>
  </si>
  <si>
    <t>equal</t>
  </si>
  <si>
    <t>adequate_to</t>
  </si>
  <si>
    <t>capable</t>
  </si>
  <si>
    <t>equal_to</t>
  </si>
  <si>
    <t>up_to</t>
  </si>
  <si>
    <t>proper</t>
  </si>
  <si>
    <t>right</t>
  </si>
  <si>
    <t>desirable</t>
  </si>
  <si>
    <t>suitable</t>
  </si>
  <si>
    <t>worthy</t>
  </si>
  <si>
    <t>fit</t>
  </si>
  <si>
    <t>suited</t>
  </si>
  <si>
    <t>fitting</t>
  </si>
  <si>
    <t>meet</t>
  </si>
  <si>
    <t>condign</t>
  </si>
  <si>
    <t>capir</t>
  </si>
  <si>
    <t>k a p i ɾ</t>
  </si>
  <si>
    <t>kapir</t>
  </si>
  <si>
    <t>capital</t>
  </si>
  <si>
    <t>k a p i t a l</t>
  </si>
  <si>
    <t>kapital</t>
  </si>
  <si>
    <t>great</t>
  </si>
  <si>
    <t>majuscule</t>
  </si>
  <si>
    <t>momentous</t>
  </si>
  <si>
    <t>equity</t>
  </si>
  <si>
    <t>principal</t>
  </si>
  <si>
    <t>capitana</t>
  </si>
  <si>
    <t>k a p i t a n a</t>
  </si>
  <si>
    <t>kapitana</t>
  </si>
  <si>
    <t>flagship</t>
  </si>
  <si>
    <t>sea_captain</t>
  </si>
  <si>
    <t>skipper</t>
  </si>
  <si>
    <t>capitular</t>
  </si>
  <si>
    <t>k a p i t u l a ɾ</t>
  </si>
  <si>
    <t>kapitular</t>
  </si>
  <si>
    <t>capità</t>
  </si>
  <si>
    <t>k a p i t a</t>
  </si>
  <si>
    <t>kapita</t>
  </si>
  <si>
    <t>senior_pilot</t>
  </si>
  <si>
    <t>caqui</t>
  </si>
  <si>
    <t>k a k i</t>
  </si>
  <si>
    <t>kaki</t>
  </si>
  <si>
    <t>khaki</t>
  </si>
  <si>
    <t>persimmon</t>
  </si>
  <si>
    <t>persimmon_tree</t>
  </si>
  <si>
    <t>car</t>
  </si>
  <si>
    <t>k a ɾ</t>
  </si>
  <si>
    <t>kar</t>
  </si>
  <si>
    <t>expensive</t>
  </si>
  <si>
    <t>cara</t>
  </si>
  <si>
    <t>k a ɾ a</t>
  </si>
  <si>
    <t>kara</t>
  </si>
  <si>
    <t>appearance</t>
  </si>
  <si>
    <t>visual_aspect</t>
  </si>
  <si>
    <t>face</t>
  </si>
  <si>
    <t>boldness</t>
  </si>
  <si>
    <t>nerve</t>
  </si>
  <si>
    <t>brass</t>
  </si>
  <si>
    <t>cheek</t>
  </si>
  <si>
    <t>human_face</t>
  </si>
  <si>
    <t>carall</t>
  </si>
  <si>
    <t>k a ɾ a ʎ</t>
  </si>
  <si>
    <t>karall</t>
  </si>
  <si>
    <t>carib</t>
  </si>
  <si>
    <t>k a ɾ i p</t>
  </si>
  <si>
    <t>karip</t>
  </si>
  <si>
    <t>caricatura</t>
  </si>
  <si>
    <t>k a ɾ i k a t u ɾ a</t>
  </si>
  <si>
    <t>karikatura</t>
  </si>
  <si>
    <t>caricature</t>
  </si>
  <si>
    <t>imitation</t>
  </si>
  <si>
    <t>impersonation</t>
  </si>
  <si>
    <t>caricaturar</t>
  </si>
  <si>
    <t>k a ɾ i k a t u ɾ a ɾ</t>
  </si>
  <si>
    <t>karikaturar</t>
  </si>
  <si>
    <t>satirize</t>
  </si>
  <si>
    <t>satirise</t>
  </si>
  <si>
    <t>lampoon</t>
  </si>
  <si>
    <t>cas</t>
  </si>
  <si>
    <t>k a s</t>
  </si>
  <si>
    <t>kas</t>
  </si>
  <si>
    <t>case</t>
  </si>
  <si>
    <t>grammatical_case</t>
  </si>
  <si>
    <t>event</t>
  </si>
  <si>
    <t>catalana</t>
  </si>
  <si>
    <t>k a t a l a n a</t>
  </si>
  <si>
    <t>katalana</t>
  </si>
  <si>
    <t>catalunya</t>
  </si>
  <si>
    <t>k a t a l u ɲ a</t>
  </si>
  <si>
    <t>kataluña</t>
  </si>
  <si>
    <t>Catalonia</t>
  </si>
  <si>
    <t>català</t>
  </si>
  <si>
    <t>k a t a l a</t>
  </si>
  <si>
    <t>katala</t>
  </si>
  <si>
    <t>Catalan</t>
  </si>
  <si>
    <t>catalític</t>
  </si>
  <si>
    <t>k a t a l i t i k</t>
  </si>
  <si>
    <t>katalitik</t>
  </si>
  <si>
    <t>catalítica</t>
  </si>
  <si>
    <t>k a t a l i t i k a</t>
  </si>
  <si>
    <t>katalitika</t>
  </si>
  <si>
    <t>caça</t>
  </si>
  <si>
    <t>k a s a</t>
  </si>
  <si>
    <t>kasa</t>
  </si>
  <si>
    <t>pursuit</t>
  </si>
  <si>
    <t>chase</t>
  </si>
  <si>
    <t>pursual</t>
  </si>
  <si>
    <t>following</t>
  </si>
  <si>
    <t>hunt</t>
  </si>
  <si>
    <t>hunting</t>
  </si>
  <si>
    <t>game</t>
  </si>
  <si>
    <t>fighter</t>
  </si>
  <si>
    <t>fighter_aircraft</t>
  </si>
  <si>
    <t>attack_aircraft</t>
  </si>
  <si>
    <t>caçar</t>
  </si>
  <si>
    <t>k a s a ɾ</t>
  </si>
  <si>
    <t>kasar</t>
  </si>
  <si>
    <t>hunt_down</t>
  </si>
  <si>
    <t>track_down</t>
  </si>
  <si>
    <t>catch</t>
  </si>
  <si>
    <t>caço</t>
  </si>
  <si>
    <t>k a s u</t>
  </si>
  <si>
    <t>kasu</t>
  </si>
  <si>
    <t>cicuta</t>
  </si>
  <si>
    <t>s i k u t a</t>
  </si>
  <si>
    <t>sikuta</t>
  </si>
  <si>
    <t>hemlock</t>
  </si>
  <si>
    <t>hemlock_tree</t>
  </si>
  <si>
    <t>poison_hemlock</t>
  </si>
  <si>
    <t>poison_parsley</t>
  </si>
  <si>
    <t>California_fern</t>
  </si>
  <si>
    <t>Nebraska_fern</t>
  </si>
  <si>
    <t>winter_fern</t>
  </si>
  <si>
    <t>Conium_maculatum</t>
  </si>
  <si>
    <t>cilici</t>
  </si>
  <si>
    <t>s i l i s i</t>
  </si>
  <si>
    <t>silisi</t>
  </si>
  <si>
    <t>hair_shirt</t>
  </si>
  <si>
    <t>cilicis</t>
  </si>
  <si>
    <t>s i l i s i s</t>
  </si>
  <si>
    <t>silisis</t>
  </si>
  <si>
    <t>cim</t>
  </si>
  <si>
    <t>s i m</t>
  </si>
  <si>
    <t>sim</t>
  </si>
  <si>
    <t>peak</t>
  </si>
  <si>
    <t>crown</t>
  </si>
  <si>
    <t>crest</t>
  </si>
  <si>
    <t>top</t>
  </si>
  <si>
    <t>summit</t>
  </si>
  <si>
    <t>vertex</t>
  </si>
  <si>
    <t>apex</t>
  </si>
  <si>
    <t>acme</t>
  </si>
  <si>
    <t>mountain_peak</t>
  </si>
  <si>
    <t>height</t>
  </si>
  <si>
    <t>elevation</t>
  </si>
  <si>
    <t>pinnacle</t>
  </si>
  <si>
    <t>superlative</t>
  </si>
  <si>
    <t>meridian</t>
  </si>
  <si>
    <t>tiptop</t>
  </si>
  <si>
    <t>cima</t>
  </si>
  <si>
    <t>s i m a</t>
  </si>
  <si>
    <t>sima</t>
  </si>
  <si>
    <t>ciri</t>
  </si>
  <si>
    <t>s i ɾ i</t>
  </si>
  <si>
    <t>siri</t>
  </si>
  <si>
    <t>vigil_light</t>
  </si>
  <si>
    <t>vigil_candle</t>
  </si>
  <si>
    <t>cita</t>
  </si>
  <si>
    <t>s i t a</t>
  </si>
  <si>
    <t>sita</t>
  </si>
  <si>
    <t>rendezvous</t>
  </si>
  <si>
    <t>quotation</t>
  </si>
  <si>
    <t>quote</t>
  </si>
  <si>
    <t>citation</t>
  </si>
  <si>
    <t>tryst</t>
  </si>
  <si>
    <t>date</t>
  </si>
  <si>
    <t>escort</t>
  </si>
  <si>
    <t>citar</t>
  </si>
  <si>
    <t>cite</t>
  </si>
  <si>
    <t>mention</t>
  </si>
  <si>
    <t>advert</t>
  </si>
  <si>
    <t>bring_up</t>
  </si>
  <si>
    <t>name</t>
  </si>
  <si>
    <t>refer</t>
  </si>
  <si>
    <t>reference</t>
  </si>
  <si>
    <t>s i t a ɾ</t>
  </si>
  <si>
    <t>sitar</t>
  </si>
  <si>
    <t>citis</t>
  </si>
  <si>
    <t>s i t i s</t>
  </si>
  <si>
    <t>sitis</t>
  </si>
  <si>
    <t>cito</t>
  </si>
  <si>
    <t>s i t u</t>
  </si>
  <si>
    <t>situ</t>
  </si>
  <si>
    <t>coixí</t>
  </si>
  <si>
    <t>k u ʃ i</t>
  </si>
  <si>
    <t>kushi</t>
  </si>
  <si>
    <t>cushion</t>
  </si>
  <si>
    <t>pillow</t>
  </si>
  <si>
    <t>colissos</t>
  </si>
  <si>
    <t>k u l i s u s</t>
  </si>
  <si>
    <t>kulisus</t>
  </si>
  <si>
    <t>collar</t>
  </si>
  <si>
    <t>k u ʎ a</t>
  </si>
  <si>
    <t>kulla</t>
  </si>
  <si>
    <t>beads</t>
  </si>
  <si>
    <t>string_of_beads</t>
  </si>
  <si>
    <t>necklace</t>
  </si>
  <si>
    <t>collir</t>
  </si>
  <si>
    <t>k u ʎ i</t>
  </si>
  <si>
    <t>kulli</t>
  </si>
  <si>
    <t>gather</t>
  </si>
  <si>
    <t>garner</t>
  </si>
  <si>
    <t>pull_together</t>
  </si>
  <si>
    <t>colomar</t>
  </si>
  <si>
    <t>k u l u m a</t>
  </si>
  <si>
    <t>kuluma</t>
  </si>
  <si>
    <t>birdhouse</t>
  </si>
  <si>
    <t>loft</t>
  </si>
  <si>
    <t>pigeon_loft</t>
  </si>
  <si>
    <t>colà</t>
  </si>
  <si>
    <t>k u l a</t>
  </si>
  <si>
    <t>kula</t>
  </si>
  <si>
    <t>colí</t>
  </si>
  <si>
    <t>k u l i</t>
  </si>
  <si>
    <t>kuli</t>
  </si>
  <si>
    <t>colís</t>
  </si>
  <si>
    <t>k u l i s</t>
  </si>
  <si>
    <t>kulis</t>
  </si>
  <si>
    <t>colúric</t>
  </si>
  <si>
    <t>k u l u ɾ i k</t>
  </si>
  <si>
    <t>kulurik</t>
  </si>
  <si>
    <t>comicis</t>
  </si>
  <si>
    <t>k u m i s i s</t>
  </si>
  <si>
    <t>kumisis</t>
  </si>
  <si>
    <t>comunicar</t>
  </si>
  <si>
    <t>k u m u n i k a</t>
  </si>
  <si>
    <t>kumunika</t>
  </si>
  <si>
    <t>tell</t>
  </si>
  <si>
    <t>communicate</t>
  </si>
  <si>
    <t>intercommunicate</t>
  </si>
  <si>
    <t>pass_on</t>
  </si>
  <si>
    <t>pass_along</t>
  </si>
  <si>
    <t>put_across</t>
  </si>
  <si>
    <t>inform</t>
  </si>
  <si>
    <t>convey</t>
  </si>
  <si>
    <t>report</t>
  </si>
  <si>
    <t>impart</t>
  </si>
  <si>
    <t>give</t>
  </si>
  <si>
    <t>comunico</t>
  </si>
  <si>
    <t>k u m u n i k u</t>
  </si>
  <si>
    <t>kumuniku</t>
  </si>
  <si>
    <t>comuniquí</t>
  </si>
  <si>
    <t>k u m u n i k i</t>
  </si>
  <si>
    <t>kumuniki</t>
  </si>
  <si>
    <t>comunitari</t>
  </si>
  <si>
    <t>k u m u n i t a ɾ i</t>
  </si>
  <si>
    <t>kumunitari</t>
  </si>
  <si>
    <t>communal</t>
  </si>
  <si>
    <t>public</t>
  </si>
  <si>
    <t>comunitaris</t>
  </si>
  <si>
    <t>k u m u n i t a ɾ i s</t>
  </si>
  <si>
    <t>kumunitaris</t>
  </si>
  <si>
    <t>comí</t>
  </si>
  <si>
    <t>k u m i</t>
  </si>
  <si>
    <t>kumi</t>
  </si>
  <si>
    <t>cumin</t>
  </si>
  <si>
    <t>cumin_seed</t>
  </si>
  <si>
    <t>caraway</t>
  </si>
  <si>
    <t>caraway_seed</t>
  </si>
  <si>
    <t>Cuminum_cyminum</t>
  </si>
  <si>
    <t>comú</t>
  </si>
  <si>
    <t>k u m u</t>
  </si>
  <si>
    <t>kumu</t>
  </si>
  <si>
    <t>common</t>
  </si>
  <si>
    <t>standard</t>
  </si>
  <si>
    <t>usual</t>
  </si>
  <si>
    <t>familiar</t>
  </si>
  <si>
    <t>vernacular</t>
  </si>
  <si>
    <t>vulgar</t>
  </si>
  <si>
    <t>plebeian</t>
  </si>
  <si>
    <t>unwashed</t>
  </si>
  <si>
    <t>run-of-the-mill</t>
  </si>
  <si>
    <t>run-of-the-mine</t>
  </si>
  <si>
    <t>mine_run</t>
  </si>
  <si>
    <t>unexceptional</t>
  </si>
  <si>
    <t>mutual</t>
  </si>
  <si>
    <t>coarse</t>
  </si>
  <si>
    <t>conill</t>
  </si>
  <si>
    <t>k u n i ʎ</t>
  </si>
  <si>
    <t>kunill</t>
  </si>
  <si>
    <t>rabbit</t>
  </si>
  <si>
    <t>coney</t>
  </si>
  <si>
    <t>cony</t>
  </si>
  <si>
    <t>hare</t>
  </si>
  <si>
    <t>conyac</t>
  </si>
  <si>
    <t>k u ɲ a k</t>
  </si>
  <si>
    <t>kuñak</t>
  </si>
  <si>
    <t>Cognac</t>
  </si>
  <si>
    <t>cookie</t>
  </si>
  <si>
    <t>k u k i</t>
  </si>
  <si>
    <t>kuki</t>
  </si>
  <si>
    <t>copular</t>
  </si>
  <si>
    <t>k u p u l a</t>
  </si>
  <si>
    <t>kupula</t>
  </si>
  <si>
    <t>coral</t>
  </si>
  <si>
    <t>k u ɾ a l</t>
  </si>
  <si>
    <t>kural</t>
  </si>
  <si>
    <t>choral</t>
  </si>
  <si>
    <t>chorale</t>
  </si>
  <si>
    <t>corall</t>
  </si>
  <si>
    <t>k u ɾ a ʎ</t>
  </si>
  <si>
    <t>kurall</t>
  </si>
  <si>
    <t>red_coral</t>
  </si>
  <si>
    <t>precious_coral</t>
  </si>
  <si>
    <t>coronar</t>
  </si>
  <si>
    <t>k u ɾ u n a</t>
  </si>
  <si>
    <t>kuruna</t>
  </si>
  <si>
    <t>coronate</t>
  </si>
  <si>
    <t>coronari</t>
  </si>
  <si>
    <t>k u ɾ u n a ɾ i</t>
  </si>
  <si>
    <t>kurunari</t>
  </si>
  <si>
    <t>cosinus</t>
  </si>
  <si>
    <t>k u s i n u s</t>
  </si>
  <si>
    <t>kusinus</t>
  </si>
  <si>
    <t>cu</t>
  </si>
  <si>
    <t>k u</t>
  </si>
  <si>
    <t>ku</t>
  </si>
  <si>
    <t>cub</t>
  </si>
  <si>
    <t>third_power</t>
  </si>
  <si>
    <t>regular_hexahedron</t>
  </si>
  <si>
    <t>cuc</t>
  </si>
  <si>
    <t>k u k</t>
  </si>
  <si>
    <t>kuk</t>
  </si>
  <si>
    <t>grub</t>
  </si>
  <si>
    <t>cuculla</t>
  </si>
  <si>
    <t>k u k u ʎ a</t>
  </si>
  <si>
    <t>kukulla</t>
  </si>
  <si>
    <t>cucurull</t>
  </si>
  <si>
    <t>k u k u ɾ u ʎ</t>
  </si>
  <si>
    <t>kukurull</t>
  </si>
  <si>
    <t>cucurulla</t>
  </si>
  <si>
    <t>k u k u ɾ u ʎ a</t>
  </si>
  <si>
    <t>kukurulla</t>
  </si>
  <si>
    <t>cul</t>
  </si>
  <si>
    <t>k u l</t>
  </si>
  <si>
    <t>kul</t>
  </si>
  <si>
    <t>buttocks</t>
  </si>
  <si>
    <t>nates</t>
  </si>
  <si>
    <t>arse</t>
  </si>
  <si>
    <t>butt</t>
  </si>
  <si>
    <t>backside</t>
  </si>
  <si>
    <t>buns</t>
  </si>
  <si>
    <t>fundament</t>
  </si>
  <si>
    <t>hindquarters</t>
  </si>
  <si>
    <t>hind_end</t>
  </si>
  <si>
    <t>keister</t>
  </si>
  <si>
    <t>posterior</t>
  </si>
  <si>
    <t>prat</t>
  </si>
  <si>
    <t>rear</t>
  </si>
  <si>
    <t>rear_end</t>
  </si>
  <si>
    <t>rump</t>
  </si>
  <si>
    <t>stern</t>
  </si>
  <si>
    <t>seat</t>
  </si>
  <si>
    <t>tail</t>
  </si>
  <si>
    <t>tail_end</t>
  </si>
  <si>
    <t>tooshie</t>
  </si>
  <si>
    <t>tush</t>
  </si>
  <si>
    <t>bottom</t>
  </si>
  <si>
    <t>behind</t>
  </si>
  <si>
    <t>derriere</t>
  </si>
  <si>
    <t>fanny</t>
  </si>
  <si>
    <t>ass</t>
  </si>
  <si>
    <t>culata</t>
  </si>
  <si>
    <t>k u l a t a</t>
  </si>
  <si>
    <t>kulata</t>
  </si>
  <si>
    <t>croup</t>
  </si>
  <si>
    <t>croupe</t>
  </si>
  <si>
    <t>stock</t>
  </si>
  <si>
    <t>gunstock</t>
  </si>
  <si>
    <t>rump_steak</t>
  </si>
  <si>
    <t>culinari</t>
  </si>
  <si>
    <t>k u l i n a ɾ i</t>
  </si>
  <si>
    <t>kulinari</t>
  </si>
  <si>
    <t>culinary</t>
  </si>
  <si>
    <t>cull</t>
  </si>
  <si>
    <t>k u ʎ</t>
  </si>
  <si>
    <t>kull</t>
  </si>
  <si>
    <t>cuny</t>
  </si>
  <si>
    <t>k u ɲ</t>
  </si>
  <si>
    <t>kuñ</t>
  </si>
  <si>
    <t>cura</t>
  </si>
  <si>
    <t>k u ɾ a</t>
  </si>
  <si>
    <t>kura</t>
  </si>
  <si>
    <t>care</t>
  </si>
  <si>
    <t>attention</t>
  </si>
  <si>
    <t>aid</t>
  </si>
  <si>
    <t>tending</t>
  </si>
  <si>
    <t>tutelage</t>
  </si>
  <si>
    <t>guardianship</t>
  </si>
  <si>
    <t>great_care</t>
  </si>
  <si>
    <t>remedy</t>
  </si>
  <si>
    <t>curative</t>
  </si>
  <si>
    <t>cure</t>
  </si>
  <si>
    <t>therapeutic</t>
  </si>
  <si>
    <t>carefulness</t>
  </si>
  <si>
    <t>healing</t>
  </si>
  <si>
    <t>curar</t>
  </si>
  <si>
    <t>bring_around</t>
  </si>
  <si>
    <t>heal</t>
  </si>
  <si>
    <t>k u ɾ a ɾ</t>
  </si>
  <si>
    <t>kurar</t>
  </si>
  <si>
    <t>curi</t>
  </si>
  <si>
    <t>k u ɾ i</t>
  </si>
  <si>
    <t>kuri</t>
  </si>
  <si>
    <t>curium</t>
  </si>
  <si>
    <t>Cm</t>
  </si>
  <si>
    <t>atomic_number_96</t>
  </si>
  <si>
    <t>curs</t>
  </si>
  <si>
    <t>k u s</t>
  </si>
  <si>
    <t>kus</t>
  </si>
  <si>
    <t>course_of_study</t>
  </si>
  <si>
    <t>course_of_instruction</t>
  </si>
  <si>
    <t>class</t>
  </si>
  <si>
    <t>form</t>
  </si>
  <si>
    <t>grade</t>
  </si>
  <si>
    <t>line</t>
  </si>
  <si>
    <t>stream</t>
  </si>
  <si>
    <t>flow</t>
  </si>
  <si>
    <t>current</t>
  </si>
  <si>
    <t>trend</t>
  </si>
  <si>
    <t>watercourse</t>
  </si>
  <si>
    <t>curull</t>
  </si>
  <si>
    <t>k u ɾ u ʎ</t>
  </si>
  <si>
    <t>kurull</t>
  </si>
  <si>
    <t>cus</t>
  </si>
  <si>
    <t>cutani</t>
  </si>
  <si>
    <t>k u t a n i</t>
  </si>
  <si>
    <t>kutani</t>
  </si>
  <si>
    <t>cutaneous</t>
  </si>
  <si>
    <t>cutaneal</t>
  </si>
  <si>
    <t>dermal</t>
  </si>
  <si>
    <t>càlam</t>
  </si>
  <si>
    <t>k a l a m</t>
  </si>
  <si>
    <t>kalam</t>
  </si>
  <si>
    <t>cànoes</t>
  </si>
  <si>
    <t>k a n u s</t>
  </si>
  <si>
    <t>kanus</t>
  </si>
  <si>
    <t>cànon</t>
  </si>
  <si>
    <t>k a n u n</t>
  </si>
  <si>
    <t>kanun</t>
  </si>
  <si>
    <t>canon</t>
  </si>
  <si>
    <t>tax</t>
  </si>
  <si>
    <t>taxation</t>
  </si>
  <si>
    <t>revenue_enhancement</t>
  </si>
  <si>
    <t>cínic</t>
  </si>
  <si>
    <t>s i n i k</t>
  </si>
  <si>
    <t>sinik</t>
  </si>
  <si>
    <t>cynical</t>
  </si>
  <si>
    <t>misanthropic</t>
  </si>
  <si>
    <t>misanthropical</t>
  </si>
  <si>
    <t>cynic</t>
  </si>
  <si>
    <t>faultfinder</t>
  </si>
  <si>
    <t>cínica</t>
  </si>
  <si>
    <t>s i n i k a</t>
  </si>
  <si>
    <t>sinika</t>
  </si>
  <si>
    <t>cítara</t>
  </si>
  <si>
    <t>s i t a ɾ a</t>
  </si>
  <si>
    <t>sitara</t>
  </si>
  <si>
    <t>zither</t>
  </si>
  <si>
    <t>cither</t>
  </si>
  <si>
    <t>zithern</t>
  </si>
  <si>
    <t>cúmul</t>
  </si>
  <si>
    <t>k u m u l</t>
  </si>
  <si>
    <t>kumul</t>
  </si>
  <si>
    <t>collection</t>
  </si>
  <si>
    <t>aggregation</t>
  </si>
  <si>
    <t>accumulation</t>
  </si>
  <si>
    <t>assemblage</t>
  </si>
  <si>
    <t>cumulus</t>
  </si>
  <si>
    <t>cumulus_cloud</t>
  </si>
  <si>
    <t>batch</t>
  </si>
  <si>
    <t>deal</t>
  </si>
  <si>
    <t>flock</t>
  </si>
  <si>
    <t>good_deal</t>
  </si>
  <si>
    <t>great_deal</t>
  </si>
  <si>
    <t>hatful</t>
  </si>
  <si>
    <t>lot</t>
  </si>
  <si>
    <t>mass</t>
  </si>
  <si>
    <t>mess</t>
  </si>
  <si>
    <t>mickle</t>
  </si>
  <si>
    <t>mint</t>
  </si>
  <si>
    <t>mountain</t>
  </si>
  <si>
    <t>muckle</t>
  </si>
  <si>
    <t>passel</t>
  </si>
  <si>
    <t>peck</t>
  </si>
  <si>
    <t>plenty</t>
  </si>
  <si>
    <t>pot</t>
  </si>
  <si>
    <t>quite_a_little</t>
  </si>
  <si>
    <t>raft</t>
  </si>
  <si>
    <t>sight</t>
  </si>
  <si>
    <t>slew</t>
  </si>
  <si>
    <t>spate</t>
  </si>
  <si>
    <t>tidy_sum</t>
  </si>
  <si>
    <t>tons</t>
  </si>
  <si>
    <t>dozens</t>
  </si>
  <si>
    <t>heaps</t>
  </si>
  <si>
    <t>lots</t>
  </si>
  <si>
    <t>piles</t>
  </si>
  <si>
    <t>scores</t>
  </si>
  <si>
    <t>stacks</t>
  </si>
  <si>
    <t>loads</t>
  </si>
  <si>
    <t>rafts</t>
  </si>
  <si>
    <t>slews</t>
  </si>
  <si>
    <t>wads</t>
  </si>
  <si>
    <t>oodles</t>
  </si>
  <si>
    <t>gobs</t>
  </si>
  <si>
    <t>scads</t>
  </si>
  <si>
    <t>lashings</t>
  </si>
  <si>
    <t>hac</t>
  </si>
  <si>
    <t>a k</t>
  </si>
  <si>
    <t>ak</t>
  </si>
  <si>
    <t>hala</t>
  </si>
  <si>
    <t>ham</t>
  </si>
  <si>
    <t>hamaca</t>
  </si>
  <si>
    <t>a m a k a</t>
  </si>
  <si>
    <t>amaka</t>
  </si>
  <si>
    <t>deck_chair</t>
  </si>
  <si>
    <t>beach_chair</t>
  </si>
  <si>
    <t>hammock</t>
  </si>
  <si>
    <t>sack</t>
  </si>
  <si>
    <t>han</t>
  </si>
  <si>
    <t>has</t>
  </si>
  <si>
    <t>hassi</t>
  </si>
  <si>
    <t>hassium</t>
  </si>
  <si>
    <t>Hs</t>
  </si>
  <si>
    <t>element_108</t>
  </si>
  <si>
    <t>atomic_number_108</t>
  </si>
  <si>
    <t>hipocamp</t>
  </si>
  <si>
    <t>i p u k a m</t>
  </si>
  <si>
    <t>ipukam</t>
  </si>
  <si>
    <t>hissar</t>
  </si>
  <si>
    <t>i s a</t>
  </si>
  <si>
    <t>isa</t>
  </si>
  <si>
    <t>hoist</t>
  </si>
  <si>
    <t>lift</t>
  </si>
  <si>
    <t>wind</t>
  </si>
  <si>
    <t>run_up</t>
  </si>
  <si>
    <t>i s a ɾ</t>
  </si>
  <si>
    <t>isar</t>
  </si>
  <si>
    <t>hitita</t>
  </si>
  <si>
    <t>i t i t a</t>
  </si>
  <si>
    <t>itita</t>
  </si>
  <si>
    <t>honorari</t>
  </si>
  <si>
    <t>u n u ɾ a ɾ i</t>
  </si>
  <si>
    <t>unurari</t>
  </si>
  <si>
    <t>fee</t>
  </si>
  <si>
    <t>honoraris</t>
  </si>
  <si>
    <t>u n u ɾ a ɾ i s</t>
  </si>
  <si>
    <t>unuraris</t>
  </si>
  <si>
    <t>humana</t>
  </si>
  <si>
    <t>u m a n a</t>
  </si>
  <si>
    <t>umana</t>
  </si>
  <si>
    <t>humanitari</t>
  </si>
  <si>
    <t>u m a n i t a ɾ i</t>
  </si>
  <si>
    <t>umanitari</t>
  </si>
  <si>
    <t>human-centered</t>
  </si>
  <si>
    <t>human-centred</t>
  </si>
  <si>
    <t>humanist</t>
  </si>
  <si>
    <t>humanistic</t>
  </si>
  <si>
    <t>humanitarian</t>
  </si>
  <si>
    <t>do-gooder</t>
  </si>
  <si>
    <t>improver</t>
  </si>
  <si>
    <t>humanitaris</t>
  </si>
  <si>
    <t>u m a n i t a ɾ i s</t>
  </si>
  <si>
    <t>umanitaris</t>
  </si>
  <si>
    <t>humil</t>
  </si>
  <si>
    <t>u m i l</t>
  </si>
  <si>
    <t>umil</t>
  </si>
  <si>
    <t>reticent</t>
  </si>
  <si>
    <t>self-effacing</t>
  </si>
  <si>
    <t>retiring</t>
  </si>
  <si>
    <t>humble</t>
  </si>
  <si>
    <t>lowly</t>
  </si>
  <si>
    <t>low</t>
  </si>
  <si>
    <t>modest</t>
  </si>
  <si>
    <t>small</t>
  </si>
  <si>
    <t>humà</t>
  </si>
  <si>
    <t>u m a</t>
  </si>
  <si>
    <t>uma</t>
  </si>
  <si>
    <t>person</t>
  </si>
  <si>
    <t>individual</t>
  </si>
  <si>
    <t>someone</t>
  </si>
  <si>
    <t>somebody</t>
  </si>
  <si>
    <t>mortal</t>
  </si>
  <si>
    <t>soul</t>
  </si>
  <si>
    <t>humane</t>
  </si>
  <si>
    <t>erring</t>
  </si>
  <si>
    <t>error-prone</t>
  </si>
  <si>
    <t>human</t>
  </si>
  <si>
    <t>homo</t>
  </si>
  <si>
    <t>man</t>
  </si>
  <si>
    <t>human_being</t>
  </si>
  <si>
    <t>hun</t>
  </si>
  <si>
    <t>u n</t>
  </si>
  <si>
    <t>un</t>
  </si>
  <si>
    <t>Hun</t>
  </si>
  <si>
    <t>huna</t>
  </si>
  <si>
    <t>u n a</t>
  </si>
  <si>
    <t>una</t>
  </si>
  <si>
    <t>huracà</t>
  </si>
  <si>
    <t>u ɾ a k a</t>
  </si>
  <si>
    <t>uraka</t>
  </si>
  <si>
    <t>hurricane</t>
  </si>
  <si>
    <t>iac</t>
  </si>
  <si>
    <t>j a k</t>
  </si>
  <si>
    <t>yak</t>
  </si>
  <si>
    <t>Bos_grunniens</t>
  </si>
  <si>
    <t>iaia</t>
  </si>
  <si>
    <t>j a j a</t>
  </si>
  <si>
    <t>yaya</t>
  </si>
  <si>
    <t>beldam</t>
  </si>
  <si>
    <t>beldame</t>
  </si>
  <si>
    <t>grandma</t>
  </si>
  <si>
    <t>grandmother</t>
  </si>
  <si>
    <t>granny</t>
  </si>
  <si>
    <t>grannie</t>
  </si>
  <si>
    <t>gran</t>
  </si>
  <si>
    <t>nanna</t>
  </si>
  <si>
    <t>iaio</t>
  </si>
  <si>
    <t>j a j u</t>
  </si>
  <si>
    <t>yayu</t>
  </si>
  <si>
    <t>grandfather</t>
  </si>
  <si>
    <t>gramps</t>
  </si>
  <si>
    <t>granddad</t>
  </si>
  <si>
    <t>grandad</t>
  </si>
  <si>
    <t>granddaddy</t>
  </si>
  <si>
    <t>grandpa</t>
  </si>
  <si>
    <t>old_man</t>
  </si>
  <si>
    <t>greybeard</t>
  </si>
  <si>
    <t>graybeard</t>
  </si>
  <si>
    <t>Methuselah</t>
  </si>
  <si>
    <t>illa</t>
  </si>
  <si>
    <t>i ʎ a</t>
  </si>
  <si>
    <t>island</t>
  </si>
  <si>
    <t>imaum</t>
  </si>
  <si>
    <t>imant</t>
  </si>
  <si>
    <t>i m a n</t>
  </si>
  <si>
    <t>iman</t>
  </si>
  <si>
    <t>magnet</t>
  </si>
  <si>
    <t>imitar</t>
  </si>
  <si>
    <t>i m i t a</t>
  </si>
  <si>
    <t>imita</t>
  </si>
  <si>
    <t>parrot</t>
  </si>
  <si>
    <t>imitate</t>
  </si>
  <si>
    <t>copy</t>
  </si>
  <si>
    <t>simulate</t>
  </si>
  <si>
    <t>i m i t a ɾ</t>
  </si>
  <si>
    <t>inhalar</t>
  </si>
  <si>
    <t>i n a l a ɾ</t>
  </si>
  <si>
    <t>inalar</t>
  </si>
  <si>
    <t>inhumana</t>
  </si>
  <si>
    <t>i n u m a n a</t>
  </si>
  <si>
    <t>inumana</t>
  </si>
  <si>
    <t>inhumar</t>
  </si>
  <si>
    <t>i n u m a</t>
  </si>
  <si>
    <t>inuma</t>
  </si>
  <si>
    <t>i n u m a ɾ</t>
  </si>
  <si>
    <t>inumar</t>
  </si>
  <si>
    <t>inhumà</t>
  </si>
  <si>
    <t>cold</t>
  </si>
  <si>
    <t>cold-blooded</t>
  </si>
  <si>
    <t>inhuman</t>
  </si>
  <si>
    <t>insensate</t>
  </si>
  <si>
    <t>pitiless</t>
  </si>
  <si>
    <t>remorseless</t>
  </si>
  <si>
    <t>ruthless</t>
  </si>
  <si>
    <t>unpitying</t>
  </si>
  <si>
    <t>inici</t>
  </si>
  <si>
    <t>i n i s i</t>
  </si>
  <si>
    <t>inisi</t>
  </si>
  <si>
    <t>beginning</t>
  </si>
  <si>
    <t>start</t>
  </si>
  <si>
    <t>commencement</t>
  </si>
  <si>
    <t>starting</t>
  </si>
  <si>
    <t>inulina</t>
  </si>
  <si>
    <t>i n u l i n a</t>
  </si>
  <si>
    <t>inulin</t>
  </si>
  <si>
    <t>inútil</t>
  </si>
  <si>
    <t>i n u t i l</t>
  </si>
  <si>
    <t>inutil</t>
  </si>
  <si>
    <t>feckless</t>
  </si>
  <si>
    <t>inept</t>
  </si>
  <si>
    <t>ineffective</t>
  </si>
  <si>
    <t>uneffective</t>
  </si>
  <si>
    <t>ineffectual</t>
  </si>
  <si>
    <t>sixpenny</t>
  </si>
  <si>
    <t>threepenny</t>
  </si>
  <si>
    <t>twopenny</t>
  </si>
  <si>
    <t>tuppeny</t>
  </si>
  <si>
    <t>two-a-penny</t>
  </si>
  <si>
    <t>twopenny-halfpenny</t>
  </si>
  <si>
    <t>unhelpful</t>
  </si>
  <si>
    <t>helpless</t>
  </si>
  <si>
    <t>lost</t>
  </si>
  <si>
    <t>bootless</t>
  </si>
  <si>
    <t>fruitless</t>
  </si>
  <si>
    <t>futile</t>
  </si>
  <si>
    <t>sleeveless</t>
  </si>
  <si>
    <t>vain</t>
  </si>
  <si>
    <t>unremunerative</t>
  </si>
  <si>
    <t>useless</t>
  </si>
  <si>
    <t>otiose</t>
  </si>
  <si>
    <t>unavailing</t>
  </si>
  <si>
    <t>pointless</t>
  </si>
  <si>
    <t>purposeless</t>
  </si>
  <si>
    <t>senseless</t>
  </si>
  <si>
    <t>superfluous</t>
  </si>
  <si>
    <t>wasted</t>
  </si>
  <si>
    <t>flop</t>
  </si>
  <si>
    <t>dud</t>
  </si>
  <si>
    <t>washout</t>
  </si>
  <si>
    <t>goldbrick</t>
  </si>
  <si>
    <t>goof-off</t>
  </si>
  <si>
    <t>ne'er-do-well</t>
  </si>
  <si>
    <t>good-for-nothing</t>
  </si>
  <si>
    <t>no-account</t>
  </si>
  <si>
    <t>good-for-naught</t>
  </si>
  <si>
    <t>ira</t>
  </si>
  <si>
    <t>i ɾ a</t>
  </si>
  <si>
    <t>wrath</t>
  </si>
  <si>
    <t>anger</t>
  </si>
  <si>
    <t>ire</t>
  </si>
  <si>
    <t>choler</t>
  </si>
  <si>
    <t>angriness</t>
  </si>
  <si>
    <t>iran</t>
  </si>
  <si>
    <t>i ɾ a n</t>
  </si>
  <si>
    <t>Iran</t>
  </si>
  <si>
    <t>Islamic_Republic_of_Iran</t>
  </si>
  <si>
    <t>Persia</t>
  </si>
  <si>
    <t>iraq</t>
  </si>
  <si>
    <t>i ɾ a k</t>
  </si>
  <si>
    <t>irak</t>
  </si>
  <si>
    <t>Iraq</t>
  </si>
  <si>
    <t>Republic_of_Iraq</t>
  </si>
  <si>
    <t>Al-Iraq</t>
  </si>
  <si>
    <t>Irak</t>
  </si>
  <si>
    <t>iris</t>
  </si>
  <si>
    <t>i ɾ i s</t>
  </si>
  <si>
    <t>rainbow</t>
  </si>
  <si>
    <t>ix</t>
  </si>
  <si>
    <t>i ʃ</t>
  </si>
  <si>
    <t>ish</t>
  </si>
  <si>
    <t>nine</t>
  </si>
  <si>
    <t>ja</t>
  </si>
  <si>
    <t>j a</t>
  </si>
  <si>
    <t>ya</t>
  </si>
  <si>
    <t>khi</t>
  </si>
  <si>
    <t>k i</t>
  </si>
  <si>
    <t>ki</t>
  </si>
  <si>
    <t>la</t>
  </si>
  <si>
    <t>l a</t>
  </si>
  <si>
    <t>lah</t>
  </si>
  <si>
    <t>laci</t>
  </si>
  <si>
    <t>l a s i</t>
  </si>
  <si>
    <t>lasi</t>
  </si>
  <si>
    <t>laia</t>
  </si>
  <si>
    <t>l a j a</t>
  </si>
  <si>
    <t>laya</t>
  </si>
  <si>
    <t>laminar</t>
  </si>
  <si>
    <t>l a m i n a ɾ</t>
  </si>
  <si>
    <t>laminate</t>
  </si>
  <si>
    <t>mill</t>
  </si>
  <si>
    <t>lassa</t>
  </si>
  <si>
    <t>l a s a</t>
  </si>
  <si>
    <t>lasa</t>
  </si>
  <si>
    <t>lassar</t>
  </si>
  <si>
    <t>l a s a ɾ</t>
  </si>
  <si>
    <t>lasar</t>
  </si>
  <si>
    <t>lassos</t>
  </si>
  <si>
    <t>l a s u s</t>
  </si>
  <si>
    <t>lasus</t>
  </si>
  <si>
    <t>li</t>
  </si>
  <si>
    <t>l i</t>
  </si>
  <si>
    <t>lici</t>
  </si>
  <si>
    <t>l i s i</t>
  </si>
  <si>
    <t>lisi</t>
  </si>
  <si>
    <t>licis</t>
  </si>
  <si>
    <t>l i s i s</t>
  </si>
  <si>
    <t>lisis</t>
  </si>
  <si>
    <t>lila</t>
  </si>
  <si>
    <t>l i l a</t>
  </si>
  <si>
    <t>lavender</t>
  </si>
  <si>
    <t>lilac</t>
  </si>
  <si>
    <t>lilac-colored</t>
  </si>
  <si>
    <t>lilà</t>
  </si>
  <si>
    <t>limitar</t>
  </si>
  <si>
    <t>l i m i t a</t>
  </si>
  <si>
    <t>limita</t>
  </si>
  <si>
    <t>keep_down</t>
  </si>
  <si>
    <t>restrict</t>
  </si>
  <si>
    <t>restrain</t>
  </si>
  <si>
    <t>trammel</t>
  </si>
  <si>
    <t>limit</t>
  </si>
  <si>
    <t>bound</t>
  </si>
  <si>
    <t>confine</t>
  </si>
  <si>
    <t>throttle</t>
  </si>
  <si>
    <t>circumscribe</t>
  </si>
  <si>
    <t>curb</t>
  </si>
  <si>
    <t>cut_back</t>
  </si>
  <si>
    <t>border</t>
  </si>
  <si>
    <t>adjoin</t>
  </si>
  <si>
    <t>edge</t>
  </si>
  <si>
    <t>abut</t>
  </si>
  <si>
    <t>march</t>
  </si>
  <si>
    <t>butt_against</t>
  </si>
  <si>
    <t>butt_on</t>
  </si>
  <si>
    <t>control</t>
  </si>
  <si>
    <t>hold_in</t>
  </si>
  <si>
    <t>contain</t>
  </si>
  <si>
    <t>check</t>
  </si>
  <si>
    <t>moderate</t>
  </si>
  <si>
    <t>l i m i t a ɾ</t>
  </si>
  <si>
    <t>lira</t>
  </si>
  <si>
    <t>l i ɾ a</t>
  </si>
  <si>
    <t>lyre</t>
  </si>
  <si>
    <t>Lyra</t>
  </si>
  <si>
    <t>Italian_lira</t>
  </si>
  <si>
    <t>liti</t>
  </si>
  <si>
    <t>l i t i</t>
  </si>
  <si>
    <t>lithium</t>
  </si>
  <si>
    <t>Li</t>
  </si>
  <si>
    <t>atomic_number_3</t>
  </si>
  <si>
    <t>llac</t>
  </si>
  <si>
    <t>ʎ a k</t>
  </si>
  <si>
    <t>llak</t>
  </si>
  <si>
    <t>lake</t>
  </si>
  <si>
    <t>llacuna</t>
  </si>
  <si>
    <t>ʎ a k u n a</t>
  </si>
  <si>
    <t>llakuna</t>
  </si>
  <si>
    <t>lagoon</t>
  </si>
  <si>
    <t>laguna</t>
  </si>
  <si>
    <t>lagune</t>
  </si>
  <si>
    <t>tarn</t>
  </si>
  <si>
    <t>llama</t>
  </si>
  <si>
    <t>ʎ a m a</t>
  </si>
  <si>
    <t>llaminar</t>
  </si>
  <si>
    <t>ʎ a m i n a ɾ</t>
  </si>
  <si>
    <t>llamp</t>
  </si>
  <si>
    <t>ʎ a m</t>
  </si>
  <si>
    <t>llam</t>
  </si>
  <si>
    <t>lightning</t>
  </si>
  <si>
    <t>llana</t>
  </si>
  <si>
    <t>ʎ a n a</t>
  </si>
  <si>
    <t>wool</t>
  </si>
  <si>
    <t>fleece</t>
  </si>
  <si>
    <t>woolen</t>
  </si>
  <si>
    <t>woollen</t>
  </si>
  <si>
    <t>llapassa</t>
  </si>
  <si>
    <t>ʎ a p a s a</t>
  </si>
  <si>
    <t>llapasa</t>
  </si>
  <si>
    <t>llapis</t>
  </si>
  <si>
    <t>ʎ a p i s</t>
  </si>
  <si>
    <t>pencil</t>
  </si>
  <si>
    <t>llar</t>
  </si>
  <si>
    <t>ʎ a ɾ</t>
  </si>
  <si>
    <t>fireplace</t>
  </si>
  <si>
    <t>hearth</t>
  </si>
  <si>
    <t>open_fireplace</t>
  </si>
  <si>
    <t>fireside</t>
  </si>
  <si>
    <t>home</t>
  </si>
  <si>
    <t>nursing_home</t>
  </si>
  <si>
    <t>rest_home</t>
  </si>
  <si>
    <t>family</t>
  </si>
  <si>
    <t>household</t>
  </si>
  <si>
    <t>house</t>
  </si>
  <si>
    <t>menage</t>
  </si>
  <si>
    <t>llassa</t>
  </si>
  <si>
    <t>ʎ a s a</t>
  </si>
  <si>
    <t>llasa</t>
  </si>
  <si>
    <t>llassos</t>
  </si>
  <si>
    <t>ʎ a s u s</t>
  </si>
  <si>
    <t>llasus</t>
  </si>
  <si>
    <t>llatí</t>
  </si>
  <si>
    <t>ʎ a t i</t>
  </si>
  <si>
    <t>llati</t>
  </si>
  <si>
    <t>Latin</t>
  </si>
  <si>
    <t>llaç</t>
  </si>
  <si>
    <t>ʎ a s</t>
  </si>
  <si>
    <t>llas</t>
  </si>
  <si>
    <t>knot</t>
  </si>
  <si>
    <t>lasso</t>
  </si>
  <si>
    <t>lariat</t>
  </si>
  <si>
    <t>riata</t>
  </si>
  <si>
    <t>reata</t>
  </si>
  <si>
    <t>lli</t>
  </si>
  <si>
    <t>ʎ i</t>
  </si>
  <si>
    <t>flax</t>
  </si>
  <si>
    <t>llim</t>
  </si>
  <si>
    <t>ʎ i m</t>
  </si>
  <si>
    <t>sludge</t>
  </si>
  <si>
    <t>slime</t>
  </si>
  <si>
    <t>goo</t>
  </si>
  <si>
    <t>goop</t>
  </si>
  <si>
    <t>gook</t>
  </si>
  <si>
    <t>guck</t>
  </si>
  <si>
    <t>gunk</t>
  </si>
  <si>
    <t>muck</t>
  </si>
  <si>
    <t>ooze</t>
  </si>
  <si>
    <t>llima</t>
  </si>
  <si>
    <t>ʎ i m a</t>
  </si>
  <si>
    <t>lime</t>
  </si>
  <si>
    <t>llimac</t>
  </si>
  <si>
    <t>ʎ i m a k</t>
  </si>
  <si>
    <t>llimak</t>
  </si>
  <si>
    <t>slug</t>
  </si>
  <si>
    <t>llinassa</t>
  </si>
  <si>
    <t>ʎ i n a s a</t>
  </si>
  <si>
    <t>llinasa</t>
  </si>
  <si>
    <t>llinya</t>
  </si>
  <si>
    <t>ʎ i ɲ a</t>
  </si>
  <si>
    <t>lliña</t>
  </si>
  <si>
    <t>lliri</t>
  </si>
  <si>
    <t>ʎ i ɾ i</t>
  </si>
  <si>
    <t>flag</t>
  </si>
  <si>
    <t>fleur-de-lis</t>
  </si>
  <si>
    <t>sword_lily</t>
  </si>
  <si>
    <t>llis</t>
  </si>
  <si>
    <t>ʎ i s</t>
  </si>
  <si>
    <t>glabrous</t>
  </si>
  <si>
    <t>uncrannied</t>
  </si>
  <si>
    <t>flat</t>
  </si>
  <si>
    <t>level</t>
  </si>
  <si>
    <t>plane</t>
  </si>
  <si>
    <t>straight</t>
  </si>
  <si>
    <t>lluc</t>
  </si>
  <si>
    <t>ʎ u k</t>
  </si>
  <si>
    <t>lluk</t>
  </si>
  <si>
    <t>llucana</t>
  </si>
  <si>
    <t>ʎ u k a n a</t>
  </si>
  <si>
    <t>llukana</t>
  </si>
  <si>
    <t>llucar</t>
  </si>
  <si>
    <t>ʎ u k a</t>
  </si>
  <si>
    <t>lluka</t>
  </si>
  <si>
    <t>ʎ u k a ɾ</t>
  </si>
  <si>
    <t>llukar</t>
  </si>
  <si>
    <t>llum</t>
  </si>
  <si>
    <t>ʎ u m</t>
  </si>
  <si>
    <t>lamp</t>
  </si>
  <si>
    <t>light_source</t>
  </si>
  <si>
    <t>source_of_illumination</t>
  </si>
  <si>
    <t>lightness</t>
  </si>
  <si>
    <t>visible_light</t>
  </si>
  <si>
    <t>visible_radiation</t>
  </si>
  <si>
    <t>lighting</t>
  </si>
  <si>
    <t>lluna</t>
  </si>
  <si>
    <t>ʎ u n a</t>
  </si>
  <si>
    <t>moon</t>
  </si>
  <si>
    <t>Moon</t>
  </si>
  <si>
    <t>lunar_month</t>
  </si>
  <si>
    <t>lunation</t>
  </si>
  <si>
    <t>synodic_month</t>
  </si>
  <si>
    <t>lluny</t>
  </si>
  <si>
    <t>ʎ u ɲ</t>
  </si>
  <si>
    <t>lluñ</t>
  </si>
  <si>
    <t>llunyana</t>
  </si>
  <si>
    <t>ʎ u ɲ a n a</t>
  </si>
  <si>
    <t>lluñana</t>
  </si>
  <si>
    <t>llunyà</t>
  </si>
  <si>
    <t>ʎ u ɲ a</t>
  </si>
  <si>
    <t>lluña</t>
  </si>
  <si>
    <t>far</t>
  </si>
  <si>
    <t>distant</t>
  </si>
  <si>
    <t>remote</t>
  </si>
  <si>
    <t>removed</t>
  </si>
  <si>
    <t>faraway</t>
  </si>
  <si>
    <t>far-off</t>
  </si>
  <si>
    <t>lluç</t>
  </si>
  <si>
    <t>ʎ u s</t>
  </si>
  <si>
    <t>llus</t>
  </si>
  <si>
    <t>hake</t>
  </si>
  <si>
    <t>llàpissos</t>
  </si>
  <si>
    <t>ʎ a p i s u s</t>
  </si>
  <si>
    <t>llapisus</t>
  </si>
  <si>
    <t>lo</t>
  </si>
  <si>
    <t>l u</t>
  </si>
  <si>
    <t>lu</t>
  </si>
  <si>
    <t>local</t>
  </si>
  <si>
    <t>l u k a l</t>
  </si>
  <si>
    <t>lukal</t>
  </si>
  <si>
    <t>homegrown</t>
  </si>
  <si>
    <t>premises</t>
  </si>
  <si>
    <t>lunar</t>
  </si>
  <si>
    <t>l u n a</t>
  </si>
  <si>
    <t>luna</t>
  </si>
  <si>
    <t>l u n a ɾ</t>
  </si>
  <si>
    <t>lupa</t>
  </si>
  <si>
    <t>l u p a</t>
  </si>
  <si>
    <t>hand_glass</t>
  </si>
  <si>
    <t>simple_microscope</t>
  </si>
  <si>
    <t>magnifying_glass</t>
  </si>
  <si>
    <t>lupus</t>
  </si>
  <si>
    <t>l u p u s</t>
  </si>
  <si>
    <t>làmina</t>
  </si>
  <si>
    <t>l a m i n a</t>
  </si>
  <si>
    <t>lamina</t>
  </si>
  <si>
    <t>plate</t>
  </si>
  <si>
    <t>sheet</t>
  </si>
  <si>
    <t>flat_solid</t>
  </si>
  <si>
    <t>gill</t>
  </si>
  <si>
    <t>lamella</t>
  </si>
  <si>
    <t>làrissa</t>
  </si>
  <si>
    <t>l a ɾ i s a</t>
  </si>
  <si>
    <t>larisa</t>
  </si>
  <si>
    <t>lírica</t>
  </si>
  <si>
    <t>l i ɾ i k a</t>
  </si>
  <si>
    <t>lirika</t>
  </si>
  <si>
    <t>lític</t>
  </si>
  <si>
    <t>l i t i k</t>
  </si>
  <si>
    <t>litik</t>
  </si>
  <si>
    <t>lítica</t>
  </si>
  <si>
    <t>l i t i k a</t>
  </si>
  <si>
    <t>litika</t>
  </si>
  <si>
    <t>ma</t>
  </si>
  <si>
    <t>m a</t>
  </si>
  <si>
    <t>maca</t>
  </si>
  <si>
    <t>m a k a</t>
  </si>
  <si>
    <t>maka</t>
  </si>
  <si>
    <t>baby</t>
  </si>
  <si>
    <t>babe</t>
  </si>
  <si>
    <t>sister</t>
  </si>
  <si>
    <t>maco</t>
  </si>
  <si>
    <t>m a k u</t>
  </si>
  <si>
    <t>maku</t>
  </si>
  <si>
    <t>nice</t>
  </si>
  <si>
    <t>macular</t>
  </si>
  <si>
    <t>m a k u l a ɾ</t>
  </si>
  <si>
    <t>makular</t>
  </si>
  <si>
    <t>mar</t>
  </si>
  <si>
    <t>impair</t>
  </si>
  <si>
    <t>spoil</t>
  </si>
  <si>
    <t>deflower</t>
  </si>
  <si>
    <t>vitiate</t>
  </si>
  <si>
    <t>spot</t>
  </si>
  <si>
    <t>mag</t>
  </si>
  <si>
    <t>m a k</t>
  </si>
  <si>
    <t>mak</t>
  </si>
  <si>
    <t>magician</t>
  </si>
  <si>
    <t>prestidigitator</t>
  </si>
  <si>
    <t>conjurer</t>
  </si>
  <si>
    <t>conjuror</t>
  </si>
  <si>
    <t>illusionist</t>
  </si>
  <si>
    <t>magus</t>
  </si>
  <si>
    <t>sorcerer</t>
  </si>
  <si>
    <t>necromancer</t>
  </si>
  <si>
    <t>thaumaturge</t>
  </si>
  <si>
    <t>thaumaturgist</t>
  </si>
  <si>
    <t>mai</t>
  </si>
  <si>
    <t>maia</t>
  </si>
  <si>
    <t>m a j a</t>
  </si>
  <si>
    <t>maya</t>
  </si>
  <si>
    <t>Maya</t>
  </si>
  <si>
    <t>Mayan</t>
  </si>
  <si>
    <t>Mayan_language</t>
  </si>
  <si>
    <t>maial</t>
  </si>
  <si>
    <t>m a j a l</t>
  </si>
  <si>
    <t>mayal</t>
  </si>
  <si>
    <t>mal</t>
  </si>
  <si>
    <t>m a l</t>
  </si>
  <si>
    <t>damage</t>
  </si>
  <si>
    <t>harm</t>
  </si>
  <si>
    <t>hurt</t>
  </si>
  <si>
    <t>scathe</t>
  </si>
  <si>
    <t>bad</t>
  </si>
  <si>
    <t>spoiled</t>
  </si>
  <si>
    <t>spoilt</t>
  </si>
  <si>
    <t>defective</t>
  </si>
  <si>
    <t>evil</t>
  </si>
  <si>
    <t>unfit</t>
  </si>
  <si>
    <t>unsound</t>
  </si>
  <si>
    <t>hostile</t>
  </si>
  <si>
    <t>risky</t>
  </si>
  <si>
    <t>high-risk</t>
  </si>
  <si>
    <t>speculative</t>
  </si>
  <si>
    <t>pain</t>
  </si>
  <si>
    <t>pain_sensation</t>
  </si>
  <si>
    <t>painful_sensation</t>
  </si>
  <si>
    <t>suffering</t>
  </si>
  <si>
    <t>ailment</t>
  </si>
  <si>
    <t>complaint</t>
  </si>
  <si>
    <t>ill</t>
  </si>
  <si>
    <t>injury</t>
  </si>
  <si>
    <t>trauma</t>
  </si>
  <si>
    <t>hurting</t>
  </si>
  <si>
    <t>ache</t>
  </si>
  <si>
    <t>aching</t>
  </si>
  <si>
    <t>mala</t>
  </si>
  <si>
    <t>m a l a</t>
  </si>
  <si>
    <t>malai</t>
  </si>
  <si>
    <t>m a l a j</t>
  </si>
  <si>
    <t>malay</t>
  </si>
  <si>
    <t>Malay</t>
  </si>
  <si>
    <t>Malayan</t>
  </si>
  <si>
    <t>malaia</t>
  </si>
  <si>
    <t>m a l a j a</t>
  </si>
  <si>
    <t>malaya</t>
  </si>
  <si>
    <t>malaquita</t>
  </si>
  <si>
    <t>m a l a k i t a</t>
  </si>
  <si>
    <t>malakita</t>
  </si>
  <si>
    <t>malachite</t>
  </si>
  <si>
    <t>mall</t>
  </si>
  <si>
    <t>m a ʎ</t>
  </si>
  <si>
    <t>maul</t>
  </si>
  <si>
    <t>sledge</t>
  </si>
  <si>
    <t>sledgehammer</t>
  </si>
  <si>
    <t>malla</t>
  </si>
  <si>
    <t>m a ʎ a</t>
  </si>
  <si>
    <t>malt</t>
  </si>
  <si>
    <t>malt_liquor</t>
  </si>
  <si>
    <t>maluc</t>
  </si>
  <si>
    <t>m a l u k</t>
  </si>
  <si>
    <t>maluk</t>
  </si>
  <si>
    <t>hip</t>
  </si>
  <si>
    <t>hip_joint</t>
  </si>
  <si>
    <t>coxa</t>
  </si>
  <si>
    <t>articulatio_coxae</t>
  </si>
  <si>
    <t>mama</t>
  </si>
  <si>
    <t>m a m a</t>
  </si>
  <si>
    <t>mammary_gland</t>
  </si>
  <si>
    <t>mamma</t>
  </si>
  <si>
    <t>mom</t>
  </si>
  <si>
    <t>momma</t>
  </si>
  <si>
    <t>mommy</t>
  </si>
  <si>
    <t>mammy</t>
  </si>
  <si>
    <t>mum</t>
  </si>
  <si>
    <t>mummy</t>
  </si>
  <si>
    <t>mamar</t>
  </si>
  <si>
    <t>m a m a ɾ</t>
  </si>
  <si>
    <t>mamari</t>
  </si>
  <si>
    <t>m a m a ɾ i</t>
  </si>
  <si>
    <t>mamaris</t>
  </si>
  <si>
    <t>m a m a ɾ i s</t>
  </si>
  <si>
    <t>mamo</t>
  </si>
  <si>
    <t>m a m u</t>
  </si>
  <si>
    <t>mamu</t>
  </si>
  <si>
    <t>mamà</t>
  </si>
  <si>
    <t>mana</t>
  </si>
  <si>
    <t>m a n a</t>
  </si>
  <si>
    <t>manar</t>
  </si>
  <si>
    <t>m a n a ɾ</t>
  </si>
  <si>
    <t>order</t>
  </si>
  <si>
    <t>enjoin</t>
  </si>
  <si>
    <t>say</t>
  </si>
  <si>
    <t>prescribe</t>
  </si>
  <si>
    <t>dictate</t>
  </si>
  <si>
    <t>command</t>
  </si>
  <si>
    <t>flux</t>
  </si>
  <si>
    <t>feed</t>
  </si>
  <si>
    <t>dominate</t>
  </si>
  <si>
    <t>mani</t>
  </si>
  <si>
    <t>m a n i</t>
  </si>
  <si>
    <t>manilla</t>
  </si>
  <si>
    <t>m a n i ʎ a</t>
  </si>
  <si>
    <t>manillar</t>
  </si>
  <si>
    <t>m a n i ʎ a ɾ</t>
  </si>
  <si>
    <t>manipula</t>
  </si>
  <si>
    <t>m a n i p u l a</t>
  </si>
  <si>
    <t>manipular</t>
  </si>
  <si>
    <t>m a n i p u l a ɾ</t>
  </si>
  <si>
    <t>manipulate</t>
  </si>
  <si>
    <t>wield</t>
  </si>
  <si>
    <t>handle</t>
  </si>
  <si>
    <t>manage</t>
  </si>
  <si>
    <t>pull_strings</t>
  </si>
  <si>
    <t>pull_wires</t>
  </si>
  <si>
    <t>maniquí</t>
  </si>
  <si>
    <t>m a n i k i</t>
  </si>
  <si>
    <t>maniki</t>
  </si>
  <si>
    <t>mannequin</t>
  </si>
  <si>
    <t>manikin</t>
  </si>
  <si>
    <t>mannikin</t>
  </si>
  <si>
    <t>manakin</t>
  </si>
  <si>
    <t>fashion_model</t>
  </si>
  <si>
    <t>model</t>
  </si>
  <si>
    <t>poser</t>
  </si>
  <si>
    <t>mano</t>
  </si>
  <si>
    <t>m a n u</t>
  </si>
  <si>
    <t>manu</t>
  </si>
  <si>
    <t>manya</t>
  </si>
  <si>
    <t>m a ɲ a</t>
  </si>
  <si>
    <t>maña</t>
  </si>
  <si>
    <t>bent</t>
  </si>
  <si>
    <t>knack</t>
  </si>
  <si>
    <t>hang</t>
  </si>
  <si>
    <t>craft</t>
  </si>
  <si>
    <t>craftsmanship</t>
  </si>
  <si>
    <t>workmanship</t>
  </si>
  <si>
    <t>dexterity</t>
  </si>
  <si>
    <t>manual_dexterity</t>
  </si>
  <si>
    <t>sleight</t>
  </si>
  <si>
    <t>manyac</t>
  </si>
  <si>
    <t>m a ɲ a k</t>
  </si>
  <si>
    <t>mañak</t>
  </si>
  <si>
    <t>mapa</t>
  </si>
  <si>
    <t>m a p a</t>
  </si>
  <si>
    <t>map</t>
  </si>
  <si>
    <t>maqui</t>
  </si>
  <si>
    <t>m a k i</t>
  </si>
  <si>
    <t>maki</t>
  </si>
  <si>
    <t>flying_lemur</t>
  </si>
  <si>
    <t>flying_cat</t>
  </si>
  <si>
    <t>colugo</t>
  </si>
  <si>
    <t>Maquis</t>
  </si>
  <si>
    <t>Maquisard</t>
  </si>
  <si>
    <t>maquillar</t>
  </si>
  <si>
    <t>m a k i ʎ a ɾ</t>
  </si>
  <si>
    <t>makillar</t>
  </si>
  <si>
    <t>make_up</t>
  </si>
  <si>
    <t>m a ɾ</t>
  </si>
  <si>
    <t>sea</t>
  </si>
  <si>
    <t>ocean</t>
  </si>
  <si>
    <t>maraca</t>
  </si>
  <si>
    <t>m a ɾ a k a</t>
  </si>
  <si>
    <t>maraka</t>
  </si>
  <si>
    <t>marica</t>
  </si>
  <si>
    <t>m a ɾ i k a</t>
  </si>
  <si>
    <t>marika</t>
  </si>
  <si>
    <t>fagot</t>
  </si>
  <si>
    <t>faggot</t>
  </si>
  <si>
    <t>fag</t>
  </si>
  <si>
    <t>fairy</t>
  </si>
  <si>
    <t>nance</t>
  </si>
  <si>
    <t>pansy</t>
  </si>
  <si>
    <t>queen</t>
  </si>
  <si>
    <t>queer</t>
  </si>
  <si>
    <t>poof</t>
  </si>
  <si>
    <t>poove</t>
  </si>
  <si>
    <t>pouf</t>
  </si>
  <si>
    <t>marina</t>
  </si>
  <si>
    <t>m a ɾ i n a</t>
  </si>
  <si>
    <t>navy</t>
  </si>
  <si>
    <t>naval_forces</t>
  </si>
  <si>
    <t>marí</t>
  </si>
  <si>
    <t>m a ɾ i</t>
  </si>
  <si>
    <t>mari</t>
  </si>
  <si>
    <t>marine</t>
  </si>
  <si>
    <t>nautical</t>
  </si>
  <si>
    <t>maritime</t>
  </si>
  <si>
    <t>bluejacket</t>
  </si>
  <si>
    <t>navy_man</t>
  </si>
  <si>
    <t>sailor</t>
  </si>
  <si>
    <t>sailor_boy</t>
  </si>
  <si>
    <t>mariner</t>
  </si>
  <si>
    <t>seaman</t>
  </si>
  <si>
    <t>tar</t>
  </si>
  <si>
    <t>Jack-tar</t>
  </si>
  <si>
    <t>Jack</t>
  </si>
  <si>
    <t>old_salt</t>
  </si>
  <si>
    <t>seafarer</t>
  </si>
  <si>
    <t>gob</t>
  </si>
  <si>
    <t>sea_dog</t>
  </si>
  <si>
    <t>marítim</t>
  </si>
  <si>
    <t>m a ɾ i t i m</t>
  </si>
  <si>
    <t>maritim</t>
  </si>
  <si>
    <t>country_house</t>
  </si>
  <si>
    <t>farm</t>
  </si>
  <si>
    <t>farmhouse</t>
  </si>
  <si>
    <t>farmstead</t>
  </si>
  <si>
    <t>massa</t>
  </si>
  <si>
    <t>m a s a</t>
  </si>
  <si>
    <t>masa</t>
  </si>
  <si>
    <t>bulk</t>
  </si>
  <si>
    <t>volume</t>
  </si>
  <si>
    <t>Masa</t>
  </si>
  <si>
    <t>pastry</t>
  </si>
  <si>
    <t>pastry_dough</t>
  </si>
  <si>
    <t>dough</t>
  </si>
  <si>
    <t>multitude</t>
  </si>
  <si>
    <t>masses</t>
  </si>
  <si>
    <t>hoi_polloi</t>
  </si>
  <si>
    <t>people</t>
  </si>
  <si>
    <t>the_great_unwashed</t>
  </si>
  <si>
    <t>throng</t>
  </si>
  <si>
    <t>concourse</t>
  </si>
  <si>
    <t>ruck</t>
  </si>
  <si>
    <t>battalion</t>
  </si>
  <si>
    <t>large_number</t>
  </si>
  <si>
    <t>plurality</t>
  </si>
  <si>
    <t>pack</t>
  </si>
  <si>
    <t>massís</t>
  </si>
  <si>
    <t>m a s i s</t>
  </si>
  <si>
    <t>masis</t>
  </si>
  <si>
    <t>firm</t>
  </si>
  <si>
    <t>solid</t>
  </si>
  <si>
    <t>massive</t>
  </si>
  <si>
    <t>strong</t>
  </si>
  <si>
    <t>substantial</t>
  </si>
  <si>
    <t>massif</t>
  </si>
  <si>
    <t>mata</t>
  </si>
  <si>
    <t>m a t a</t>
  </si>
  <si>
    <t>shrub</t>
  </si>
  <si>
    <t>bush</t>
  </si>
  <si>
    <t>matacà</t>
  </si>
  <si>
    <t>m a t a k a</t>
  </si>
  <si>
    <t>mataka</t>
  </si>
  <si>
    <t>matalàs</t>
  </si>
  <si>
    <t>m a t a l a s</t>
  </si>
  <si>
    <t>matalas</t>
  </si>
  <si>
    <t>mattress</t>
  </si>
  <si>
    <t>matamala</t>
  </si>
  <si>
    <t>m a t a m a l a</t>
  </si>
  <si>
    <t>matar</t>
  </si>
  <si>
    <t>m a t a ɾ</t>
  </si>
  <si>
    <t>slaughter</t>
  </si>
  <si>
    <t>stamp_out</t>
  </si>
  <si>
    <t>kill</t>
  </si>
  <si>
    <t>matinar</t>
  </si>
  <si>
    <t>m a t i n a ɾ</t>
  </si>
  <si>
    <t>matí</t>
  </si>
  <si>
    <t>m a t i</t>
  </si>
  <si>
    <t>mati</t>
  </si>
  <si>
    <t>morning</t>
  </si>
  <si>
    <t>morn</t>
  </si>
  <si>
    <t>morning_time</t>
  </si>
  <si>
    <t>forenoon</t>
  </si>
  <si>
    <t>matís</t>
  </si>
  <si>
    <t>m a t i s</t>
  </si>
  <si>
    <t>matis</t>
  </si>
  <si>
    <t>semblance</t>
  </si>
  <si>
    <t>gloss</t>
  </si>
  <si>
    <t>color</t>
  </si>
  <si>
    <t>colour</t>
  </si>
  <si>
    <t>aspect</t>
  </si>
  <si>
    <t>undertone</t>
  </si>
  <si>
    <t>tinge</t>
  </si>
  <si>
    <t>hue</t>
  </si>
  <si>
    <t>chromaticity</t>
  </si>
  <si>
    <t>nuance</t>
  </si>
  <si>
    <t>nicety</t>
  </si>
  <si>
    <t>shade</t>
  </si>
  <si>
    <t>subtlety</t>
  </si>
  <si>
    <t>refinement</t>
  </si>
  <si>
    <t>maça</t>
  </si>
  <si>
    <t>mace</t>
  </si>
  <si>
    <t>mica</t>
  </si>
  <si>
    <t>m i k a</t>
  </si>
  <si>
    <t>mika</t>
  </si>
  <si>
    <t>bit</t>
  </si>
  <si>
    <t>chip</t>
  </si>
  <si>
    <t>flake</t>
  </si>
  <si>
    <t>fleck</t>
  </si>
  <si>
    <t>scrap</t>
  </si>
  <si>
    <t>atom</t>
  </si>
  <si>
    <t>molecule</t>
  </si>
  <si>
    <t>particle</t>
  </si>
  <si>
    <t>corpuscle</t>
  </si>
  <si>
    <t>mote</t>
  </si>
  <si>
    <t>speck</t>
  </si>
  <si>
    <t>isinglass</t>
  </si>
  <si>
    <t>mico</t>
  </si>
  <si>
    <t>m i k u</t>
  </si>
  <si>
    <t>miku</t>
  </si>
  <si>
    <t>ape</t>
  </si>
  <si>
    <t>monkey</t>
  </si>
  <si>
    <t>micos</t>
  </si>
  <si>
    <t>m i k u s</t>
  </si>
  <si>
    <t>mikus</t>
  </si>
  <si>
    <t>mil</t>
  </si>
  <si>
    <t>m i l</t>
  </si>
  <si>
    <t>thousand</t>
  </si>
  <si>
    <t>one_thousand</t>
  </si>
  <si>
    <t>m</t>
  </si>
  <si>
    <t>k</t>
  </si>
  <si>
    <t>M</t>
  </si>
  <si>
    <t>K</t>
  </si>
  <si>
    <t>chiliad</t>
  </si>
  <si>
    <t>G</t>
  </si>
  <si>
    <t>grand</t>
  </si>
  <si>
    <t>thou</t>
  </si>
  <si>
    <t>yard</t>
  </si>
  <si>
    <t>milana</t>
  </si>
  <si>
    <t>m i l a n a</t>
  </si>
  <si>
    <t>milita</t>
  </si>
  <si>
    <t>m i l i t a</t>
  </si>
  <si>
    <t>militar</t>
  </si>
  <si>
    <t>soldier</t>
  </si>
  <si>
    <t>military</t>
  </si>
  <si>
    <t>serviceman</t>
  </si>
  <si>
    <t>military_man</t>
  </si>
  <si>
    <t>military_personnel</t>
  </si>
  <si>
    <t>m i l i t a ɾ</t>
  </si>
  <si>
    <t>milito</t>
  </si>
  <si>
    <t>m i l i t u</t>
  </si>
  <si>
    <t>militu</t>
  </si>
  <si>
    <t>m i ʎ</t>
  </si>
  <si>
    <t>millet</t>
  </si>
  <si>
    <t>milla</t>
  </si>
  <si>
    <t>m i ʎ a</t>
  </si>
  <si>
    <t>mile</t>
  </si>
  <si>
    <t>statute_mile</t>
  </si>
  <si>
    <t>stat_mi</t>
  </si>
  <si>
    <t>land_mile</t>
  </si>
  <si>
    <t>international_mile</t>
  </si>
  <si>
    <t>Swedish_mile</t>
  </si>
  <si>
    <t>Roman_mile</t>
  </si>
  <si>
    <t>nautical_mile</t>
  </si>
  <si>
    <t>naut_mi</t>
  </si>
  <si>
    <t>international_nautical_mile</t>
  </si>
  <si>
    <t>air_mile</t>
  </si>
  <si>
    <t>geographical_mile</t>
  </si>
  <si>
    <t>Admiralty_mile</t>
  </si>
  <si>
    <t>sea_mile</t>
  </si>
  <si>
    <t>millorar</t>
  </si>
  <si>
    <t>m i ʎ u ɾ a</t>
  </si>
  <si>
    <t>millura</t>
  </si>
  <si>
    <t>recuperate</t>
  </si>
  <si>
    <t>recover</t>
  </si>
  <si>
    <t>convalesce</t>
  </si>
  <si>
    <t>better</t>
  </si>
  <si>
    <t>improve</t>
  </si>
  <si>
    <t>ameliorate</t>
  </si>
  <si>
    <t>meliorate</t>
  </si>
  <si>
    <t>turn_around</t>
  </si>
  <si>
    <t>pick_up</t>
  </si>
  <si>
    <t>amend</t>
  </si>
  <si>
    <t>remit</t>
  </si>
  <si>
    <t>clear_up</t>
  </si>
  <si>
    <t>clear</t>
  </si>
  <si>
    <t>brighten</t>
  </si>
  <si>
    <t>milà</t>
  </si>
  <si>
    <t>m i l a</t>
  </si>
  <si>
    <t>mila</t>
  </si>
  <si>
    <t>kite</t>
  </si>
  <si>
    <t>mim</t>
  </si>
  <si>
    <t>m i m</t>
  </si>
  <si>
    <t>mime</t>
  </si>
  <si>
    <t>mimer</t>
  </si>
  <si>
    <t>mummer</t>
  </si>
  <si>
    <t>pantomimer</t>
  </si>
  <si>
    <t>pantomimist</t>
  </si>
  <si>
    <t>mina</t>
  </si>
  <si>
    <t>m i n a</t>
  </si>
  <si>
    <t>pencil_lead</t>
  </si>
  <si>
    <t>mine</t>
  </si>
  <si>
    <t>minar</t>
  </si>
  <si>
    <t>shake</t>
  </si>
  <si>
    <t>m i n a ɾ</t>
  </si>
  <si>
    <t>mira</t>
  </si>
  <si>
    <t>m i ɾ a</t>
  </si>
  <si>
    <t>mirall</t>
  </si>
  <si>
    <t>m i ɾ a j</t>
  </si>
  <si>
    <t>miray</t>
  </si>
  <si>
    <t>mirror</t>
  </si>
  <si>
    <t>m i ɾ a ʎ</t>
  </si>
  <si>
    <t>miss</t>
  </si>
  <si>
    <t>m i s</t>
  </si>
  <si>
    <t>mis</t>
  </si>
  <si>
    <t>missa</t>
  </si>
  <si>
    <t>m i s a</t>
  </si>
  <si>
    <t>misa</t>
  </si>
  <si>
    <t>Mass</t>
  </si>
  <si>
    <t>mississipí</t>
  </si>
  <si>
    <t>m i s i s i p i</t>
  </si>
  <si>
    <t>misisipi</t>
  </si>
  <si>
    <t>mix</t>
  </si>
  <si>
    <t>m i ʃ</t>
  </si>
  <si>
    <t>mish</t>
  </si>
  <si>
    <t>kitty</t>
  </si>
  <si>
    <t>kitty-cat</t>
  </si>
  <si>
    <t>puss</t>
  </si>
  <si>
    <t>pussy</t>
  </si>
  <si>
    <t>pussycat</t>
  </si>
  <si>
    <t>mocar</t>
  </si>
  <si>
    <t>m u k a</t>
  </si>
  <si>
    <t>moixí</t>
  </si>
  <si>
    <t>m u ʃ i</t>
  </si>
  <si>
    <t>mushi</t>
  </si>
  <si>
    <t>molí</t>
  </si>
  <si>
    <t>m u l i</t>
  </si>
  <si>
    <t>muli</t>
  </si>
  <si>
    <t>mon</t>
  </si>
  <si>
    <t>m u n</t>
  </si>
  <si>
    <t>mun</t>
  </si>
  <si>
    <t>monolític</t>
  </si>
  <si>
    <t>m u n u l i t i k</t>
  </si>
  <si>
    <t>munulitik</t>
  </si>
  <si>
    <t>moral</t>
  </si>
  <si>
    <t>m u ɾ a l</t>
  </si>
  <si>
    <t>mural</t>
  </si>
  <si>
    <t>ethical</t>
  </si>
  <si>
    <t>esprit_de_corps</t>
  </si>
  <si>
    <t>morale</t>
  </si>
  <si>
    <t>team_spirit</t>
  </si>
  <si>
    <t>lesson</t>
  </si>
  <si>
    <t>ethical_motive</t>
  </si>
  <si>
    <t>ethics</t>
  </si>
  <si>
    <t>morals</t>
  </si>
  <si>
    <t>morality</t>
  </si>
  <si>
    <t>morir</t>
  </si>
  <si>
    <t>m u ɾ i</t>
  </si>
  <si>
    <t>muri</t>
  </si>
  <si>
    <t>die</t>
  </si>
  <si>
    <t>abate</t>
  </si>
  <si>
    <t>let_up</t>
  </si>
  <si>
    <t>slack_off</t>
  </si>
  <si>
    <t>slack</t>
  </si>
  <si>
    <t>die_away</t>
  </si>
  <si>
    <t>decease</t>
  </si>
  <si>
    <t>perish</t>
  </si>
  <si>
    <t>exit</t>
  </si>
  <si>
    <t>pass_away</t>
  </si>
  <si>
    <t>expire</t>
  </si>
  <si>
    <t>kick_the_bucket</t>
  </si>
  <si>
    <t>cash_in_one's_chips</t>
  </si>
  <si>
    <t>buy_the_farm</t>
  </si>
  <si>
    <t>conk</t>
  </si>
  <si>
    <t>give-up_the_ghost</t>
  </si>
  <si>
    <t>drop_dead</t>
  </si>
  <si>
    <t>pop_off</t>
  </si>
  <si>
    <t>choke</t>
  </si>
  <si>
    <t>croak</t>
  </si>
  <si>
    <t>snuff_it</t>
  </si>
  <si>
    <t>motí</t>
  </si>
  <si>
    <t>m u t i</t>
  </si>
  <si>
    <t>muti</t>
  </si>
  <si>
    <t>mutiny</t>
  </si>
  <si>
    <t>rioting</t>
  </si>
  <si>
    <t>riot</t>
  </si>
  <si>
    <t>mul</t>
  </si>
  <si>
    <t>m u l</t>
  </si>
  <si>
    <t>mule</t>
  </si>
  <si>
    <t>mula</t>
  </si>
  <si>
    <t>m u l a</t>
  </si>
  <si>
    <t>mular</t>
  </si>
  <si>
    <t>m u l a ɾ</t>
  </si>
  <si>
    <t>mulassa</t>
  </si>
  <si>
    <t>m u l a s a</t>
  </si>
  <si>
    <t>mulasa</t>
  </si>
  <si>
    <t>mullar</t>
  </si>
  <si>
    <t>m u ʎ a</t>
  </si>
  <si>
    <t>mulla</t>
  </si>
  <si>
    <t>wet</t>
  </si>
  <si>
    <t>dowse</t>
  </si>
  <si>
    <t>sop</t>
  </si>
  <si>
    <t>moisten</t>
  </si>
  <si>
    <t>wash</t>
  </si>
  <si>
    <t>dampen</t>
  </si>
  <si>
    <t>moil</t>
  </si>
  <si>
    <t>spatter</t>
  </si>
  <si>
    <t>splatter</t>
  </si>
  <si>
    <t>plash</t>
  </si>
  <si>
    <t>splash</t>
  </si>
  <si>
    <t>splosh</t>
  </si>
  <si>
    <t>swash</t>
  </si>
  <si>
    <t>drizzle</t>
  </si>
  <si>
    <t>m u ʎ a ɾ</t>
  </si>
  <si>
    <t>munic</t>
  </si>
  <si>
    <t>m u n i k</t>
  </si>
  <si>
    <t>munik</t>
  </si>
  <si>
    <t>municipal</t>
  </si>
  <si>
    <t>m u n i s i p a l</t>
  </si>
  <si>
    <t>munisipal</t>
  </si>
  <si>
    <t>police_matron</t>
  </si>
  <si>
    <t>policewoman</t>
  </si>
  <si>
    <t>municipi</t>
  </si>
  <si>
    <t>m u n i s i p i</t>
  </si>
  <si>
    <t>munisipi</t>
  </si>
  <si>
    <t>municipality</t>
  </si>
  <si>
    <t>munt</t>
  </si>
  <si>
    <t>mound</t>
  </si>
  <si>
    <t>agglomerate</t>
  </si>
  <si>
    <t>cumulation</t>
  </si>
  <si>
    <t>munyir</t>
  </si>
  <si>
    <t>m u ɲ i</t>
  </si>
  <si>
    <t>muñi</t>
  </si>
  <si>
    <t>milk</t>
  </si>
  <si>
    <t>m u ɲ i ɾ</t>
  </si>
  <si>
    <t>muñir</t>
  </si>
  <si>
    <t>mur</t>
  </si>
  <si>
    <t>m u ɾ</t>
  </si>
  <si>
    <t>wall</t>
  </si>
  <si>
    <t>wall_painting</t>
  </si>
  <si>
    <t>muralla</t>
  </si>
  <si>
    <t>m u ɾ a ʎ a</t>
  </si>
  <si>
    <t>rampart</t>
  </si>
  <si>
    <t>bulwark</t>
  </si>
  <si>
    <t>murar</t>
  </si>
  <si>
    <t>m u ɾ a</t>
  </si>
  <si>
    <t>mura</t>
  </si>
  <si>
    <t>m u ɾ a ɾ</t>
  </si>
  <si>
    <t>mussa</t>
  </si>
  <si>
    <t>m u s a</t>
  </si>
  <si>
    <t>musa</t>
  </si>
  <si>
    <t>mutar</t>
  </si>
  <si>
    <t>m u t a</t>
  </si>
  <si>
    <t>muta</t>
  </si>
  <si>
    <t>mutate</t>
  </si>
  <si>
    <t>m u t a ɾ</t>
  </si>
  <si>
    <t>mutu</t>
  </si>
  <si>
    <t>m u t u</t>
  </si>
  <si>
    <t>reciprocal</t>
  </si>
  <si>
    <t>mà</t>
  </si>
  <si>
    <t>trotter</t>
  </si>
  <si>
    <t>hand</t>
  </si>
  <si>
    <t>manus</t>
  </si>
  <si>
    <t>mitt</t>
  </si>
  <si>
    <t>paw</t>
  </si>
  <si>
    <t>màcula</t>
  </si>
  <si>
    <t>m a k u l a</t>
  </si>
  <si>
    <t>makula</t>
  </si>
  <si>
    <t>blot</t>
  </si>
  <si>
    <t>smear</t>
  </si>
  <si>
    <t>smirch</t>
  </si>
  <si>
    <t>stain</t>
  </si>
  <si>
    <t>blemish</t>
  </si>
  <si>
    <t>defect</t>
  </si>
  <si>
    <t>màquina</t>
  </si>
  <si>
    <t>m a k i n a</t>
  </si>
  <si>
    <t>makina</t>
  </si>
  <si>
    <t>machine</t>
  </si>
  <si>
    <t>simple_machine</t>
  </si>
  <si>
    <t>mímic</t>
  </si>
  <si>
    <t>m i m i k</t>
  </si>
  <si>
    <t>mimik</t>
  </si>
  <si>
    <t>mímica</t>
  </si>
  <si>
    <t>m i m i k a</t>
  </si>
  <si>
    <t>mimika</t>
  </si>
  <si>
    <t>pantomime</t>
  </si>
  <si>
    <t>dumb_show</t>
  </si>
  <si>
    <t>sign_language</t>
  </si>
  <si>
    <t>signing</t>
  </si>
  <si>
    <t>gesture</t>
  </si>
  <si>
    <t>motion</t>
  </si>
  <si>
    <t>mínim</t>
  </si>
  <si>
    <t>m i n i m</t>
  </si>
  <si>
    <t>minim</t>
  </si>
  <si>
    <t>last</t>
  </si>
  <si>
    <t>last-place</t>
  </si>
  <si>
    <t>lowest</t>
  </si>
  <si>
    <t>reduced</t>
  </si>
  <si>
    <t>rock-bottom</t>
  </si>
  <si>
    <t>minimal</t>
  </si>
  <si>
    <t>minimum</t>
  </si>
  <si>
    <t>borderline</t>
  </si>
  <si>
    <t>marginal</t>
  </si>
  <si>
    <t>least</t>
  </si>
  <si>
    <t>lower_limit</t>
  </si>
  <si>
    <t>mínima</t>
  </si>
  <si>
    <t>m i n i m a</t>
  </si>
  <si>
    <t>minima</t>
  </si>
  <si>
    <t>mític</t>
  </si>
  <si>
    <t>m i t i k</t>
  </si>
  <si>
    <t>mitik</t>
  </si>
  <si>
    <t>sodium</t>
  </si>
  <si>
    <t>Na</t>
  </si>
  <si>
    <t>atomic_number_11</t>
  </si>
  <si>
    <t>n a n</t>
  </si>
  <si>
    <t>nan</t>
  </si>
  <si>
    <t>bantam</t>
  </si>
  <si>
    <t>diminutive</t>
  </si>
  <si>
    <t>lilliputian</t>
  </si>
  <si>
    <t>midget</t>
  </si>
  <si>
    <t>petite</t>
  </si>
  <si>
    <t>tiny</t>
  </si>
  <si>
    <t>flyspeck</t>
  </si>
  <si>
    <t>gnome</t>
  </si>
  <si>
    <t>dwarf</t>
  </si>
  <si>
    <t>nanus</t>
  </si>
  <si>
    <t>nana</t>
  </si>
  <si>
    <t>n a n a</t>
  </si>
  <si>
    <t>nano</t>
  </si>
  <si>
    <t>n a n u</t>
  </si>
  <si>
    <t>nanu</t>
  </si>
  <si>
    <t>nap</t>
  </si>
  <si>
    <t>n a p</t>
  </si>
  <si>
    <t>turnip</t>
  </si>
  <si>
    <t>white_turnip</t>
  </si>
  <si>
    <t>Brassica_rapa</t>
  </si>
  <si>
    <t>nose</t>
  </si>
  <si>
    <t>olfactory_organ</t>
  </si>
  <si>
    <t>nata</t>
  </si>
  <si>
    <t>n a t a</t>
  </si>
  <si>
    <t>cream</t>
  </si>
  <si>
    <t>natal</t>
  </si>
  <si>
    <t>n a t a l</t>
  </si>
  <si>
    <t>Natal</t>
  </si>
  <si>
    <t>KwaZulu-Natal</t>
  </si>
  <si>
    <t>natalici</t>
  </si>
  <si>
    <t>n a t a l i s i</t>
  </si>
  <si>
    <t>natalisi</t>
  </si>
  <si>
    <t>birthday</t>
  </si>
  <si>
    <t>natal_day</t>
  </si>
  <si>
    <t>natura</t>
  </si>
  <si>
    <t>n a t u ɾ a</t>
  </si>
  <si>
    <t>nature</t>
  </si>
  <si>
    <t>universe</t>
  </si>
  <si>
    <t>existence</t>
  </si>
  <si>
    <t>creation</t>
  </si>
  <si>
    <t>world</t>
  </si>
  <si>
    <t>cosmos</t>
  </si>
  <si>
    <t>macrocosm</t>
  </si>
  <si>
    <t>wild</t>
  </si>
  <si>
    <t>natural_state</t>
  </si>
  <si>
    <t>state_of_nature</t>
  </si>
  <si>
    <t>natural</t>
  </si>
  <si>
    <t>n a t u ɾ a l</t>
  </si>
  <si>
    <t>unaffected</t>
  </si>
  <si>
    <t>lifelike</t>
  </si>
  <si>
    <t>raw</t>
  </si>
  <si>
    <t>unsanded</t>
  </si>
  <si>
    <t>autochthonal</t>
  </si>
  <si>
    <t>autochthonic</t>
  </si>
  <si>
    <t>autochthonous</t>
  </si>
  <si>
    <t>endemic</t>
  </si>
  <si>
    <t>indigenous</t>
  </si>
  <si>
    <t>rude</t>
  </si>
  <si>
    <t>native</t>
  </si>
  <si>
    <t>nu</t>
  </si>
  <si>
    <t>nici</t>
  </si>
  <si>
    <t>n i s i</t>
  </si>
  <si>
    <t>nisi</t>
  </si>
  <si>
    <t>nil</t>
  </si>
  <si>
    <t>n i l</t>
  </si>
  <si>
    <t>Nile</t>
  </si>
  <si>
    <t>Nile_River</t>
  </si>
  <si>
    <t>nin</t>
  </si>
  <si>
    <t>n i n</t>
  </si>
  <si>
    <t>nina</t>
  </si>
  <si>
    <t>n i n a</t>
  </si>
  <si>
    <t>doll</t>
  </si>
  <si>
    <t>dolly</t>
  </si>
  <si>
    <t>niça</t>
  </si>
  <si>
    <t>n i s a</t>
  </si>
  <si>
    <t>nisa</t>
  </si>
  <si>
    <t>nominal</t>
  </si>
  <si>
    <t>n u m i n a l</t>
  </si>
  <si>
    <t>numinal</t>
  </si>
  <si>
    <t>nominar</t>
  </si>
  <si>
    <t>n u m i n a</t>
  </si>
  <si>
    <t>numina</t>
  </si>
  <si>
    <t>nominate</t>
  </si>
  <si>
    <t>put_up</t>
  </si>
  <si>
    <t>put_forward</t>
  </si>
  <si>
    <t>appoint</t>
  </si>
  <si>
    <t>constitute</t>
  </si>
  <si>
    <t>make</t>
  </si>
  <si>
    <t>propose</t>
  </si>
  <si>
    <t>notar</t>
  </si>
  <si>
    <t>n u t a</t>
  </si>
  <si>
    <t>nuta</t>
  </si>
  <si>
    <t>feel</t>
  </si>
  <si>
    <t>finger</t>
  </si>
  <si>
    <t>notice</t>
  </si>
  <si>
    <t>mark</t>
  </si>
  <si>
    <t>note</t>
  </si>
  <si>
    <t>take_note</t>
  </si>
  <si>
    <t>observe</t>
  </si>
  <si>
    <t>notari</t>
  </si>
  <si>
    <t>n u t a ɾ i</t>
  </si>
  <si>
    <t>nutari</t>
  </si>
  <si>
    <t>notary</t>
  </si>
  <si>
    <t>notary_public</t>
  </si>
  <si>
    <t>solicitor</t>
  </si>
  <si>
    <t>n u</t>
  </si>
  <si>
    <t>bare</t>
  </si>
  <si>
    <t>au_naturel</t>
  </si>
  <si>
    <t>naked</t>
  </si>
  <si>
    <t>nude</t>
  </si>
  <si>
    <t>mother-naked</t>
  </si>
  <si>
    <t>naked_as_the_day_one_was_born</t>
  </si>
  <si>
    <t>naked_as_the_day_you_were_born</t>
  </si>
  <si>
    <t>in_one's_birthday_suit</t>
  </si>
  <si>
    <t>in_your_birthday_suit</t>
  </si>
  <si>
    <t>stripped</t>
  </si>
  <si>
    <t>unappareled</t>
  </si>
  <si>
    <t>unattired</t>
  </si>
  <si>
    <t>unclad</t>
  </si>
  <si>
    <t>undressed</t>
  </si>
  <si>
    <t>ungarbed</t>
  </si>
  <si>
    <t>ungarmented</t>
  </si>
  <si>
    <t>nude_painting</t>
  </si>
  <si>
    <t>nude_person</t>
  </si>
  <si>
    <t>nuca</t>
  </si>
  <si>
    <t>n u k a</t>
  </si>
  <si>
    <t>nuka</t>
  </si>
  <si>
    <t>nape</t>
  </si>
  <si>
    <t>scruff</t>
  </si>
  <si>
    <t>nucha</t>
  </si>
  <si>
    <t>nul</t>
  </si>
  <si>
    <t>n u l</t>
  </si>
  <si>
    <t>void</t>
  </si>
  <si>
    <t>nus</t>
  </si>
  <si>
    <t>n u s</t>
  </si>
  <si>
    <t>link</t>
  </si>
  <si>
    <t>linkup</t>
  </si>
  <si>
    <t>tie</t>
  </si>
  <si>
    <t>tie-in</t>
  </si>
  <si>
    <t>gnarl</t>
  </si>
  <si>
    <t>nyam</t>
  </si>
  <si>
    <t>ɲ a m</t>
  </si>
  <si>
    <t>ñam</t>
  </si>
  <si>
    <t>yam</t>
  </si>
  <si>
    <t>nyap</t>
  </si>
  <si>
    <t>ɲ a p</t>
  </si>
  <si>
    <t>ñap</t>
  </si>
  <si>
    <t>ballup</t>
  </si>
  <si>
    <t>balls-up</t>
  </si>
  <si>
    <t>cockup</t>
  </si>
  <si>
    <t>mess-up</t>
  </si>
  <si>
    <t>nyu</t>
  </si>
  <si>
    <t>ɲ u</t>
  </si>
  <si>
    <t>ñu</t>
  </si>
  <si>
    <t>gnu</t>
  </si>
  <si>
    <t>wildebeest</t>
  </si>
  <si>
    <t>ocular</t>
  </si>
  <si>
    <t>u k u l a</t>
  </si>
  <si>
    <t>ukula</t>
  </si>
  <si>
    <t>optic</t>
  </si>
  <si>
    <t>optical</t>
  </si>
  <si>
    <t>visual</t>
  </si>
  <si>
    <t>opthalmic</t>
  </si>
  <si>
    <t>eyepiece</t>
  </si>
  <si>
    <t>ocupar</t>
  </si>
  <si>
    <t>u k u p a</t>
  </si>
  <si>
    <t>ukupa</t>
  </si>
  <si>
    <t>engross</t>
  </si>
  <si>
    <t>engage</t>
  </si>
  <si>
    <t>occupy</t>
  </si>
  <si>
    <t>invade</t>
  </si>
  <si>
    <t>hire</t>
  </si>
  <si>
    <t>employ</t>
  </si>
  <si>
    <t>fill</t>
  </si>
  <si>
    <t>populate</t>
  </si>
  <si>
    <t>dwell</t>
  </si>
  <si>
    <t>live</t>
  </si>
  <si>
    <t>inhabit</t>
  </si>
  <si>
    <t>lie</t>
  </si>
  <si>
    <t>ocàs</t>
  </si>
  <si>
    <t>u k a s</t>
  </si>
  <si>
    <t>ukas</t>
  </si>
  <si>
    <t>sunset</t>
  </si>
  <si>
    <t>sundown</t>
  </si>
  <si>
    <t>olimp</t>
  </si>
  <si>
    <t>u l i m</t>
  </si>
  <si>
    <t>ulim</t>
  </si>
  <si>
    <t>Olympus</t>
  </si>
  <si>
    <t>Mount_Olympus</t>
  </si>
  <si>
    <t>Mt._Olympus</t>
  </si>
  <si>
    <t>Olimbos</t>
  </si>
  <si>
    <t>olorar</t>
  </si>
  <si>
    <t>u l u ɾ a</t>
  </si>
  <si>
    <t>ulura</t>
  </si>
  <si>
    <t>sniff</t>
  </si>
  <si>
    <t>sniffle</t>
  </si>
  <si>
    <t>smell</t>
  </si>
  <si>
    <t>scent</t>
  </si>
  <si>
    <t>sniff_out</t>
  </si>
  <si>
    <t>scent_out</t>
  </si>
  <si>
    <t>smell_out</t>
  </si>
  <si>
    <t>nose_out</t>
  </si>
  <si>
    <t>oman</t>
  </si>
  <si>
    <t>u m a n</t>
  </si>
  <si>
    <t>uman</t>
  </si>
  <si>
    <t>Oman</t>
  </si>
  <si>
    <t>Sultanate_of_Oman</t>
  </si>
  <si>
    <t>Muscat_and_Oman</t>
  </si>
  <si>
    <t>opac</t>
  </si>
  <si>
    <t>u p a k</t>
  </si>
  <si>
    <t>upak</t>
  </si>
  <si>
    <t>opaque</t>
  </si>
  <si>
    <t>opinar</t>
  </si>
  <si>
    <t>u p i n a</t>
  </si>
  <si>
    <t>upina</t>
  </si>
  <si>
    <t>evaluate</t>
  </si>
  <si>
    <t>pass_judgment</t>
  </si>
  <si>
    <t>judge</t>
  </si>
  <si>
    <t>opino</t>
  </si>
  <si>
    <t>u p i n u</t>
  </si>
  <si>
    <t>upinu</t>
  </si>
  <si>
    <t>oral</t>
  </si>
  <si>
    <t>u ɾ a l</t>
  </si>
  <si>
    <t>ural</t>
  </si>
  <si>
    <t>oral_exam</t>
  </si>
  <si>
    <t>oral_examination</t>
  </si>
  <si>
    <t>viva_voce</t>
  </si>
  <si>
    <t>viva</t>
  </si>
  <si>
    <t>orar</t>
  </si>
  <si>
    <t>u ɾ a</t>
  </si>
  <si>
    <t>ura</t>
  </si>
  <si>
    <t>orinar</t>
  </si>
  <si>
    <t>u ɾ i n a</t>
  </si>
  <si>
    <t>urina</t>
  </si>
  <si>
    <t>pa</t>
  </si>
  <si>
    <t>p a</t>
  </si>
  <si>
    <t>bread</t>
  </si>
  <si>
    <t>breadstuff</t>
  </si>
  <si>
    <t>staff_of_life</t>
  </si>
  <si>
    <t>pascal</t>
  </si>
  <si>
    <t>Pa</t>
  </si>
  <si>
    <t>pacana</t>
  </si>
  <si>
    <t>p a k a n a</t>
  </si>
  <si>
    <t>pakana</t>
  </si>
  <si>
    <t>pecan</t>
  </si>
  <si>
    <t>paio</t>
  </si>
  <si>
    <t>p a j u</t>
  </si>
  <si>
    <t>payu</t>
  </si>
  <si>
    <t>pal</t>
  </si>
  <si>
    <t>p a l</t>
  </si>
  <si>
    <t>goalpost</t>
  </si>
  <si>
    <t>golf_club</t>
  </si>
  <si>
    <t>golf-club</t>
  </si>
  <si>
    <t>club</t>
  </si>
  <si>
    <t>pole</t>
  </si>
  <si>
    <t>post</t>
  </si>
  <si>
    <t>stick</t>
  </si>
  <si>
    <t>pin</t>
  </si>
  <si>
    <t>peg</t>
  </si>
  <si>
    <t>stake</t>
  </si>
  <si>
    <t>pala</t>
  </si>
  <si>
    <t>p a l a</t>
  </si>
  <si>
    <t>shovel</t>
  </si>
  <si>
    <t>upper</t>
  </si>
  <si>
    <t>palatal</t>
  </si>
  <si>
    <t>p a l a t a l</t>
  </si>
  <si>
    <t>palatina</t>
  </si>
  <si>
    <t>p a l a t i n a</t>
  </si>
  <si>
    <t>palatí</t>
  </si>
  <si>
    <t>p a l a t i</t>
  </si>
  <si>
    <t>palati</t>
  </si>
  <si>
    <t>pali</t>
  </si>
  <si>
    <t>p a l i</t>
  </si>
  <si>
    <t>palla</t>
  </si>
  <si>
    <t>p a ʎ a</t>
  </si>
  <si>
    <t>folderol</t>
  </si>
  <si>
    <t>rubbish</t>
  </si>
  <si>
    <t>tripe</t>
  </si>
  <si>
    <t>trumpery</t>
  </si>
  <si>
    <t>trash</t>
  </si>
  <si>
    <t>wish-wash</t>
  </si>
  <si>
    <t>applesauce</t>
  </si>
  <si>
    <t>codswallop</t>
  </si>
  <si>
    <t>straw</t>
  </si>
  <si>
    <t>thatch</t>
  </si>
  <si>
    <t>pallassa</t>
  </si>
  <si>
    <t>p a ʎ a s a</t>
  </si>
  <si>
    <t>pallasa</t>
  </si>
  <si>
    <t>pallissa</t>
  </si>
  <si>
    <t>p a ʎ i s a</t>
  </si>
  <si>
    <t>pallisa</t>
  </si>
  <si>
    <t>beating</t>
  </si>
  <si>
    <t>thrashing</t>
  </si>
  <si>
    <t>licking</t>
  </si>
  <si>
    <t>drubbing</t>
  </si>
  <si>
    <t>lacing</t>
  </si>
  <si>
    <t>trouncing</t>
  </si>
  <si>
    <t>whacking</t>
  </si>
  <si>
    <t>hayloft</t>
  </si>
  <si>
    <t>haymow</t>
  </si>
  <si>
    <t>mow</t>
  </si>
  <si>
    <t>walloping</t>
  </si>
  <si>
    <t>debacle</t>
  </si>
  <si>
    <t>whipping</t>
  </si>
  <si>
    <t>haystack</t>
  </si>
  <si>
    <t>hayrick</t>
  </si>
  <si>
    <t>rick</t>
  </si>
  <si>
    <t>pallús</t>
  </si>
  <si>
    <t>p a ʎ u s</t>
  </si>
  <si>
    <t>pallus</t>
  </si>
  <si>
    <t>dense</t>
  </si>
  <si>
    <t>dim</t>
  </si>
  <si>
    <t>dull</t>
  </si>
  <si>
    <t>dumb</t>
  </si>
  <si>
    <t>obtuse</t>
  </si>
  <si>
    <t>slow</t>
  </si>
  <si>
    <t>chump</t>
  </si>
  <si>
    <t>fool</t>
  </si>
  <si>
    <t>gull</t>
  </si>
  <si>
    <t>patsy</t>
  </si>
  <si>
    <t>fall_guy</t>
  </si>
  <si>
    <t>sucker</t>
  </si>
  <si>
    <t>soft_touch</t>
  </si>
  <si>
    <t>mug</t>
  </si>
  <si>
    <t>dumbbell</t>
  </si>
  <si>
    <t>dummy</t>
  </si>
  <si>
    <t>dope</t>
  </si>
  <si>
    <t>boob</t>
  </si>
  <si>
    <t>booby</t>
  </si>
  <si>
    <t>pinhead</t>
  </si>
  <si>
    <t>idiot</t>
  </si>
  <si>
    <t>imbecile</t>
  </si>
  <si>
    <t>cretin</t>
  </si>
  <si>
    <t>moron</t>
  </si>
  <si>
    <t>changeling</t>
  </si>
  <si>
    <t>half-wit</t>
  </si>
  <si>
    <t>retard</t>
  </si>
  <si>
    <t>peasant</t>
  </si>
  <si>
    <t>barbarian</t>
  </si>
  <si>
    <t>boor</t>
  </si>
  <si>
    <t>churl</t>
  </si>
  <si>
    <t>Goth</t>
  </si>
  <si>
    <t>tyke</t>
  </si>
  <si>
    <t>tike</t>
  </si>
  <si>
    <t>pam</t>
  </si>
  <si>
    <t>p a m</t>
  </si>
  <si>
    <t>pana</t>
  </si>
  <si>
    <t>p a n a</t>
  </si>
  <si>
    <t>cord</t>
  </si>
  <si>
    <t>corduroy</t>
  </si>
  <si>
    <t>panamà</t>
  </si>
  <si>
    <t>p a n a m a</t>
  </si>
  <si>
    <t>panama</t>
  </si>
  <si>
    <t>boater</t>
  </si>
  <si>
    <t>leghorn</t>
  </si>
  <si>
    <t>Panama</t>
  </si>
  <si>
    <t>Panama_hat</t>
  </si>
  <si>
    <t>skimmer</t>
  </si>
  <si>
    <t>straw_hat</t>
  </si>
  <si>
    <t>Republic_of_Panama</t>
  </si>
  <si>
    <t>Panama_City</t>
  </si>
  <si>
    <t>capital_of_Panama</t>
  </si>
  <si>
    <t>Panamanian_capital</t>
  </si>
  <si>
    <t>panical</t>
  </si>
  <si>
    <t>p a n i k a l</t>
  </si>
  <si>
    <t>panikal</t>
  </si>
  <si>
    <t>pany</t>
  </si>
  <si>
    <t>p a ɲ</t>
  </si>
  <si>
    <t>pañ</t>
  </si>
  <si>
    <t>lock</t>
  </si>
  <si>
    <t>panís</t>
  </si>
  <si>
    <t>p a n i s</t>
  </si>
  <si>
    <t>panis</t>
  </si>
  <si>
    <t>sweet_corn</t>
  </si>
  <si>
    <t>green_corn</t>
  </si>
  <si>
    <t>corn</t>
  </si>
  <si>
    <t>maize</t>
  </si>
  <si>
    <t>Indian_corn</t>
  </si>
  <si>
    <t>Zea_mays</t>
  </si>
  <si>
    <t>papa</t>
  </si>
  <si>
    <t>p a p a</t>
  </si>
  <si>
    <t>dad</t>
  </si>
  <si>
    <t>dada</t>
  </si>
  <si>
    <t>daddy</t>
  </si>
  <si>
    <t>pappa</t>
  </si>
  <si>
    <t>pop</t>
  </si>
  <si>
    <t>father</t>
  </si>
  <si>
    <t>male_parent</t>
  </si>
  <si>
    <t>begetter</t>
  </si>
  <si>
    <t>pope</t>
  </si>
  <si>
    <t>Catholic_Pope</t>
  </si>
  <si>
    <t>Roman_Catholic_Pope</t>
  </si>
  <si>
    <t>pontiff</t>
  </si>
  <si>
    <t>Holy_Father</t>
  </si>
  <si>
    <t>Vicar_of_Christ</t>
  </si>
  <si>
    <t>Bishop_of_Rome</t>
  </si>
  <si>
    <t>papaia</t>
  </si>
  <si>
    <t>p a p a j a</t>
  </si>
  <si>
    <t>papaya</t>
  </si>
  <si>
    <t>papaw</t>
  </si>
  <si>
    <t>pawpaw</t>
  </si>
  <si>
    <t>papal</t>
  </si>
  <si>
    <t>p a p a l</t>
  </si>
  <si>
    <t>apostolic</t>
  </si>
  <si>
    <t>apostolical</t>
  </si>
  <si>
    <t>pontifical</t>
  </si>
  <si>
    <t>papar</t>
  </si>
  <si>
    <t>p a p a ɾ</t>
  </si>
  <si>
    <t>papú</t>
  </si>
  <si>
    <t>p a p u</t>
  </si>
  <si>
    <t>papu</t>
  </si>
  <si>
    <t>paralític</t>
  </si>
  <si>
    <t>p a ɾ a l i t i k</t>
  </si>
  <si>
    <t>paralitik</t>
  </si>
  <si>
    <t>paralytic</t>
  </si>
  <si>
    <t>paralítica</t>
  </si>
  <si>
    <t>p a ɾ a l i t i k a</t>
  </si>
  <si>
    <t>paralitika</t>
  </si>
  <si>
    <t>parany</t>
  </si>
  <si>
    <t>p a ɾ a ɲ</t>
  </si>
  <si>
    <t>parañ</t>
  </si>
  <si>
    <t>bait</t>
  </si>
  <si>
    <t>decoy</t>
  </si>
  <si>
    <t>lure</t>
  </si>
  <si>
    <t>trickery</t>
  </si>
  <si>
    <t>hocus-pocus</t>
  </si>
  <si>
    <t>slickness</t>
  </si>
  <si>
    <t>hanky_panky</t>
  </si>
  <si>
    <t>jiggery-pokery</t>
  </si>
  <si>
    <t>skulduggery</t>
  </si>
  <si>
    <t>skullduggery</t>
  </si>
  <si>
    <t>parar</t>
  </si>
  <si>
    <t>p a ɾ a ɾ</t>
  </si>
  <si>
    <t>discontinue</t>
  </si>
  <si>
    <t>give_up</t>
  </si>
  <si>
    <t>quit</t>
  </si>
  <si>
    <t>lay_off</t>
  </si>
  <si>
    <t>paris</t>
  </si>
  <si>
    <t>p a ɾ i s</t>
  </si>
  <si>
    <t>Paris</t>
  </si>
  <si>
    <t>genus_Paris</t>
  </si>
  <si>
    <t>paro</t>
  </si>
  <si>
    <t>p a ɾ u</t>
  </si>
  <si>
    <t>paru</t>
  </si>
  <si>
    <t>parís</t>
  </si>
  <si>
    <t>City_of_Light</t>
  </si>
  <si>
    <t>French_capital</t>
  </si>
  <si>
    <t>capital_of_France</t>
  </si>
  <si>
    <t>pas</t>
  </si>
  <si>
    <t>p a s</t>
  </si>
  <si>
    <t>passage</t>
  </si>
  <si>
    <t>transition</t>
  </si>
  <si>
    <t>step</t>
  </si>
  <si>
    <t>pace</t>
  </si>
  <si>
    <t>stride</t>
  </si>
  <si>
    <t>tread</t>
  </si>
  <si>
    <t>passing</t>
  </si>
  <si>
    <t>access</t>
  </si>
  <si>
    <t>approach</t>
  </si>
  <si>
    <t>rate</t>
  </si>
  <si>
    <t>footprint</t>
  </si>
  <si>
    <t>footmark</t>
  </si>
  <si>
    <t>loss</t>
  </si>
  <si>
    <t>departure</t>
  </si>
  <si>
    <t>expiration</t>
  </si>
  <si>
    <t>going</t>
  </si>
  <si>
    <t>release</t>
  </si>
  <si>
    <t>footfall</t>
  </si>
  <si>
    <t>footstep</t>
  </si>
  <si>
    <t>mountain_pass</t>
  </si>
  <si>
    <t>notch</t>
  </si>
  <si>
    <t>gait</t>
  </si>
  <si>
    <t>passa</t>
  </si>
  <si>
    <t>p a s a</t>
  </si>
  <si>
    <t>pasa</t>
  </si>
  <si>
    <t>passamà</t>
  </si>
  <si>
    <t>p a s a m a</t>
  </si>
  <si>
    <t>pasama</t>
  </si>
  <si>
    <t>trimming</t>
  </si>
  <si>
    <t>trim</t>
  </si>
  <si>
    <t>passementerie</t>
  </si>
  <si>
    <t>passar</t>
  </si>
  <si>
    <t>p a s a ɾ</t>
  </si>
  <si>
    <t>pasar</t>
  </si>
  <si>
    <t>slip</t>
  </si>
  <si>
    <t>happen</t>
  </si>
  <si>
    <t>hap</t>
  </si>
  <si>
    <t>go_on</t>
  </si>
  <si>
    <t>pass_off</t>
  </si>
  <si>
    <t>occur</t>
  </si>
  <si>
    <t>fall_out</t>
  </si>
  <si>
    <t>come_about</t>
  </si>
  <si>
    <t>take_place</t>
  </si>
  <si>
    <t>operate</t>
  </si>
  <si>
    <t>materialize</t>
  </si>
  <si>
    <t>materialise</t>
  </si>
  <si>
    <t>befall</t>
  </si>
  <si>
    <t>bechance</t>
  </si>
  <si>
    <t>betide</t>
  </si>
  <si>
    <t>wear_on</t>
  </si>
  <si>
    <t>guide</t>
  </si>
  <si>
    <t>draw</t>
  </si>
  <si>
    <t>sink</t>
  </si>
  <si>
    <t>lapse</t>
  </si>
  <si>
    <t>travel_by</t>
  </si>
  <si>
    <t>pass_by</t>
  </si>
  <si>
    <t>surpass</t>
  </si>
  <si>
    <t>go_past</t>
  </si>
  <si>
    <t>go_by</t>
  </si>
  <si>
    <t>make_pass</t>
  </si>
  <si>
    <t>reach</t>
  </si>
  <si>
    <t>turn_over</t>
  </si>
  <si>
    <t>spend</t>
  </si>
  <si>
    <t>be</t>
  </si>
  <si>
    <t>passo</t>
  </si>
  <si>
    <t>p a s u</t>
  </si>
  <si>
    <t>pasu</t>
  </si>
  <si>
    <t>patata</t>
  </si>
  <si>
    <t>p a t a t a</t>
  </si>
  <si>
    <t>cunt</t>
  </si>
  <si>
    <t>slit</t>
  </si>
  <si>
    <t>snatch</t>
  </si>
  <si>
    <t>twat</t>
  </si>
  <si>
    <t>potato</t>
  </si>
  <si>
    <t>white_potato</t>
  </si>
  <si>
    <t>Irish_potato</t>
  </si>
  <si>
    <t>murphy</t>
  </si>
  <si>
    <t>spud</t>
  </si>
  <si>
    <t>tater</t>
  </si>
  <si>
    <t>pati</t>
  </si>
  <si>
    <t>p a t i</t>
  </si>
  <si>
    <t>court</t>
  </si>
  <si>
    <t>courtyard</t>
  </si>
  <si>
    <t>patio</t>
  </si>
  <si>
    <t>terrace</t>
  </si>
  <si>
    <t>patim</t>
  </si>
  <si>
    <t>p a t i m</t>
  </si>
  <si>
    <t>patir</t>
  </si>
  <si>
    <t>p a t i ɾ</t>
  </si>
  <si>
    <t>suffer</t>
  </si>
  <si>
    <t>handstand</t>
  </si>
  <si>
    <t>pine</t>
  </si>
  <si>
    <t>pine_tree</t>
  </si>
  <si>
    <t>true_pine</t>
  </si>
  <si>
    <t>pic</t>
  </si>
  <si>
    <t>p i k</t>
  </si>
  <si>
    <t>pick</t>
  </si>
  <si>
    <t>pickax</t>
  </si>
  <si>
    <t>pickaxe</t>
  </si>
  <si>
    <t>knock</t>
  </si>
  <si>
    <t>knocking</t>
  </si>
  <si>
    <t>pica</t>
  </si>
  <si>
    <t>kitchen_sink</t>
  </si>
  <si>
    <t>pike</t>
  </si>
  <si>
    <t>picant</t>
  </si>
  <si>
    <t>gamy</t>
  </si>
  <si>
    <t>gamey</t>
  </si>
  <si>
    <t>juicy</t>
  </si>
  <si>
    <t>naughty</t>
  </si>
  <si>
    <t>racy</t>
  </si>
  <si>
    <t>risque</t>
  </si>
  <si>
    <t>spicy</t>
  </si>
  <si>
    <t>piquant</t>
  </si>
  <si>
    <t>salty</t>
  </si>
  <si>
    <t>savory</t>
  </si>
  <si>
    <t>savoury</t>
  </si>
  <si>
    <t>zesty</t>
  </si>
  <si>
    <t>picar</t>
  </si>
  <si>
    <t>pestle</t>
  </si>
  <si>
    <t>sting</t>
  </si>
  <si>
    <t>pick_at</t>
  </si>
  <si>
    <t>peck_at</t>
  </si>
  <si>
    <t>nibble</t>
  </si>
  <si>
    <t>piece</t>
  </si>
  <si>
    <t>diet</t>
  </si>
  <si>
    <t>prod</t>
  </si>
  <si>
    <t>poke</t>
  </si>
  <si>
    <t>dig</t>
  </si>
  <si>
    <t>chop</t>
  </si>
  <si>
    <t>hack</t>
  </si>
  <si>
    <t>beat</t>
  </si>
  <si>
    <t>beat_up</t>
  </si>
  <si>
    <t>work_over</t>
  </si>
  <si>
    <t>prickle</t>
  </si>
  <si>
    <t>prick</t>
  </si>
  <si>
    <t>punch</t>
  </si>
  <si>
    <t>perforate</t>
  </si>
  <si>
    <t>bite</t>
  </si>
  <si>
    <t>itch</t>
  </si>
  <si>
    <t>smart</t>
  </si>
  <si>
    <t>twinge</t>
  </si>
  <si>
    <t>burn</t>
  </si>
  <si>
    <t>glow</t>
  </si>
  <si>
    <t>p i k a ɾ</t>
  </si>
  <si>
    <t>pikar</t>
  </si>
  <si>
    <t>picassa</t>
  </si>
  <si>
    <t>p i k a s a</t>
  </si>
  <si>
    <t>pikasa</t>
  </si>
  <si>
    <t>pico</t>
  </si>
  <si>
    <t>p i k u</t>
  </si>
  <si>
    <t>piku</t>
  </si>
  <si>
    <t>piconar</t>
  </si>
  <si>
    <t>p i k u n a</t>
  </si>
  <si>
    <t>pikuna</t>
  </si>
  <si>
    <t>tamp_down</t>
  </si>
  <si>
    <t>tamp</t>
  </si>
  <si>
    <t>pila</t>
  </si>
  <si>
    <t>p i l a</t>
  </si>
  <si>
    <t>cell</t>
  </si>
  <si>
    <t>electric_cell</t>
  </si>
  <si>
    <t>pilar</t>
  </si>
  <si>
    <t>column</t>
  </si>
  <si>
    <t>pillar</t>
  </si>
  <si>
    <t>pier</t>
  </si>
  <si>
    <t>mainstay</t>
  </si>
  <si>
    <t>p i l a ɾ</t>
  </si>
  <si>
    <t>p i ʎ a</t>
  </si>
  <si>
    <t>pilla</t>
  </si>
  <si>
    <t>plunder</t>
  </si>
  <si>
    <t>p i ʎ a ɾ</t>
  </si>
  <si>
    <t>pilotar</t>
  </si>
  <si>
    <t>p i l u t a</t>
  </si>
  <si>
    <t>piluta</t>
  </si>
  <si>
    <t>navigate</t>
  </si>
  <si>
    <t>pilot</t>
  </si>
  <si>
    <t>aviate</t>
  </si>
  <si>
    <t>p i n</t>
  </si>
  <si>
    <t>pinassa</t>
  </si>
  <si>
    <t>p i n a s a</t>
  </si>
  <si>
    <t>pinasa</t>
  </si>
  <si>
    <t>pinya</t>
  </si>
  <si>
    <t>p i ɲ a</t>
  </si>
  <si>
    <t>piña</t>
  </si>
  <si>
    <t>pineapple</t>
  </si>
  <si>
    <t>ananas</t>
  </si>
  <si>
    <t>pinecone</t>
  </si>
  <si>
    <t>pinyata</t>
  </si>
  <si>
    <t>p i ɲ a t a</t>
  </si>
  <si>
    <t>piñata</t>
  </si>
  <si>
    <t>pinata</t>
  </si>
  <si>
    <t>pipa</t>
  </si>
  <si>
    <t>p i p a</t>
  </si>
  <si>
    <t>pipe</t>
  </si>
  <si>
    <t>tobacco_pipe</t>
  </si>
  <si>
    <t>pipar</t>
  </si>
  <si>
    <t>p i p a ɾ</t>
  </si>
  <si>
    <t>pirata</t>
  </si>
  <si>
    <t>p i ɾ a t a</t>
  </si>
  <si>
    <t>cracker</t>
  </si>
  <si>
    <t>pirate</t>
  </si>
  <si>
    <t>buccaneer</t>
  </si>
  <si>
    <t>sea_robber</t>
  </si>
  <si>
    <t>sea_rover</t>
  </si>
  <si>
    <t>plagiarist</t>
  </si>
  <si>
    <t>plagiarizer</t>
  </si>
  <si>
    <t>plagiariser</t>
  </si>
  <si>
    <t>literary_pirate</t>
  </si>
  <si>
    <t>pis</t>
  </si>
  <si>
    <t>p i s</t>
  </si>
  <si>
    <t>apartment</t>
  </si>
  <si>
    <t>dwelling</t>
  </si>
  <si>
    <t>domicile</t>
  </si>
  <si>
    <t>abode</t>
  </si>
  <si>
    <t>habitation</t>
  </si>
  <si>
    <t>dwelling_house</t>
  </si>
  <si>
    <t>floor</t>
  </si>
  <si>
    <t>storey</t>
  </si>
  <si>
    <t>story</t>
  </si>
  <si>
    <t>piscina</t>
  </si>
  <si>
    <t>p i s i n a</t>
  </si>
  <si>
    <t>pisina</t>
  </si>
  <si>
    <t>swimming_pool</t>
  </si>
  <si>
    <t>swimming_bath</t>
  </si>
  <si>
    <t>natatorium</t>
  </si>
  <si>
    <t>pocket_bread</t>
  </si>
  <si>
    <t>agave</t>
  </si>
  <si>
    <t>century_plant</t>
  </si>
  <si>
    <t>American_aloe</t>
  </si>
  <si>
    <t>sisal</t>
  </si>
  <si>
    <t>sisal_hemp</t>
  </si>
  <si>
    <t>pixa</t>
  </si>
  <si>
    <t>p i ʃ a</t>
  </si>
  <si>
    <t>pisha</t>
  </si>
  <si>
    <t>cock</t>
  </si>
  <si>
    <t>dick</t>
  </si>
  <si>
    <t>shaft</t>
  </si>
  <si>
    <t>pecker</t>
  </si>
  <si>
    <t>peter</t>
  </si>
  <si>
    <t>tool</t>
  </si>
  <si>
    <t>putz</t>
  </si>
  <si>
    <t>pixar</t>
  </si>
  <si>
    <t>p i ʃ a ɾ</t>
  </si>
  <si>
    <t>pishar</t>
  </si>
  <si>
    <t>polar</t>
  </si>
  <si>
    <t>p u l a</t>
  </si>
  <si>
    <t>pula</t>
  </si>
  <si>
    <t>arctic</t>
  </si>
  <si>
    <t>frigid</t>
  </si>
  <si>
    <t>gelid</t>
  </si>
  <si>
    <t>glacial</t>
  </si>
  <si>
    <t>icy</t>
  </si>
  <si>
    <t>polir</t>
  </si>
  <si>
    <t>p u l i</t>
  </si>
  <si>
    <t>puli</t>
  </si>
  <si>
    <t>polish</t>
  </si>
  <si>
    <t>round</t>
  </si>
  <si>
    <t>round_off</t>
  </si>
  <si>
    <t>polish_up</t>
  </si>
  <si>
    <t>brush_up</t>
  </si>
  <si>
    <t>refine</t>
  </si>
  <si>
    <t>fine-tune</t>
  </si>
  <si>
    <t>down</t>
  </si>
  <si>
    <t>smooth</t>
  </si>
  <si>
    <t>smoothen</t>
  </si>
  <si>
    <t>shine</t>
  </si>
  <si>
    <t>burnish</t>
  </si>
  <si>
    <t>furbish</t>
  </si>
  <si>
    <t>rub</t>
  </si>
  <si>
    <t>fray</t>
  </si>
  <si>
    <t>fret</t>
  </si>
  <si>
    <t>chafe</t>
  </si>
  <si>
    <t>scratch</t>
  </si>
  <si>
    <t>pollinar</t>
  </si>
  <si>
    <t>p u ʎ i n a</t>
  </si>
  <si>
    <t>pullina</t>
  </si>
  <si>
    <t>foal</t>
  </si>
  <si>
    <t>pollí</t>
  </si>
  <si>
    <t>p u ʎ i</t>
  </si>
  <si>
    <t>pulli</t>
  </si>
  <si>
    <t>polític</t>
  </si>
  <si>
    <t>p u l i t i k</t>
  </si>
  <si>
    <t>pulitik</t>
  </si>
  <si>
    <t>political</t>
  </si>
  <si>
    <t>politician</t>
  </si>
  <si>
    <t>politico</t>
  </si>
  <si>
    <t>pol</t>
  </si>
  <si>
    <t>political_leader</t>
  </si>
  <si>
    <t>poruc</t>
  </si>
  <si>
    <t>p u ɾ u k</t>
  </si>
  <si>
    <t>puruk</t>
  </si>
  <si>
    <t>fearful</t>
  </si>
  <si>
    <t>cowardly</t>
  </si>
  <si>
    <t>chicken</t>
  </si>
  <si>
    <t>chickenhearted</t>
  </si>
  <si>
    <t>lily-livered</t>
  </si>
  <si>
    <t>white-livered</t>
  </si>
  <si>
    <t>yellow</t>
  </si>
  <si>
    <t>yellow-bellied</t>
  </si>
  <si>
    <t>faint</t>
  </si>
  <si>
    <t>fainthearted</t>
  </si>
  <si>
    <t>timid</t>
  </si>
  <si>
    <t>faint-hearted</t>
  </si>
  <si>
    <t>potassi</t>
  </si>
  <si>
    <t>p u t a s i</t>
  </si>
  <si>
    <t>putasi</t>
  </si>
  <si>
    <t>potassium</t>
  </si>
  <si>
    <t>atomic_number_19</t>
  </si>
  <si>
    <t>potàssic</t>
  </si>
  <si>
    <t>p u t a s i k</t>
  </si>
  <si>
    <t>putasik</t>
  </si>
  <si>
    <t>puc</t>
  </si>
  <si>
    <t>p u k</t>
  </si>
  <si>
    <t>puk</t>
  </si>
  <si>
    <t>puix</t>
  </si>
  <si>
    <t>p u ʃ</t>
  </si>
  <si>
    <t>puma</t>
  </si>
  <si>
    <t>p u m a</t>
  </si>
  <si>
    <t>cougar</t>
  </si>
  <si>
    <t>catamount</t>
  </si>
  <si>
    <t>mountain_lion</t>
  </si>
  <si>
    <t>painter</t>
  </si>
  <si>
    <t>panther</t>
  </si>
  <si>
    <t>Felis_concolor</t>
  </si>
  <si>
    <t>pumicita</t>
  </si>
  <si>
    <t>p u m i s i t a</t>
  </si>
  <si>
    <t>pumisita</t>
  </si>
  <si>
    <t>punir</t>
  </si>
  <si>
    <t>p u n i</t>
  </si>
  <si>
    <t>puni</t>
  </si>
  <si>
    <t>chastise</t>
  </si>
  <si>
    <t>castigate</t>
  </si>
  <si>
    <t>objurgate</t>
  </si>
  <si>
    <t>chasten</t>
  </si>
  <si>
    <t>correct</t>
  </si>
  <si>
    <t>punish</t>
  </si>
  <si>
    <t>penalize</t>
  </si>
  <si>
    <t>penalise</t>
  </si>
  <si>
    <t>p u n i ɾ</t>
  </si>
  <si>
    <t>punt</t>
  </si>
  <si>
    <t>p u n</t>
  </si>
  <si>
    <t>pun</t>
  </si>
  <si>
    <t>stitch</t>
  </si>
  <si>
    <t>point</t>
  </si>
  <si>
    <t>item</t>
  </si>
  <si>
    <t>dot</t>
  </si>
  <si>
    <t>dit</t>
  </si>
  <si>
    <t>period</t>
  </si>
  <si>
    <t>full_stop</t>
  </si>
  <si>
    <t>full_point</t>
  </si>
  <si>
    <t>touch</t>
  </si>
  <si>
    <t>trace</t>
  </si>
  <si>
    <t>ghost</t>
  </si>
  <si>
    <t>degree</t>
  </si>
  <si>
    <t>stage</t>
  </si>
  <si>
    <t>puny</t>
  </si>
  <si>
    <t>p u ɲ</t>
  </si>
  <si>
    <t>puñ</t>
  </si>
  <si>
    <t>basket_hilt</t>
  </si>
  <si>
    <t>wristband</t>
  </si>
  <si>
    <t>fist</t>
  </si>
  <si>
    <t>clenched_fist</t>
  </si>
  <si>
    <t>punyal</t>
  </si>
  <si>
    <t>p u ɲ a l</t>
  </si>
  <si>
    <t>puñal</t>
  </si>
  <si>
    <t>poniard</t>
  </si>
  <si>
    <t>bodkin</t>
  </si>
  <si>
    <t>punyir</t>
  </si>
  <si>
    <t>p u ɲ i</t>
  </si>
  <si>
    <t>puñi</t>
  </si>
  <si>
    <t>p u ɲ i ɾ</t>
  </si>
  <si>
    <t>puñir</t>
  </si>
  <si>
    <t>pupil</t>
  </si>
  <si>
    <t>p u p i l</t>
  </si>
  <si>
    <t>ward</t>
  </si>
  <si>
    <t>pur</t>
  </si>
  <si>
    <t>p u ɾ</t>
  </si>
  <si>
    <t>pure</t>
  </si>
  <si>
    <t>vestal</t>
  </si>
  <si>
    <t>virgin</t>
  </si>
  <si>
    <t>virginal</t>
  </si>
  <si>
    <t>virtuous</t>
  </si>
  <si>
    <t>unsullied</t>
  </si>
  <si>
    <t>homely</t>
  </si>
  <si>
    <t>literal</t>
  </si>
  <si>
    <t>unadulterated</t>
  </si>
  <si>
    <t>puritana</t>
  </si>
  <si>
    <t>p u ɾ i t a n a</t>
  </si>
  <si>
    <t>purità</t>
  </si>
  <si>
    <t>p u ɾ i t a</t>
  </si>
  <si>
    <t>purita</t>
  </si>
  <si>
    <t>puritanic</t>
  </si>
  <si>
    <t>puritanical</t>
  </si>
  <si>
    <t>prude</t>
  </si>
  <si>
    <t>puritan</t>
  </si>
  <si>
    <t>purí</t>
  </si>
  <si>
    <t>p u ɾ i</t>
  </si>
  <si>
    <t>puri</t>
  </si>
  <si>
    <t>puríssim</t>
  </si>
  <si>
    <t>p u ɾ i s i m</t>
  </si>
  <si>
    <t>purisim</t>
  </si>
  <si>
    <t>puríssima</t>
  </si>
  <si>
    <t>p u ɾ i s i m a</t>
  </si>
  <si>
    <t>purisima</t>
  </si>
  <si>
    <t>pus</t>
  </si>
  <si>
    <t>p u s</t>
  </si>
  <si>
    <t>purulence</t>
  </si>
  <si>
    <t>suppuration</t>
  </si>
  <si>
    <t>ichor</t>
  </si>
  <si>
    <t>sanies</t>
  </si>
  <si>
    <t>festering</t>
  </si>
  <si>
    <t>puta</t>
  </si>
  <si>
    <t>p u t a</t>
  </si>
  <si>
    <t>streetwalker</t>
  </si>
  <si>
    <t>street_girl</t>
  </si>
  <si>
    <t>hooker</t>
  </si>
  <si>
    <t>hustler</t>
  </si>
  <si>
    <t>floozy</t>
  </si>
  <si>
    <t>floozie</t>
  </si>
  <si>
    <t>slattern</t>
  </si>
  <si>
    <t>putana</t>
  </si>
  <si>
    <t>p u t a n a</t>
  </si>
  <si>
    <t>puça</t>
  </si>
  <si>
    <t>p u s a</t>
  </si>
  <si>
    <t>pusa</t>
  </si>
  <si>
    <t>flea</t>
  </si>
  <si>
    <t>pànic</t>
  </si>
  <si>
    <t>p a n i k</t>
  </si>
  <si>
    <t>panik</t>
  </si>
  <si>
    <t>panic</t>
  </si>
  <si>
    <t>terror</t>
  </si>
  <si>
    <t>affright</t>
  </si>
  <si>
    <t>scare</t>
  </si>
  <si>
    <t>quemaco</t>
  </si>
  <si>
    <t>k a m a k u</t>
  </si>
  <si>
    <t>kamaku</t>
  </si>
  <si>
    <t>qui</t>
  </si>
  <si>
    <t>quil</t>
  </si>
  <si>
    <t>k i l</t>
  </si>
  <si>
    <t>kil</t>
  </si>
  <si>
    <t>quilla</t>
  </si>
  <si>
    <t>k i ʎ a</t>
  </si>
  <si>
    <t>killa</t>
  </si>
  <si>
    <t>keel</t>
  </si>
  <si>
    <t>quilo</t>
  </si>
  <si>
    <t>k i l u</t>
  </si>
  <si>
    <t>kilu</t>
  </si>
  <si>
    <t>kilogram</t>
  </si>
  <si>
    <t>kg</t>
  </si>
  <si>
    <t>kilo</t>
  </si>
  <si>
    <t>quim</t>
  </si>
  <si>
    <t>k i m</t>
  </si>
  <si>
    <t>kim</t>
  </si>
  <si>
    <t>quin</t>
  </si>
  <si>
    <t>k i n</t>
  </si>
  <si>
    <t>kin</t>
  </si>
  <si>
    <t>quina</t>
  </si>
  <si>
    <t>k i n a</t>
  </si>
  <si>
    <t>kina</t>
  </si>
  <si>
    <t>cinchona</t>
  </si>
  <si>
    <t>cinchona_bark</t>
  </si>
  <si>
    <t>Peruvian_bark</t>
  </si>
  <si>
    <t>Jesuit's_bark</t>
  </si>
  <si>
    <t>quint</t>
  </si>
  <si>
    <t>quiquiriquic</t>
  </si>
  <si>
    <t>k i k i ɾ i k i k</t>
  </si>
  <si>
    <t>kikirikik</t>
  </si>
  <si>
    <t>cock-a-doodle-doo</t>
  </si>
  <si>
    <t>quissà</t>
  </si>
  <si>
    <t>k i s a</t>
  </si>
  <si>
    <t>kisa</t>
  </si>
  <si>
    <t>quita</t>
  </si>
  <si>
    <t>k i t a</t>
  </si>
  <si>
    <t>kita</t>
  </si>
  <si>
    <t>quitar</t>
  </si>
  <si>
    <t>k i t a ɾ</t>
  </si>
  <si>
    <t>kitar</t>
  </si>
  <si>
    <t>quitina</t>
  </si>
  <si>
    <t>k i t i n a</t>
  </si>
  <si>
    <t>kitina</t>
  </si>
  <si>
    <t>chitin</t>
  </si>
  <si>
    <t>quito</t>
  </si>
  <si>
    <t>k i t u</t>
  </si>
  <si>
    <t>kitu</t>
  </si>
  <si>
    <t>Quito</t>
  </si>
  <si>
    <t>capital_of_Ecuador</t>
  </si>
  <si>
    <t>químic</t>
  </si>
  <si>
    <t>k i m i k</t>
  </si>
  <si>
    <t>kimik</t>
  </si>
  <si>
    <t>chemical</t>
  </si>
  <si>
    <t>chemic</t>
  </si>
  <si>
    <t>chemist</t>
  </si>
  <si>
    <t>química</t>
  </si>
  <si>
    <t>k i m i k a</t>
  </si>
  <si>
    <t>kimika</t>
  </si>
  <si>
    <t>chemistry</t>
  </si>
  <si>
    <t>chemical_science</t>
  </si>
  <si>
    <t>interpersonal_chemistry</t>
  </si>
  <si>
    <t>alchemy</t>
  </si>
  <si>
    <t>sa</t>
  </si>
  <si>
    <t>s a</t>
  </si>
  <si>
    <t>healthy</t>
  </si>
  <si>
    <t>good</t>
  </si>
  <si>
    <t>sound</t>
  </si>
  <si>
    <t>sac</t>
  </si>
  <si>
    <t>s a k</t>
  </si>
  <si>
    <t>sak</t>
  </si>
  <si>
    <t>bag</t>
  </si>
  <si>
    <t>bagful</t>
  </si>
  <si>
    <t>sackful</t>
  </si>
  <si>
    <t>sacarina</t>
  </si>
  <si>
    <t>s a k a ɾ i n a</t>
  </si>
  <si>
    <t>sakarina</t>
  </si>
  <si>
    <t>saccharin</t>
  </si>
  <si>
    <t>sacarí</t>
  </si>
  <si>
    <t>s a k a ɾ i</t>
  </si>
  <si>
    <t>sakari</t>
  </si>
  <si>
    <t>sakhà</t>
  </si>
  <si>
    <t>s a k a</t>
  </si>
  <si>
    <t>saka</t>
  </si>
  <si>
    <t>sal</t>
  </si>
  <si>
    <t>s a l</t>
  </si>
  <si>
    <t>gracefulness</t>
  </si>
  <si>
    <t>grace</t>
  </si>
  <si>
    <t>gracility</t>
  </si>
  <si>
    <t>salt</t>
  </si>
  <si>
    <t>table_salt</t>
  </si>
  <si>
    <t>common_salt</t>
  </si>
  <si>
    <t>sala</t>
  </si>
  <si>
    <t>s a l a</t>
  </si>
  <si>
    <t>common_room</t>
  </si>
  <si>
    <t>living_room</t>
  </si>
  <si>
    <t>living-room</t>
  </si>
  <si>
    <t>sitting_room</t>
  </si>
  <si>
    <t>front_room</t>
  </si>
  <si>
    <t>parlor</t>
  </si>
  <si>
    <t>parlour</t>
  </si>
  <si>
    <t>hospital_ward</t>
  </si>
  <si>
    <t>livingroom_suite</t>
  </si>
  <si>
    <t>livingroom_set</t>
  </si>
  <si>
    <t>salami</t>
  </si>
  <si>
    <t>s a l a m i</t>
  </si>
  <si>
    <t>salar</t>
  </si>
  <si>
    <t>s a l a ɾ</t>
  </si>
  <si>
    <t>salinate</t>
  </si>
  <si>
    <t>salari</t>
  </si>
  <si>
    <t>s a l a ɾ i</t>
  </si>
  <si>
    <t>wage</t>
  </si>
  <si>
    <t>pay</t>
  </si>
  <si>
    <t>earnings</t>
  </si>
  <si>
    <t>remuneration</t>
  </si>
  <si>
    <t>salary</t>
  </si>
  <si>
    <t>salina</t>
  </si>
  <si>
    <t>s a l i n a</t>
  </si>
  <si>
    <t>salt_mine</t>
  </si>
  <si>
    <t>saltworks</t>
  </si>
  <si>
    <t>saltpan</t>
  </si>
  <si>
    <t>salo</t>
  </si>
  <si>
    <t>s a l u</t>
  </si>
  <si>
    <t>salu</t>
  </si>
  <si>
    <t>jump</t>
  </si>
  <si>
    <t>jumping</t>
  </si>
  <si>
    <t>hop</t>
  </si>
  <si>
    <t>leap</t>
  </si>
  <si>
    <t>leaping</t>
  </si>
  <si>
    <t>spring</t>
  </si>
  <si>
    <t>saltation</t>
  </si>
  <si>
    <t>bounce</t>
  </si>
  <si>
    <t>vault</t>
  </si>
  <si>
    <t>hurdle</t>
  </si>
  <si>
    <t>samari</t>
  </si>
  <si>
    <t>s a m a ɾ i</t>
  </si>
  <si>
    <t>samarium</t>
  </si>
  <si>
    <t>Sm</t>
  </si>
  <si>
    <t>atomic_number_62</t>
  </si>
  <si>
    <t>san</t>
  </si>
  <si>
    <t>s a n</t>
  </si>
  <si>
    <t>sana</t>
  </si>
  <si>
    <t>s a n a</t>
  </si>
  <si>
    <t>sanitari</t>
  </si>
  <si>
    <t>s a n i t a ɾ i</t>
  </si>
  <si>
    <t>health_professional</t>
  </si>
  <si>
    <t>primary_care_provider</t>
  </si>
  <si>
    <t>PCP</t>
  </si>
  <si>
    <t>health_care_provider</t>
  </si>
  <si>
    <t>caregiver</t>
  </si>
  <si>
    <t>sanícula</t>
  </si>
  <si>
    <t>s a n i k u l a</t>
  </si>
  <si>
    <t>sanikula</t>
  </si>
  <si>
    <t>sap</t>
  </si>
  <si>
    <t>s a p</t>
  </si>
  <si>
    <t>saqui</t>
  </si>
  <si>
    <t>s a k i</t>
  </si>
  <si>
    <t>saki</t>
  </si>
  <si>
    <t>satura</t>
  </si>
  <si>
    <t>s a t u ɾ a</t>
  </si>
  <si>
    <t>saturar</t>
  </si>
  <si>
    <t>s a t u ɾ a ɾ</t>
  </si>
  <si>
    <t>saturi</t>
  </si>
  <si>
    <t>s a t u ɾ i</t>
  </si>
  <si>
    <t>saturis</t>
  </si>
  <si>
    <t>s a t u ɾ i s</t>
  </si>
  <si>
    <t>satànic</t>
  </si>
  <si>
    <t>s a t a n i k</t>
  </si>
  <si>
    <t>satanik</t>
  </si>
  <si>
    <t>satíric</t>
  </si>
  <si>
    <t>s a t i ɾ i k</t>
  </si>
  <si>
    <t>satirik</t>
  </si>
  <si>
    <t>satirist</t>
  </si>
  <si>
    <t>ironist</t>
  </si>
  <si>
    <t>ridiculer</t>
  </si>
  <si>
    <t>uterus</t>
  </si>
  <si>
    <t>womb</t>
  </si>
  <si>
    <t>te</t>
  </si>
  <si>
    <t>silicon</t>
  </si>
  <si>
    <t>Si</t>
  </si>
  <si>
    <t>atomic_number_14</t>
  </si>
  <si>
    <t>silici</t>
  </si>
  <si>
    <t>simi</t>
  </si>
  <si>
    <t>s i m i</t>
  </si>
  <si>
    <t>simian</t>
  </si>
  <si>
    <t>similar</t>
  </si>
  <si>
    <t>s i m i l a</t>
  </si>
  <si>
    <t>simila</t>
  </si>
  <si>
    <t>suchlike</t>
  </si>
  <si>
    <t>alike</t>
  </si>
  <si>
    <t>like</t>
  </si>
  <si>
    <t>s i m i l a ɾ</t>
  </si>
  <si>
    <t>simular</t>
  </si>
  <si>
    <t>s i m u l a</t>
  </si>
  <si>
    <t>simula</t>
  </si>
  <si>
    <t>act</t>
  </si>
  <si>
    <t>play</t>
  </si>
  <si>
    <t>act_as</t>
  </si>
  <si>
    <t>feign</t>
  </si>
  <si>
    <t>sham</t>
  </si>
  <si>
    <t>pretend</t>
  </si>
  <si>
    <t>affect</t>
  </si>
  <si>
    <t>dissemble</t>
  </si>
  <si>
    <t>s i m u l a ɾ</t>
  </si>
  <si>
    <t>s i n u s</t>
  </si>
  <si>
    <t>sine</t>
  </si>
  <si>
    <t>sis</t>
  </si>
  <si>
    <t>s i s</t>
  </si>
  <si>
    <t>six</t>
  </si>
  <si>
    <t>vi</t>
  </si>
  <si>
    <t>half_dozen</t>
  </si>
  <si>
    <t>half-dozen</t>
  </si>
  <si>
    <t>VI</t>
  </si>
  <si>
    <t>sixer</t>
  </si>
  <si>
    <t>sise</t>
  </si>
  <si>
    <t>Captain_Hicks</t>
  </si>
  <si>
    <t>half_a_dozen</t>
  </si>
  <si>
    <t>sextet</t>
  </si>
  <si>
    <t>sestet</t>
  </si>
  <si>
    <t>sextuplet</t>
  </si>
  <si>
    <t>hexad</t>
  </si>
  <si>
    <t>siti</t>
  </si>
  <si>
    <t>s i t i</t>
  </si>
  <si>
    <t>solar</t>
  </si>
  <si>
    <t>s u l a</t>
  </si>
  <si>
    <t>sula</t>
  </si>
  <si>
    <t>solitari</t>
  </si>
  <si>
    <t>s u l i t a ɾ i</t>
  </si>
  <si>
    <t>sulitari</t>
  </si>
  <si>
    <t>solitaire</t>
  </si>
  <si>
    <t>patience</t>
  </si>
  <si>
    <t>lonely</t>
  </si>
  <si>
    <t>solitary</t>
  </si>
  <si>
    <t>unfrequented</t>
  </si>
  <si>
    <t>cloistered</t>
  </si>
  <si>
    <t>reclusive</t>
  </si>
  <si>
    <t>secluded</t>
  </si>
  <si>
    <t>sequestered</t>
  </si>
  <si>
    <t>taenia</t>
  </si>
  <si>
    <t>lone</t>
  </si>
  <si>
    <t>lonesome</t>
  </si>
  <si>
    <t>only</t>
  </si>
  <si>
    <t>sole</t>
  </si>
  <si>
    <t>loner</t>
  </si>
  <si>
    <t>lone_wolf</t>
  </si>
  <si>
    <t>lone_hand</t>
  </si>
  <si>
    <t>sollar</t>
  </si>
  <si>
    <t>s u ʎ a</t>
  </si>
  <si>
    <t>sulla</t>
  </si>
  <si>
    <t>dirty</t>
  </si>
  <si>
    <t>soil</t>
  </si>
  <si>
    <t>begrime</t>
  </si>
  <si>
    <t>grime</t>
  </si>
  <si>
    <t>colly</t>
  </si>
  <si>
    <t>bemire</t>
  </si>
  <si>
    <t>defile</t>
  </si>
  <si>
    <t>sully</t>
  </si>
  <si>
    <t>corrupt</t>
  </si>
  <si>
    <t>taint</t>
  </si>
  <si>
    <t>cloud</t>
  </si>
  <si>
    <t>solà</t>
  </si>
  <si>
    <t>somic</t>
  </si>
  <si>
    <t>s u m i k</t>
  </si>
  <si>
    <t>sumik</t>
  </si>
  <si>
    <t>somicar</t>
  </si>
  <si>
    <t>s u m i k a</t>
  </si>
  <si>
    <t>sumika</t>
  </si>
  <si>
    <t>blubber</t>
  </si>
  <si>
    <t>blubber_out</t>
  </si>
  <si>
    <t>somàtic</t>
  </si>
  <si>
    <t>s u m a t i k</t>
  </si>
  <si>
    <t>sumatik</t>
  </si>
  <si>
    <t>bodily</t>
  </si>
  <si>
    <t>corporal</t>
  </si>
  <si>
    <t>corporeal</t>
  </si>
  <si>
    <t>somatic</t>
  </si>
  <si>
    <t>sonall</t>
  </si>
  <si>
    <t>s u n a ʎ</t>
  </si>
  <si>
    <t>sunall</t>
  </si>
  <si>
    <t>sonar</t>
  </si>
  <si>
    <t>s u n a</t>
  </si>
  <si>
    <t>suna</t>
  </si>
  <si>
    <t>ring</t>
  </si>
  <si>
    <t>peal</t>
  </si>
  <si>
    <t>ding</t>
  </si>
  <si>
    <t>dong</t>
  </si>
  <si>
    <t>dingdong</t>
  </si>
  <si>
    <t>knell</t>
  </si>
  <si>
    <t>toll</t>
  </si>
  <si>
    <t>honk</t>
  </si>
  <si>
    <t>blare</t>
  </si>
  <si>
    <t>beep</t>
  </si>
  <si>
    <t>claxon</t>
  </si>
  <si>
    <t>toot</t>
  </si>
  <si>
    <t>echo</t>
  </si>
  <si>
    <t>recall</t>
  </si>
  <si>
    <t>echo_sounder</t>
  </si>
  <si>
    <t>asdic</t>
  </si>
  <si>
    <t>sopar</t>
  </si>
  <si>
    <t>s u p a</t>
  </si>
  <si>
    <t>supa</t>
  </si>
  <si>
    <t>dining</t>
  </si>
  <si>
    <t>dine</t>
  </si>
  <si>
    <t>dinner</t>
  </si>
  <si>
    <t>dinner_party</t>
  </si>
  <si>
    <t>sopà</t>
  </si>
  <si>
    <t>sotal</t>
  </si>
  <si>
    <t>s u t a l</t>
  </si>
  <si>
    <t>sutal</t>
  </si>
  <si>
    <t>glen</t>
  </si>
  <si>
    <t>suc</t>
  </si>
  <si>
    <t>s u k</t>
  </si>
  <si>
    <t>juice</t>
  </si>
  <si>
    <t>fruit_juice</t>
  </si>
  <si>
    <t>fruit_crush</t>
  </si>
  <si>
    <t>sucar</t>
  </si>
  <si>
    <t>s u k a</t>
  </si>
  <si>
    <t>suka</t>
  </si>
  <si>
    <t>s u k a ɾ</t>
  </si>
  <si>
    <t>sukar</t>
  </si>
  <si>
    <t>suma</t>
  </si>
  <si>
    <t>s u m a</t>
  </si>
  <si>
    <t>summation</t>
  </si>
  <si>
    <t>addition</t>
  </si>
  <si>
    <t>plus</t>
  </si>
  <si>
    <t>sum</t>
  </si>
  <si>
    <t>amount</t>
  </si>
  <si>
    <t>total</t>
  </si>
  <si>
    <t>sum_total</t>
  </si>
  <si>
    <t>sum_of_money</t>
  </si>
  <si>
    <t>amount_of_money</t>
  </si>
  <si>
    <t>sumac</t>
  </si>
  <si>
    <t>s u m a k</t>
  </si>
  <si>
    <t>sumak</t>
  </si>
  <si>
    <t>sumach</t>
  </si>
  <si>
    <t>shumac</t>
  </si>
  <si>
    <t>sumar</t>
  </si>
  <si>
    <t>add_on</t>
  </si>
  <si>
    <t>add</t>
  </si>
  <si>
    <t>add_together</t>
  </si>
  <si>
    <t>tot</t>
  </si>
  <si>
    <t>tot_up</t>
  </si>
  <si>
    <t>sum_up</t>
  </si>
  <si>
    <t>summate</t>
  </si>
  <si>
    <t>tote_up</t>
  </si>
  <si>
    <t>tally</t>
  </si>
  <si>
    <t>add_up</t>
  </si>
  <si>
    <t>number</t>
  </si>
  <si>
    <t>come</t>
  </si>
  <si>
    <t>s u m a ɾ</t>
  </si>
  <si>
    <t>sumari</t>
  </si>
  <si>
    <t>s u m a ɾ i</t>
  </si>
  <si>
    <t>summary</t>
  </si>
  <si>
    <t>sum-up</t>
  </si>
  <si>
    <t>supina</t>
  </si>
  <si>
    <t>s u p i n a</t>
  </si>
  <si>
    <t>supí</t>
  </si>
  <si>
    <t>s u p i</t>
  </si>
  <si>
    <t>supi</t>
  </si>
  <si>
    <t>sura</t>
  </si>
  <si>
    <t>s u ɾ a</t>
  </si>
  <si>
    <t>surar</t>
  </si>
  <si>
    <t>float</t>
  </si>
  <si>
    <t>drift</t>
  </si>
  <si>
    <t>be_adrift</t>
  </si>
  <si>
    <t>blow</t>
  </si>
  <si>
    <t>swim</t>
  </si>
  <si>
    <t>hover</t>
  </si>
  <si>
    <t>thrive</t>
  </si>
  <si>
    <t>prosper</t>
  </si>
  <si>
    <t>fly_high</t>
  </si>
  <si>
    <t>flourish</t>
  </si>
  <si>
    <t>linger</t>
  </si>
  <si>
    <t>s u ɾ a ɾ</t>
  </si>
  <si>
    <t>surinam</t>
  </si>
  <si>
    <t>s u ɾ i n a m</t>
  </si>
  <si>
    <t>suro</t>
  </si>
  <si>
    <t>s u ɾ u</t>
  </si>
  <si>
    <t>suru</t>
  </si>
  <si>
    <t>cork</t>
  </si>
  <si>
    <t>surolí</t>
  </si>
  <si>
    <t>s u ɾ u l i</t>
  </si>
  <si>
    <t>suruli</t>
  </si>
  <si>
    <t>suscitar</t>
  </si>
  <si>
    <t>s u s i t a</t>
  </si>
  <si>
    <t>susita</t>
  </si>
  <si>
    <t>s u s i t a ɾ</t>
  </si>
  <si>
    <t>susitar</t>
  </si>
  <si>
    <t>sutura</t>
  </si>
  <si>
    <t>s u t u ɾ a</t>
  </si>
  <si>
    <t>suturing</t>
  </si>
  <si>
    <t>suture</t>
  </si>
  <si>
    <t>surgical_seam</t>
  </si>
  <si>
    <t>fibrous_joint</t>
  </si>
  <si>
    <t>suturar</t>
  </si>
  <si>
    <t>s u t u ɾ a ɾ</t>
  </si>
  <si>
    <t>sàlic</t>
  </si>
  <si>
    <t>s a l i k</t>
  </si>
  <si>
    <t>salik</t>
  </si>
  <si>
    <t>sàtir</t>
  </si>
  <si>
    <t>s a t i</t>
  </si>
  <si>
    <t>sati</t>
  </si>
  <si>
    <t>satyr</t>
  </si>
  <si>
    <t>forest_god</t>
  </si>
  <si>
    <t>lecher</t>
  </si>
  <si>
    <t>lech</t>
  </si>
  <si>
    <t>letch</t>
  </si>
  <si>
    <t>s a t i ɾ</t>
  </si>
  <si>
    <t>satir</t>
  </si>
  <si>
    <t>sàtira</t>
  </si>
  <si>
    <t>s a t i ɾ a</t>
  </si>
  <si>
    <t>satira</t>
  </si>
  <si>
    <t>sarcasm</t>
  </si>
  <si>
    <t>irony</t>
  </si>
  <si>
    <t>satire</t>
  </si>
  <si>
    <t>caustic_remark</t>
  </si>
  <si>
    <t>sí</t>
  </si>
  <si>
    <t>yes</t>
  </si>
  <si>
    <t>símil</t>
  </si>
  <si>
    <t>s i m i l</t>
  </si>
  <si>
    <t>simil</t>
  </si>
  <si>
    <t>simile</t>
  </si>
  <si>
    <t>símila</t>
  </si>
  <si>
    <t>súcub</t>
  </si>
  <si>
    <t>s u k u p</t>
  </si>
  <si>
    <t>sukup</t>
  </si>
  <si>
    <t>taca</t>
  </si>
  <si>
    <t>t a k a</t>
  </si>
  <si>
    <t>taka</t>
  </si>
  <si>
    <t>speckle</t>
  </si>
  <si>
    <t>dapple</t>
  </si>
  <si>
    <t>patch</t>
  </si>
  <si>
    <t>maculation</t>
  </si>
  <si>
    <t>smudge</t>
  </si>
  <si>
    <t>daub</t>
  </si>
  <si>
    <t>slur</t>
  </si>
  <si>
    <t>stigma</t>
  </si>
  <si>
    <t>brand</t>
  </si>
  <si>
    <t>sunspot</t>
  </si>
  <si>
    <t>macula</t>
  </si>
  <si>
    <t>tacar</t>
  </si>
  <si>
    <t>t a k a ɾ</t>
  </si>
  <si>
    <t>takar</t>
  </si>
  <si>
    <t>foul</t>
  </si>
  <si>
    <t>befoul</t>
  </si>
  <si>
    <t>maculate</t>
  </si>
  <si>
    <t>blur</t>
  </si>
  <si>
    <t>smutch</t>
  </si>
  <si>
    <t>blob</t>
  </si>
  <si>
    <t>taco</t>
  </si>
  <si>
    <t>t a k u</t>
  </si>
  <si>
    <t>taku</t>
  </si>
  <si>
    <t>tacà</t>
  </si>
  <si>
    <t>tal</t>
  </si>
  <si>
    <t>t a l</t>
  </si>
  <si>
    <t>such</t>
  </si>
  <si>
    <t>tala</t>
  </si>
  <si>
    <t>t a l a</t>
  </si>
  <si>
    <t>talaia</t>
  </si>
  <si>
    <t>t a l a j a</t>
  </si>
  <si>
    <t>talaya</t>
  </si>
  <si>
    <t>watchtower</t>
  </si>
  <si>
    <t>lookout</t>
  </si>
  <si>
    <t>observation_post</t>
  </si>
  <si>
    <t>vantage_point</t>
  </si>
  <si>
    <t>viewpoint</t>
  </si>
  <si>
    <t>talar</t>
  </si>
  <si>
    <t>t a l a ɾ</t>
  </si>
  <si>
    <t>t a ʎ</t>
  </si>
  <si>
    <t>cutting</t>
  </si>
  <si>
    <t>cutting_off</t>
  </si>
  <si>
    <t>vermillion_rockfish</t>
  </si>
  <si>
    <t>rasher</t>
  </si>
  <si>
    <t>Sebastodes_miniatus</t>
  </si>
  <si>
    <t>gash</t>
  </si>
  <si>
    <t>knife_edge</t>
  </si>
  <si>
    <t>cutting_edge</t>
  </si>
  <si>
    <t>dent</t>
  </si>
  <si>
    <t>gouge</t>
  </si>
  <si>
    <t>nick</t>
  </si>
  <si>
    <t>haircut</t>
  </si>
  <si>
    <t>deletion</t>
  </si>
  <si>
    <t>excision</t>
  </si>
  <si>
    <t>slice</t>
  </si>
  <si>
    <t>chap</t>
  </si>
  <si>
    <t>slash</t>
  </si>
  <si>
    <t>tallar</t>
  </si>
  <si>
    <t>t a ʎ a ɾ</t>
  </si>
  <si>
    <t>edit</t>
  </si>
  <si>
    <t>redact</t>
  </si>
  <si>
    <t>cut_up</t>
  </si>
  <si>
    <t>reduce</t>
  </si>
  <si>
    <t>cut_down</t>
  </si>
  <si>
    <t>trim_down</t>
  </si>
  <si>
    <t>trim_back</t>
  </si>
  <si>
    <t>blockade</t>
  </si>
  <si>
    <t>block_off</t>
  </si>
  <si>
    <t>shave</t>
  </si>
  <si>
    <t>carve</t>
  </si>
  <si>
    <t>chip_at</t>
  </si>
  <si>
    <t>nip</t>
  </si>
  <si>
    <t>nip_off</t>
  </si>
  <si>
    <t>snip</t>
  </si>
  <si>
    <t>snip_off</t>
  </si>
  <si>
    <t>cleave</t>
  </si>
  <si>
    <t>split</t>
  </si>
  <si>
    <t>rive</t>
  </si>
  <si>
    <t>break</t>
  </si>
  <si>
    <t>break_away</t>
  </si>
  <si>
    <t>tallarina</t>
  </si>
  <si>
    <t>t a ʎ a ɾ i n a</t>
  </si>
  <si>
    <t>tagliatelle</t>
  </si>
  <si>
    <t>tan</t>
  </si>
  <si>
    <t>t a n</t>
  </si>
  <si>
    <t>tant</t>
  </si>
  <si>
    <t>tany</t>
  </si>
  <si>
    <t>t a ɲ</t>
  </si>
  <si>
    <t>tañ</t>
  </si>
  <si>
    <t>taní</t>
  </si>
  <si>
    <t>t a n i</t>
  </si>
  <si>
    <t>tani</t>
  </si>
  <si>
    <t>tannin</t>
  </si>
  <si>
    <t>tannic_acid</t>
  </si>
  <si>
    <t>tap</t>
  </si>
  <si>
    <t>t a p</t>
  </si>
  <si>
    <t>plug</t>
  </si>
  <si>
    <t>stopper</t>
  </si>
  <si>
    <t>stopple</t>
  </si>
  <si>
    <t>runt</t>
  </si>
  <si>
    <t>shrimp</t>
  </si>
  <si>
    <t>peewee</t>
  </si>
  <si>
    <t>half-pint</t>
  </si>
  <si>
    <t>tapa</t>
  </si>
  <si>
    <t>t a p a</t>
  </si>
  <si>
    <t>cover</t>
  </si>
  <si>
    <t>appetizer</t>
  </si>
  <si>
    <t>appetiser</t>
  </si>
  <si>
    <t>starter</t>
  </si>
  <si>
    <t>tapa_bark</t>
  </si>
  <si>
    <t>tappa</t>
  </si>
  <si>
    <t>tappa_bark</t>
  </si>
  <si>
    <t>tapar</t>
  </si>
  <si>
    <t>t a p a ɾ</t>
  </si>
  <si>
    <t>stop_up</t>
  </si>
  <si>
    <t>secure</t>
  </si>
  <si>
    <t>hide</t>
  </si>
  <si>
    <t>conceal</t>
  </si>
  <si>
    <t>hide_out</t>
  </si>
  <si>
    <t>hold_back</t>
  </si>
  <si>
    <t>tapir</t>
  </si>
  <si>
    <t>t a p i ɾ</t>
  </si>
  <si>
    <t>tapís</t>
  </si>
  <si>
    <t>t a p i s</t>
  </si>
  <si>
    <t>tapis</t>
  </si>
  <si>
    <t>tapestry</t>
  </si>
  <si>
    <t>arras</t>
  </si>
  <si>
    <t>taquilla</t>
  </si>
  <si>
    <t>t a k i ʎ a</t>
  </si>
  <si>
    <t>takilla</t>
  </si>
  <si>
    <t>box_office</t>
  </si>
  <si>
    <t>ticket_office</t>
  </si>
  <si>
    <t>ticket_booth</t>
  </si>
  <si>
    <t>ticket_window</t>
  </si>
  <si>
    <t>tara</t>
  </si>
  <si>
    <t>t a ɾ a</t>
  </si>
  <si>
    <t>fault</t>
  </si>
  <si>
    <t>flaw</t>
  </si>
  <si>
    <t>tarima</t>
  </si>
  <si>
    <t>t a ɾ i m a</t>
  </si>
  <si>
    <t>dais</t>
  </si>
  <si>
    <t>podium</t>
  </si>
  <si>
    <t>pulpit</t>
  </si>
  <si>
    <t>rostrum</t>
  </si>
  <si>
    <t>ambo</t>
  </si>
  <si>
    <t>stump</t>
  </si>
  <si>
    <t>soapbox</t>
  </si>
  <si>
    <t>platform</t>
  </si>
  <si>
    <t>tassa</t>
  </si>
  <si>
    <t>t a s a</t>
  </si>
  <si>
    <t>tasa</t>
  </si>
  <si>
    <t>cup</t>
  </si>
  <si>
    <t>tic</t>
  </si>
  <si>
    <t>t i k</t>
  </si>
  <si>
    <t>tim</t>
  </si>
  <si>
    <t>t i m</t>
  </si>
  <si>
    <t>thymus_gland</t>
  </si>
  <si>
    <t>thymus</t>
  </si>
  <si>
    <t>clique</t>
  </si>
  <si>
    <t>coterie</t>
  </si>
  <si>
    <t>ingroup</t>
  </si>
  <si>
    <t>inner_circle</t>
  </si>
  <si>
    <t>tinamú</t>
  </si>
  <si>
    <t>t i n a m u</t>
  </si>
  <si>
    <t>tinamu</t>
  </si>
  <si>
    <t>tinya</t>
  </si>
  <si>
    <t>t i ɲ a</t>
  </si>
  <si>
    <t>tiña</t>
  </si>
  <si>
    <t>tinea</t>
  </si>
  <si>
    <t>ringworm</t>
  </si>
  <si>
    <t>roundworm</t>
  </si>
  <si>
    <t>repletion</t>
  </si>
  <si>
    <t>surfeit</t>
  </si>
  <si>
    <t>disgusted</t>
  </si>
  <si>
    <t>fed_up</t>
  </si>
  <si>
    <t>sick</t>
  </si>
  <si>
    <t>sick_of</t>
  </si>
  <si>
    <t>tired_of</t>
  </si>
  <si>
    <t>full</t>
  </si>
  <si>
    <t>replete</t>
  </si>
  <si>
    <t>bellyful</t>
  </si>
  <si>
    <t>satiety</t>
  </si>
  <si>
    <t>satiation</t>
  </si>
  <si>
    <t>tipus</t>
  </si>
  <si>
    <t>t i p u s</t>
  </si>
  <si>
    <t>type</t>
  </si>
  <si>
    <t>kind</t>
  </si>
  <si>
    <t>sort</t>
  </si>
  <si>
    <t>variety</t>
  </si>
  <si>
    <t>character</t>
  </si>
  <si>
    <t>eccentric</t>
  </si>
  <si>
    <t>tira</t>
  </si>
  <si>
    <t>t i ɾ a</t>
  </si>
  <si>
    <t>band</t>
  </si>
  <si>
    <t>banding</t>
  </si>
  <si>
    <t>stripe</t>
  </si>
  <si>
    <t>strip</t>
  </si>
  <si>
    <t>tirant</t>
  </si>
  <si>
    <t>t i ɾ a n</t>
  </si>
  <si>
    <t>tiran</t>
  </si>
  <si>
    <t>tirar</t>
  </si>
  <si>
    <t>mail</t>
  </si>
  <si>
    <t>send</t>
  </si>
  <si>
    <t>shoot</t>
  </si>
  <si>
    <t>flip</t>
  </si>
  <si>
    <t>send_out</t>
  </si>
  <si>
    <t>pull</t>
  </si>
  <si>
    <t>force</t>
  </si>
  <si>
    <t>twitch</t>
  </si>
  <si>
    <t>cart</t>
  </si>
  <si>
    <t>haul</t>
  </si>
  <si>
    <t>drag</t>
  </si>
  <si>
    <t>hale</t>
  </si>
  <si>
    <t>eject</t>
  </si>
  <si>
    <t>chuck_out</t>
  </si>
  <si>
    <t>exclude</t>
  </si>
  <si>
    <t>turf_out</t>
  </si>
  <si>
    <t>boot_out</t>
  </si>
  <si>
    <t>turn_out</t>
  </si>
  <si>
    <t>heave</t>
  </si>
  <si>
    <t>toss</t>
  </si>
  <si>
    <t>flick</t>
  </si>
  <si>
    <t>pour</t>
  </si>
  <si>
    <t>t i ɾ a ɾ</t>
  </si>
  <si>
    <t>tiro</t>
  </si>
  <si>
    <t>t i ɾ u</t>
  </si>
  <si>
    <t>tiru</t>
  </si>
  <si>
    <t>tirà</t>
  </si>
  <si>
    <t>authoritarian</t>
  </si>
  <si>
    <t>dictator</t>
  </si>
  <si>
    <t>tyrant</t>
  </si>
  <si>
    <t>autocrat</t>
  </si>
  <si>
    <t>despot</t>
  </si>
  <si>
    <t>tirànic</t>
  </si>
  <si>
    <t>t i ɾ a n i k</t>
  </si>
  <si>
    <t>tiranik</t>
  </si>
  <si>
    <t>tita</t>
  </si>
  <si>
    <t>t i t a</t>
  </si>
  <si>
    <t>titani</t>
  </si>
  <si>
    <t>t i t a n i</t>
  </si>
  <si>
    <t>titanium</t>
  </si>
  <si>
    <t>Ti</t>
  </si>
  <si>
    <t>atomic_number_22</t>
  </si>
  <si>
    <t>titula</t>
  </si>
  <si>
    <t>t i t u l a</t>
  </si>
  <si>
    <t>titular</t>
  </si>
  <si>
    <t>headline</t>
  </si>
  <si>
    <t>newspaper_headline</t>
  </si>
  <si>
    <t>full_professor</t>
  </si>
  <si>
    <t>incumbent</t>
  </si>
  <si>
    <t>officeholder</t>
  </si>
  <si>
    <t>t i t u l a ɾ</t>
  </si>
  <si>
    <t>titulo</t>
  </si>
  <si>
    <t>t i t u l u</t>
  </si>
  <si>
    <t>titulu</t>
  </si>
  <si>
    <t>tità</t>
  </si>
  <si>
    <t>Titan</t>
  </si>
  <si>
    <t>colossus</t>
  </si>
  <si>
    <t>behemoth</t>
  </si>
  <si>
    <t>goliath</t>
  </si>
  <si>
    <t>monster</t>
  </si>
  <si>
    <t>tití</t>
  </si>
  <si>
    <t>t i t i</t>
  </si>
  <si>
    <t>titi</t>
  </si>
  <si>
    <t>titi_monkey</t>
  </si>
  <si>
    <t>tocar</t>
  </si>
  <si>
    <t>t u k a</t>
  </si>
  <si>
    <t>tuka</t>
  </si>
  <si>
    <t>allude</t>
  </si>
  <si>
    <t>attach</t>
  </si>
  <si>
    <t>roleplay</t>
  </si>
  <si>
    <t>playact</t>
  </si>
  <si>
    <t>spiel</t>
  </si>
  <si>
    <t>resound</t>
  </si>
  <si>
    <t>reverberate</t>
  </si>
  <si>
    <t>fall</t>
  </si>
  <si>
    <t>extend_to</t>
  </si>
  <si>
    <t>tocà</t>
  </si>
  <si>
    <t>tomàs</t>
  </si>
  <si>
    <t>t u m a s</t>
  </si>
  <si>
    <t>tumas</t>
  </si>
  <si>
    <t>topall</t>
  </si>
  <si>
    <t>t u p a ʎ</t>
  </si>
  <si>
    <t>tupall</t>
  </si>
  <si>
    <t>topar</t>
  </si>
  <si>
    <t>t u p a</t>
  </si>
  <si>
    <t>tupa</t>
  </si>
  <si>
    <t>bunt</t>
  </si>
  <si>
    <t>crash</t>
  </si>
  <si>
    <t>break_apart</t>
  </si>
  <si>
    <t>come_to</t>
  </si>
  <si>
    <t>clash</t>
  </si>
  <si>
    <t>jar</t>
  </si>
  <si>
    <t>collide</t>
  </si>
  <si>
    <t>topí</t>
  </si>
  <si>
    <t>t u p i</t>
  </si>
  <si>
    <t>tupi</t>
  </si>
  <si>
    <t>torà</t>
  </si>
  <si>
    <t>t u ɾ a</t>
  </si>
  <si>
    <t>tura</t>
  </si>
  <si>
    <t>toràcic</t>
  </si>
  <si>
    <t>t u ɾ a s i k</t>
  </si>
  <si>
    <t>turasik</t>
  </si>
  <si>
    <t>torí</t>
  </si>
  <si>
    <t>t u ɾ i</t>
  </si>
  <si>
    <t>turi</t>
  </si>
  <si>
    <t>tossal</t>
  </si>
  <si>
    <t>t u s a l</t>
  </si>
  <si>
    <t>tusal</t>
  </si>
  <si>
    <t>hill</t>
  </si>
  <si>
    <t>tossir</t>
  </si>
  <si>
    <t>t u s i</t>
  </si>
  <si>
    <t>tusi</t>
  </si>
  <si>
    <t>cough</t>
  </si>
  <si>
    <t>t u t a l</t>
  </si>
  <si>
    <t>tutal</t>
  </si>
  <si>
    <t>absolute</t>
  </si>
  <si>
    <t>entire</t>
  </si>
  <si>
    <t>hearty</t>
  </si>
  <si>
    <t>unqualified</t>
  </si>
  <si>
    <t>outright</t>
  </si>
  <si>
    <t>straight-out</t>
  </si>
  <si>
    <t>unlimited</t>
  </si>
  <si>
    <t>heart-whole</t>
  </si>
  <si>
    <t>wholehearted</t>
  </si>
  <si>
    <t>whole-souled</t>
  </si>
  <si>
    <t>totality</t>
  </si>
  <si>
    <t>aggregate</t>
  </si>
  <si>
    <t>tu</t>
  </si>
  <si>
    <t>t u</t>
  </si>
  <si>
    <t>tub</t>
  </si>
  <si>
    <t>t u p</t>
  </si>
  <si>
    <t>tup</t>
  </si>
  <si>
    <t>organ_pipe</t>
  </si>
  <si>
    <t>pipework</t>
  </si>
  <si>
    <t>tube</t>
  </si>
  <si>
    <t>tubing</t>
  </si>
  <si>
    <t>tube-shaped_structure</t>
  </si>
  <si>
    <t>tucà</t>
  </si>
  <si>
    <t>toucan</t>
  </si>
  <si>
    <t>tuli</t>
  </si>
  <si>
    <t>t u l i</t>
  </si>
  <si>
    <t>thulium</t>
  </si>
  <si>
    <t>Tm</t>
  </si>
  <si>
    <t>atomic_number_69</t>
  </si>
  <si>
    <t>tupar</t>
  </si>
  <si>
    <t>t u p a ɾ</t>
  </si>
  <si>
    <t>tupí</t>
  </si>
  <si>
    <t>tuta</t>
  </si>
  <si>
    <t>t u t a</t>
  </si>
  <si>
    <t>tutú</t>
  </si>
  <si>
    <t>t u t u</t>
  </si>
  <si>
    <t>tutu</t>
  </si>
  <si>
    <t>ballet_skirt</t>
  </si>
  <si>
    <t>tàcita</t>
  </si>
  <si>
    <t>t a s i t a</t>
  </si>
  <si>
    <t>tasita</t>
  </si>
  <si>
    <t>típic</t>
  </si>
  <si>
    <t>t i p i k</t>
  </si>
  <si>
    <t>tipik</t>
  </si>
  <si>
    <t>characteristic</t>
  </si>
  <si>
    <t>distinctive</t>
  </si>
  <si>
    <t>typical</t>
  </si>
  <si>
    <t>emblematic</t>
  </si>
  <si>
    <t>exemplary</t>
  </si>
  <si>
    <t>typic</t>
  </si>
  <si>
    <t>típica</t>
  </si>
  <si>
    <t>t i p i k a</t>
  </si>
  <si>
    <t>tipika</t>
  </si>
  <si>
    <t>títol</t>
  </si>
  <si>
    <t>t i t u l</t>
  </si>
  <si>
    <t>titul</t>
  </si>
  <si>
    <t>title</t>
  </si>
  <si>
    <t>title_of_respect</t>
  </si>
  <si>
    <t>form_of_address</t>
  </si>
  <si>
    <t>diploma</t>
  </si>
  <si>
    <t>sheepskin</t>
  </si>
  <si>
    <t>túmul</t>
  </si>
  <si>
    <t>t u m u l</t>
  </si>
  <si>
    <t>tumul</t>
  </si>
  <si>
    <t>túnica</t>
  </si>
  <si>
    <t>t u n i k a</t>
  </si>
  <si>
    <t>tunika</t>
  </si>
  <si>
    <t>tunic</t>
  </si>
  <si>
    <t>tunica</t>
  </si>
  <si>
    <t>adventitia</t>
  </si>
  <si>
    <t>uci</t>
  </si>
  <si>
    <t>u s i</t>
  </si>
  <si>
    <t>usi</t>
  </si>
  <si>
    <t>ucàs</t>
  </si>
  <si>
    <t>ull</t>
  </si>
  <si>
    <t>u ʎ</t>
  </si>
  <si>
    <t>eye</t>
  </si>
  <si>
    <t>oculus</t>
  </si>
  <si>
    <t>center</t>
  </si>
  <si>
    <t>centre</t>
  </si>
  <si>
    <t>middle</t>
  </si>
  <si>
    <t>heart</t>
  </si>
  <si>
    <t>ullal</t>
  </si>
  <si>
    <t>u ʎ a l</t>
  </si>
  <si>
    <t>fang</t>
  </si>
  <si>
    <t>tusk</t>
  </si>
  <si>
    <t>canine</t>
  </si>
  <si>
    <t>canine_tooth</t>
  </si>
  <si>
    <t>eyetooth</t>
  </si>
  <si>
    <t>eye_tooth</t>
  </si>
  <si>
    <t>dogtooth</t>
  </si>
  <si>
    <t>cuspid</t>
  </si>
  <si>
    <t>one</t>
  </si>
  <si>
    <t>i</t>
  </si>
  <si>
    <t>ane</t>
  </si>
  <si>
    <t>unir</t>
  </si>
  <si>
    <t>u n i</t>
  </si>
  <si>
    <t>uni</t>
  </si>
  <si>
    <t>compound</t>
  </si>
  <si>
    <t>combine</t>
  </si>
  <si>
    <t>weld</t>
  </si>
  <si>
    <t>unite</t>
  </si>
  <si>
    <t>unify</t>
  </si>
  <si>
    <t>merge</t>
  </si>
  <si>
    <t>interlock</t>
  </si>
  <si>
    <t>mesh</t>
  </si>
  <si>
    <t>join</t>
  </si>
  <si>
    <t>conjoin</t>
  </si>
  <si>
    <t>bring_together</t>
  </si>
  <si>
    <t>connect</t>
  </si>
  <si>
    <t>link_up</t>
  </si>
  <si>
    <t>band_together</t>
  </si>
  <si>
    <t>confederate</t>
  </si>
  <si>
    <t>u n i ɾ</t>
  </si>
  <si>
    <t>unitari</t>
  </si>
  <si>
    <t>u n i t a ɾ i</t>
  </si>
  <si>
    <t>uní</t>
  </si>
  <si>
    <t>urani</t>
  </si>
  <si>
    <t>u ɾ a n i</t>
  </si>
  <si>
    <t>uranium</t>
  </si>
  <si>
    <t>U</t>
  </si>
  <si>
    <t>atomic_number_92</t>
  </si>
  <si>
    <t>urà</t>
  </si>
  <si>
    <t>Uranus</t>
  </si>
  <si>
    <t>Ouranos</t>
  </si>
  <si>
    <t>us</t>
  </si>
  <si>
    <t>u s</t>
  </si>
  <si>
    <t>xa</t>
  </si>
  <si>
    <t>ʃ a</t>
  </si>
  <si>
    <t>sha</t>
  </si>
  <si>
    <t>Shah</t>
  </si>
  <si>
    <t>Shah_of_Iran</t>
  </si>
  <si>
    <t>xai</t>
  </si>
  <si>
    <t>ʃ a j</t>
  </si>
  <si>
    <t>shay</t>
  </si>
  <si>
    <t>lamb</t>
  </si>
  <si>
    <t>xal</t>
  </si>
  <si>
    <t>ʃ a l</t>
  </si>
  <si>
    <t>shal</t>
  </si>
  <si>
    <t>shawl</t>
  </si>
  <si>
    <t>xato</t>
  </si>
  <si>
    <t>ʃ a t u</t>
  </si>
  <si>
    <t>shatu</t>
  </si>
  <si>
    <t>xic</t>
  </si>
  <si>
    <t>ʃ i k</t>
  </si>
  <si>
    <t>bitty</t>
  </si>
  <si>
    <t>bittie</t>
  </si>
  <si>
    <t>teensy</t>
  </si>
  <si>
    <t>teentsy</t>
  </si>
  <si>
    <t>teeny</t>
  </si>
  <si>
    <t>wee</t>
  </si>
  <si>
    <t>weeny</t>
  </si>
  <si>
    <t>weensy</t>
  </si>
  <si>
    <t>teensy-weensy</t>
  </si>
  <si>
    <t>teeny-weeny</t>
  </si>
  <si>
    <t>itty-bitty</t>
  </si>
  <si>
    <t>itsy-bitsy</t>
  </si>
  <si>
    <t>smallish</t>
  </si>
  <si>
    <t>child</t>
  </si>
  <si>
    <t>kid</t>
  </si>
  <si>
    <t>youngster</t>
  </si>
  <si>
    <t>minor</t>
  </si>
  <si>
    <t>shaver</t>
  </si>
  <si>
    <t>nipper</t>
  </si>
  <si>
    <t>small_fry</t>
  </si>
  <si>
    <t>tiddler</t>
  </si>
  <si>
    <t>fry</t>
  </si>
  <si>
    <t>nestling</t>
  </si>
  <si>
    <t>male_child</t>
  </si>
  <si>
    <t>boy</t>
  </si>
  <si>
    <t>xip</t>
  </si>
  <si>
    <t>ʃ i p</t>
  </si>
  <si>
    <t>ship</t>
  </si>
  <si>
    <t>microchip</t>
  </si>
  <si>
    <t>micro_chip</t>
  </si>
  <si>
    <t>silicon_chip</t>
  </si>
  <si>
    <t>microprocessor_chip</t>
  </si>
  <si>
    <t>xipollar</t>
  </si>
  <si>
    <t>ʃ i p u ʎ a</t>
  </si>
  <si>
    <t>shipulla</t>
  </si>
  <si>
    <t>puddle</t>
  </si>
  <si>
    <t>lap</t>
  </si>
  <si>
    <t>swish</t>
  </si>
  <si>
    <t>swosh</t>
  </si>
  <si>
    <t>swoosh</t>
  </si>
  <si>
    <t>xollar</t>
  </si>
  <si>
    <t>ʃ u ʎ a</t>
  </si>
  <si>
    <t>shulla</t>
  </si>
  <si>
    <t>xopar</t>
  </si>
  <si>
    <t>ʃ u p a</t>
  </si>
  <si>
    <t>shupa</t>
  </si>
  <si>
    <t>xoriço</t>
  </si>
  <si>
    <t>ʃ u ɾ i s u</t>
  </si>
  <si>
    <t>shurisu</t>
  </si>
  <si>
    <t>chorizo</t>
  </si>
  <si>
    <t>xuixo</t>
  </si>
  <si>
    <t>ʃ u ʃ u</t>
  </si>
  <si>
    <t>shushu</t>
  </si>
  <si>
    <t>xutar</t>
  </si>
  <si>
    <t>ʃ u t a</t>
  </si>
  <si>
    <t>shuta</t>
  </si>
  <si>
    <t>kick</t>
  </si>
  <si>
    <t>àkan</t>
  </si>
  <si>
    <t>a k a n</t>
  </si>
  <si>
    <t>akan</t>
  </si>
  <si>
    <t>ànim</t>
  </si>
  <si>
    <t>a n i m</t>
  </si>
  <si>
    <t>anim</t>
  </si>
  <si>
    <t>spirit</t>
  </si>
  <si>
    <t>fortitude</t>
  </si>
  <si>
    <t>encouragement</t>
  </si>
  <si>
    <t>emotional_state</t>
  </si>
  <si>
    <t>ànima</t>
  </si>
  <si>
    <t>pep</t>
  </si>
  <si>
    <t>peppiness</t>
  </si>
  <si>
    <t>ginger</t>
  </si>
  <si>
    <t>bosom</t>
  </si>
  <si>
    <t>àrab</t>
  </si>
  <si>
    <t>a ɾ a p</t>
  </si>
  <si>
    <t>arap</t>
  </si>
  <si>
    <t>Arabian</t>
  </si>
  <si>
    <t>Arabic</t>
  </si>
  <si>
    <t>Arabic_language</t>
  </si>
  <si>
    <t>Arab</t>
  </si>
  <si>
    <t>àtic</t>
  </si>
  <si>
    <t>a t i k</t>
  </si>
  <si>
    <t>atik</t>
  </si>
  <si>
    <t>Attic</t>
  </si>
  <si>
    <t>Ionic</t>
  </si>
  <si>
    <t>Ionic_dialect</t>
  </si>
  <si>
    <t>Classical_Greek</t>
  </si>
  <si>
    <t>àtica</t>
  </si>
  <si>
    <t>a t i k a</t>
  </si>
  <si>
    <t>atika</t>
  </si>
  <si>
    <t>àtom</t>
  </si>
  <si>
    <t>a t u m</t>
  </si>
  <si>
    <t>atum</t>
  </si>
  <si>
    <t>àton</t>
  </si>
  <si>
    <t>a t u n</t>
  </si>
  <si>
    <t>atun</t>
  </si>
  <si>
    <t>ça</t>
  </si>
  <si>
    <t>únic</t>
  </si>
  <si>
    <t>u n i k</t>
  </si>
  <si>
    <t>unik</t>
  </si>
  <si>
    <t>alone</t>
  </si>
  <si>
    <t>unique</t>
  </si>
  <si>
    <t>unequaled</t>
  </si>
  <si>
    <t>unequalled</t>
  </si>
  <si>
    <t>unparalleled</t>
  </si>
  <si>
    <t>singular</t>
  </si>
  <si>
    <t>ús</t>
  </si>
  <si>
    <t>custom</t>
  </si>
  <si>
    <t>usage</t>
  </si>
  <si>
    <t>usance</t>
  </si>
  <si>
    <t>wear</t>
  </si>
  <si>
    <t>wearing</t>
  </si>
  <si>
    <t>use</t>
  </si>
  <si>
    <t>utilization</t>
  </si>
  <si>
    <t>utilisation</t>
  </si>
  <si>
    <t>employment</t>
  </si>
  <si>
    <t>exercise</t>
  </si>
  <si>
    <t>habit</t>
  </si>
  <si>
    <t>wont</t>
  </si>
  <si>
    <t>cmn_hani_broad.tsv</t>
  </si>
  <si>
    <t>哩</t>
  </si>
  <si>
    <t>氌</t>
  </si>
  <si>
    <t>dan_latn_broad.tsv</t>
  </si>
  <si>
    <t>a n a n a s</t>
  </si>
  <si>
    <t>ej</t>
  </si>
  <si>
    <t>ha</t>
  </si>
  <si>
    <t>h a</t>
  </si>
  <si>
    <t>hal</t>
  </si>
  <si>
    <t>h a l</t>
  </si>
  <si>
    <t>h ɑ m</t>
  </si>
  <si>
    <t>h a n</t>
  </si>
  <si>
    <t>hav</t>
  </si>
  <si>
    <t>hej</t>
  </si>
  <si>
    <t>h ɑ j</t>
  </si>
  <si>
    <t>hay</t>
  </si>
  <si>
    <t>inn</t>
  </si>
  <si>
    <t>ɪ n</t>
  </si>
  <si>
    <t>in</t>
  </si>
  <si>
    <t>bathtub</t>
  </si>
  <si>
    <t>bathing_tub</t>
  </si>
  <si>
    <t>bath</t>
  </si>
  <si>
    <t>vat</t>
  </si>
  <si>
    <t>vessel</t>
  </si>
  <si>
    <t>vas</t>
  </si>
  <si>
    <t>lak</t>
  </si>
  <si>
    <t>l a k</t>
  </si>
  <si>
    <t>lakaj</t>
  </si>
  <si>
    <t>l a k a j</t>
  </si>
  <si>
    <t>lakay</t>
  </si>
  <si>
    <t>lam</t>
  </si>
  <si>
    <t>l a m</t>
  </si>
  <si>
    <t>lej</t>
  </si>
  <si>
    <t>l ɑ j</t>
  </si>
  <si>
    <t>maj</t>
  </si>
  <si>
    <t>m a n</t>
  </si>
  <si>
    <t>mig</t>
  </si>
  <si>
    <t>m ɑ j</t>
  </si>
  <si>
    <t>mild</t>
  </si>
  <si>
    <t>cat</t>
  </si>
  <si>
    <t>true_cat</t>
  </si>
  <si>
    <t>musik</t>
  </si>
  <si>
    <t>m u s i k</t>
  </si>
  <si>
    <t>music</t>
  </si>
  <si>
    <t>p a j</t>
  </si>
  <si>
    <t>pip</t>
  </si>
  <si>
    <t>p i p</t>
  </si>
  <si>
    <t>sand</t>
  </si>
  <si>
    <t>sig</t>
  </si>
  <si>
    <t>s a j</t>
  </si>
  <si>
    <t>tak</t>
  </si>
  <si>
    <t>t a k</t>
  </si>
  <si>
    <t>tooth</t>
  </si>
  <si>
    <t>thanks</t>
  </si>
  <si>
    <t>numeral</t>
  </si>
  <si>
    <t>figure</t>
  </si>
  <si>
    <t>tand</t>
  </si>
  <si>
    <t>thi</t>
  </si>
  <si>
    <t>j u n i k</t>
  </si>
  <si>
    <t>yunik</t>
  </si>
  <si>
    <t>utallig</t>
  </si>
  <si>
    <t>u t a l i</t>
  </si>
  <si>
    <t>utali</t>
  </si>
  <si>
    <t>zucchini</t>
  </si>
  <si>
    <t>s u k i n i</t>
  </si>
  <si>
    <t>sukini</t>
  </si>
  <si>
    <t>dan_latn_narrow.tsv</t>
  </si>
  <si>
    <t>ɑ j</t>
  </si>
  <si>
    <t>h ɑ</t>
  </si>
  <si>
    <t>ha'</t>
  </si>
  <si>
    <t>h æ n</t>
  </si>
  <si>
    <t>grounds</t>
  </si>
  <si>
    <t>curtilage</t>
  </si>
  <si>
    <t>garden</t>
  </si>
  <si>
    <t>hin</t>
  </si>
  <si>
    <t>h i n</t>
  </si>
  <si>
    <t>h u n</t>
  </si>
  <si>
    <t>jeg</t>
  </si>
  <si>
    <t>j ɑ j</t>
  </si>
  <si>
    <t>yay</t>
  </si>
  <si>
    <t>lade</t>
  </si>
  <si>
    <t>lader</t>
  </si>
  <si>
    <t>l ɑ</t>
  </si>
  <si>
    <t>s ɑ j</t>
  </si>
  <si>
    <t>ell_grek_broad.tsv</t>
  </si>
  <si>
    <t>άι</t>
  </si>
  <si>
    <t>άκουγα</t>
  </si>
  <si>
    <t>a k u ɣ a</t>
  </si>
  <si>
    <t>akuka</t>
  </si>
  <si>
    <t>άκουσα</t>
  </si>
  <si>
    <t>a k u s a</t>
  </si>
  <si>
    <t>akusa</t>
  </si>
  <si>
    <t>άλασ</t>
  </si>
  <si>
    <t>a l a s</t>
  </si>
  <si>
    <t>alas</t>
  </si>
  <si>
    <t>άλειμμα</t>
  </si>
  <si>
    <t>a l i m a</t>
  </si>
  <si>
    <t>alima</t>
  </si>
  <si>
    <t>άρα</t>
  </si>
  <si>
    <t>άτι</t>
  </si>
  <si>
    <t>a t i</t>
  </si>
  <si>
    <t>ati</t>
  </si>
  <si>
    <t>άχου</t>
  </si>
  <si>
    <t>a x u</t>
  </si>
  <si>
    <t>aku</t>
  </si>
  <si>
    <t>ήμουν</t>
  </si>
  <si>
    <t>i m u n</t>
  </si>
  <si>
    <t>imun</t>
  </si>
  <si>
    <t>ήμουνα</t>
  </si>
  <si>
    <t>i m u n a</t>
  </si>
  <si>
    <t>imuna</t>
  </si>
  <si>
    <t>ήπαρ</t>
  </si>
  <si>
    <t>i p a ɾ</t>
  </si>
  <si>
    <t>ipar</t>
  </si>
  <si>
    <t>liver</t>
  </si>
  <si>
    <t>ήσαν</t>
  </si>
  <si>
    <t>i s a n</t>
  </si>
  <si>
    <t>isan</t>
  </si>
  <si>
    <t>ήσουν</t>
  </si>
  <si>
    <t>i s u n</t>
  </si>
  <si>
    <t>isun</t>
  </si>
  <si>
    <t>ήσουνα</t>
  </si>
  <si>
    <t>i s u n a</t>
  </si>
  <si>
    <t>isuna</t>
  </si>
  <si>
    <t>ήτα</t>
  </si>
  <si>
    <t>i t a</t>
  </si>
  <si>
    <t>ita</t>
  </si>
  <si>
    <t>ήταν</t>
  </si>
  <si>
    <t>i t a n</t>
  </si>
  <si>
    <t>itan</t>
  </si>
  <si>
    <t>ήττα</t>
  </si>
  <si>
    <t>defeat</t>
  </si>
  <si>
    <t>ίρισ</t>
  </si>
  <si>
    <t>αγάπαγα</t>
  </si>
  <si>
    <t>a ɣ a p a ɣ a</t>
  </si>
  <si>
    <t>akapaka</t>
  </si>
  <si>
    <t>αγάπησα</t>
  </si>
  <si>
    <t>a ɣ a p i s a</t>
  </si>
  <si>
    <t>akapisa</t>
  </si>
  <si>
    <t>αγαπήθηκα</t>
  </si>
  <si>
    <t>a ɣ a p i θ i k a</t>
  </si>
  <si>
    <t>akapithika</t>
  </si>
  <si>
    <t>αγαπήσει</t>
  </si>
  <si>
    <t>a ɣ a p i s i</t>
  </si>
  <si>
    <t>akapisi</t>
  </si>
  <si>
    <t>αγαπηθεί</t>
  </si>
  <si>
    <t>a ɣ a p i θ i</t>
  </si>
  <si>
    <t>akapithi</t>
  </si>
  <si>
    <t>αγαπούσα</t>
  </si>
  <si>
    <t>a ɣ a p u s a</t>
  </si>
  <si>
    <t>akapusa</t>
  </si>
  <si>
    <t>αθήνα</t>
  </si>
  <si>
    <t>a θ i n a</t>
  </si>
  <si>
    <t>athina</t>
  </si>
  <si>
    <t>Athens</t>
  </si>
  <si>
    <t>Athinai</t>
  </si>
  <si>
    <t>capital_of_Greece</t>
  </si>
  <si>
    <t>Greek_capital</t>
  </si>
  <si>
    <t>αθηνά</t>
  </si>
  <si>
    <t>αλάνα</t>
  </si>
  <si>
    <t>a l a n a</t>
  </si>
  <si>
    <t>alana</t>
  </si>
  <si>
    <t>αλάνι</t>
  </si>
  <si>
    <t>a l a n i</t>
  </si>
  <si>
    <t>alani</t>
  </si>
  <si>
    <t>αλάτισα</t>
  </si>
  <si>
    <t>a l a t i s a</t>
  </si>
  <si>
    <t>alatisa</t>
  </si>
  <si>
    <t>αληθή</t>
  </si>
  <si>
    <t>a l i θ i</t>
  </si>
  <si>
    <t>alithi</t>
  </si>
  <si>
    <t>αληθήσ</t>
  </si>
  <si>
    <t>a l i θ i s</t>
  </si>
  <si>
    <t>alithis</t>
  </si>
  <si>
    <t>αληθείσ</t>
  </si>
  <si>
    <t>αληθούσ</t>
  </si>
  <si>
    <t>a l i θ u s</t>
  </si>
  <si>
    <t>alithus</t>
  </si>
  <si>
    <t>αλλάχ</t>
  </si>
  <si>
    <t>a l a x</t>
  </si>
  <si>
    <t>alak</t>
  </si>
  <si>
    <t>αλλού</t>
  </si>
  <si>
    <t>a l u</t>
  </si>
  <si>
    <t>alu</t>
  </si>
  <si>
    <t>αμ</t>
  </si>
  <si>
    <t>αμάν</t>
  </si>
  <si>
    <t>αμήν</t>
  </si>
  <si>
    <t>a m i n</t>
  </si>
  <si>
    <t>amin</t>
  </si>
  <si>
    <t>ανάλυση</t>
  </si>
  <si>
    <t>a n a l i s i</t>
  </si>
  <si>
    <t>analisi</t>
  </si>
  <si>
    <t>analysis</t>
  </si>
  <si>
    <t>analytic_thinking</t>
  </si>
  <si>
    <t>ανάταση</t>
  </si>
  <si>
    <t>a n a t a s i</t>
  </si>
  <si>
    <t>anatasi</t>
  </si>
  <si>
    <t>ανάτεινα</t>
  </si>
  <si>
    <t>a n a t i n a</t>
  </si>
  <si>
    <t>anatina</t>
  </si>
  <si>
    <t>ανήκα</t>
  </si>
  <si>
    <t>a n i k a</t>
  </si>
  <si>
    <t>anika</t>
  </si>
  <si>
    <t>αναθάρρησα</t>
  </si>
  <si>
    <t>a n a θ a ɾ i s a</t>
  </si>
  <si>
    <t>anatharisa</t>
  </si>
  <si>
    <t>αναθάρρυνα</t>
  </si>
  <si>
    <t>a n a θ a ɾ i n a</t>
  </si>
  <si>
    <t>anatharina</t>
  </si>
  <si>
    <t>αναλυτά</t>
  </si>
  <si>
    <t>a n a l i t a</t>
  </si>
  <si>
    <t>analita</t>
  </si>
  <si>
    <t>αναλυτήσ</t>
  </si>
  <si>
    <t>a n a l i t i s</t>
  </si>
  <si>
    <t>analitis</t>
  </si>
  <si>
    <t>αναλυτικά</t>
  </si>
  <si>
    <t>ανανά</t>
  </si>
  <si>
    <t>a n a n a</t>
  </si>
  <si>
    <t>anana</t>
  </si>
  <si>
    <t>ανανάσ</t>
  </si>
  <si>
    <t>ανατάθηκα</t>
  </si>
  <si>
    <t>a n a t a θ i k a</t>
  </si>
  <si>
    <t>anatathika</t>
  </si>
  <si>
    <t>ανιλίνη</t>
  </si>
  <si>
    <t>a n i l i n i</t>
  </si>
  <si>
    <t>anilini</t>
  </si>
  <si>
    <t>ανιλίνησ</t>
  </si>
  <si>
    <t>a n i l i n i s</t>
  </si>
  <si>
    <t>anilinis</t>
  </si>
  <si>
    <t>απ</t>
  </si>
  <si>
    <t>απάτησα</t>
  </si>
  <si>
    <t>a p a t i s a</t>
  </si>
  <si>
    <t>apatisa</t>
  </si>
  <si>
    <t>απαθήσ</t>
  </si>
  <si>
    <t>a p a θ i s</t>
  </si>
  <si>
    <t>apathis</t>
  </si>
  <si>
    <t>απατήθηκα</t>
  </si>
  <si>
    <t>a p a t i θ i k a</t>
  </si>
  <si>
    <t>apatithika</t>
  </si>
  <si>
    <t>αράπησ</t>
  </si>
  <si>
    <t>a ɾ a p i s</t>
  </si>
  <si>
    <t>arapis</t>
  </si>
  <si>
    <t>αραπίνα</t>
  </si>
  <si>
    <t>a ɾ a p i n a</t>
  </si>
  <si>
    <t>arapina</t>
  </si>
  <si>
    <t>ασ'</t>
  </si>
  <si>
    <t>γάμα</t>
  </si>
  <si>
    <t>ɣ a m a</t>
  </si>
  <si>
    <t>γάμησα</t>
  </si>
  <si>
    <t>ɣ a m i s a</t>
  </si>
  <si>
    <t>kamisa</t>
  </si>
  <si>
    <t>γαλήνη</t>
  </si>
  <si>
    <t>ɣ a l i n i</t>
  </si>
  <si>
    <t>kalini</t>
  </si>
  <si>
    <t>γαμάτα</t>
  </si>
  <si>
    <t>ɣ a m a t a</t>
  </si>
  <si>
    <t>kamata</t>
  </si>
  <si>
    <t>γαμάτη</t>
  </si>
  <si>
    <t>ɣ a m a t i</t>
  </si>
  <si>
    <t>kamati</t>
  </si>
  <si>
    <t>γαμάτοι</t>
  </si>
  <si>
    <t>γαμήσι</t>
  </si>
  <si>
    <t>ɣ a m i s i</t>
  </si>
  <si>
    <t>kamisi</t>
  </si>
  <si>
    <t>γατούλα</t>
  </si>
  <si>
    <t>ɣ a t u l a</t>
  </si>
  <si>
    <t>katula</t>
  </si>
  <si>
    <t>γατούλασ</t>
  </si>
  <si>
    <t>ɣ a t u l a s</t>
  </si>
  <si>
    <t>katulas</t>
  </si>
  <si>
    <t>γουρούνα</t>
  </si>
  <si>
    <t>ɣ u ɾ u n a</t>
  </si>
  <si>
    <t>sow</t>
  </si>
  <si>
    <t>γουρούνι</t>
  </si>
  <si>
    <t>ɣ u ɾ u n i</t>
  </si>
  <si>
    <t>kuruni</t>
  </si>
  <si>
    <t>swine</t>
  </si>
  <si>
    <t>hog</t>
  </si>
  <si>
    <t>pig</t>
  </si>
  <si>
    <t>grunter</t>
  </si>
  <si>
    <t>squealer</t>
  </si>
  <si>
    <t>Sus_scrofa</t>
  </si>
  <si>
    <t>είχα</t>
  </si>
  <si>
    <t>i x a</t>
  </si>
  <si>
    <t>ika</t>
  </si>
  <si>
    <t>είχαν</t>
  </si>
  <si>
    <t>i x a n</t>
  </si>
  <si>
    <t>ikan</t>
  </si>
  <si>
    <t>εισάκουσα</t>
  </si>
  <si>
    <t>i s a k u s a</t>
  </si>
  <si>
    <t>isakusa</t>
  </si>
  <si>
    <t>εισήγαγα</t>
  </si>
  <si>
    <t>i s i ɣ a ɣ a</t>
  </si>
  <si>
    <t>isikaka</t>
  </si>
  <si>
    <t>ηχούσ</t>
  </si>
  <si>
    <t>i x u s</t>
  </si>
  <si>
    <t>ikus</t>
  </si>
  <si>
    <t>θήρα</t>
  </si>
  <si>
    <t>θ i ɾ a</t>
  </si>
  <si>
    <t>thira</t>
  </si>
  <si>
    <t>θήτα</t>
  </si>
  <si>
    <t>θ i t a</t>
  </si>
  <si>
    <t>thita</t>
  </si>
  <si>
    <t>θα</t>
  </si>
  <si>
    <t>θ a</t>
  </si>
  <si>
    <t>tha</t>
  </si>
  <si>
    <t>θαλασσήσ</t>
  </si>
  <si>
    <t>θ a l a s i s</t>
  </si>
  <si>
    <t>thalasis</t>
  </si>
  <si>
    <t>θηλιά</t>
  </si>
  <si>
    <t>θ i ʎ a</t>
  </si>
  <si>
    <t>thilla</t>
  </si>
  <si>
    <t>loop</t>
  </si>
  <si>
    <t>ιλαρά</t>
  </si>
  <si>
    <t>i l a ɾ a</t>
  </si>
  <si>
    <t>ilara</t>
  </si>
  <si>
    <t>ιμάμησ</t>
  </si>
  <si>
    <t>i m a m i s</t>
  </si>
  <si>
    <t>imamis</t>
  </si>
  <si>
    <t>ινάτι</t>
  </si>
  <si>
    <t>i n a t i</t>
  </si>
  <si>
    <t>inati</t>
  </si>
  <si>
    <t>ιράκ</t>
  </si>
  <si>
    <t>ιράν</t>
  </si>
  <si>
    <t>ιταλική</t>
  </si>
  <si>
    <t>i t a l i k i</t>
  </si>
  <si>
    <t>italiki</t>
  </si>
  <si>
    <t>κάθισα</t>
  </si>
  <si>
    <t>k a θ i s a</t>
  </si>
  <si>
    <t>kathisa</t>
  </si>
  <si>
    <t>κάπα</t>
  </si>
  <si>
    <t>κάππα</t>
  </si>
  <si>
    <t>καλάι</t>
  </si>
  <si>
    <t>k a l a j</t>
  </si>
  <si>
    <t>kalay</t>
  </si>
  <si>
    <t>καλάμι</t>
  </si>
  <si>
    <t>k a l a m i</t>
  </si>
  <si>
    <t>kalami</t>
  </si>
  <si>
    <t>fishing_rod</t>
  </si>
  <si>
    <t>fishing_pole</t>
  </si>
  <si>
    <t>καλή</t>
  </si>
  <si>
    <t>k a l i</t>
  </si>
  <si>
    <t>kali</t>
  </si>
  <si>
    <t>καλαμάτα</t>
  </si>
  <si>
    <t>k a l a m a t a</t>
  </si>
  <si>
    <t>kalamata</t>
  </si>
  <si>
    <t>καλοί</t>
  </si>
  <si>
    <t>καλούπι</t>
  </si>
  <si>
    <t>k a l u p i</t>
  </si>
  <si>
    <t>kalupi</t>
  </si>
  <si>
    <t>mold</t>
  </si>
  <si>
    <t>mould</t>
  </si>
  <si>
    <t>cast</t>
  </si>
  <si>
    <t>καν</t>
  </si>
  <si>
    <t>κατά</t>
  </si>
  <si>
    <t>k a t a</t>
  </si>
  <si>
    <t>kata</t>
  </si>
  <si>
    <t>κατάρ</t>
  </si>
  <si>
    <t>k a t a ɾ</t>
  </si>
  <si>
    <t>katar</t>
  </si>
  <si>
    <t>Qatar</t>
  </si>
  <si>
    <t>State_of_Qatar</t>
  </si>
  <si>
    <t>Katar</t>
  </si>
  <si>
    <t>State_of_Katar</t>
  </si>
  <si>
    <t>κατακάθι</t>
  </si>
  <si>
    <t>k a t a k a θ i</t>
  </si>
  <si>
    <t>katakathi</t>
  </si>
  <si>
    <t>dregs</t>
  </si>
  <si>
    <t>settlings</t>
  </si>
  <si>
    <t>residue</t>
  </si>
  <si>
    <t>καταλυθήκαν</t>
  </si>
  <si>
    <t>k a t a l i θ i k a n</t>
  </si>
  <si>
    <t>katalithikan</t>
  </si>
  <si>
    <t>καταλύθηκα</t>
  </si>
  <si>
    <t>k a t a l i θ i k a</t>
  </si>
  <si>
    <t>katalithika</t>
  </si>
  <si>
    <t>καταλύθηκαν</t>
  </si>
  <si>
    <t>κατουρήθηκα</t>
  </si>
  <si>
    <t>k a t u ɾ i θ i k a</t>
  </si>
  <si>
    <t>katurithika</t>
  </si>
  <si>
    <t>κατούρημα</t>
  </si>
  <si>
    <t>k a t u ɾ i m a</t>
  </si>
  <si>
    <t>katurima</t>
  </si>
  <si>
    <t>κατούρησα</t>
  </si>
  <si>
    <t>k a t u ɾ i s a</t>
  </si>
  <si>
    <t>katurisa</t>
  </si>
  <si>
    <t>κουκούλα</t>
  </si>
  <si>
    <t>k u k u l a</t>
  </si>
  <si>
    <t>kukula</t>
  </si>
  <si>
    <t>κουλούρι</t>
  </si>
  <si>
    <t>k u l u ɾ i</t>
  </si>
  <si>
    <t>kuluri</t>
  </si>
  <si>
    <t>κουπ</t>
  </si>
  <si>
    <t>κουσούρι</t>
  </si>
  <si>
    <t>k u s u ɾ i</t>
  </si>
  <si>
    <t>kusuri</t>
  </si>
  <si>
    <t>κουτάλα</t>
  </si>
  <si>
    <t>k u t a l a</t>
  </si>
  <si>
    <t>kutala</t>
  </si>
  <si>
    <t>ladle</t>
  </si>
  <si>
    <t>κουταλιά</t>
  </si>
  <si>
    <t>k u t a ʎ a</t>
  </si>
  <si>
    <t>kutalla</t>
  </si>
  <si>
    <t>spoon</t>
  </si>
  <si>
    <t>spoonful</t>
  </si>
  <si>
    <t>tablespoon</t>
  </si>
  <si>
    <t>tablespoonful</t>
  </si>
  <si>
    <t>κουταμάρα</t>
  </si>
  <si>
    <t>k u t a m a ɾ a</t>
  </si>
  <si>
    <t>kutamara</t>
  </si>
  <si>
    <t>stupidity</t>
  </si>
  <si>
    <t>betise</t>
  </si>
  <si>
    <t>folly</t>
  </si>
  <si>
    <t>foolishness</t>
  </si>
  <si>
    <t>imbecility</t>
  </si>
  <si>
    <t>κούλουρη</t>
  </si>
  <si>
    <t>κούνια</t>
  </si>
  <si>
    <t>k u ɲ a</t>
  </si>
  <si>
    <t>kuña</t>
  </si>
  <si>
    <t>baby_bed</t>
  </si>
  <si>
    <t>baby's_bed</t>
  </si>
  <si>
    <t>κούπα</t>
  </si>
  <si>
    <t>k u p a</t>
  </si>
  <si>
    <t>kupa</t>
  </si>
  <si>
    <t>κούρασα</t>
  </si>
  <si>
    <t>k u ɾ a s a</t>
  </si>
  <si>
    <t>kurasa</t>
  </si>
  <si>
    <t>λάλησα</t>
  </si>
  <si>
    <t>l a l i s a</t>
  </si>
  <si>
    <t>lalisa</t>
  </si>
  <si>
    <t>λήθη</t>
  </si>
  <si>
    <t>l i θ i</t>
  </si>
  <si>
    <t>lithi</t>
  </si>
  <si>
    <t>λίθοι</t>
  </si>
  <si>
    <t>λαγούμι</t>
  </si>
  <si>
    <t>l a ɣ u m i</t>
  </si>
  <si>
    <t>lakumi</t>
  </si>
  <si>
    <t>λαλήθηκα</t>
  </si>
  <si>
    <t>l a l i θ i k a</t>
  </si>
  <si>
    <t>lalithika</t>
  </si>
  <si>
    <t>λασίθι</t>
  </si>
  <si>
    <t>l a s i θ i</t>
  </si>
  <si>
    <t>lasithi</t>
  </si>
  <si>
    <t>λιμάνι</t>
  </si>
  <si>
    <t>l i m a n i</t>
  </si>
  <si>
    <t>limani</t>
  </si>
  <si>
    <t>port</t>
  </si>
  <si>
    <t>seaport</t>
  </si>
  <si>
    <t>haven</t>
  </si>
  <si>
    <t>harbor</t>
  </si>
  <si>
    <t>harbour</t>
  </si>
  <si>
    <t>λουκουμάσ</t>
  </si>
  <si>
    <t>l u k u m a s</t>
  </si>
  <si>
    <t>lukumas</t>
  </si>
  <si>
    <t>λουκούμι</t>
  </si>
  <si>
    <t>l u k u m i</t>
  </si>
  <si>
    <t>lukumi</t>
  </si>
  <si>
    <t>λυθήκαν</t>
  </si>
  <si>
    <t>l i θ i k a n</t>
  </si>
  <si>
    <t>lithikan</t>
  </si>
  <si>
    <t>λυθεί</t>
  </si>
  <si>
    <t>λυθείσ</t>
  </si>
  <si>
    <t>l i θ i s</t>
  </si>
  <si>
    <t>lithis</t>
  </si>
  <si>
    <t>λυθούν</t>
  </si>
  <si>
    <t>l i θ u n</t>
  </si>
  <si>
    <t>lithun</t>
  </si>
  <si>
    <t>λύθηκα</t>
  </si>
  <si>
    <t>l i θ i k a</t>
  </si>
  <si>
    <t>lithika</t>
  </si>
  <si>
    <t>λύθηκαν</t>
  </si>
  <si>
    <t>λύναν</t>
  </si>
  <si>
    <t>l i n a n</t>
  </si>
  <si>
    <t>linan</t>
  </si>
  <si>
    <t>λύνει</t>
  </si>
  <si>
    <t>l i n i</t>
  </si>
  <si>
    <t>lini</t>
  </si>
  <si>
    <t>λύνεισ</t>
  </si>
  <si>
    <t>l i n i s</t>
  </si>
  <si>
    <t>linis</t>
  </si>
  <si>
    <t>λύνουν</t>
  </si>
  <si>
    <t>l i n u n</t>
  </si>
  <si>
    <t>linun</t>
  </si>
  <si>
    <t>λύπησα</t>
  </si>
  <si>
    <t>l i p i s a</t>
  </si>
  <si>
    <t>lipisa</t>
  </si>
  <si>
    <t>λύσαν</t>
  </si>
  <si>
    <t>l i s a n</t>
  </si>
  <si>
    <t>lisan</t>
  </si>
  <si>
    <t>λύσει</t>
  </si>
  <si>
    <t>λύσεισ</t>
  </si>
  <si>
    <t>λύση</t>
  </si>
  <si>
    <t>solution</t>
  </si>
  <si>
    <t>problem_solving</t>
  </si>
  <si>
    <t>λύσου</t>
  </si>
  <si>
    <t>l i s u</t>
  </si>
  <si>
    <t>lisu</t>
  </si>
  <si>
    <t>λύσουν</t>
  </si>
  <si>
    <t>l i s u n</t>
  </si>
  <si>
    <t>lisun</t>
  </si>
  <si>
    <t>λύσσα</t>
  </si>
  <si>
    <t>l i s a</t>
  </si>
  <si>
    <t>lisa</t>
  </si>
  <si>
    <t>μάλαμα</t>
  </si>
  <si>
    <t>m a l a m a</t>
  </si>
  <si>
    <t>malama</t>
  </si>
  <si>
    <t>μάλι</t>
  </si>
  <si>
    <t>m a l i</t>
  </si>
  <si>
    <t>mali</t>
  </si>
  <si>
    <t>μάρα</t>
  </si>
  <si>
    <t>m a ɾ a</t>
  </si>
  <si>
    <t>mara</t>
  </si>
  <si>
    <t>μάρανα</t>
  </si>
  <si>
    <t>m a ɾ a n a</t>
  </si>
  <si>
    <t>marana</t>
  </si>
  <si>
    <t>μάτα</t>
  </si>
  <si>
    <t>μήνυμα</t>
  </si>
  <si>
    <t>message</t>
  </si>
  <si>
    <t>content</t>
  </si>
  <si>
    <t>subject_matter</t>
  </si>
  <si>
    <t>substance</t>
  </si>
  <si>
    <t>μίμησ</t>
  </si>
  <si>
    <t>m i m i s</t>
  </si>
  <si>
    <t>mimis</t>
  </si>
  <si>
    <t>μίσησα</t>
  </si>
  <si>
    <t>m i s i s a</t>
  </si>
  <si>
    <t>misisa</t>
  </si>
  <si>
    <t>μα</t>
  </si>
  <si>
    <t>μαθηματικά</t>
  </si>
  <si>
    <t>m a θ i m a t i k a</t>
  </si>
  <si>
    <t>mathimatika</t>
  </si>
  <si>
    <t>mathematics</t>
  </si>
  <si>
    <t>math</t>
  </si>
  <si>
    <t>maths</t>
  </si>
  <si>
    <t>μαλάκα</t>
  </si>
  <si>
    <t>m a l a k a</t>
  </si>
  <si>
    <t>malaka</t>
  </si>
  <si>
    <t>μαλάκασ</t>
  </si>
  <si>
    <t>m a l a k a s</t>
  </si>
  <si>
    <t>malakas</t>
  </si>
  <si>
    <t>μαλί</t>
  </si>
  <si>
    <t>Mali</t>
  </si>
  <si>
    <t>Republic_of_Mali</t>
  </si>
  <si>
    <t>French_Sudan</t>
  </si>
  <si>
    <t>μαλλί</t>
  </si>
  <si>
    <t>down_feather</t>
  </si>
  <si>
    <t>mane</t>
  </si>
  <si>
    <t>head_of_hair</t>
  </si>
  <si>
    <t>hair</t>
  </si>
  <si>
    <t>fuzz</t>
  </si>
  <si>
    <t>tomentum</t>
  </si>
  <si>
    <t>μαράθηκα</t>
  </si>
  <si>
    <t>m a ɾ a θ i k a</t>
  </si>
  <si>
    <t>marathika</t>
  </si>
  <si>
    <t>μασούρι</t>
  </si>
  <si>
    <t>m a s u ɾ i</t>
  </si>
  <si>
    <t>masuri</t>
  </si>
  <si>
    <t>μη</t>
  </si>
  <si>
    <t>μηλιά</t>
  </si>
  <si>
    <t>apple_tree</t>
  </si>
  <si>
    <t>μηνύθηκα</t>
  </si>
  <si>
    <t>m i n i θ i k a</t>
  </si>
  <si>
    <t>minithika</t>
  </si>
  <si>
    <t>μι</t>
  </si>
  <si>
    <t>μισήθηκα</t>
  </si>
  <si>
    <t>m i s i θ i k a</t>
  </si>
  <si>
    <t>misithika</t>
  </si>
  <si>
    <t>μισισίπι</t>
  </si>
  <si>
    <t>μιχάλησ</t>
  </si>
  <si>
    <t>m i x a l i s</t>
  </si>
  <si>
    <t>mikalis</t>
  </si>
  <si>
    <t>μοίρασα</t>
  </si>
  <si>
    <t>m i ɾ a s a</t>
  </si>
  <si>
    <t>mirasa</t>
  </si>
  <si>
    <t>μουνάρα</t>
  </si>
  <si>
    <t>m u n a ɾ a</t>
  </si>
  <si>
    <t>munara</t>
  </si>
  <si>
    <t>μουνί</t>
  </si>
  <si>
    <t>m u n i</t>
  </si>
  <si>
    <t>muni</t>
  </si>
  <si>
    <t>μουσαμάσ</t>
  </si>
  <si>
    <t>m u s a m a s</t>
  </si>
  <si>
    <t>musamas</t>
  </si>
  <si>
    <t>μυγούλα</t>
  </si>
  <si>
    <t>m i ɣ u l a</t>
  </si>
  <si>
    <t>mikula</t>
  </si>
  <si>
    <t>μυσ</t>
  </si>
  <si>
    <t>μυτάρα</t>
  </si>
  <si>
    <t>m i t a ɾ a</t>
  </si>
  <si>
    <t>mitara</t>
  </si>
  <si>
    <t>μυταράσ</t>
  </si>
  <si>
    <t>m i t a ɾ a s</t>
  </si>
  <si>
    <t>mitaras</t>
  </si>
  <si>
    <t>μυταρού</t>
  </si>
  <si>
    <t>m i t a ɾ u</t>
  </si>
  <si>
    <t>mitaru</t>
  </si>
  <si>
    <t>μυτιλήνη</t>
  </si>
  <si>
    <t>m i t i l i n i</t>
  </si>
  <si>
    <t>mitilini</t>
  </si>
  <si>
    <t>μυτούλα</t>
  </si>
  <si>
    <t>m i t u l a</t>
  </si>
  <si>
    <t>mitula</t>
  </si>
  <si>
    <t>μύγα</t>
  </si>
  <si>
    <t>m i ɣ a</t>
  </si>
  <si>
    <t>μύτη</t>
  </si>
  <si>
    <t>m i t i</t>
  </si>
  <si>
    <t>miti</t>
  </si>
  <si>
    <t>bow</t>
  </si>
  <si>
    <t>fore</t>
  </si>
  <si>
    <t>prow</t>
  </si>
  <si>
    <t>νάνου</t>
  </si>
  <si>
    <t>νήσσα</t>
  </si>
  <si>
    <t>νίκαγα</t>
  </si>
  <si>
    <t>n i k a ɣ a</t>
  </si>
  <si>
    <t>nikaka</t>
  </si>
  <si>
    <t>νι</t>
  </si>
  <si>
    <t>νιάτα</t>
  </si>
  <si>
    <t>ɲ a t a</t>
  </si>
  <si>
    <t>ñata</t>
  </si>
  <si>
    <t>νικήθηκα</t>
  </si>
  <si>
    <t>n i k i θ i k a</t>
  </si>
  <si>
    <t>nikithika</t>
  </si>
  <si>
    <t>νικούσα</t>
  </si>
  <si>
    <t>n i k u s a</t>
  </si>
  <si>
    <t>nikusa</t>
  </si>
  <si>
    <t>ουλή</t>
  </si>
  <si>
    <t>u l i</t>
  </si>
  <si>
    <t>uli</t>
  </si>
  <si>
    <t>πάτησα</t>
  </si>
  <si>
    <t>p a t i s a</t>
  </si>
  <si>
    <t>patisa</t>
  </si>
  <si>
    <t>πίθοι</t>
  </si>
  <si>
    <t>p i θ i</t>
  </si>
  <si>
    <t>pithi</t>
  </si>
  <si>
    <t>πίθου</t>
  </si>
  <si>
    <t>p i θ u</t>
  </si>
  <si>
    <t>pithu</t>
  </si>
  <si>
    <t>πίθουσ</t>
  </si>
  <si>
    <t>p i θ u s</t>
  </si>
  <si>
    <t>pithus</t>
  </si>
  <si>
    <t>πίνει</t>
  </si>
  <si>
    <t>p i n i</t>
  </si>
  <si>
    <t>pini</t>
  </si>
  <si>
    <t>πίνεισ</t>
  </si>
  <si>
    <t>p i n i s</t>
  </si>
  <si>
    <t>pinis</t>
  </si>
  <si>
    <t>πίπα</t>
  </si>
  <si>
    <t>cigarette_holder</t>
  </si>
  <si>
    <t>πίτα</t>
  </si>
  <si>
    <t>pie</t>
  </si>
  <si>
    <t>πίτασ</t>
  </si>
  <si>
    <t>p i t a s</t>
  </si>
  <si>
    <t>pitas</t>
  </si>
  <si>
    <t>παλιά</t>
  </si>
  <si>
    <t>παναμάσ</t>
  </si>
  <si>
    <t>p a n a m a s</t>
  </si>
  <si>
    <t>panamas</t>
  </si>
  <si>
    <t>παπάρα</t>
  </si>
  <si>
    <t>p a p a ɾ a</t>
  </si>
  <si>
    <t>papara</t>
  </si>
  <si>
    <t>παπάρασ</t>
  </si>
  <si>
    <t>p a p a ɾ a s</t>
  </si>
  <si>
    <t>paparas</t>
  </si>
  <si>
    <t>παπάρι</t>
  </si>
  <si>
    <t>p a p a ɾ i</t>
  </si>
  <si>
    <t>papari</t>
  </si>
  <si>
    <t>παππούσ</t>
  </si>
  <si>
    <t>p a p u s</t>
  </si>
  <si>
    <t>papus</t>
  </si>
  <si>
    <t>παράσ</t>
  </si>
  <si>
    <t>p a ɾ a s</t>
  </si>
  <si>
    <t>paras</t>
  </si>
  <si>
    <t>παρίσι</t>
  </si>
  <si>
    <t>p a ɾ i s i</t>
  </si>
  <si>
    <t>parisi</t>
  </si>
  <si>
    <t>παραμύθι</t>
  </si>
  <si>
    <t>p a ɾ a m i θ i</t>
  </si>
  <si>
    <t>paramithi</t>
  </si>
  <si>
    <t>fairytale</t>
  </si>
  <si>
    <t>fairy_tale</t>
  </si>
  <si>
    <t>fairy_story</t>
  </si>
  <si>
    <t>πασ</t>
  </si>
  <si>
    <t>πατήθηκα</t>
  </si>
  <si>
    <t>p a t i θ i k a</t>
  </si>
  <si>
    <t>patithika</t>
  </si>
  <si>
    <t>πατινάρισα</t>
  </si>
  <si>
    <t>p a t i n a ɾ i s a</t>
  </si>
  <si>
    <t>patinarisa</t>
  </si>
  <si>
    <t>πατούσα</t>
  </si>
  <si>
    <t>p a t u s a</t>
  </si>
  <si>
    <t>patusa</t>
  </si>
  <si>
    <t>πείνασα</t>
  </si>
  <si>
    <t>πι</t>
  </si>
  <si>
    <t>πικάπ</t>
  </si>
  <si>
    <t>p i k a p</t>
  </si>
  <si>
    <t>pikap</t>
  </si>
  <si>
    <t>πιπί</t>
  </si>
  <si>
    <t>p i p i</t>
  </si>
  <si>
    <t>pipi</t>
  </si>
  <si>
    <t>πιρουνιά</t>
  </si>
  <si>
    <t>p i ɾ u ɲ a</t>
  </si>
  <si>
    <t>piruña</t>
  </si>
  <si>
    <t>πουλάρι</t>
  </si>
  <si>
    <t>p u l a ɾ i</t>
  </si>
  <si>
    <t>pulari</t>
  </si>
  <si>
    <t>πουλήθηκα</t>
  </si>
  <si>
    <t>p u l i θ i k a</t>
  </si>
  <si>
    <t>pulithika</t>
  </si>
  <si>
    <t>πουλί</t>
  </si>
  <si>
    <t>bird</t>
  </si>
  <si>
    <t>πουτάνα</t>
  </si>
  <si>
    <t>πουτανάρα</t>
  </si>
  <si>
    <t>p u t a n a ɾ a</t>
  </si>
  <si>
    <t>putanara</t>
  </si>
  <si>
    <t>πούλησα</t>
  </si>
  <si>
    <t>p u l i s a</t>
  </si>
  <si>
    <t>pulisa</t>
  </si>
  <si>
    <t>πούλι</t>
  </si>
  <si>
    <t>πυρά</t>
  </si>
  <si>
    <t>p i ɾ a</t>
  </si>
  <si>
    <t>pira</t>
  </si>
  <si>
    <t>firing</t>
  </si>
  <si>
    <t>burning</t>
  </si>
  <si>
    <t>burning_at_the_stake</t>
  </si>
  <si>
    <t>ρουθούνι</t>
  </si>
  <si>
    <t>ɾ u θ u n i</t>
  </si>
  <si>
    <t>ruthuni</t>
  </si>
  <si>
    <t>σίλασ</t>
  </si>
  <si>
    <t>s i l a s</t>
  </si>
  <si>
    <t>silas</t>
  </si>
  <si>
    <t>σαγάνι</t>
  </si>
  <si>
    <t>s a ɣ a n i</t>
  </si>
  <si>
    <t>sakani</t>
  </si>
  <si>
    <t>σακάτησ</t>
  </si>
  <si>
    <t>s a k a t i s</t>
  </si>
  <si>
    <t>sakatis</t>
  </si>
  <si>
    <t>σαλαμίνα</t>
  </si>
  <si>
    <t>s a l a m i n a</t>
  </si>
  <si>
    <t>salamina</t>
  </si>
  <si>
    <t>σαμούρι</t>
  </si>
  <si>
    <t>s a m u ɾ i</t>
  </si>
  <si>
    <t>samuri</t>
  </si>
  <si>
    <t>σαπούνι</t>
  </si>
  <si>
    <t>s a p u n i</t>
  </si>
  <si>
    <t>sapuni</t>
  </si>
  <si>
    <t>soap</t>
  </si>
  <si>
    <t>σιγά</t>
  </si>
  <si>
    <t>s i ɣ a</t>
  </si>
  <si>
    <t>sika</t>
  </si>
  <si>
    <t>σιλάσ</t>
  </si>
  <si>
    <t>σιχάθηκα</t>
  </si>
  <si>
    <t>s i x a θ i k a</t>
  </si>
  <si>
    <t>sikathika</t>
  </si>
  <si>
    <t>σουρινάμ</t>
  </si>
  <si>
    <t>Suriname</t>
  </si>
  <si>
    <t>Republic_of_Suriname</t>
  </si>
  <si>
    <t>Surinam</t>
  </si>
  <si>
    <t>Dutch_Guiana</t>
  </si>
  <si>
    <t>Netherlands_Guiana</t>
  </si>
  <si>
    <t>σουτάρισα</t>
  </si>
  <si>
    <t>s u t a ɾ i s a</t>
  </si>
  <si>
    <t>sutarisa</t>
  </si>
  <si>
    <t>σούταρα</t>
  </si>
  <si>
    <t>s u t a ɾ a</t>
  </si>
  <si>
    <t>sutara</t>
  </si>
  <si>
    <t>συκή</t>
  </si>
  <si>
    <t>s i k i</t>
  </si>
  <si>
    <t>siki</t>
  </si>
  <si>
    <t>συνήθησ</t>
  </si>
  <si>
    <t>s i n i θ i s</t>
  </si>
  <si>
    <t>sinithis</t>
  </si>
  <si>
    <t>τάθηκα</t>
  </si>
  <si>
    <t>t a θ i k a</t>
  </si>
  <si>
    <t>tathika</t>
  </si>
  <si>
    <t>τάμα</t>
  </si>
  <si>
    <t>t a m a</t>
  </si>
  <si>
    <t>tama</t>
  </si>
  <si>
    <t>τάχα</t>
  </si>
  <si>
    <t>t a x a</t>
  </si>
  <si>
    <t>τίνα</t>
  </si>
  <si>
    <t>t i n a</t>
  </si>
  <si>
    <t>tina</t>
  </si>
  <si>
    <t>τίνασ</t>
  </si>
  <si>
    <t>t i n a s</t>
  </si>
  <si>
    <t>tinas</t>
  </si>
  <si>
    <t>τίνι</t>
  </si>
  <si>
    <t>t i n i</t>
  </si>
  <si>
    <t>tini</t>
  </si>
  <si>
    <t>τίσι</t>
  </si>
  <si>
    <t>t i s i</t>
  </si>
  <si>
    <t>tisi</t>
  </si>
  <si>
    <t>ταγάρι</t>
  </si>
  <si>
    <t>t a ɣ a ɾ i</t>
  </si>
  <si>
    <t>takari</t>
  </si>
  <si>
    <t>ταραμάσ</t>
  </si>
  <si>
    <t>t a ɾ a m a s</t>
  </si>
  <si>
    <t>taramas</t>
  </si>
  <si>
    <t>τησ</t>
  </si>
  <si>
    <t>τιμή</t>
  </si>
  <si>
    <t>t i m i</t>
  </si>
  <si>
    <t>timi</t>
  </si>
  <si>
    <t>price</t>
  </si>
  <si>
    <t>monetary_value</t>
  </si>
  <si>
    <t>cost</t>
  </si>
  <si>
    <t>honor</t>
  </si>
  <si>
    <t>honour</t>
  </si>
  <si>
    <t>laurels</t>
  </si>
  <si>
    <t>τισ</t>
  </si>
  <si>
    <t>τιτάν</t>
  </si>
  <si>
    <t>τιτάνα</t>
  </si>
  <si>
    <t>t i t a n a</t>
  </si>
  <si>
    <t>titana</t>
  </si>
  <si>
    <t>τιτάνασ</t>
  </si>
  <si>
    <t>t i t a n a s</t>
  </si>
  <si>
    <t>titanas</t>
  </si>
  <si>
    <t>τουλούμι</t>
  </si>
  <si>
    <t>t u l u m i</t>
  </si>
  <si>
    <t>tulumi</t>
  </si>
  <si>
    <t>τούτοισ</t>
  </si>
  <si>
    <t>t u t i s</t>
  </si>
  <si>
    <t>tutis</t>
  </si>
  <si>
    <t>τυράννησα</t>
  </si>
  <si>
    <t>t i ɾ a n i s a</t>
  </si>
  <si>
    <t>tiranisa</t>
  </si>
  <si>
    <t>χάθηκα</t>
  </si>
  <si>
    <t>x a θ i k a</t>
  </si>
  <si>
    <t>kathika</t>
  </si>
  <si>
    <t>χάλασα</t>
  </si>
  <si>
    <t>x a l a s a</t>
  </si>
  <si>
    <t>kalasa</t>
  </si>
  <si>
    <t>χάπι</t>
  </si>
  <si>
    <t>x a p i</t>
  </si>
  <si>
    <t>kapi</t>
  </si>
  <si>
    <t>χάχασ</t>
  </si>
  <si>
    <t>x a x a s</t>
  </si>
  <si>
    <t>kakas</t>
  </si>
  <si>
    <t>χαθείσ</t>
  </si>
  <si>
    <t>x a θ i s</t>
  </si>
  <si>
    <t>kathis</t>
  </si>
  <si>
    <t>χαλί</t>
  </si>
  <si>
    <t>x a l i</t>
  </si>
  <si>
    <t>rug</t>
  </si>
  <si>
    <t>carpet</t>
  </si>
  <si>
    <t>carpeting</t>
  </si>
  <si>
    <t>χαμάμ</t>
  </si>
  <si>
    <t>x a m a m</t>
  </si>
  <si>
    <t>kamam</t>
  </si>
  <si>
    <t>sauna</t>
  </si>
  <si>
    <t>sweat_room</t>
  </si>
  <si>
    <t>χανιά</t>
  </si>
  <si>
    <t>x a ɲ a</t>
  </si>
  <si>
    <t>χαράμι</t>
  </si>
  <si>
    <t>x a ɾ a m i</t>
  </si>
  <si>
    <t>karami</t>
  </si>
  <si>
    <t>χασάπησ</t>
  </si>
  <si>
    <t>x a s a p i s</t>
  </si>
  <si>
    <t>kasapis</t>
  </si>
  <si>
    <t>χασίσ</t>
  </si>
  <si>
    <t>x a s i s</t>
  </si>
  <si>
    <t>kasis</t>
  </si>
  <si>
    <t>χούμουσ</t>
  </si>
  <si>
    <t>x u m u s</t>
  </si>
  <si>
    <t>ell_grek_broad_filtered.tsv</t>
  </si>
  <si>
    <t>ell_grek_narrow.tsv</t>
  </si>
  <si>
    <t>άπαπα</t>
  </si>
  <si>
    <t>a p a p a</t>
  </si>
  <si>
    <t>apapa</t>
  </si>
  <si>
    <t>ίσισ</t>
  </si>
  <si>
    <t>i s i s</t>
  </si>
  <si>
    <t>isis</t>
  </si>
  <si>
    <t>αγάπη</t>
  </si>
  <si>
    <t>a ɣ a p i</t>
  </si>
  <si>
    <t>akapi</t>
  </si>
  <si>
    <t>passion</t>
  </si>
  <si>
    <t>darling</t>
  </si>
  <si>
    <t>favorite</t>
  </si>
  <si>
    <t>favourite</t>
  </si>
  <si>
    <t>pet</t>
  </si>
  <si>
    <t>dearie</t>
  </si>
  <si>
    <t>deary</t>
  </si>
  <si>
    <t>ducky</t>
  </si>
  <si>
    <t>αλάτι</t>
  </si>
  <si>
    <t>a l a t i</t>
  </si>
  <si>
    <t>alati</t>
  </si>
  <si>
    <t>απάτη</t>
  </si>
  <si>
    <t>a p a t i</t>
  </si>
  <si>
    <t>apati</t>
  </si>
  <si>
    <t>fraud</t>
  </si>
  <si>
    <t>fraudulence</t>
  </si>
  <si>
    <t>dupery</t>
  </si>
  <si>
    <t>hoax</t>
  </si>
  <si>
    <t>humbug</t>
  </si>
  <si>
    <t>put-on</t>
  </si>
  <si>
    <t>sell</t>
  </si>
  <si>
    <t>αχάτησ</t>
  </si>
  <si>
    <t>a x a t i s</t>
  </si>
  <si>
    <t>akatis</t>
  </si>
  <si>
    <t>γάλα</t>
  </si>
  <si>
    <t>ɣ a l a</t>
  </si>
  <si>
    <t>veal</t>
  </si>
  <si>
    <t>veau</t>
  </si>
  <si>
    <t>γαμήσου</t>
  </si>
  <si>
    <t>ɣ a m i s u</t>
  </si>
  <si>
    <t>kamisu</t>
  </si>
  <si>
    <t>εισ</t>
  </si>
  <si>
    <t>θάλασσα</t>
  </si>
  <si>
    <t>θ a l a s a</t>
  </si>
  <si>
    <t>thalasa</t>
  </si>
  <si>
    <t>Mediterranean</t>
  </si>
  <si>
    <t>Mediterranean_Sea</t>
  </si>
  <si>
    <t>choppiness</t>
  </si>
  <si>
    <t>roughness</t>
  </si>
  <si>
    <t>rough_water</t>
  </si>
  <si>
    <t>θηλή</t>
  </si>
  <si>
    <t>θ i l i</t>
  </si>
  <si>
    <t>thili</t>
  </si>
  <si>
    <t>papilla</t>
  </si>
  <si>
    <t>καμήλα</t>
  </si>
  <si>
    <t>k a m i l a</t>
  </si>
  <si>
    <t>kamila</t>
  </si>
  <si>
    <t>camel</t>
  </si>
  <si>
    <t>λινάρι</t>
  </si>
  <si>
    <t>l i n a ɾ i</t>
  </si>
  <si>
    <t>linari</t>
  </si>
  <si>
    <t>μάτι</t>
  </si>
  <si>
    <t>μαλλιά</t>
  </si>
  <si>
    <t>μαμά</t>
  </si>
  <si>
    <t>μουσακάσ</t>
  </si>
  <si>
    <t>m u s a k a s</t>
  </si>
  <si>
    <t>musakas</t>
  </si>
  <si>
    <t>μούρη</t>
  </si>
  <si>
    <t>μούτρο</t>
  </si>
  <si>
    <t>muturu</t>
  </si>
  <si>
    <t>πάλη</t>
  </si>
  <si>
    <t>wrestle</t>
  </si>
  <si>
    <t>wrestling</t>
  </si>
  <si>
    <t>grapple</t>
  </si>
  <si>
    <t>grappling</t>
  </si>
  <si>
    <t>hand-to-hand_struggle</t>
  </si>
  <si>
    <t>πάλι</t>
  </si>
  <si>
    <t>πιγούνι</t>
  </si>
  <si>
    <t>p i ɣ u n i</t>
  </si>
  <si>
    <t>pikuni</t>
  </si>
  <si>
    <t>chin</t>
  </si>
  <si>
    <t>mentum</t>
  </si>
  <si>
    <t>πουλιά</t>
  </si>
  <si>
    <t>p u ʎ a</t>
  </si>
  <si>
    <t>pulla</t>
  </si>
  <si>
    <t>σατανάσ</t>
  </si>
  <si>
    <t>s a t a n a s</t>
  </si>
  <si>
    <t>satanas</t>
  </si>
  <si>
    <t>eng_latn_uk_broad.tsv</t>
  </si>
  <si>
    <t>em</t>
  </si>
  <si>
    <t>ɪ m</t>
  </si>
  <si>
    <t>aach</t>
  </si>
  <si>
    <t>æ k</t>
  </si>
  <si>
    <t>aacu</t>
  </si>
  <si>
    <t>æ k ʊ</t>
  </si>
  <si>
    <t>acetal</t>
  </si>
  <si>
    <t>æ s ɪ t æ l</t>
  </si>
  <si>
    <t>asital</t>
  </si>
  <si>
    <t>ack</t>
  </si>
  <si>
    <t>acyl</t>
  </si>
  <si>
    <t>æ s ɪ l</t>
  </si>
  <si>
    <t>asil</t>
  </si>
  <si>
    <t>acyl_group</t>
  </si>
  <si>
    <t>ag</t>
  </si>
  <si>
    <t>a x</t>
  </si>
  <si>
    <t>silver</t>
  </si>
  <si>
    <t>Ag</t>
  </si>
  <si>
    <t>atomic_number_47</t>
  </si>
  <si>
    <t>ahi</t>
  </si>
  <si>
    <t>ɑ h i</t>
  </si>
  <si>
    <t>akh</t>
  </si>
  <si>
    <t>akhi</t>
  </si>
  <si>
    <t>æ k i</t>
  </si>
  <si>
    <t>æ l</t>
  </si>
  <si>
    <t>Alabama</t>
  </si>
  <si>
    <t>Heart_of_Dixie</t>
  </si>
  <si>
    <t>Camellia_State</t>
  </si>
  <si>
    <t>AL</t>
  </si>
  <si>
    <t>alec</t>
  </si>
  <si>
    <t>æ l ɪ k</t>
  </si>
  <si>
    <t>alik</t>
  </si>
  <si>
    <t>alemannic</t>
  </si>
  <si>
    <t>æ l ɪ m æ n ɪ k</t>
  </si>
  <si>
    <t>alimanik</t>
  </si>
  <si>
    <t>ali</t>
  </si>
  <si>
    <t>æ l i</t>
  </si>
  <si>
    <t>Ali</t>
  </si>
  <si>
    <t>Muhammad_Ali</t>
  </si>
  <si>
    <t>Cassius_Clay</t>
  </si>
  <si>
    <t>Cassius_Marcellus_Clay</t>
  </si>
  <si>
    <t>alice</t>
  </si>
  <si>
    <t>æ l ɪ s</t>
  </si>
  <si>
    <t>alis</t>
  </si>
  <si>
    <t>alley</t>
  </si>
  <si>
    <t>alleyway</t>
  </si>
  <si>
    <t>back_street</t>
  </si>
  <si>
    <t>bowling_alley</t>
  </si>
  <si>
    <t>skittle_alley</t>
  </si>
  <si>
    <t>alleyman</t>
  </si>
  <si>
    <t>a l i m a n</t>
  </si>
  <si>
    <t>aliman</t>
  </si>
  <si>
    <t>allice</t>
  </si>
  <si>
    <t>a l ɪ s</t>
  </si>
  <si>
    <t>allice_shad</t>
  </si>
  <si>
    <t>allis_shad</t>
  </si>
  <si>
    <t>allis</t>
  </si>
  <si>
    <t>Alosa_alosa</t>
  </si>
  <si>
    <t>ally</t>
  </si>
  <si>
    <t>allyl</t>
  </si>
  <si>
    <t>æ l ɪ l</t>
  </si>
  <si>
    <t>alil</t>
  </si>
  <si>
    <t>allyl_group</t>
  </si>
  <si>
    <t>allyl_radical</t>
  </si>
  <si>
    <t>æ m ɪ n</t>
  </si>
  <si>
    <t>amish</t>
  </si>
  <si>
    <t>æ m ɪ ʃ</t>
  </si>
  <si>
    <t>Amish</t>
  </si>
  <si>
    <t>amyl</t>
  </si>
  <si>
    <t>æ m ɪ l</t>
  </si>
  <si>
    <t>amil</t>
  </si>
  <si>
    <t>æ n</t>
  </si>
  <si>
    <t>Associate_in_Nursing</t>
  </si>
  <si>
    <t>AN</t>
  </si>
  <si>
    <t>an'</t>
  </si>
  <si>
    <t>animatic</t>
  </si>
  <si>
    <t>æ n ɪ m æ t ɪ k</t>
  </si>
  <si>
    <t>animatik</t>
  </si>
  <si>
    <t>animu</t>
  </si>
  <si>
    <t>æ n ɪ m u</t>
  </si>
  <si>
    <t>æ n ɪ s</t>
  </si>
  <si>
    <t>ann</t>
  </si>
  <si>
    <t>anne</t>
  </si>
  <si>
    <t>Anne</t>
  </si>
  <si>
    <t>annish</t>
  </si>
  <si>
    <t>æ n ɪ ʃ</t>
  </si>
  <si>
    <t>anish</t>
  </si>
  <si>
    <t>æ n i</t>
  </si>
  <si>
    <t>whatever</t>
  </si>
  <si>
    <t>whatsoever</t>
  </si>
  <si>
    <t>æ p</t>
  </si>
  <si>
    <t>appy</t>
  </si>
  <si>
    <t>æ p i</t>
  </si>
  <si>
    <t>æ s</t>
  </si>
  <si>
    <t>arsenic</t>
  </si>
  <si>
    <t>As</t>
  </si>
  <si>
    <t>atomic_number_33</t>
  </si>
  <si>
    <t>American_Samoa</t>
  </si>
  <si>
    <t>Eastern_Samoa</t>
  </si>
  <si>
    <t>AS</t>
  </si>
  <si>
    <t>angstrom</t>
  </si>
  <si>
    <t>angstrom_unit</t>
  </si>
  <si>
    <t>A</t>
  </si>
  <si>
    <t>vitamin_A</t>
  </si>
  <si>
    <t>antiophthalmic_factor</t>
  </si>
  <si>
    <t>axerophthol</t>
  </si>
  <si>
    <t>deoxyadenosine_monophosphate</t>
  </si>
  <si>
    <t>adenine</t>
  </si>
  <si>
    <t>ampere</t>
  </si>
  <si>
    <t>amp</t>
  </si>
  <si>
    <t>a</t>
  </si>
  <si>
    <t>type_A</t>
  </si>
  <si>
    <t>group_A</t>
  </si>
  <si>
    <t>equally</t>
  </si>
  <si>
    <t>every_bit</t>
  </si>
  <si>
    <t>asenath</t>
  </si>
  <si>
    <t>æ s ɪ n æ θ</t>
  </si>
  <si>
    <t>asinath</t>
  </si>
  <si>
    <t>ash</t>
  </si>
  <si>
    <t>æ ʃ</t>
  </si>
  <si>
    <t>ash_tree</t>
  </si>
  <si>
    <t>ashen</t>
  </si>
  <si>
    <t>æ ʃ ɪ n</t>
  </si>
  <si>
    <t>ashin</t>
  </si>
  <si>
    <t>blanched</t>
  </si>
  <si>
    <t>bloodless</t>
  </si>
  <si>
    <t>livid</t>
  </si>
  <si>
    <t>white</t>
  </si>
  <si>
    <t>ashy</t>
  </si>
  <si>
    <t>æ ʃ i</t>
  </si>
  <si>
    <t>ashi</t>
  </si>
  <si>
    <t>ash-grey</t>
  </si>
  <si>
    <t>ash-gray</t>
  </si>
  <si>
    <t>fuck</t>
  </si>
  <si>
    <t>fucking</t>
  </si>
  <si>
    <t>screw</t>
  </si>
  <si>
    <t>screwing</t>
  </si>
  <si>
    <t>nooky</t>
  </si>
  <si>
    <t>nookie</t>
  </si>
  <si>
    <t>piece_of_ass</t>
  </si>
  <si>
    <t>piece_of_tail</t>
  </si>
  <si>
    <t>roll_in_the_hay</t>
  </si>
  <si>
    <t>shag</t>
  </si>
  <si>
    <t>shtup</t>
  </si>
  <si>
    <t>assam</t>
  </si>
  <si>
    <t>æ s æ m</t>
  </si>
  <si>
    <t>asam</t>
  </si>
  <si>
    <t>Assam</t>
  </si>
  <si>
    <t>asse</t>
  </si>
  <si>
    <t>assish</t>
  </si>
  <si>
    <t>æ s ɪ ʃ</t>
  </si>
  <si>
    <t>asish</t>
  </si>
  <si>
    <t>atimy</t>
  </si>
  <si>
    <t>æ t ɪ m i</t>
  </si>
  <si>
    <t>atimi</t>
  </si>
  <si>
    <t>attic</t>
  </si>
  <si>
    <t>æ t ɪ k</t>
  </si>
  <si>
    <t>garret</t>
  </si>
  <si>
    <t>bean</t>
  </si>
  <si>
    <t>bonce</t>
  </si>
  <si>
    <t>noodle</t>
  </si>
  <si>
    <t>noggin</t>
  </si>
  <si>
    <t>dome</t>
  </si>
  <si>
    <t>ayin</t>
  </si>
  <si>
    <t>ɑ j ɪ n</t>
  </si>
  <si>
    <t>k æ ʃ</t>
  </si>
  <si>
    <t>kash</t>
  </si>
  <si>
    <t>memory_cache</t>
  </si>
  <si>
    <t>cack</t>
  </si>
  <si>
    <t>k æ k</t>
  </si>
  <si>
    <t>caen</t>
  </si>
  <si>
    <t>k ɑ n</t>
  </si>
  <si>
    <t>k æ l</t>
  </si>
  <si>
    <t>cali</t>
  </si>
  <si>
    <t>k æ l i</t>
  </si>
  <si>
    <t>Cali</t>
  </si>
  <si>
    <t>calipash</t>
  </si>
  <si>
    <t>k æ l ɪ p æ ʃ</t>
  </si>
  <si>
    <t>kalipash</t>
  </si>
  <si>
    <t>callipash</t>
  </si>
  <si>
    <t>cami</t>
  </si>
  <si>
    <t>k æ m i</t>
  </si>
  <si>
    <t>camis</t>
  </si>
  <si>
    <t>k æ m ɪ s</t>
  </si>
  <si>
    <t>kamis</t>
  </si>
  <si>
    <t>k æ n</t>
  </si>
  <si>
    <t>tin</t>
  </si>
  <si>
    <t>tin_can</t>
  </si>
  <si>
    <t>canful</t>
  </si>
  <si>
    <t>can_buoy</t>
  </si>
  <si>
    <t>toilet</t>
  </si>
  <si>
    <t>commode</t>
  </si>
  <si>
    <t>crapper</t>
  </si>
  <si>
    <t>potty</t>
  </si>
  <si>
    <t>stool</t>
  </si>
  <si>
    <t>throne</t>
  </si>
  <si>
    <t>lavatory</t>
  </si>
  <si>
    <t>lav</t>
  </si>
  <si>
    <t>john</t>
  </si>
  <si>
    <t>privy</t>
  </si>
  <si>
    <t>bathroom</t>
  </si>
  <si>
    <t>displace</t>
  </si>
  <si>
    <t>give_notice</t>
  </si>
  <si>
    <t>dismiss</t>
  </si>
  <si>
    <t>give_the_axe</t>
  </si>
  <si>
    <t>send_away</t>
  </si>
  <si>
    <t>force_out</t>
  </si>
  <si>
    <t>give_the_sack</t>
  </si>
  <si>
    <t>cannes</t>
  </si>
  <si>
    <t>Cannes</t>
  </si>
  <si>
    <t>canny</t>
  </si>
  <si>
    <t>k æ n i</t>
  </si>
  <si>
    <t>cagey</t>
  </si>
  <si>
    <t>cagy</t>
  </si>
  <si>
    <t>clever</t>
  </si>
  <si>
    <t>k æ p</t>
  </si>
  <si>
    <t>detonator</t>
  </si>
  <si>
    <t>detonating_device</t>
  </si>
  <si>
    <t>pileus</t>
  </si>
  <si>
    <t>hood</t>
  </si>
  <si>
    <t>ceiling</t>
  </si>
  <si>
    <t>roof</t>
  </si>
  <si>
    <t>crownwork</t>
  </si>
  <si>
    <t>jacket</t>
  </si>
  <si>
    <t>jacket_crown</t>
  </si>
  <si>
    <t>chapiter</t>
  </si>
  <si>
    <t>capitan</t>
  </si>
  <si>
    <t>k æ p ɪ t æ n</t>
  </si>
  <si>
    <t>kapitan</t>
  </si>
  <si>
    <t>cappie</t>
  </si>
  <si>
    <t>k æ p i</t>
  </si>
  <si>
    <t>cash</t>
  </si>
  <si>
    <t>hard_cash</t>
  </si>
  <si>
    <t>hard_currency</t>
  </si>
  <si>
    <t>immediate_payment</t>
  </si>
  <si>
    <t>Cash</t>
  </si>
  <si>
    <t>Johnny_Cash</t>
  </si>
  <si>
    <t>John_Cash</t>
  </si>
  <si>
    <t>cash_in</t>
  </si>
  <si>
    <t>cath</t>
  </si>
  <si>
    <t>k æ θ</t>
  </si>
  <si>
    <t>kath</t>
  </si>
  <si>
    <t>cathy</t>
  </si>
  <si>
    <t>k æ θ i</t>
  </si>
  <si>
    <t>kathi</t>
  </si>
  <si>
    <t>challis</t>
  </si>
  <si>
    <t>ʃ æ l i</t>
  </si>
  <si>
    <t>shali</t>
  </si>
  <si>
    <t>cham</t>
  </si>
  <si>
    <t>k æ m</t>
  </si>
  <si>
    <t>ʃ æ m i</t>
  </si>
  <si>
    <t>shami</t>
  </si>
  <si>
    <t>chappe</t>
  </si>
  <si>
    <t>ʃ æ p</t>
  </si>
  <si>
    <t>shap</t>
  </si>
  <si>
    <t>chasse</t>
  </si>
  <si>
    <t>ʃ æ s</t>
  </si>
  <si>
    <t>shas</t>
  </si>
  <si>
    <t>sashay</t>
  </si>
  <si>
    <t>chassis</t>
  </si>
  <si>
    <t>ʃ æ s i</t>
  </si>
  <si>
    <t>shasi</t>
  </si>
  <si>
    <t>human_body</t>
  </si>
  <si>
    <t>physical_body</t>
  </si>
  <si>
    <t>material_body</t>
  </si>
  <si>
    <t>soma</t>
  </si>
  <si>
    <t>build</t>
  </si>
  <si>
    <t>physique</t>
  </si>
  <si>
    <t>anatomy</t>
  </si>
  <si>
    <t>shape</t>
  </si>
  <si>
    <t>bod</t>
  </si>
  <si>
    <t>frame</t>
  </si>
  <si>
    <t>flesh</t>
  </si>
  <si>
    <t>chichi</t>
  </si>
  <si>
    <t>ʃ i ʃ i</t>
  </si>
  <si>
    <t>shishi</t>
  </si>
  <si>
    <t>chic</t>
  </si>
  <si>
    <t>chicness</t>
  </si>
  <si>
    <t>modishness</t>
  </si>
  <si>
    <t>smartness</t>
  </si>
  <si>
    <t>stylishness</t>
  </si>
  <si>
    <t>swank</t>
  </si>
  <si>
    <t>last_word</t>
  </si>
  <si>
    <t>chinook</t>
  </si>
  <si>
    <t>ʃ ɪ n ʊ k</t>
  </si>
  <si>
    <t>shinuk</t>
  </si>
  <si>
    <t>chinook_wind</t>
  </si>
  <si>
    <t>snow_eater</t>
  </si>
  <si>
    <t>Chinook</t>
  </si>
  <si>
    <t>chinook_salmon</t>
  </si>
  <si>
    <t>king_salmon</t>
  </si>
  <si>
    <t>Chinookan</t>
  </si>
  <si>
    <t>quinnat_salmon</t>
  </si>
  <si>
    <t>Oncorhynchus_tshawytscha</t>
  </si>
  <si>
    <t>cis</t>
  </si>
  <si>
    <t>s ɪ s</t>
  </si>
  <si>
    <t>Commonwealth_of_Independent_States</t>
  </si>
  <si>
    <t>CIS</t>
  </si>
  <si>
    <t>curie</t>
  </si>
  <si>
    <t>Ci</t>
  </si>
  <si>
    <t>ciss</t>
  </si>
  <si>
    <t>cissy</t>
  </si>
  <si>
    <t>s ɪ s i</t>
  </si>
  <si>
    <t>sisi</t>
  </si>
  <si>
    <t>effeminate</t>
  </si>
  <si>
    <t>emasculate</t>
  </si>
  <si>
    <t>epicene</t>
  </si>
  <si>
    <t>sissified</t>
  </si>
  <si>
    <t>sissyish</t>
  </si>
  <si>
    <t>sissy</t>
  </si>
  <si>
    <t>city</t>
  </si>
  <si>
    <t>s ɪ t i</t>
  </si>
  <si>
    <t>metropolis</t>
  </si>
  <si>
    <t>urban_center</t>
  </si>
  <si>
    <t>cook</t>
  </si>
  <si>
    <t>k ʊ k</t>
  </si>
  <si>
    <t>Cook</t>
  </si>
  <si>
    <t>James_Cook</t>
  </si>
  <si>
    <t>Captain_Cook</t>
  </si>
  <si>
    <t>Captain_James_Cook</t>
  </si>
  <si>
    <t>fix</t>
  </si>
  <si>
    <t>ready</t>
  </si>
  <si>
    <t>prepare</t>
  </si>
  <si>
    <t>fudge</t>
  </si>
  <si>
    <t>fake</t>
  </si>
  <si>
    <t>falsify</t>
  </si>
  <si>
    <t>wangle</t>
  </si>
  <si>
    <t>misrepresent</t>
  </si>
  <si>
    <t>k ʊ k i</t>
  </si>
  <si>
    <t>cooky</t>
  </si>
  <si>
    <t>biscuit</t>
  </si>
  <si>
    <t>cooley</t>
  </si>
  <si>
    <t>cum</t>
  </si>
  <si>
    <t>k ʊ m</t>
  </si>
  <si>
    <t>kum</t>
  </si>
  <si>
    <t>semen</t>
  </si>
  <si>
    <t>seed</t>
  </si>
  <si>
    <t>seminal_fluid</t>
  </si>
  <si>
    <t>ejaculate</t>
  </si>
  <si>
    <t>cush</t>
  </si>
  <si>
    <t>k ʊ ʃ</t>
  </si>
  <si>
    <t>kush</t>
  </si>
  <si>
    <t>cushy</t>
  </si>
  <si>
    <t>k ʊ ʃ i</t>
  </si>
  <si>
    <t>soft</t>
  </si>
  <si>
    <t>easygoing</t>
  </si>
  <si>
    <t>cwm</t>
  </si>
  <si>
    <t>cirque</t>
  </si>
  <si>
    <t>corrie</t>
  </si>
  <si>
    <t>s ɪ n ɪ k</t>
  </si>
  <si>
    <t>Cynic</t>
  </si>
  <si>
    <t>eep</t>
  </si>
  <si>
    <t>i p</t>
  </si>
  <si>
    <t>ip</t>
  </si>
  <si>
    <t>eunice</t>
  </si>
  <si>
    <t>j u n ɪ s</t>
  </si>
  <si>
    <t>yunis</t>
  </si>
  <si>
    <t>euth</t>
  </si>
  <si>
    <t>j u θ</t>
  </si>
  <si>
    <t>yuth</t>
  </si>
  <si>
    <t>eyak</t>
  </si>
  <si>
    <t>i j æ k</t>
  </si>
  <si>
    <t>iyak</t>
  </si>
  <si>
    <t>gnash</t>
  </si>
  <si>
    <t>n æ ʃ</t>
  </si>
  <si>
    <t>gnathic</t>
  </si>
  <si>
    <t>n æ θ ɪ k</t>
  </si>
  <si>
    <t>nathik</t>
  </si>
  <si>
    <t>h æ k</t>
  </si>
  <si>
    <t>hak</t>
  </si>
  <si>
    <t>drudge</t>
  </si>
  <si>
    <t>hacker</t>
  </si>
  <si>
    <t>machine_politician</t>
  </si>
  <si>
    <t>ward-heeler</t>
  </si>
  <si>
    <t>political_hack</t>
  </si>
  <si>
    <t>hack_writer</t>
  </si>
  <si>
    <t>literary_hack</t>
  </si>
  <si>
    <t>cab</t>
  </si>
  <si>
    <t>taxi</t>
  </si>
  <si>
    <t>taxicab</t>
  </si>
  <si>
    <t>jade</t>
  </si>
  <si>
    <t>nag</t>
  </si>
  <si>
    <t>hack_on</t>
  </si>
  <si>
    <t>whoop</t>
  </si>
  <si>
    <t>hah</t>
  </si>
  <si>
    <t>h æ l</t>
  </si>
  <si>
    <t>halley</t>
  </si>
  <si>
    <t>h æ l i</t>
  </si>
  <si>
    <t>hali</t>
  </si>
  <si>
    <t>Halley</t>
  </si>
  <si>
    <t>Edmond_Halley</t>
  </si>
  <si>
    <t>Edmund_Halley</t>
  </si>
  <si>
    <t>hally</t>
  </si>
  <si>
    <t>h æ m</t>
  </si>
  <si>
    <t>jambon</t>
  </si>
  <si>
    <t>gammon</t>
  </si>
  <si>
    <t>Ham</t>
  </si>
  <si>
    <t>ham_actor</t>
  </si>
  <si>
    <t>overact</t>
  </si>
  <si>
    <t>ham_it_up</t>
  </si>
  <si>
    <t>overplay</t>
  </si>
  <si>
    <t>Han</t>
  </si>
  <si>
    <t>Han_dynasty</t>
  </si>
  <si>
    <t>h æ p</t>
  </si>
  <si>
    <t>happiness</t>
  </si>
  <si>
    <t>h æ p i n ɪ s</t>
  </si>
  <si>
    <t>hapinis</t>
  </si>
  <si>
    <t>felicity</t>
  </si>
  <si>
    <t>happy</t>
  </si>
  <si>
    <t>h æ p i</t>
  </si>
  <si>
    <t>hapi</t>
  </si>
  <si>
    <t>felicitous</t>
  </si>
  <si>
    <t>glad</t>
  </si>
  <si>
    <t>well-chosen</t>
  </si>
  <si>
    <t>hash</t>
  </si>
  <si>
    <t>h æ ʃ</t>
  </si>
  <si>
    <t>hashish</t>
  </si>
  <si>
    <t>hasheesh</t>
  </si>
  <si>
    <t>haschisch</t>
  </si>
  <si>
    <t>h æ ʃ ɪ ʃ</t>
  </si>
  <si>
    <t>hath</t>
  </si>
  <si>
    <t>h æ θ</t>
  </si>
  <si>
    <t>he</t>
  </si>
  <si>
    <t>h i</t>
  </si>
  <si>
    <t>hi</t>
  </si>
  <si>
    <t>helium</t>
  </si>
  <si>
    <t>He</t>
  </si>
  <si>
    <t>atomic_number_2</t>
  </si>
  <si>
    <t>he'll</t>
  </si>
  <si>
    <t>h ɪ l</t>
  </si>
  <si>
    <t>hil</t>
  </si>
  <si>
    <t>hem</t>
  </si>
  <si>
    <t>h ɪ m</t>
  </si>
  <si>
    <t>him</t>
  </si>
  <si>
    <t>ahem</t>
  </si>
  <si>
    <t>hemic</t>
  </si>
  <si>
    <t>h i m ɪ k</t>
  </si>
  <si>
    <t>himik</t>
  </si>
  <si>
    <t>haemic</t>
  </si>
  <si>
    <t>hematic</t>
  </si>
  <si>
    <t>haematic</t>
  </si>
  <si>
    <t>hemin</t>
  </si>
  <si>
    <t>h i m ɪ n</t>
  </si>
  <si>
    <t>himin</t>
  </si>
  <si>
    <t>protohemin</t>
  </si>
  <si>
    <t>hepatic</t>
  </si>
  <si>
    <t>h ɪ p æ t ɪ k</t>
  </si>
  <si>
    <t>hipatik</t>
  </si>
  <si>
    <t>liverwort</t>
  </si>
  <si>
    <t>hick</t>
  </si>
  <si>
    <t>h ɪ k</t>
  </si>
  <si>
    <t>hik</t>
  </si>
  <si>
    <t>yokel</t>
  </si>
  <si>
    <t>rube</t>
  </si>
  <si>
    <t>yahoo</t>
  </si>
  <si>
    <t>hayseed</t>
  </si>
  <si>
    <t>bumpkin</t>
  </si>
  <si>
    <t>chawbacon</t>
  </si>
  <si>
    <t>bumpkinly</t>
  </si>
  <si>
    <t>rustic</t>
  </si>
  <si>
    <t>unsophisticated</t>
  </si>
  <si>
    <t>hickey</t>
  </si>
  <si>
    <t>h ɪ k i</t>
  </si>
  <si>
    <t>hiki</t>
  </si>
  <si>
    <t>pimple</t>
  </si>
  <si>
    <t>zit</t>
  </si>
  <si>
    <t>love_bite</t>
  </si>
  <si>
    <t>Hill</t>
  </si>
  <si>
    <t>J._J._Hill</t>
  </si>
  <si>
    <t>James_Jerome_Hill</t>
  </si>
  <si>
    <t>Benny_Hill</t>
  </si>
  <si>
    <t>Alfred_Hawthorne</t>
  </si>
  <si>
    <t>pitcher's_mound</t>
  </si>
  <si>
    <t>hilly</t>
  </si>
  <si>
    <t>h ɪ l i</t>
  </si>
  <si>
    <t>hili</t>
  </si>
  <si>
    <t>cragged</t>
  </si>
  <si>
    <t>craggy</t>
  </si>
  <si>
    <t>mountainous</t>
  </si>
  <si>
    <t>hinny</t>
  </si>
  <si>
    <t>h ɪ n i</t>
  </si>
  <si>
    <t>hini</t>
  </si>
  <si>
    <t>h ɪ p</t>
  </si>
  <si>
    <t>pelvis</t>
  </si>
  <si>
    <t>pelvic_girdle</t>
  </si>
  <si>
    <t>pelvic_arch</t>
  </si>
  <si>
    <t>rose_hip</t>
  </si>
  <si>
    <t>rosehip</t>
  </si>
  <si>
    <t>hep</t>
  </si>
  <si>
    <t>hip_to</t>
  </si>
  <si>
    <t>hippic</t>
  </si>
  <si>
    <t>h ɪ p ɪ k</t>
  </si>
  <si>
    <t>hipik</t>
  </si>
  <si>
    <t>hippie</t>
  </si>
  <si>
    <t>h ɪ p i</t>
  </si>
  <si>
    <t>hipi</t>
  </si>
  <si>
    <t>hippy</t>
  </si>
  <si>
    <t>hipster</t>
  </si>
  <si>
    <t>flower_child</t>
  </si>
  <si>
    <t>hiss</t>
  </si>
  <si>
    <t>h ɪ s</t>
  </si>
  <si>
    <t>his</t>
  </si>
  <si>
    <t>hissing</t>
  </si>
  <si>
    <t>hushing</t>
  </si>
  <si>
    <t>fizzle</t>
  </si>
  <si>
    <t>sibilation</t>
  </si>
  <si>
    <t>boo</t>
  </si>
  <si>
    <t>hoot</t>
  </si>
  <si>
    <t>Bronx_cheer</t>
  </si>
  <si>
    <t>raspberry</t>
  </si>
  <si>
    <t>razzing</t>
  </si>
  <si>
    <t>razz</t>
  </si>
  <si>
    <t>snort</t>
  </si>
  <si>
    <t>siss</t>
  </si>
  <si>
    <t>sizz</t>
  </si>
  <si>
    <t>sibilate</t>
  </si>
  <si>
    <t>whoosh</t>
  </si>
  <si>
    <t>hissy</t>
  </si>
  <si>
    <t>h ɪ s i</t>
  </si>
  <si>
    <t>hisi</t>
  </si>
  <si>
    <t>hook</t>
  </si>
  <si>
    <t>h ʊ k</t>
  </si>
  <si>
    <t>huk</t>
  </si>
  <si>
    <t>crotchet</t>
  </si>
  <si>
    <t>come-on</t>
  </si>
  <si>
    <t>sweetener</t>
  </si>
  <si>
    <t>claw</t>
  </si>
  <si>
    <t>hooking</t>
  </si>
  <si>
    <t>hook_shot</t>
  </si>
  <si>
    <t>overcharge</t>
  </si>
  <si>
    <t>surcharge</t>
  </si>
  <si>
    <t>gazump</t>
  </si>
  <si>
    <t>plume</t>
  </si>
  <si>
    <t>pluck</t>
  </si>
  <si>
    <t>rob</t>
  </si>
  <si>
    <t>crochet</t>
  </si>
  <si>
    <t>snitch</t>
  </si>
  <si>
    <t>thieve</t>
  </si>
  <si>
    <t>cop</t>
  </si>
  <si>
    <t>knock_off</t>
  </si>
  <si>
    <t>glom</t>
  </si>
  <si>
    <t>pilfer</t>
  </si>
  <si>
    <t>cabbage</t>
  </si>
  <si>
    <t>purloin</t>
  </si>
  <si>
    <t>pinch</t>
  </si>
  <si>
    <t>abstract</t>
  </si>
  <si>
    <t>snarf</t>
  </si>
  <si>
    <t>swipe</t>
  </si>
  <si>
    <t>sneak</t>
  </si>
  <si>
    <t>filch</t>
  </si>
  <si>
    <t>nobble</t>
  </si>
  <si>
    <t>addict</t>
  </si>
  <si>
    <t>snare</t>
  </si>
  <si>
    <t>solicit</t>
  </si>
  <si>
    <t>accost</t>
  </si>
  <si>
    <t>hooky</t>
  </si>
  <si>
    <t>h ʊ k i</t>
  </si>
  <si>
    <t>huki</t>
  </si>
  <si>
    <t>truancy</t>
  </si>
  <si>
    <t>h ʊ ʃ</t>
  </si>
  <si>
    <t>stillness</t>
  </si>
  <si>
    <t>still</t>
  </si>
  <si>
    <t>hush_up</t>
  </si>
  <si>
    <t>hymn</t>
  </si>
  <si>
    <t>anthem</t>
  </si>
  <si>
    <t>hyp</t>
  </si>
  <si>
    <t>i'll</t>
  </si>
  <si>
    <t>i'n</t>
  </si>
  <si>
    <t>ich</t>
  </si>
  <si>
    <t>ɪ k</t>
  </si>
  <si>
    <t>ik</t>
  </si>
  <si>
    <t>ick</t>
  </si>
  <si>
    <t>icky</t>
  </si>
  <si>
    <t>ɪ k i</t>
  </si>
  <si>
    <t>iki</t>
  </si>
  <si>
    <t>crappy</t>
  </si>
  <si>
    <t>lousy</t>
  </si>
  <si>
    <t>rotten</t>
  </si>
  <si>
    <t>shitty</t>
  </si>
  <si>
    <t>stinking</t>
  </si>
  <si>
    <t>stinky</t>
  </si>
  <si>
    <t>gooey</t>
  </si>
  <si>
    <t>ɪ l</t>
  </si>
  <si>
    <t>il</t>
  </si>
  <si>
    <t>inauspicious</t>
  </si>
  <si>
    <t>ominous</t>
  </si>
  <si>
    <t>badly</t>
  </si>
  <si>
    <t>poorly</t>
  </si>
  <si>
    <t>inch</t>
  </si>
  <si>
    <t>indium</t>
  </si>
  <si>
    <t>In</t>
  </si>
  <si>
    <t>atomic_number_49</t>
  </si>
  <si>
    <t>Indiana</t>
  </si>
  <si>
    <t>Hoosier_State</t>
  </si>
  <si>
    <t>IN</t>
  </si>
  <si>
    <t>inwards</t>
  </si>
  <si>
    <t>inward</t>
  </si>
  <si>
    <t>inanity</t>
  </si>
  <si>
    <t>ɪ n æ n ɪ t i</t>
  </si>
  <si>
    <t>inaniti</t>
  </si>
  <si>
    <t>senselessness</t>
  </si>
  <si>
    <t>mindlessness</t>
  </si>
  <si>
    <t>vacuity</t>
  </si>
  <si>
    <t>pointlessness</t>
  </si>
  <si>
    <t>hostel</t>
  </si>
  <si>
    <t>hostelry</t>
  </si>
  <si>
    <t>lodge</t>
  </si>
  <si>
    <t>auberge</t>
  </si>
  <si>
    <t>innie</t>
  </si>
  <si>
    <t>ɪ n i</t>
  </si>
  <si>
    <t>ini</t>
  </si>
  <si>
    <t>ipecac</t>
  </si>
  <si>
    <t>ɪ p ɪ k æ k</t>
  </si>
  <si>
    <t>ipikak</t>
  </si>
  <si>
    <t>ɪ ʃ</t>
  </si>
  <si>
    <t>italic</t>
  </si>
  <si>
    <t>ɪ t a l ɪ k</t>
  </si>
  <si>
    <t>italik</t>
  </si>
  <si>
    <t>Italic</t>
  </si>
  <si>
    <t>Italic_language</t>
  </si>
  <si>
    <t>ɪ t æ l ɪ k</t>
  </si>
  <si>
    <t>italish</t>
  </si>
  <si>
    <t>ɪ t æ l ɪ ʃ</t>
  </si>
  <si>
    <t>ith</t>
  </si>
  <si>
    <t>ɪ θ</t>
  </si>
  <si>
    <t>itty</t>
  </si>
  <si>
    <t>ɪ t i</t>
  </si>
  <si>
    <t>iti</t>
  </si>
  <si>
    <t>jan</t>
  </si>
  <si>
    <t>j æ n</t>
  </si>
  <si>
    <t>yan</t>
  </si>
  <si>
    <t>January</t>
  </si>
  <si>
    <t>Jan</t>
  </si>
  <si>
    <t>j ɑ n</t>
  </si>
  <si>
    <t>jass</t>
  </si>
  <si>
    <t>j a s</t>
  </si>
  <si>
    <t>yas</t>
  </si>
  <si>
    <t>k æ k i</t>
  </si>
  <si>
    <t>Japanese_persimmon</t>
  </si>
  <si>
    <t>Diospyros_kaki</t>
  </si>
  <si>
    <t>Himantopus_novae-zelandiae</t>
  </si>
  <si>
    <t>kanny</t>
  </si>
  <si>
    <t>k ɪ k</t>
  </si>
  <si>
    <t>kik</t>
  </si>
  <si>
    <t>boot</t>
  </si>
  <si>
    <t>kicking</t>
  </si>
  <si>
    <t>bang</t>
  </si>
  <si>
    <t>rush</t>
  </si>
  <si>
    <t>flush</t>
  </si>
  <si>
    <t>thrill</t>
  </si>
  <si>
    <t>recoil</t>
  </si>
  <si>
    <t>gripe</t>
  </si>
  <si>
    <t>beef</t>
  </si>
  <si>
    <t>bitch</t>
  </si>
  <si>
    <t>squawk</t>
  </si>
  <si>
    <t>kick_back</t>
  </si>
  <si>
    <t>complain</t>
  </si>
  <si>
    <t>plain</t>
  </si>
  <si>
    <t>sound_off</t>
  </si>
  <si>
    <t>quetch</t>
  </si>
  <si>
    <t>kvetch</t>
  </si>
  <si>
    <t>k ɪ l</t>
  </si>
  <si>
    <t>killing</t>
  </si>
  <si>
    <t>putting_to_death</t>
  </si>
  <si>
    <t>shoot_down</t>
  </si>
  <si>
    <t>vote_down</t>
  </si>
  <si>
    <t>vote_out</t>
  </si>
  <si>
    <t>toss_off</t>
  </si>
  <si>
    <t>bolt_down</t>
  </si>
  <si>
    <t>belt_down</t>
  </si>
  <si>
    <t>pour_down</t>
  </si>
  <si>
    <t>drink_down</t>
  </si>
  <si>
    <t>obliterate</t>
  </si>
  <si>
    <t>wipe_out</t>
  </si>
  <si>
    <t>k ɪ m</t>
  </si>
  <si>
    <t>kimmy</t>
  </si>
  <si>
    <t>k ɪ m i</t>
  </si>
  <si>
    <t>kimi</t>
  </si>
  <si>
    <t>k ɪ n</t>
  </si>
  <si>
    <t>kinsperson</t>
  </si>
  <si>
    <t>kin_group</t>
  </si>
  <si>
    <t>kinship_group</t>
  </si>
  <si>
    <t>kindred</t>
  </si>
  <si>
    <t>clan</t>
  </si>
  <si>
    <t>tribe</t>
  </si>
  <si>
    <t>akin</t>
  </si>
  <si>
    <t>blood-related</t>
  </si>
  <si>
    <t>cognate</t>
  </si>
  <si>
    <t>consanguine</t>
  </si>
  <si>
    <t>consanguineous</t>
  </si>
  <si>
    <t>consanguineal</t>
  </si>
  <si>
    <t>kinematic</t>
  </si>
  <si>
    <t>k ɪ n ɪ m æ t ɪ k</t>
  </si>
  <si>
    <t>kinimatik</t>
  </si>
  <si>
    <t>kinney</t>
  </si>
  <si>
    <t>k ɪ n i</t>
  </si>
  <si>
    <t>kini</t>
  </si>
  <si>
    <t>kinnikinnick</t>
  </si>
  <si>
    <t>k ɪ n ɪ k ɪ n ɪ k</t>
  </si>
  <si>
    <t>kinikinik</t>
  </si>
  <si>
    <t>kip</t>
  </si>
  <si>
    <t>k ɪ p</t>
  </si>
  <si>
    <t>upstart</t>
  </si>
  <si>
    <t>sleep</t>
  </si>
  <si>
    <t>slumber</t>
  </si>
  <si>
    <t>log_Z's</t>
  </si>
  <si>
    <t>catch_some_Z's</t>
  </si>
  <si>
    <t>kish</t>
  </si>
  <si>
    <t>k ɪ ʃ</t>
  </si>
  <si>
    <t>kiss</t>
  </si>
  <si>
    <t>k ɪ s</t>
  </si>
  <si>
    <t>kis</t>
  </si>
  <si>
    <t>buss</t>
  </si>
  <si>
    <t>osculation</t>
  </si>
  <si>
    <t>candy_kiss</t>
  </si>
  <si>
    <t>snog</t>
  </si>
  <si>
    <t>osculate</t>
  </si>
  <si>
    <t>kith</t>
  </si>
  <si>
    <t>k ɪ θ</t>
  </si>
  <si>
    <t>k ɪ t i</t>
  </si>
  <si>
    <t>kiti</t>
  </si>
  <si>
    <t>pool</t>
  </si>
  <si>
    <t>jackpot</t>
  </si>
  <si>
    <t>kitten</t>
  </si>
  <si>
    <t>n æ k</t>
  </si>
  <si>
    <t>nak</t>
  </si>
  <si>
    <t>knap</t>
  </si>
  <si>
    <t>n æ p</t>
  </si>
  <si>
    <t>rap</t>
  </si>
  <si>
    <t>break_off</t>
  </si>
  <si>
    <t>kooky</t>
  </si>
  <si>
    <t>balmy</t>
  </si>
  <si>
    <t>barmy</t>
  </si>
  <si>
    <t>bats</t>
  </si>
  <si>
    <t>batty</t>
  </si>
  <si>
    <t>bonkers</t>
  </si>
  <si>
    <t>buggy</t>
  </si>
  <si>
    <t>cracked</t>
  </si>
  <si>
    <t>crackers</t>
  </si>
  <si>
    <t>daft</t>
  </si>
  <si>
    <t>dotty</t>
  </si>
  <si>
    <t>fruity</t>
  </si>
  <si>
    <t>haywire</t>
  </si>
  <si>
    <t>kookie</t>
  </si>
  <si>
    <t>loco</t>
  </si>
  <si>
    <t>loony</t>
  </si>
  <si>
    <t>loopy</t>
  </si>
  <si>
    <t>nuts</t>
  </si>
  <si>
    <t>nutty</t>
  </si>
  <si>
    <t>round_the_bend</t>
  </si>
  <si>
    <t>around_the_bend</t>
  </si>
  <si>
    <t>wacky</t>
  </si>
  <si>
    <t>whacky</t>
  </si>
  <si>
    <t>kylym</t>
  </si>
  <si>
    <t>k ɪ l ɪ m</t>
  </si>
  <si>
    <t>kilim</t>
  </si>
  <si>
    <t>lac</t>
  </si>
  <si>
    <t>l æ k</t>
  </si>
  <si>
    <t>l æ s</t>
  </si>
  <si>
    <t>las</t>
  </si>
  <si>
    <t>lach</t>
  </si>
  <si>
    <t>l æ ʃ</t>
  </si>
  <si>
    <t>lash</t>
  </si>
  <si>
    <t>lachesis</t>
  </si>
  <si>
    <t>l æ k ɪ s ɪ s</t>
  </si>
  <si>
    <t>lakisis</t>
  </si>
  <si>
    <t>Lachesis</t>
  </si>
  <si>
    <t>lacis</t>
  </si>
  <si>
    <t>lack</t>
  </si>
  <si>
    <t>deficiency</t>
  </si>
  <si>
    <t>want</t>
  </si>
  <si>
    <t>lackey</t>
  </si>
  <si>
    <t>l æ k i</t>
  </si>
  <si>
    <t>laki</t>
  </si>
  <si>
    <t>flunky</t>
  </si>
  <si>
    <t>flunkey</t>
  </si>
  <si>
    <t>sycophant</t>
  </si>
  <si>
    <t>toady</t>
  </si>
  <si>
    <t>crawler</t>
  </si>
  <si>
    <t>ass-kisser</t>
  </si>
  <si>
    <t>l æ m</t>
  </si>
  <si>
    <t>getaway</t>
  </si>
  <si>
    <t>scat</t>
  </si>
  <si>
    <t>scarper</t>
  </si>
  <si>
    <t>turn_tail</t>
  </si>
  <si>
    <t>run_away</t>
  </si>
  <si>
    <t>hightail_it</t>
  </si>
  <si>
    <t>bunk</t>
  </si>
  <si>
    <t>head_for_the_hills</t>
  </si>
  <si>
    <t>take_to_the_woods</t>
  </si>
  <si>
    <t>escape</t>
  </si>
  <si>
    <t>fly_the_coop</t>
  </si>
  <si>
    <t>thrash</t>
  </si>
  <si>
    <t>thresh</t>
  </si>
  <si>
    <t>flail</t>
  </si>
  <si>
    <t>Lamb</t>
  </si>
  <si>
    <t>Charles_Lamb</t>
  </si>
  <si>
    <t>Elia</t>
  </si>
  <si>
    <t>dear</t>
  </si>
  <si>
    <t>lan</t>
  </si>
  <si>
    <t>l æ n</t>
  </si>
  <si>
    <t>local_area_network</t>
  </si>
  <si>
    <t>LAN</t>
  </si>
  <si>
    <t>l æ p</t>
  </si>
  <si>
    <t>lap_covering</t>
  </si>
  <si>
    <t>overlap</t>
  </si>
  <si>
    <t>circle</t>
  </si>
  <si>
    <t>circuit</t>
  </si>
  <si>
    <t>lick</t>
  </si>
  <si>
    <t>lap_up</t>
  </si>
  <si>
    <t>lave</t>
  </si>
  <si>
    <t>lapis</t>
  </si>
  <si>
    <t>l æ p ɪ s</t>
  </si>
  <si>
    <t>eyelash</t>
  </si>
  <si>
    <t>cilium</t>
  </si>
  <si>
    <t>thong</t>
  </si>
  <si>
    <t>whip</t>
  </si>
  <si>
    <t>whiplash</t>
  </si>
  <si>
    <t>flog</t>
  </si>
  <si>
    <t>welt</t>
  </si>
  <si>
    <t>lather</t>
  </si>
  <si>
    <t>strap</t>
  </si>
  <si>
    <t>trounce</t>
  </si>
  <si>
    <t>lass</t>
  </si>
  <si>
    <t>lassie</t>
  </si>
  <si>
    <t>young_girl</t>
  </si>
  <si>
    <t>jeune_fille</t>
  </si>
  <si>
    <t>lassi</t>
  </si>
  <si>
    <t>l æ s i</t>
  </si>
  <si>
    <t>lath</t>
  </si>
  <si>
    <t>l æ θ</t>
  </si>
  <si>
    <t>latin</t>
  </si>
  <si>
    <t>l æ t ɪ n</t>
  </si>
  <si>
    <t>Romance</t>
  </si>
  <si>
    <t>lattice</t>
  </si>
  <si>
    <t>l æ t ɪ s</t>
  </si>
  <si>
    <t>latis</t>
  </si>
  <si>
    <t>wicket</t>
  </si>
  <si>
    <t>grille</t>
  </si>
  <si>
    <t>latticework</t>
  </si>
  <si>
    <t>fretwork</t>
  </si>
  <si>
    <t>l ɪ k</t>
  </si>
  <si>
    <t>lik</t>
  </si>
  <si>
    <t>salt_lick</t>
  </si>
  <si>
    <t>clout</t>
  </si>
  <si>
    <t>biff</t>
  </si>
  <si>
    <t>bat</t>
  </si>
  <si>
    <t>clobber</t>
  </si>
  <si>
    <t>drub</t>
  </si>
  <si>
    <t>solve</t>
  </si>
  <si>
    <t>work_out</t>
  </si>
  <si>
    <t>figure_out</t>
  </si>
  <si>
    <t>puzzle_out</t>
  </si>
  <si>
    <t>work</t>
  </si>
  <si>
    <t>lickety</t>
  </si>
  <si>
    <t>l ɪ k ɪ t i</t>
  </si>
  <si>
    <t>likiti</t>
  </si>
  <si>
    <t>lil</t>
  </si>
  <si>
    <t>l ɪ l</t>
  </si>
  <si>
    <t>lill</t>
  </si>
  <si>
    <t>lily</t>
  </si>
  <si>
    <t>l ɪ l i</t>
  </si>
  <si>
    <t>lili</t>
  </si>
  <si>
    <t>limb</t>
  </si>
  <si>
    <t>l ɪ m</t>
  </si>
  <si>
    <t>lim</t>
  </si>
  <si>
    <t>tree_branch</t>
  </si>
  <si>
    <t>arm</t>
  </si>
  <si>
    <t>branch</t>
  </si>
  <si>
    <t>limby</t>
  </si>
  <si>
    <t>l ɪ m i</t>
  </si>
  <si>
    <t>limi</t>
  </si>
  <si>
    <t>limn</t>
  </si>
  <si>
    <t>delineate</t>
  </si>
  <si>
    <t>outline</t>
  </si>
  <si>
    <t>portray</t>
  </si>
  <si>
    <t>depict</t>
  </si>
  <si>
    <t>lin</t>
  </si>
  <si>
    <t>l ɪ n</t>
  </si>
  <si>
    <t>Lin</t>
  </si>
  <si>
    <t>Maya_Lin</t>
  </si>
  <si>
    <t>linac</t>
  </si>
  <si>
    <t>l ɪ n æ k</t>
  </si>
  <si>
    <t>linak</t>
  </si>
  <si>
    <t>linear_accelerator</t>
  </si>
  <si>
    <t>linen</t>
  </si>
  <si>
    <t>l ɪ n ɪ n</t>
  </si>
  <si>
    <t>linin</t>
  </si>
  <si>
    <t>linen_paper</t>
  </si>
  <si>
    <t>linhay</t>
  </si>
  <si>
    <t>l ɪ n i</t>
  </si>
  <si>
    <t>linn</t>
  </si>
  <si>
    <t>lip</t>
  </si>
  <si>
    <t>l ɪ p</t>
  </si>
  <si>
    <t>sass</t>
  </si>
  <si>
    <t>sassing</t>
  </si>
  <si>
    <t>backtalk</t>
  </si>
  <si>
    <t>back_talk</t>
  </si>
  <si>
    <t>mouth</t>
  </si>
  <si>
    <t>brim</t>
  </si>
  <si>
    <t>rim</t>
  </si>
  <si>
    <t>lippy</t>
  </si>
  <si>
    <t>l ɪ p i</t>
  </si>
  <si>
    <t>lipi</t>
  </si>
  <si>
    <t>litas</t>
  </si>
  <si>
    <t>l ɪ t æ s</t>
  </si>
  <si>
    <t>lith</t>
  </si>
  <si>
    <t>l i θ</t>
  </si>
  <si>
    <t>lithic</t>
  </si>
  <si>
    <t>l ɪ θ ɪ k</t>
  </si>
  <si>
    <t>lithik</t>
  </si>
  <si>
    <t>look</t>
  </si>
  <si>
    <t>l ʊ k</t>
  </si>
  <si>
    <t>luk</t>
  </si>
  <si>
    <t>expression</t>
  </si>
  <si>
    <t>facial_expression</t>
  </si>
  <si>
    <t>looking</t>
  </si>
  <si>
    <t>looking_at</t>
  </si>
  <si>
    <t>tone</t>
  </si>
  <si>
    <t>feeling</t>
  </si>
  <si>
    <t>flavor</t>
  </si>
  <si>
    <t>flavour</t>
  </si>
  <si>
    <t>appear</t>
  </si>
  <si>
    <t>seem</t>
  </si>
  <si>
    <t>search</t>
  </si>
  <si>
    <t>front</t>
  </si>
  <si>
    <t>attend</t>
  </si>
  <si>
    <t>take_care</t>
  </si>
  <si>
    <t>see</t>
  </si>
  <si>
    <t>expect</t>
  </si>
  <si>
    <t>await</t>
  </si>
  <si>
    <t>wait</t>
  </si>
  <si>
    <t>count</t>
  </si>
  <si>
    <t>bet</t>
  </si>
  <si>
    <t>depend</t>
  </si>
  <si>
    <t>calculate</t>
  </si>
  <si>
    <t>reckon</t>
  </si>
  <si>
    <t>luma</t>
  </si>
  <si>
    <t>l u m a</t>
  </si>
  <si>
    <t>lymm</t>
  </si>
  <si>
    <t>lynn</t>
  </si>
  <si>
    <t>ma'am</t>
  </si>
  <si>
    <t>m æ m</t>
  </si>
  <si>
    <t>mam</t>
  </si>
  <si>
    <t>dame</t>
  </si>
  <si>
    <t>madam</t>
  </si>
  <si>
    <t>lady</t>
  </si>
  <si>
    <t>gentlewoman</t>
  </si>
  <si>
    <t>mac</t>
  </si>
  <si>
    <t>m æ k</t>
  </si>
  <si>
    <t>macintosh</t>
  </si>
  <si>
    <t>mackintosh</t>
  </si>
  <si>
    <t>mack</t>
  </si>
  <si>
    <t>mach</t>
  </si>
  <si>
    <t>Mach</t>
  </si>
  <si>
    <t>Ernst_Mach</t>
  </si>
  <si>
    <t>mackey</t>
  </si>
  <si>
    <t>m æ k i</t>
  </si>
  <si>
    <t>mackie</t>
  </si>
  <si>
    <t>macky</t>
  </si>
  <si>
    <t>mahoney</t>
  </si>
  <si>
    <t>m ɑ n i</t>
  </si>
  <si>
    <t>mahony</t>
  </si>
  <si>
    <t>m æ l</t>
  </si>
  <si>
    <t>malic</t>
  </si>
  <si>
    <t>m æ l ɪ k</t>
  </si>
  <si>
    <t>malik</t>
  </si>
  <si>
    <t>malice</t>
  </si>
  <si>
    <t>m æ l ɪ s</t>
  </si>
  <si>
    <t>malis</t>
  </si>
  <si>
    <t>maliciousness</t>
  </si>
  <si>
    <t>spite</t>
  </si>
  <si>
    <t>spitefulness</t>
  </si>
  <si>
    <t>venom</t>
  </si>
  <si>
    <t>malevolence</t>
  </si>
  <si>
    <t>malevolency</t>
  </si>
  <si>
    <t>promenade</t>
  </si>
  <si>
    <t>plaza</t>
  </si>
  <si>
    <t>shopping_mall</t>
  </si>
  <si>
    <t>shopping_center</t>
  </si>
  <si>
    <t>shopping_centre</t>
  </si>
  <si>
    <t>mallee</t>
  </si>
  <si>
    <t>m æ l i</t>
  </si>
  <si>
    <t>m æ n</t>
  </si>
  <si>
    <t>adult_male</t>
  </si>
  <si>
    <t>valet</t>
  </si>
  <si>
    <t>valet_de_chambre</t>
  </si>
  <si>
    <t>gentleman</t>
  </si>
  <si>
    <t>gentleman's_gentleman</t>
  </si>
  <si>
    <t>Man</t>
  </si>
  <si>
    <t>Isle_of_Man</t>
  </si>
  <si>
    <t>human_race</t>
  </si>
  <si>
    <t>humanity</t>
  </si>
  <si>
    <t>humankind</t>
  </si>
  <si>
    <t>human_beings</t>
  </si>
  <si>
    <t>humans</t>
  </si>
  <si>
    <t>mankind</t>
  </si>
  <si>
    <t>manic</t>
  </si>
  <si>
    <t>m æ n ɪ k</t>
  </si>
  <si>
    <t>manik</t>
  </si>
  <si>
    <t>frenzied</t>
  </si>
  <si>
    <t>m æ n ɪ k ɪ n</t>
  </si>
  <si>
    <t>homunculus</t>
  </si>
  <si>
    <t>mannish</t>
  </si>
  <si>
    <t>m æ n ɪ ʃ</t>
  </si>
  <si>
    <t>manish</t>
  </si>
  <si>
    <t>m æ p</t>
  </si>
  <si>
    <t>function</t>
  </si>
  <si>
    <t>mathematical_function</t>
  </si>
  <si>
    <t>single-valued_function</t>
  </si>
  <si>
    <t>mapping</t>
  </si>
  <si>
    <t>map_out</t>
  </si>
  <si>
    <t>represent</t>
  </si>
  <si>
    <t>mash</t>
  </si>
  <si>
    <t>m æ ʃ</t>
  </si>
  <si>
    <t>squash</t>
  </si>
  <si>
    <t>crush</t>
  </si>
  <si>
    <t>squelch</t>
  </si>
  <si>
    <t>squeeze</t>
  </si>
  <si>
    <t>chat_up</t>
  </si>
  <si>
    <t>flirt</t>
  </si>
  <si>
    <t>dally</t>
  </si>
  <si>
    <t>butterfly</t>
  </si>
  <si>
    <t>coquet</t>
  </si>
  <si>
    <t>coquette</t>
  </si>
  <si>
    <t>romance</t>
  </si>
  <si>
    <t>philander</t>
  </si>
  <si>
    <t>grind</t>
  </si>
  <si>
    <t>crunch</t>
  </si>
  <si>
    <t>bray</t>
  </si>
  <si>
    <t>comminute</t>
  </si>
  <si>
    <t>m æ s</t>
  </si>
  <si>
    <t>aggregated</t>
  </si>
  <si>
    <t>aggregative</t>
  </si>
  <si>
    <t>m æ θ</t>
  </si>
  <si>
    <t>mattie</t>
  </si>
  <si>
    <t>m æ t i</t>
  </si>
  <si>
    <t>memic</t>
  </si>
  <si>
    <t>m i m ɪ k</t>
  </si>
  <si>
    <t>meshach</t>
  </si>
  <si>
    <t>m i ʃ æ k</t>
  </si>
  <si>
    <t>mishak</t>
  </si>
  <si>
    <t>metallic</t>
  </si>
  <si>
    <t>m ɪ t æ l ɪ k</t>
  </si>
  <si>
    <t>mitalik</t>
  </si>
  <si>
    <t>metal</t>
  </si>
  <si>
    <t>mick</t>
  </si>
  <si>
    <t>m ɪ k</t>
  </si>
  <si>
    <t>Paddy</t>
  </si>
  <si>
    <t>Mick</t>
  </si>
  <si>
    <t>Mickey</t>
  </si>
  <si>
    <t>mickey</t>
  </si>
  <si>
    <t>m ɪ k i</t>
  </si>
  <si>
    <t>miki</t>
  </si>
  <si>
    <t>mikan</t>
  </si>
  <si>
    <t>m ɪ k æ n</t>
  </si>
  <si>
    <t>m ɪ l</t>
  </si>
  <si>
    <t>milliliter</t>
  </si>
  <si>
    <t>millilitre</t>
  </si>
  <si>
    <t>ml</t>
  </si>
  <si>
    <t>cubic_centimeter</t>
  </si>
  <si>
    <t>cubic_centimetre</t>
  </si>
  <si>
    <t>cc</t>
  </si>
  <si>
    <t>milan</t>
  </si>
  <si>
    <t>m ɪ l æ n</t>
  </si>
  <si>
    <t>Milan</t>
  </si>
  <si>
    <t>Milano</t>
  </si>
  <si>
    <t>factory</t>
  </si>
  <si>
    <t>manufacturing_plant</t>
  </si>
  <si>
    <t>manufactory</t>
  </si>
  <si>
    <t>Mill</t>
  </si>
  <si>
    <t>James_Mill</t>
  </si>
  <si>
    <t>John_Mill</t>
  </si>
  <si>
    <t>John_Stuart_Mill</t>
  </si>
  <si>
    <t>grinder</t>
  </si>
  <si>
    <t>milling_machinery</t>
  </si>
  <si>
    <t>pulverization</t>
  </si>
  <si>
    <t>pulverisation</t>
  </si>
  <si>
    <t>mill_about</t>
  </si>
  <si>
    <t>mill_around</t>
  </si>
  <si>
    <t>mimic</t>
  </si>
  <si>
    <t>m ɪ m ɪ k</t>
  </si>
  <si>
    <t>mimicker</t>
  </si>
  <si>
    <t>min</t>
  </si>
  <si>
    <t>m ɪ n</t>
  </si>
  <si>
    <t>minute</t>
  </si>
  <si>
    <t>Min</t>
  </si>
  <si>
    <t>Min_dialect</t>
  </si>
  <si>
    <t>Fukien</t>
  </si>
  <si>
    <t>Fukkianese</t>
  </si>
  <si>
    <t>Hokkianese</t>
  </si>
  <si>
    <t>Amoy</t>
  </si>
  <si>
    <t>Taiwanese</t>
  </si>
  <si>
    <t>mini</t>
  </si>
  <si>
    <t>m ɪ n i</t>
  </si>
  <si>
    <t>miniskirt</t>
  </si>
  <si>
    <t>m ɪ n ɪ m</t>
  </si>
  <si>
    <t>half_note</t>
  </si>
  <si>
    <t>minish</t>
  </si>
  <si>
    <t>m ɪ n ɪ ʃ</t>
  </si>
  <si>
    <t>minnie</t>
  </si>
  <si>
    <t>miny</t>
  </si>
  <si>
    <t>m ɪ s</t>
  </si>
  <si>
    <t>girl</t>
  </si>
  <si>
    <t>missy</t>
  </si>
  <si>
    <t>young_lady</t>
  </si>
  <si>
    <t>young_woman</t>
  </si>
  <si>
    <t>fille</t>
  </si>
  <si>
    <t>misfire</t>
  </si>
  <si>
    <t>Miss</t>
  </si>
  <si>
    <t>lose</t>
  </si>
  <si>
    <t>neglect</t>
  </si>
  <si>
    <t>pretermit</t>
  </si>
  <si>
    <t>omit</t>
  </si>
  <si>
    <t>drop</t>
  </si>
  <si>
    <t>leave_out</t>
  </si>
  <si>
    <t>overlook</t>
  </si>
  <si>
    <t>overleap</t>
  </si>
  <si>
    <t>missippi</t>
  </si>
  <si>
    <t>m ɪ s ɪ p i</t>
  </si>
  <si>
    <t>misipi</t>
  </si>
  <si>
    <t>m ɪ s i</t>
  </si>
  <si>
    <t>misi</t>
  </si>
  <si>
    <t>mitanni</t>
  </si>
  <si>
    <t>m ɪ t æ n i</t>
  </si>
  <si>
    <t>mitani</t>
  </si>
  <si>
    <t>moochin</t>
  </si>
  <si>
    <t>m ʊ k ɪ n</t>
  </si>
  <si>
    <t>mukin</t>
  </si>
  <si>
    <t>m ʊ x ɪ n</t>
  </si>
  <si>
    <t>mook</t>
  </si>
  <si>
    <t>m ʊ k</t>
  </si>
  <si>
    <t>muk</t>
  </si>
  <si>
    <t>mooli</t>
  </si>
  <si>
    <t>moussy</t>
  </si>
  <si>
    <t>m u s i</t>
  </si>
  <si>
    <t>musi</t>
  </si>
  <si>
    <t>mush</t>
  </si>
  <si>
    <t>m ʊ ʃ</t>
  </si>
  <si>
    <t>pulp</t>
  </si>
  <si>
    <t>cornmeal_mush</t>
  </si>
  <si>
    <t>treacle</t>
  </si>
  <si>
    <t>slop</t>
  </si>
  <si>
    <t>glop</t>
  </si>
  <si>
    <t>dogsled</t>
  </si>
  <si>
    <t>mushy</t>
  </si>
  <si>
    <t>m ʊ ʃ i</t>
  </si>
  <si>
    <t>bathetic</t>
  </si>
  <si>
    <t>drippy</t>
  </si>
  <si>
    <t>hokey</t>
  </si>
  <si>
    <t>maudlin</t>
  </si>
  <si>
    <t>mawkish</t>
  </si>
  <si>
    <t>kitschy</t>
  </si>
  <si>
    <t>schmaltzy</t>
  </si>
  <si>
    <t>schmalzy</t>
  </si>
  <si>
    <t>sentimental</t>
  </si>
  <si>
    <t>soppy</t>
  </si>
  <si>
    <t>soupy</t>
  </si>
  <si>
    <t>slushy</t>
  </si>
  <si>
    <t>myth</t>
  </si>
  <si>
    <t>m ɪ θ</t>
  </si>
  <si>
    <t>mith</t>
  </si>
  <si>
    <t>mythic</t>
  </si>
  <si>
    <t>m ɪ θ ɪ k</t>
  </si>
  <si>
    <t>mithik</t>
  </si>
  <si>
    <t>fabulous</t>
  </si>
  <si>
    <t>mythical</t>
  </si>
  <si>
    <t>mythologic</t>
  </si>
  <si>
    <t>mythological</t>
  </si>
  <si>
    <t>naan</t>
  </si>
  <si>
    <t>n æ n</t>
  </si>
  <si>
    <t>nack</t>
  </si>
  <si>
    <t>Nan</t>
  </si>
  <si>
    <t>Nan_River</t>
  </si>
  <si>
    <t>nanny</t>
  </si>
  <si>
    <t>n æ n i</t>
  </si>
  <si>
    <t>nani</t>
  </si>
  <si>
    <t>nursemaid</t>
  </si>
  <si>
    <t>nurse</t>
  </si>
  <si>
    <t>nanny-goat</t>
  </si>
  <si>
    <t>she-goat</t>
  </si>
  <si>
    <t>catnap</t>
  </si>
  <si>
    <t>cat_sleep</t>
  </si>
  <si>
    <t>forty_winks</t>
  </si>
  <si>
    <t>short_sleep</t>
  </si>
  <si>
    <t>snooze</t>
  </si>
  <si>
    <t>Napoleon</t>
  </si>
  <si>
    <t>catch_a_wink</t>
  </si>
  <si>
    <t>nappe</t>
  </si>
  <si>
    <t>nappy</t>
  </si>
  <si>
    <t>n æ p i</t>
  </si>
  <si>
    <t>napi</t>
  </si>
  <si>
    <t>diaper</t>
  </si>
  <si>
    <t>napkin</t>
  </si>
  <si>
    <t>crisp</t>
  </si>
  <si>
    <t>frizzly</t>
  </si>
  <si>
    <t>frizzy</t>
  </si>
  <si>
    <t>kinky</t>
  </si>
  <si>
    <t>Nash</t>
  </si>
  <si>
    <t>Ogden_Nash</t>
  </si>
  <si>
    <t>natty</t>
  </si>
  <si>
    <t>n æ t i</t>
  </si>
  <si>
    <t>nati</t>
  </si>
  <si>
    <t>dapper</t>
  </si>
  <si>
    <t>dashing</t>
  </si>
  <si>
    <t>jaunty</t>
  </si>
  <si>
    <t>raffish</t>
  </si>
  <si>
    <t>rakish</t>
  </si>
  <si>
    <t>spiffy</t>
  </si>
  <si>
    <t>snappy</t>
  </si>
  <si>
    <t>spruce</t>
  </si>
  <si>
    <t>n ɪ k</t>
  </si>
  <si>
    <t>nik</t>
  </si>
  <si>
    <t>snick</t>
  </si>
  <si>
    <t>nihil</t>
  </si>
  <si>
    <t>n i h ɪ l</t>
  </si>
  <si>
    <t>n ɪ l</t>
  </si>
  <si>
    <t>nothing</t>
  </si>
  <si>
    <t>nix</t>
  </si>
  <si>
    <t>nada</t>
  </si>
  <si>
    <t>aught</t>
  </si>
  <si>
    <t>cipher</t>
  </si>
  <si>
    <t>cypher</t>
  </si>
  <si>
    <t>goose_egg</t>
  </si>
  <si>
    <t>naught</t>
  </si>
  <si>
    <t>zero</t>
  </si>
  <si>
    <t>zilch</t>
  </si>
  <si>
    <t>zip</t>
  </si>
  <si>
    <t>zippo</t>
  </si>
  <si>
    <t>nill</t>
  </si>
  <si>
    <t>nim</t>
  </si>
  <si>
    <t>n ɪ m</t>
  </si>
  <si>
    <t>nimb</t>
  </si>
  <si>
    <t>n ɪ n</t>
  </si>
  <si>
    <t>ninny</t>
  </si>
  <si>
    <t>n ɪ n i</t>
  </si>
  <si>
    <t>nini</t>
  </si>
  <si>
    <t>nincompoop</t>
  </si>
  <si>
    <t>poop</t>
  </si>
  <si>
    <t>n ɪ p</t>
  </si>
  <si>
    <t>shot</t>
  </si>
  <si>
    <t>Jap</t>
  </si>
  <si>
    <t>Nip</t>
  </si>
  <si>
    <t>relish</t>
  </si>
  <si>
    <t>sapidity</t>
  </si>
  <si>
    <t>savor</t>
  </si>
  <si>
    <t>savour</t>
  </si>
  <si>
    <t>smack</t>
  </si>
  <si>
    <t>tang</t>
  </si>
  <si>
    <t>chilliness</t>
  </si>
  <si>
    <t>coolness</t>
  </si>
  <si>
    <t>piquance</t>
  </si>
  <si>
    <t>piquancy</t>
  </si>
  <si>
    <t>piquantness</t>
  </si>
  <si>
    <t>tanginess</t>
  </si>
  <si>
    <t>zest</t>
  </si>
  <si>
    <t>tweet</t>
  </si>
  <si>
    <t>nippy</t>
  </si>
  <si>
    <t>n ɪ p i</t>
  </si>
  <si>
    <t>nipi</t>
  </si>
  <si>
    <t>frosty</t>
  </si>
  <si>
    <t>nipping</t>
  </si>
  <si>
    <t>nittily</t>
  </si>
  <si>
    <t>n ɪ t ɪ l i</t>
  </si>
  <si>
    <t>nitili</t>
  </si>
  <si>
    <t>nitty</t>
  </si>
  <si>
    <t>n ɪ t ɪ</t>
  </si>
  <si>
    <t>niti</t>
  </si>
  <si>
    <t>nook</t>
  </si>
  <si>
    <t>n ʊ k</t>
  </si>
  <si>
    <t>nuk</t>
  </si>
  <si>
    <t>corner</t>
  </si>
  <si>
    <t>n ʊ k i</t>
  </si>
  <si>
    <t>nuki</t>
  </si>
  <si>
    <t>nun</t>
  </si>
  <si>
    <t>n ʊ n</t>
  </si>
  <si>
    <t>conical_buoy</t>
  </si>
  <si>
    <t>nun_buoy</t>
  </si>
  <si>
    <t>nym</t>
  </si>
  <si>
    <t>oom</t>
  </si>
  <si>
    <t>ʊ m</t>
  </si>
  <si>
    <t>oop</t>
  </si>
  <si>
    <t>ʊ p</t>
  </si>
  <si>
    <t>up</t>
  </si>
  <si>
    <t>p æ k</t>
  </si>
  <si>
    <t>gang</t>
  </si>
  <si>
    <t>mob</t>
  </si>
  <si>
    <t>face_pack</t>
  </si>
  <si>
    <t>bundle</t>
  </si>
  <si>
    <t>compact</t>
  </si>
  <si>
    <t>carry</t>
  </si>
  <si>
    <t>backpack</t>
  </si>
  <si>
    <t>load_down</t>
  </si>
  <si>
    <t>paki</t>
  </si>
  <si>
    <t>p æ k i</t>
  </si>
  <si>
    <t>buddy</t>
  </si>
  <si>
    <t>brother</t>
  </si>
  <si>
    <t>chum</t>
  </si>
  <si>
    <t>crony</t>
  </si>
  <si>
    <t>sidekick</t>
  </si>
  <si>
    <t>pal_up</t>
  </si>
  <si>
    <t>chum_up</t>
  </si>
  <si>
    <t>palace</t>
  </si>
  <si>
    <t>p æ l ɪ s</t>
  </si>
  <si>
    <t>palis</t>
  </si>
  <si>
    <t>castle</t>
  </si>
  <si>
    <t>pally</t>
  </si>
  <si>
    <t>chummy</t>
  </si>
  <si>
    <t>matey</t>
  </si>
  <si>
    <t>palsy-walsy</t>
  </si>
  <si>
    <t>p æ m</t>
  </si>
  <si>
    <t>pan</t>
  </si>
  <si>
    <t>p æ n</t>
  </si>
  <si>
    <t>cooking_pan</t>
  </si>
  <si>
    <t>Pan</t>
  </si>
  <si>
    <t>goat_god</t>
  </si>
  <si>
    <t>genus_Pan</t>
  </si>
  <si>
    <t>pan_out</t>
  </si>
  <si>
    <t>pan_off</t>
  </si>
  <si>
    <t>tear_apart</t>
  </si>
  <si>
    <t>p æ n ɪ k</t>
  </si>
  <si>
    <t>panicky</t>
  </si>
  <si>
    <t>p æ n ɪ k i</t>
  </si>
  <si>
    <t>paniki</t>
  </si>
  <si>
    <t>panicked</t>
  </si>
  <si>
    <t>panic-stricken</t>
  </si>
  <si>
    <t>panic-struck</t>
  </si>
  <si>
    <t>terrified</t>
  </si>
  <si>
    <t>frightened</t>
  </si>
  <si>
    <t>panne</t>
  </si>
  <si>
    <t>pap</t>
  </si>
  <si>
    <t>p æ p</t>
  </si>
  <si>
    <t>pablum</t>
  </si>
  <si>
    <t>soft_diet</t>
  </si>
  <si>
    <t>spoon_food</t>
  </si>
  <si>
    <t>nipple</t>
  </si>
  <si>
    <t>mammilla</t>
  </si>
  <si>
    <t>mamilla</t>
  </si>
  <si>
    <t>teat</t>
  </si>
  <si>
    <t>tit</t>
  </si>
  <si>
    <t>pappy</t>
  </si>
  <si>
    <t>p æ p i</t>
  </si>
  <si>
    <t>papi</t>
  </si>
  <si>
    <t>pash</t>
  </si>
  <si>
    <t>p æ ʃ</t>
  </si>
  <si>
    <t>p æ s</t>
  </si>
  <si>
    <t>base_on_balls</t>
  </si>
  <si>
    <t>passing_play</t>
  </si>
  <si>
    <t>passing_game</t>
  </si>
  <si>
    <t>passport</t>
  </si>
  <si>
    <t>laissez_passer</t>
  </si>
  <si>
    <t>strait</t>
  </si>
  <si>
    <t>straits</t>
  </si>
  <si>
    <t>bye</t>
  </si>
  <si>
    <t>liberty_chit</t>
  </si>
  <si>
    <t>crack</t>
  </si>
  <si>
    <t>fling</t>
  </si>
  <si>
    <t>whirl</t>
  </si>
  <si>
    <t>offer</t>
  </si>
  <si>
    <t>qualifying</t>
  </si>
  <si>
    <t>go_through</t>
  </si>
  <si>
    <t>go_across</t>
  </si>
  <si>
    <t>legislate</t>
  </si>
  <si>
    <t>elapse</t>
  </si>
  <si>
    <t>slip_by</t>
  </si>
  <si>
    <t>glide_by</t>
  </si>
  <si>
    <t>slip_away</t>
  </si>
  <si>
    <t>slide_by</t>
  </si>
  <si>
    <t>go_along</t>
  </si>
  <si>
    <t>overtake</t>
  </si>
  <si>
    <t>overhaul</t>
  </si>
  <si>
    <t>evanesce</t>
  </si>
  <si>
    <t>fade</t>
  </si>
  <si>
    <t>blow_over</t>
  </si>
  <si>
    <t>fleet</t>
  </si>
  <si>
    <t>make_it</t>
  </si>
  <si>
    <t>exceed</t>
  </si>
  <si>
    <t>transcend</t>
  </si>
  <si>
    <t>overstep</t>
  </si>
  <si>
    <t>return</t>
  </si>
  <si>
    <t>devolve</t>
  </si>
  <si>
    <t>authorize</t>
  </si>
  <si>
    <t>authorise</t>
  </si>
  <si>
    <t>excrete</t>
  </si>
  <si>
    <t>egest</t>
  </si>
  <si>
    <t>eliminate</t>
  </si>
  <si>
    <t>passim</t>
  </si>
  <si>
    <t>p æ s ɪ m</t>
  </si>
  <si>
    <t>pasim</t>
  </si>
  <si>
    <t>throughout</t>
  </si>
  <si>
    <t>p æ θ</t>
  </si>
  <si>
    <t>pathic</t>
  </si>
  <si>
    <t>p æ θ ɪ k</t>
  </si>
  <si>
    <t>pathik</t>
  </si>
  <si>
    <t>patty</t>
  </si>
  <si>
    <t>p æ t i</t>
  </si>
  <si>
    <t>cake</t>
  </si>
  <si>
    <t>pen</t>
  </si>
  <si>
    <t>p ɪ n</t>
  </si>
  <si>
    <t>playpen</t>
  </si>
  <si>
    <t>penitentiary</t>
  </si>
  <si>
    <t>write</t>
  </si>
  <si>
    <t>compose</t>
  </si>
  <si>
    <t>indite</t>
  </si>
  <si>
    <t>p ɪ k</t>
  </si>
  <si>
    <t>movie</t>
  </si>
  <si>
    <t>picture</t>
  </si>
  <si>
    <t>moving_picture</t>
  </si>
  <si>
    <t>moving-picture_show</t>
  </si>
  <si>
    <t>motion_picture</t>
  </si>
  <si>
    <t>motion-picture_show</t>
  </si>
  <si>
    <t>picture_show</t>
  </si>
  <si>
    <t>photograph</t>
  </si>
  <si>
    <t>photo</t>
  </si>
  <si>
    <t>exposure</t>
  </si>
  <si>
    <t>piccy</t>
  </si>
  <si>
    <t>p ɪ k i</t>
  </si>
  <si>
    <t>piki</t>
  </si>
  <si>
    <t>choice</t>
  </si>
  <si>
    <t>selection</t>
  </si>
  <si>
    <t>picking</t>
  </si>
  <si>
    <t>woof</t>
  </si>
  <si>
    <t>weft</t>
  </si>
  <si>
    <t>filling</t>
  </si>
  <si>
    <t>plectrum</t>
  </si>
  <si>
    <t>plectron</t>
  </si>
  <si>
    <t>option</t>
  </si>
  <si>
    <t>blame</t>
  </si>
  <si>
    <t>find_fault</t>
  </si>
  <si>
    <t>clean</t>
  </si>
  <si>
    <t>foot</t>
  </si>
  <si>
    <t>plunk</t>
  </si>
  <si>
    <t>beak</t>
  </si>
  <si>
    <t>picky</t>
  </si>
  <si>
    <t>finical</t>
  </si>
  <si>
    <t>finicky</t>
  </si>
  <si>
    <t>fussy</t>
  </si>
  <si>
    <t>particular</t>
  </si>
  <si>
    <t>pikkie</t>
  </si>
  <si>
    <t>pill</t>
  </si>
  <si>
    <t>p ɪ l</t>
  </si>
  <si>
    <t>pil</t>
  </si>
  <si>
    <t>lozenge</t>
  </si>
  <si>
    <t>tablet</t>
  </si>
  <si>
    <t>tab</t>
  </si>
  <si>
    <t>birth_control_pill</t>
  </si>
  <si>
    <t>contraceptive_pill</t>
  </si>
  <si>
    <t>oral_contraceptive_pill</t>
  </si>
  <si>
    <t>oral_contraceptive</t>
  </si>
  <si>
    <t>anovulatory_drug</t>
  </si>
  <si>
    <t>anovulant</t>
  </si>
  <si>
    <t>personal_identification_number</t>
  </si>
  <si>
    <t>PIN</t>
  </si>
  <si>
    <t>PIN_number</t>
  </si>
  <si>
    <t>pivot</t>
  </si>
  <si>
    <t>pin_tumbler</t>
  </si>
  <si>
    <t>thole</t>
  </si>
  <si>
    <t>tholepin</t>
  </si>
  <si>
    <t>rowlock</t>
  </si>
  <si>
    <t>oarlock</t>
  </si>
  <si>
    <t>bowling_pin</t>
  </si>
  <si>
    <t>trap</t>
  </si>
  <si>
    <t>immobilize</t>
  </si>
  <si>
    <t>immobilise</t>
  </si>
  <si>
    <t>pinnace</t>
  </si>
  <si>
    <t>p ɪ n ɪ s</t>
  </si>
  <si>
    <t>tender</t>
  </si>
  <si>
    <t>ship's_boat</t>
  </si>
  <si>
    <t>cutter</t>
  </si>
  <si>
    <t>pinny</t>
  </si>
  <si>
    <t>p ɪ n i</t>
  </si>
  <si>
    <t>jumper</t>
  </si>
  <si>
    <t>pinafore</t>
  </si>
  <si>
    <t>p ɪ p</t>
  </si>
  <si>
    <t>blip</t>
  </si>
  <si>
    <t>radar_target</t>
  </si>
  <si>
    <t>worst</t>
  </si>
  <si>
    <t>mop_up</t>
  </si>
  <si>
    <t>rack_up</t>
  </si>
  <si>
    <t>pish</t>
  </si>
  <si>
    <t>p ɪ ʃ</t>
  </si>
  <si>
    <t>piss</t>
  </si>
  <si>
    <t>p ɪ s</t>
  </si>
  <si>
    <t>urine</t>
  </si>
  <si>
    <t>pee</t>
  </si>
  <si>
    <t>piddle</t>
  </si>
  <si>
    <t>weewee</t>
  </si>
  <si>
    <t>water</t>
  </si>
  <si>
    <t>peeing</t>
  </si>
  <si>
    <t>pissing</t>
  </si>
  <si>
    <t>urinate</t>
  </si>
  <si>
    <t>micturate</t>
  </si>
  <si>
    <t>pee-pee</t>
  </si>
  <si>
    <t>make_water</t>
  </si>
  <si>
    <t>relieve_oneself</t>
  </si>
  <si>
    <t>take_a_leak</t>
  </si>
  <si>
    <t>spend_a_penny</t>
  </si>
  <si>
    <t>wee-wee</t>
  </si>
  <si>
    <t>pass_water</t>
  </si>
  <si>
    <t>pissy</t>
  </si>
  <si>
    <t>p ɪ s i</t>
  </si>
  <si>
    <t>pisi</t>
  </si>
  <si>
    <t>p i t ɑ</t>
  </si>
  <si>
    <t>pith</t>
  </si>
  <si>
    <t>p ɪ θ</t>
  </si>
  <si>
    <t>kernel</t>
  </si>
  <si>
    <t>core</t>
  </si>
  <si>
    <t>essence</t>
  </si>
  <si>
    <t>gist</t>
  </si>
  <si>
    <t>heart_and_soul</t>
  </si>
  <si>
    <t>inwardness</t>
  </si>
  <si>
    <t>marrow</t>
  </si>
  <si>
    <t>meat</t>
  </si>
  <si>
    <t>nub</t>
  </si>
  <si>
    <t>nitty-gritty</t>
  </si>
  <si>
    <t>pithy</t>
  </si>
  <si>
    <t>p ɪ θ i</t>
  </si>
  <si>
    <t>sententious</t>
  </si>
  <si>
    <t>pitty</t>
  </si>
  <si>
    <t>p ɪ t i</t>
  </si>
  <si>
    <t>piti</t>
  </si>
  <si>
    <t>pity</t>
  </si>
  <si>
    <t>commiseration</t>
  </si>
  <si>
    <t>ruth</t>
  </si>
  <si>
    <t>pathos</t>
  </si>
  <si>
    <t>shame</t>
  </si>
  <si>
    <t>compassion</t>
  </si>
  <si>
    <t>feel_for</t>
  </si>
  <si>
    <t>compassionate</t>
  </si>
  <si>
    <t>condole_with</t>
  </si>
  <si>
    <t>sympathize_with</t>
  </si>
  <si>
    <t>poes</t>
  </si>
  <si>
    <t>Poe</t>
  </si>
  <si>
    <t>Edgar_Allan_Poe</t>
  </si>
  <si>
    <t>poo</t>
  </si>
  <si>
    <t>p u</t>
  </si>
  <si>
    <t>pu</t>
  </si>
  <si>
    <t>p ʊ l</t>
  </si>
  <si>
    <t>pul</t>
  </si>
  <si>
    <t>pulling</t>
  </si>
  <si>
    <t>wrench</t>
  </si>
  <si>
    <t>twist</t>
  </si>
  <si>
    <t>puff</t>
  </si>
  <si>
    <t>attract</t>
  </si>
  <si>
    <t>pull_in</t>
  </si>
  <si>
    <t>draw_in</t>
  </si>
  <si>
    <t>perpetrate</t>
  </si>
  <si>
    <t>commit</t>
  </si>
  <si>
    <t>pull_out</t>
  </si>
  <si>
    <t>get_out</t>
  </si>
  <si>
    <t>take_out</t>
  </si>
  <si>
    <t>overstretch</t>
  </si>
  <si>
    <t>rend</t>
  </si>
  <si>
    <t>rip</t>
  </si>
  <si>
    <t>tear</t>
  </si>
  <si>
    <t>deplume</t>
  </si>
  <si>
    <t>deplumate</t>
  </si>
  <si>
    <t>displume</t>
  </si>
  <si>
    <t>extract</t>
  </si>
  <si>
    <t>pull_up</t>
  </si>
  <si>
    <t>draw_out</t>
  </si>
  <si>
    <t>root_for</t>
  </si>
  <si>
    <t>pulley</t>
  </si>
  <si>
    <t>p ʊ l i</t>
  </si>
  <si>
    <t>pulley-block</t>
  </si>
  <si>
    <t>pulley_block</t>
  </si>
  <si>
    <t>p ʊ ʃ</t>
  </si>
  <si>
    <t>pushing</t>
  </si>
  <si>
    <t>thrust</t>
  </si>
  <si>
    <t>energy</t>
  </si>
  <si>
    <t>get-up-and-go</t>
  </si>
  <si>
    <t>push_button</t>
  </si>
  <si>
    <t>button</t>
  </si>
  <si>
    <t>advertise</t>
  </si>
  <si>
    <t>advertize</t>
  </si>
  <si>
    <t>promote</t>
  </si>
  <si>
    <t>tug</t>
  </si>
  <si>
    <t>labor</t>
  </si>
  <si>
    <t>labour</t>
  </si>
  <si>
    <t>drive</t>
  </si>
  <si>
    <t>crusade</t>
  </si>
  <si>
    <t>fight</t>
  </si>
  <si>
    <t>press</t>
  </si>
  <si>
    <t>campaign</t>
  </si>
  <si>
    <t>agitate</t>
  </si>
  <si>
    <t>pushy</t>
  </si>
  <si>
    <t>p ʊ ʃ i</t>
  </si>
  <si>
    <t>pushi</t>
  </si>
  <si>
    <t>pushful</t>
  </si>
  <si>
    <t>p ʊ s</t>
  </si>
  <si>
    <t>Pus</t>
  </si>
  <si>
    <t>Pansa</t>
  </si>
  <si>
    <t>p ʊ s ɪ</t>
  </si>
  <si>
    <t>pusi</t>
  </si>
  <si>
    <t>purulent</t>
  </si>
  <si>
    <t>putti</t>
  </si>
  <si>
    <t>p ʊ t i</t>
  </si>
  <si>
    <t>puti</t>
  </si>
  <si>
    <t>quintuplet</t>
  </si>
  <si>
    <t>quipu</t>
  </si>
  <si>
    <t>k i p u</t>
  </si>
  <si>
    <t>kipu</t>
  </si>
  <si>
    <t>s æ k</t>
  </si>
  <si>
    <t>pouch</t>
  </si>
  <si>
    <t>pocket</t>
  </si>
  <si>
    <t>theca</t>
  </si>
  <si>
    <t>Sauk</t>
  </si>
  <si>
    <t>Sac</t>
  </si>
  <si>
    <t>paper_bag</t>
  </si>
  <si>
    <t>carrier_bag</t>
  </si>
  <si>
    <t>sacque</t>
  </si>
  <si>
    <t>chemise</t>
  </si>
  <si>
    <t>shift</t>
  </si>
  <si>
    <t>dismissal</t>
  </si>
  <si>
    <t>dismission</t>
  </si>
  <si>
    <t>discharge</t>
  </si>
  <si>
    <t>liberation</t>
  </si>
  <si>
    <t>sacking</t>
  </si>
  <si>
    <t>net</t>
  </si>
  <si>
    <t>sack_up</t>
  </si>
  <si>
    <t>saké</t>
  </si>
  <si>
    <t>s æ k i</t>
  </si>
  <si>
    <t>salic</t>
  </si>
  <si>
    <t>s æ l ɪ k</t>
  </si>
  <si>
    <t>salicylic</t>
  </si>
  <si>
    <t>s æ l ɪ s ɪ l ɪ k</t>
  </si>
  <si>
    <t>salisilik</t>
  </si>
  <si>
    <t>salley</t>
  </si>
  <si>
    <t>s æ l i</t>
  </si>
  <si>
    <t>sali</t>
  </si>
  <si>
    <t>sally</t>
  </si>
  <si>
    <t>wisecrack</t>
  </si>
  <si>
    <t>quip</t>
  </si>
  <si>
    <t>sortie</t>
  </si>
  <si>
    <t>sallying_forth</t>
  </si>
  <si>
    <t>s æ m</t>
  </si>
  <si>
    <t>surface-to-air_missile</t>
  </si>
  <si>
    <t>SAM</t>
  </si>
  <si>
    <t>sammy</t>
  </si>
  <si>
    <t>s æ m i</t>
  </si>
  <si>
    <t>sami</t>
  </si>
  <si>
    <t>sanity</t>
  </si>
  <si>
    <t>s æ n ɪ t i</t>
  </si>
  <si>
    <t>saniti</t>
  </si>
  <si>
    <t>saneness</t>
  </si>
  <si>
    <t>s æ p</t>
  </si>
  <si>
    <t>saphead</t>
  </si>
  <si>
    <t>muggins</t>
  </si>
  <si>
    <t>tomfool</t>
  </si>
  <si>
    <t>blackjack</t>
  </si>
  <si>
    <t>cosh</t>
  </si>
  <si>
    <t>run_down</t>
  </si>
  <si>
    <t>exhaust</t>
  </si>
  <si>
    <t>play_out</t>
  </si>
  <si>
    <t>tire</t>
  </si>
  <si>
    <t>sappy</t>
  </si>
  <si>
    <t>s æ p i</t>
  </si>
  <si>
    <t>sapi</t>
  </si>
  <si>
    <t>cockamamie</t>
  </si>
  <si>
    <t>cockamamy</t>
  </si>
  <si>
    <t>goofy</t>
  </si>
  <si>
    <t>silly</t>
  </si>
  <si>
    <t>zany</t>
  </si>
  <si>
    <t>sash</t>
  </si>
  <si>
    <t>s æ ʃ</t>
  </si>
  <si>
    <t>window_sash</t>
  </si>
  <si>
    <t>girdle</t>
  </si>
  <si>
    <t>cincture</t>
  </si>
  <si>
    <t>waistband</t>
  </si>
  <si>
    <t>waistcloth</t>
  </si>
  <si>
    <t>sashimi</t>
  </si>
  <si>
    <t>s a ʃ ɪ m ɪ</t>
  </si>
  <si>
    <t>s æ s</t>
  </si>
  <si>
    <t>sas</t>
  </si>
  <si>
    <t>Special_Air_Service</t>
  </si>
  <si>
    <t>SAS</t>
  </si>
  <si>
    <t>sasse</t>
  </si>
  <si>
    <t>sassy</t>
  </si>
  <si>
    <t>s a s i</t>
  </si>
  <si>
    <t>sasi</t>
  </si>
  <si>
    <t>fresh</t>
  </si>
  <si>
    <t>impertinent</t>
  </si>
  <si>
    <t>impudent</t>
  </si>
  <si>
    <t>overbold</t>
  </si>
  <si>
    <t>saucy</t>
  </si>
  <si>
    <t>wise</t>
  </si>
  <si>
    <t>satin</t>
  </si>
  <si>
    <t>s æ t ɪ n</t>
  </si>
  <si>
    <t>schuss</t>
  </si>
  <si>
    <t>ʃ ʊ s</t>
  </si>
  <si>
    <t>shus</t>
  </si>
  <si>
    <t>semic</t>
  </si>
  <si>
    <t>s i m ɪ k</t>
  </si>
  <si>
    <t>simik</t>
  </si>
  <si>
    <t>shack</t>
  </si>
  <si>
    <t>ʃ æ k</t>
  </si>
  <si>
    <t>shak</t>
  </si>
  <si>
    <t>hovel</t>
  </si>
  <si>
    <t>hut</t>
  </si>
  <si>
    <t>hutch</t>
  </si>
  <si>
    <t>shanty</t>
  </si>
  <si>
    <t>reside</t>
  </si>
  <si>
    <t>domiciliate</t>
  </si>
  <si>
    <t>trail</t>
  </si>
  <si>
    <t>ʃ æ m</t>
  </si>
  <si>
    <t>postiche</t>
  </si>
  <si>
    <t>imposter</t>
  </si>
  <si>
    <t>impostor</t>
  </si>
  <si>
    <t>pretender</t>
  </si>
  <si>
    <t>faker</t>
  </si>
  <si>
    <t>shammer</t>
  </si>
  <si>
    <t>pseudo</t>
  </si>
  <si>
    <t>pseud</t>
  </si>
  <si>
    <t>role_player</t>
  </si>
  <si>
    <t>assumed</t>
  </si>
  <si>
    <t>fictitious</t>
  </si>
  <si>
    <t>fictive</t>
  </si>
  <si>
    <t>pretended</t>
  </si>
  <si>
    <t>put_on</t>
  </si>
  <si>
    <t>shamois</t>
  </si>
  <si>
    <t>shash</t>
  </si>
  <si>
    <t>ʃ æ ʃ</t>
  </si>
  <si>
    <t>shass</t>
  </si>
  <si>
    <t>she'll</t>
  </si>
  <si>
    <t>ʃ ɪ l</t>
  </si>
  <si>
    <t>shil</t>
  </si>
  <si>
    <t>shea</t>
  </si>
  <si>
    <t>shill</t>
  </si>
  <si>
    <t>shim</t>
  </si>
  <si>
    <t>ʃ ɪ m</t>
  </si>
  <si>
    <t>shimmy</t>
  </si>
  <si>
    <t>ʃ ɪ m i</t>
  </si>
  <si>
    <t>shimi</t>
  </si>
  <si>
    <t>teddy</t>
  </si>
  <si>
    <t>wobble</t>
  </si>
  <si>
    <t>ʃ ɪ n</t>
  </si>
  <si>
    <t>shin_bone</t>
  </si>
  <si>
    <t>tibia</t>
  </si>
  <si>
    <t>shinbone</t>
  </si>
  <si>
    <t>clamber</t>
  </si>
  <si>
    <t>scramble</t>
  </si>
  <si>
    <t>shinny</t>
  </si>
  <si>
    <t>skin</t>
  </si>
  <si>
    <t>struggle</t>
  </si>
  <si>
    <t>sputter</t>
  </si>
  <si>
    <t>ʃ ɪ p</t>
  </si>
  <si>
    <t>transport</t>
  </si>
  <si>
    <t>embark</t>
  </si>
  <si>
    <t>shipp</t>
  </si>
  <si>
    <t>shish</t>
  </si>
  <si>
    <t>ʃ ɪ ʃ</t>
  </si>
  <si>
    <t>ʃ ɪ t i</t>
  </si>
  <si>
    <t>shiti</t>
  </si>
  <si>
    <t>shook</t>
  </si>
  <si>
    <t>ʃ ʊ k</t>
  </si>
  <si>
    <t>shuk</t>
  </si>
  <si>
    <t>didder</t>
  </si>
  <si>
    <t>judder</t>
  </si>
  <si>
    <t>rock</t>
  </si>
  <si>
    <t>sway</t>
  </si>
  <si>
    <t>stimulate</t>
  </si>
  <si>
    <t>shake_up</t>
  </si>
  <si>
    <t>stir</t>
  </si>
  <si>
    <t>shake_off</t>
  </si>
  <si>
    <t>throw_off</t>
  </si>
  <si>
    <t>escape_from</t>
  </si>
  <si>
    <t>shul</t>
  </si>
  <si>
    <t>ʃ ʊ l</t>
  </si>
  <si>
    <t>shush</t>
  </si>
  <si>
    <t>ʃ ʊ ʃ</t>
  </si>
  <si>
    <t>Systeme_International_d'Unites</t>
  </si>
  <si>
    <t>Systeme_International</t>
  </si>
  <si>
    <t>SI_system</t>
  </si>
  <si>
    <t>SI</t>
  </si>
  <si>
    <t>SI_unit</t>
  </si>
  <si>
    <t>International_System_of_Units</t>
  </si>
  <si>
    <t>International_System</t>
  </si>
  <si>
    <t>s ɪ</t>
  </si>
  <si>
    <t>sic</t>
  </si>
  <si>
    <t>s ɪ k</t>
  </si>
  <si>
    <t>sik</t>
  </si>
  <si>
    <t>set</t>
  </si>
  <si>
    <t>vomit</t>
  </si>
  <si>
    <t>vomit_up</t>
  </si>
  <si>
    <t>purge</t>
  </si>
  <si>
    <t>be_sick</t>
  </si>
  <si>
    <t>disgorge</t>
  </si>
  <si>
    <t>regorge</t>
  </si>
  <si>
    <t>retch</t>
  </si>
  <si>
    <t>barf</t>
  </si>
  <si>
    <t>spew</t>
  </si>
  <si>
    <t>spue</t>
  </si>
  <si>
    <t>chuck</t>
  </si>
  <si>
    <t>upchuck</t>
  </si>
  <si>
    <t>regurgitate</t>
  </si>
  <si>
    <t>throw_up</t>
  </si>
  <si>
    <t>nauseated</t>
  </si>
  <si>
    <t>nauseous</t>
  </si>
  <si>
    <t>queasy</t>
  </si>
  <si>
    <t>sickish</t>
  </si>
  <si>
    <t>brainsick</t>
  </si>
  <si>
    <t>crazy</t>
  </si>
  <si>
    <t>demented</t>
  </si>
  <si>
    <t>disturbed</t>
  </si>
  <si>
    <t>mad</t>
  </si>
  <si>
    <t>unbalanced</t>
  </si>
  <si>
    <t>unhinged</t>
  </si>
  <si>
    <t>pale</t>
  </si>
  <si>
    <t>pallid</t>
  </si>
  <si>
    <t>wan</t>
  </si>
  <si>
    <t>ghastly</t>
  </si>
  <si>
    <t>grim</t>
  </si>
  <si>
    <t>grisly</t>
  </si>
  <si>
    <t>gruesome</t>
  </si>
  <si>
    <t>macabre</t>
  </si>
  <si>
    <t>sickie</t>
  </si>
  <si>
    <t>s ɪ k i</t>
  </si>
  <si>
    <t>sikh</t>
  </si>
  <si>
    <t>Sikh</t>
  </si>
  <si>
    <t>sikkim</t>
  </si>
  <si>
    <t>s ɪ k ɪ m</t>
  </si>
  <si>
    <t>sikim</t>
  </si>
  <si>
    <t>Sikkim</t>
  </si>
  <si>
    <t>silique</t>
  </si>
  <si>
    <t>s ɪ l ɪ k</t>
  </si>
  <si>
    <t>silik</t>
  </si>
  <si>
    <t>siliqua</t>
  </si>
  <si>
    <t>sill</t>
  </si>
  <si>
    <t>s ɪ l</t>
  </si>
  <si>
    <t>sil</t>
  </si>
  <si>
    <t>silliness</t>
  </si>
  <si>
    <t>s ɪ l i n ɪ s</t>
  </si>
  <si>
    <t>silinis</t>
  </si>
  <si>
    <t>absurdity</t>
  </si>
  <si>
    <t>fatuity</t>
  </si>
  <si>
    <t>fatuousness</t>
  </si>
  <si>
    <t>giddiness</t>
  </si>
  <si>
    <t>s ɪ l i</t>
  </si>
  <si>
    <t>sili</t>
  </si>
  <si>
    <t>airheaded</t>
  </si>
  <si>
    <t>dizzy</t>
  </si>
  <si>
    <t>empty-headed</t>
  </si>
  <si>
    <t>featherbrained</t>
  </si>
  <si>
    <t>giddy</t>
  </si>
  <si>
    <t>light-headed</t>
  </si>
  <si>
    <t>lightheaded</t>
  </si>
  <si>
    <t>pathetic</t>
  </si>
  <si>
    <t>ridiculous</t>
  </si>
  <si>
    <t>punch-drunk</t>
  </si>
  <si>
    <t>slaphappy</t>
  </si>
  <si>
    <t>s ɪ m</t>
  </si>
  <si>
    <t>s ɪ n</t>
  </si>
  <si>
    <t>sinfulness</t>
  </si>
  <si>
    <t>wickedness</t>
  </si>
  <si>
    <t>sinning</t>
  </si>
  <si>
    <t>Sin</t>
  </si>
  <si>
    <t>hell</t>
  </si>
  <si>
    <t>transgress</t>
  </si>
  <si>
    <t>trespass</t>
  </si>
  <si>
    <t>drop_the_ball</t>
  </si>
  <si>
    <t>blunder</t>
  </si>
  <si>
    <t>goof</t>
  </si>
  <si>
    <t>sinic</t>
  </si>
  <si>
    <t>sinitic</t>
  </si>
  <si>
    <t>s ɪ n ɪ t ɪ k</t>
  </si>
  <si>
    <t>sinitik</t>
  </si>
  <si>
    <t>Sinitic</t>
  </si>
  <si>
    <t>Sinitic_language</t>
  </si>
  <si>
    <t>sip</t>
  </si>
  <si>
    <t>s ɪ p</t>
  </si>
  <si>
    <t>pantywaist</t>
  </si>
  <si>
    <t>milksop</t>
  </si>
  <si>
    <t>Milquetoast</t>
  </si>
  <si>
    <t>sith</t>
  </si>
  <si>
    <t>s ɪ θ</t>
  </si>
  <si>
    <t>skywardly</t>
  </si>
  <si>
    <t>l ɪ</t>
  </si>
  <si>
    <t>sook</t>
  </si>
  <si>
    <t>s ʊ k</t>
  </si>
  <si>
    <t>sooty</t>
  </si>
  <si>
    <t>s ʊ t i</t>
  </si>
  <si>
    <t>suti</t>
  </si>
  <si>
    <t>coal-black</t>
  </si>
  <si>
    <t>jet</t>
  </si>
  <si>
    <t>jet-black</t>
  </si>
  <si>
    <t>pitchy</t>
  </si>
  <si>
    <t>sotho</t>
  </si>
  <si>
    <t>s u t u</t>
  </si>
  <si>
    <t>sutu</t>
  </si>
  <si>
    <t>Sotho</t>
  </si>
  <si>
    <t>sunni</t>
  </si>
  <si>
    <t>s ʊ n i</t>
  </si>
  <si>
    <t>suni</t>
  </si>
  <si>
    <t>Sunnite</t>
  </si>
  <si>
    <t>Sunni</t>
  </si>
  <si>
    <t>Sunni_Muslim</t>
  </si>
  <si>
    <t>Sunni_Islam</t>
  </si>
  <si>
    <t>suny</t>
  </si>
  <si>
    <t>s u n i</t>
  </si>
  <si>
    <t>sushi</t>
  </si>
  <si>
    <t>s ʊ ʃ i</t>
  </si>
  <si>
    <t>synesis</t>
  </si>
  <si>
    <t>s ɪ n ɪ s ɪ s</t>
  </si>
  <si>
    <t>sinisis</t>
  </si>
  <si>
    <t>tac</t>
  </si>
  <si>
    <t>t æ k</t>
  </si>
  <si>
    <t>tach</t>
  </si>
  <si>
    <t>tachometer</t>
  </si>
  <si>
    <t>tacitus</t>
  </si>
  <si>
    <t>t æ s ɪ t ʊ s</t>
  </si>
  <si>
    <t>tasitus</t>
  </si>
  <si>
    <t>Tacitus</t>
  </si>
  <si>
    <t>Publius_Cornelius_Tacitus</t>
  </si>
  <si>
    <t>Gaius_Cornelius_Tacitus</t>
  </si>
  <si>
    <t>tack</t>
  </si>
  <si>
    <t>stable_gear</t>
  </si>
  <si>
    <t>saddlery</t>
  </si>
  <si>
    <t>mainsheet</t>
  </si>
  <si>
    <t>weather_sheet</t>
  </si>
  <si>
    <t>shroud</t>
  </si>
  <si>
    <t>tacking</t>
  </si>
  <si>
    <t>wear_round</t>
  </si>
  <si>
    <t>assemble</t>
  </si>
  <si>
    <t>put_together</t>
  </si>
  <si>
    <t>set_up</t>
  </si>
  <si>
    <t>tack_together</t>
  </si>
  <si>
    <t>baste</t>
  </si>
  <si>
    <t>append</t>
  </si>
  <si>
    <t>tag_on</t>
  </si>
  <si>
    <t>tack_on</t>
  </si>
  <si>
    <t>hang_on</t>
  </si>
  <si>
    <t>interchange</t>
  </si>
  <si>
    <t>switch</t>
  </si>
  <si>
    <t>alternate</t>
  </si>
  <si>
    <t>flip-flop</t>
  </si>
  <si>
    <t>tacky</t>
  </si>
  <si>
    <t>t æ k i</t>
  </si>
  <si>
    <t>taki</t>
  </si>
  <si>
    <t>brassy</t>
  </si>
  <si>
    <t>cheap</t>
  </si>
  <si>
    <t>flashy</t>
  </si>
  <si>
    <t>garish</t>
  </si>
  <si>
    <t>gaudy</t>
  </si>
  <si>
    <t>gimcrack</t>
  </si>
  <si>
    <t>loud</t>
  </si>
  <si>
    <t>meretricious</t>
  </si>
  <si>
    <t>tatty</t>
  </si>
  <si>
    <t>tawdry</t>
  </si>
  <si>
    <t>trashy</t>
  </si>
  <si>
    <t>tallinn</t>
  </si>
  <si>
    <t>t æ l ɪ n</t>
  </si>
  <si>
    <t>talin</t>
  </si>
  <si>
    <t>Tallinn</t>
  </si>
  <si>
    <t>Tallin</t>
  </si>
  <si>
    <t>capital_of_Estonia</t>
  </si>
  <si>
    <t>tallit</t>
  </si>
  <si>
    <t>t ɑ l ɪ s</t>
  </si>
  <si>
    <t>talis</t>
  </si>
  <si>
    <t>t æ l i</t>
  </si>
  <si>
    <t>tali</t>
  </si>
  <si>
    <t>reckoning</t>
  </si>
  <si>
    <t>counting</t>
  </si>
  <si>
    <t>numeration</t>
  </si>
  <si>
    <t>enumeration</t>
  </si>
  <si>
    <t>match</t>
  </si>
  <si>
    <t>correspond</t>
  </si>
  <si>
    <t>jibe</t>
  </si>
  <si>
    <t>gibe</t>
  </si>
  <si>
    <t>agree</t>
  </si>
  <si>
    <t>score</t>
  </si>
  <si>
    <t>chalk_up</t>
  </si>
  <si>
    <t>tamil</t>
  </si>
  <si>
    <t>t æ m ɪ l</t>
  </si>
  <si>
    <t>Tamil</t>
  </si>
  <si>
    <t>tammy</t>
  </si>
  <si>
    <t>t a m i</t>
  </si>
  <si>
    <t>tami</t>
  </si>
  <si>
    <t>tam</t>
  </si>
  <si>
    <t>tam-o'-shanter</t>
  </si>
  <si>
    <t>t æ m i</t>
  </si>
  <si>
    <t>t æ n</t>
  </si>
  <si>
    <t>suntan</t>
  </si>
  <si>
    <t>sunburn</t>
  </si>
  <si>
    <t>topaz</t>
  </si>
  <si>
    <t>tangent</t>
  </si>
  <si>
    <t>bronze</t>
  </si>
  <si>
    <t>tanakh</t>
  </si>
  <si>
    <t>t ɑ n ɑ x</t>
  </si>
  <si>
    <t>tanak</t>
  </si>
  <si>
    <t>Tanakh</t>
  </si>
  <si>
    <t>Tanach</t>
  </si>
  <si>
    <t>Hebrew_Scripture</t>
  </si>
  <si>
    <t>t æ n ɪ n</t>
  </si>
  <si>
    <t>tanin</t>
  </si>
  <si>
    <t>t æ p</t>
  </si>
  <si>
    <t>pat</t>
  </si>
  <si>
    <t>water_faucet</t>
  </si>
  <si>
    <t>water_tap</t>
  </si>
  <si>
    <t>hydrant</t>
  </si>
  <si>
    <t>spigot</t>
  </si>
  <si>
    <t>wiretap</t>
  </si>
  <si>
    <t>dab</t>
  </si>
  <si>
    <t>exploit</t>
  </si>
  <si>
    <t>intercept</t>
  </si>
  <si>
    <t>bug</t>
  </si>
  <si>
    <t>pink</t>
  </si>
  <si>
    <t>tapdance</t>
  </si>
  <si>
    <t>beg</t>
  </si>
  <si>
    <t>tapas</t>
  </si>
  <si>
    <t>t æ p æ s</t>
  </si>
  <si>
    <t>t a p ɪ s</t>
  </si>
  <si>
    <t>tappish</t>
  </si>
  <si>
    <t>t æ p ɪ ʃ</t>
  </si>
  <si>
    <t>tapish</t>
  </si>
  <si>
    <t>tass</t>
  </si>
  <si>
    <t>t æ s</t>
  </si>
  <si>
    <t>tantalum</t>
  </si>
  <si>
    <t>Ta</t>
  </si>
  <si>
    <t>atomic_number_73</t>
  </si>
  <si>
    <t>tasse</t>
  </si>
  <si>
    <t>tasset</t>
  </si>
  <si>
    <t>tassie</t>
  </si>
  <si>
    <t>t æ s i</t>
  </si>
  <si>
    <t>tasi</t>
  </si>
  <si>
    <t>t æ t i</t>
  </si>
  <si>
    <t>tati</t>
  </si>
  <si>
    <t>moth-eaten</t>
  </si>
  <si>
    <t>ratty</t>
  </si>
  <si>
    <t>shabby</t>
  </si>
  <si>
    <t>thack</t>
  </si>
  <si>
    <t>θ æ k</t>
  </si>
  <si>
    <t>thak</t>
  </si>
  <si>
    <t>thanakha</t>
  </si>
  <si>
    <t>t a n a k a</t>
  </si>
  <si>
    <t>tanaka</t>
  </si>
  <si>
    <t>thematic</t>
  </si>
  <si>
    <t>θ ɪ m æ t ɪ k</t>
  </si>
  <si>
    <t>thimatik</t>
  </si>
  <si>
    <t>thick</t>
  </si>
  <si>
    <t>θ ɪ k</t>
  </si>
  <si>
    <t>thik</t>
  </si>
  <si>
    <t>midst</t>
  </si>
  <si>
    <t>slurred</t>
  </si>
  <si>
    <t>heavyset</t>
  </si>
  <si>
    <t>stocky</t>
  </si>
  <si>
    <t>thickset</t>
  </si>
  <si>
    <t>deep</t>
  </si>
  <si>
    <t>buddy-buddy</t>
  </si>
  <si>
    <t>blockheaded</t>
  </si>
  <si>
    <t>boneheaded</t>
  </si>
  <si>
    <t>duncical</t>
  </si>
  <si>
    <t>duncish</t>
  </si>
  <si>
    <t>fatheaded</t>
  </si>
  <si>
    <t>loggerheaded</t>
  </si>
  <si>
    <t>thickheaded</t>
  </si>
  <si>
    <t>thick-skulled</t>
  </si>
  <si>
    <t>wooden-headed</t>
  </si>
  <si>
    <t>thickly</t>
  </si>
  <si>
    <t>thill</t>
  </si>
  <si>
    <t>θ ɪ l</t>
  </si>
  <si>
    <t>thil</t>
  </si>
  <si>
    <t>thin</t>
  </si>
  <si>
    <t>θ ɪ n</t>
  </si>
  <si>
    <t>dilute</t>
  </si>
  <si>
    <t>thin_out</t>
  </si>
  <si>
    <t>melt_off</t>
  </si>
  <si>
    <t>lose_weight</t>
  </si>
  <si>
    <t>slim</t>
  </si>
  <si>
    <t>slenderize</t>
  </si>
  <si>
    <t>slim_down</t>
  </si>
  <si>
    <t>lean</t>
  </si>
  <si>
    <t>slender</t>
  </si>
  <si>
    <t>sparse</t>
  </si>
  <si>
    <t>flimsy</t>
  </si>
  <si>
    <t>fragile</t>
  </si>
  <si>
    <t>slight</t>
  </si>
  <si>
    <t>tenuous</t>
  </si>
  <si>
    <t>thinly</t>
  </si>
  <si>
    <t>t ɪ k</t>
  </si>
  <si>
    <t>tick</t>
  </si>
  <si>
    <t>ticking</t>
  </si>
  <si>
    <t>check_mark</t>
  </si>
  <si>
    <t>click</t>
  </si>
  <si>
    <t>ticktock</t>
  </si>
  <si>
    <t>ticktack</t>
  </si>
  <si>
    <t>retick</t>
  </si>
  <si>
    <t>check_off</t>
  </si>
  <si>
    <t>mark_off</t>
  </si>
  <si>
    <t>tick_off</t>
  </si>
  <si>
    <t>tiki</t>
  </si>
  <si>
    <t>t ɪ k i</t>
  </si>
  <si>
    <t>til</t>
  </si>
  <si>
    <t>t ɪ l</t>
  </si>
  <si>
    <t>till</t>
  </si>
  <si>
    <t>boulder_clay</t>
  </si>
  <si>
    <t>public_treasury</t>
  </si>
  <si>
    <t>trough</t>
  </si>
  <si>
    <t>cashbox</t>
  </si>
  <si>
    <t>money_box</t>
  </si>
  <si>
    <t>tillis</t>
  </si>
  <si>
    <t>t ɪ l ɪ s</t>
  </si>
  <si>
    <t>tilis</t>
  </si>
  <si>
    <t>tilly</t>
  </si>
  <si>
    <t>t ɪ l i</t>
  </si>
  <si>
    <t>tili</t>
  </si>
  <si>
    <t>t ɪ m</t>
  </si>
  <si>
    <t>timmy</t>
  </si>
  <si>
    <t>t ɪ m i</t>
  </si>
  <si>
    <t>t ɪ n</t>
  </si>
  <si>
    <t>Sn</t>
  </si>
  <si>
    <t>atomic_number_50</t>
  </si>
  <si>
    <t>canister</t>
  </si>
  <si>
    <t>cannister</t>
  </si>
  <si>
    <t>tinny</t>
  </si>
  <si>
    <t>t ɪ n i</t>
  </si>
  <si>
    <t>cheesy</t>
  </si>
  <si>
    <t>chintzy</t>
  </si>
  <si>
    <t>crummy</t>
  </si>
  <si>
    <t>punk</t>
  </si>
  <si>
    <t>sleazy</t>
  </si>
  <si>
    <t>t ɪ p</t>
  </si>
  <si>
    <t>gratuity</t>
  </si>
  <si>
    <t>pourboire</t>
  </si>
  <si>
    <t>baksheesh</t>
  </si>
  <si>
    <t>bakshish</t>
  </si>
  <si>
    <t>bakshis</t>
  </si>
  <si>
    <t>backsheesh</t>
  </si>
  <si>
    <t>steer</t>
  </si>
  <si>
    <t>confidential_information</t>
  </si>
  <si>
    <t>hint</t>
  </si>
  <si>
    <t>bung</t>
  </si>
  <si>
    <t>topple</t>
  </si>
  <si>
    <t>tumble</t>
  </si>
  <si>
    <t>tilt</t>
  </si>
  <si>
    <t>slant</t>
  </si>
  <si>
    <t>angle</t>
  </si>
  <si>
    <t>tiptoe</t>
  </si>
  <si>
    <t>tippytoe</t>
  </si>
  <si>
    <t>tip_off</t>
  </si>
  <si>
    <t>tissue</t>
  </si>
  <si>
    <t>t ɪ ʃ u</t>
  </si>
  <si>
    <t>tishu</t>
  </si>
  <si>
    <t>tissue_paper</t>
  </si>
  <si>
    <t>weave</t>
  </si>
  <si>
    <t>titty</t>
  </si>
  <si>
    <t>t ɪ t i</t>
  </si>
  <si>
    <t>breast</t>
  </si>
  <si>
    <t>knocker</t>
  </si>
  <si>
    <t>took</t>
  </si>
  <si>
    <t>t ʊ k</t>
  </si>
  <si>
    <t>use_up</t>
  </si>
  <si>
    <t>direct</t>
  </si>
  <si>
    <t>conduct</t>
  </si>
  <si>
    <t>get_hold_of</t>
  </si>
  <si>
    <t>read</t>
  </si>
  <si>
    <t>bring</t>
  </si>
  <si>
    <t>choose</t>
  </si>
  <si>
    <t>select</t>
  </si>
  <si>
    <t>pick_out</t>
  </si>
  <si>
    <t>accept</t>
  </si>
  <si>
    <t>consider</t>
  </si>
  <si>
    <t>look_at</t>
  </si>
  <si>
    <t>necessitate</t>
  </si>
  <si>
    <t>ask</t>
  </si>
  <si>
    <t>postulate</t>
  </si>
  <si>
    <t>need</t>
  </si>
  <si>
    <t>require</t>
  </si>
  <si>
    <t>involve</t>
  </si>
  <si>
    <t>call_for</t>
  </si>
  <si>
    <t>demand</t>
  </si>
  <si>
    <t>take_away</t>
  </si>
  <si>
    <t>withdraw</t>
  </si>
  <si>
    <t>consume</t>
  </si>
  <si>
    <t>submit</t>
  </si>
  <si>
    <t>take_up</t>
  </si>
  <si>
    <t>admit</t>
  </si>
  <si>
    <t>learn</t>
  </si>
  <si>
    <t>claim</t>
  </si>
  <si>
    <t>exact</t>
  </si>
  <si>
    <t>aim</t>
  </si>
  <si>
    <t>train</t>
  </si>
  <si>
    <t>take_aim</t>
  </si>
  <si>
    <t>lease</t>
  </si>
  <si>
    <t>rent</t>
  </si>
  <si>
    <t>charter</t>
  </si>
  <si>
    <t>subscribe</t>
  </si>
  <si>
    <t>subscribe_to</t>
  </si>
  <si>
    <t>contract</t>
  </si>
  <si>
    <t>get</t>
  </si>
  <si>
    <t>touloulou</t>
  </si>
  <si>
    <t>t u l u l u</t>
  </si>
  <si>
    <t>tululu</t>
  </si>
  <si>
    <t>tse</t>
  </si>
  <si>
    <t>tun</t>
  </si>
  <si>
    <t>t ʊ n</t>
  </si>
  <si>
    <t>t ʊ ʃ</t>
  </si>
  <si>
    <t>tushie</t>
  </si>
  <si>
    <t>t ʊ ʃ i</t>
  </si>
  <si>
    <t>tushi</t>
  </si>
  <si>
    <t>Tutu</t>
  </si>
  <si>
    <t>Desmond_Tutu</t>
  </si>
  <si>
    <t>twp</t>
  </si>
  <si>
    <t>t ʊ p</t>
  </si>
  <si>
    <t>uconn</t>
  </si>
  <si>
    <t>j u k ɑ n</t>
  </si>
  <si>
    <t>yukan</t>
  </si>
  <si>
    <t>xe</t>
  </si>
  <si>
    <t>xenon</t>
  </si>
  <si>
    <t>Xe</t>
  </si>
  <si>
    <t>atomic_number_54</t>
  </si>
  <si>
    <t>j ɑ</t>
  </si>
  <si>
    <t>yack</t>
  </si>
  <si>
    <t>yakety-yak</t>
  </si>
  <si>
    <t>chatter</t>
  </si>
  <si>
    <t>cackle</t>
  </si>
  <si>
    <t>jaw</t>
  </si>
  <si>
    <t>yack_away</t>
  </si>
  <si>
    <t>rattle_on</t>
  </si>
  <si>
    <t>yap_away</t>
  </si>
  <si>
    <t>j æ k</t>
  </si>
  <si>
    <t>gab</t>
  </si>
  <si>
    <t>yakima</t>
  </si>
  <si>
    <t>j æ k ɪ m ɑ</t>
  </si>
  <si>
    <t>Yakima</t>
  </si>
  <si>
    <t>yakky</t>
  </si>
  <si>
    <t>j æ k i</t>
  </si>
  <si>
    <t>yaki</t>
  </si>
  <si>
    <t>j æ m</t>
  </si>
  <si>
    <t>yam_plant</t>
  </si>
  <si>
    <t>yap</t>
  </si>
  <si>
    <t>j æ p</t>
  </si>
  <si>
    <t>cakehole</t>
  </si>
  <si>
    <t>hole</t>
  </si>
  <si>
    <t>maw</t>
  </si>
  <si>
    <t>yelp</t>
  </si>
  <si>
    <t>yip</t>
  </si>
  <si>
    <t>yapp</t>
  </si>
  <si>
    <t>yee</t>
  </si>
  <si>
    <t>j i</t>
  </si>
  <si>
    <t>yi</t>
  </si>
  <si>
    <t>yin</t>
  </si>
  <si>
    <t>j ɪ n</t>
  </si>
  <si>
    <t>j ɪ p</t>
  </si>
  <si>
    <t>yelping</t>
  </si>
  <si>
    <t>you</t>
  </si>
  <si>
    <t>æ</t>
  </si>
  <si>
    <t>æsc</t>
  </si>
  <si>
    <t>eng_latn_uk_broad_filtered.tsv</t>
  </si>
  <si>
    <t>eng_latn_uk_narrow.tsv</t>
  </si>
  <si>
    <t>americium</t>
  </si>
  <si>
    <t>Am</t>
  </si>
  <si>
    <t>atomic_number_95</t>
  </si>
  <si>
    <t>Master_of_Arts</t>
  </si>
  <si>
    <t>MA</t>
  </si>
  <si>
    <t>Artium_Magister</t>
  </si>
  <si>
    <t>AM</t>
  </si>
  <si>
    <t>amplitude_modulation</t>
  </si>
  <si>
    <t>exist</t>
  </si>
  <si>
    <t>comprise</t>
  </si>
  <si>
    <t>follow</t>
  </si>
  <si>
    <t>embody</t>
  </si>
  <si>
    <t>personify</t>
  </si>
  <si>
    <t>æ m</t>
  </si>
  <si>
    <t>æ ɾ ɪ k</t>
  </si>
  <si>
    <t>arik</t>
  </si>
  <si>
    <t>Cam</t>
  </si>
  <si>
    <t>River_Cam</t>
  </si>
  <si>
    <t>Cam_River</t>
  </si>
  <si>
    <t>k a ʃ</t>
  </si>
  <si>
    <t>m a ʃ</t>
  </si>
  <si>
    <t>thickie</t>
  </si>
  <si>
    <t>θ ɪ k i</t>
  </si>
  <si>
    <t>thiki</t>
  </si>
  <si>
    <t>ugh</t>
  </si>
  <si>
    <t>ʊ k</t>
  </si>
  <si>
    <t>uk</t>
  </si>
  <si>
    <t>ʊ x</t>
  </si>
  <si>
    <t>eng_latn_us_broad.tsv</t>
  </si>
  <si>
    <t>aam</t>
  </si>
  <si>
    <t>ɑ m</t>
  </si>
  <si>
    <t>acquis</t>
  </si>
  <si>
    <t>ɑ k i</t>
  </si>
  <si>
    <t>amati</t>
  </si>
  <si>
    <t>ɑ m ɑ t i</t>
  </si>
  <si>
    <t>Amati</t>
  </si>
  <si>
    <t>Nicolo_Amati</t>
  </si>
  <si>
    <t>Nicola_Amati</t>
  </si>
  <si>
    <t>amity</t>
  </si>
  <si>
    <t>æ m ɪ t i</t>
  </si>
  <si>
    <t>amiti</t>
  </si>
  <si>
    <t>cordiality</t>
  </si>
  <si>
    <t>æ n i s</t>
  </si>
  <si>
    <t>annie</t>
  </si>
  <si>
    <t>atoll</t>
  </si>
  <si>
    <t>æ t ɑ l</t>
  </si>
  <si>
    <t>atal</t>
  </si>
  <si>
    <t>attap</t>
  </si>
  <si>
    <t>a t a p</t>
  </si>
  <si>
    <t>atap</t>
  </si>
  <si>
    <t>aussie</t>
  </si>
  <si>
    <t>ɑ s i</t>
  </si>
  <si>
    <t>Australian</t>
  </si>
  <si>
    <t>Aussie</t>
  </si>
  <si>
    <t>auton</t>
  </si>
  <si>
    <t>ɑ t ɑ n</t>
  </si>
  <si>
    <t>atan</t>
  </si>
  <si>
    <t>k ɑ l</t>
  </si>
  <si>
    <t>phone_call</t>
  </si>
  <si>
    <t>telephone_call</t>
  </si>
  <si>
    <t>Call</t>
  </si>
  <si>
    <t>cry</t>
  </si>
  <si>
    <t>outcry</t>
  </si>
  <si>
    <t>yell</t>
  </si>
  <si>
    <t>shout</t>
  </si>
  <si>
    <t>vociferation</t>
  </si>
  <si>
    <t>birdcall</t>
  </si>
  <si>
    <t>birdsong</t>
  </si>
  <si>
    <t>margin_call</t>
  </si>
  <si>
    <t>call_option</t>
  </si>
  <si>
    <t>telephone</t>
  </si>
  <si>
    <t>call_up</t>
  </si>
  <si>
    <t>phone</t>
  </si>
  <si>
    <t>shout_out</t>
  </si>
  <si>
    <t>scream</t>
  </si>
  <si>
    <t>holler</t>
  </si>
  <si>
    <t>hollo</t>
  </si>
  <si>
    <t>squall</t>
  </si>
  <si>
    <t>send_for</t>
  </si>
  <si>
    <t>visit</t>
  </si>
  <si>
    <t>call_in</t>
  </si>
  <si>
    <t>address</t>
  </si>
  <si>
    <t>bid</t>
  </si>
  <si>
    <t>call_off</t>
  </si>
  <si>
    <t>predict</t>
  </si>
  <si>
    <t>foretell</t>
  </si>
  <si>
    <t>prognosticate</t>
  </si>
  <si>
    <t>forebode</t>
  </si>
  <si>
    <t>anticipate</t>
  </si>
  <si>
    <t>promise</t>
  </si>
  <si>
    <t>calm</t>
  </si>
  <si>
    <t>k ɑ m</t>
  </si>
  <si>
    <t>composure</t>
  </si>
  <si>
    <t>calmness</t>
  </si>
  <si>
    <t>equanimity</t>
  </si>
  <si>
    <t>calm_air</t>
  </si>
  <si>
    <t>calm_down</t>
  </si>
  <si>
    <t>tranquilize</t>
  </si>
  <si>
    <t>tranquillize</t>
  </si>
  <si>
    <t>tranquillise</t>
  </si>
  <si>
    <t>lull</t>
  </si>
  <si>
    <t>steady</t>
  </si>
  <si>
    <t>becalm</t>
  </si>
  <si>
    <t>cool_off</t>
  </si>
  <si>
    <t>chill_out</t>
  </si>
  <si>
    <t>simmer_down</t>
  </si>
  <si>
    <t>settle_down</t>
  </si>
  <si>
    <t>cool_it</t>
  </si>
  <si>
    <t>sedate</t>
  </si>
  <si>
    <t>unagitated</t>
  </si>
  <si>
    <t>serene</t>
  </si>
  <si>
    <t>tranquil</t>
  </si>
  <si>
    <t>cassie</t>
  </si>
  <si>
    <t>k æ s i</t>
  </si>
  <si>
    <t>kasi</t>
  </si>
  <si>
    <t>huisache</t>
  </si>
  <si>
    <t>mimosa_bush</t>
  </si>
  <si>
    <t>sweet_wattle</t>
  </si>
  <si>
    <t>sweet_acacia</t>
  </si>
  <si>
    <t>scented_wattle</t>
  </si>
  <si>
    <t>flame_tree</t>
  </si>
  <si>
    <t>Acacia_farnesiana</t>
  </si>
  <si>
    <t>catty</t>
  </si>
  <si>
    <t>k æ t i</t>
  </si>
  <si>
    <t>kati</t>
  </si>
  <si>
    <t>cattie</t>
  </si>
  <si>
    <t>bitchy</t>
  </si>
  <si>
    <t>cattish</t>
  </si>
  <si>
    <t>ceylon</t>
  </si>
  <si>
    <t>s i l ɑ n</t>
  </si>
  <si>
    <t>silan</t>
  </si>
  <si>
    <t>Ceylon</t>
  </si>
  <si>
    <t>Sri_Lanka</t>
  </si>
  <si>
    <t>Democratic_Socialist_Republic_of_Sri_Lanka</t>
  </si>
  <si>
    <t>voguish</t>
  </si>
  <si>
    <t>choupique</t>
  </si>
  <si>
    <t>ʃ u p i k</t>
  </si>
  <si>
    <t>shupik</t>
  </si>
  <si>
    <t>chthonic</t>
  </si>
  <si>
    <t>θ ɑ n ɪ k</t>
  </si>
  <si>
    <t>thanik</t>
  </si>
  <si>
    <t>chthonian</t>
  </si>
  <si>
    <t>nether</t>
  </si>
  <si>
    <t>cinnamon</t>
  </si>
  <si>
    <t>s ɪ m ɪ n</t>
  </si>
  <si>
    <t>simin</t>
  </si>
  <si>
    <t>cinnamon_bark</t>
  </si>
  <si>
    <t>Ceylon_cinnamon</t>
  </si>
  <si>
    <t>Ceylon_cinnamon_tree</t>
  </si>
  <si>
    <t>Cinnamomum_zeylanicum</t>
  </si>
  <si>
    <t>s ɪ ɾ i</t>
  </si>
  <si>
    <t>k ɑ k</t>
  </si>
  <si>
    <t>stopcock</t>
  </si>
  <si>
    <t>turncock</t>
  </si>
  <si>
    <t>hammer</t>
  </si>
  <si>
    <t>rooster</t>
  </si>
  <si>
    <t>tittup</t>
  </si>
  <si>
    <t>swagger</t>
  </si>
  <si>
    <t>ruffle</t>
  </si>
  <si>
    <t>prance</t>
  </si>
  <si>
    <t>strut</t>
  </si>
  <si>
    <t>cocky</t>
  </si>
  <si>
    <t>k ɑ k i</t>
  </si>
  <si>
    <t>colin</t>
  </si>
  <si>
    <t>k ɑ l ɪ n</t>
  </si>
  <si>
    <t>kalin</t>
  </si>
  <si>
    <t>colleen</t>
  </si>
  <si>
    <t>k ɑ l i n</t>
  </si>
  <si>
    <t>comic</t>
  </si>
  <si>
    <t>k ɑ m ɪ k</t>
  </si>
  <si>
    <t>kamik</t>
  </si>
  <si>
    <t>comedian</t>
  </si>
  <si>
    <t>amusing</t>
  </si>
  <si>
    <t>comical</t>
  </si>
  <si>
    <t>funny</t>
  </si>
  <si>
    <t>laughable</t>
  </si>
  <si>
    <t>mirthful</t>
  </si>
  <si>
    <t>risible</t>
  </si>
  <si>
    <t>con</t>
  </si>
  <si>
    <t>convict</t>
  </si>
  <si>
    <t>inmate</t>
  </si>
  <si>
    <t>yard_bird</t>
  </si>
  <si>
    <t>yardbird</t>
  </si>
  <si>
    <t>bunco</t>
  </si>
  <si>
    <t>bunco_game</t>
  </si>
  <si>
    <t>bunko</t>
  </si>
  <si>
    <t>bunko_game</t>
  </si>
  <si>
    <t>confidence_trick</t>
  </si>
  <si>
    <t>confidence_game</t>
  </si>
  <si>
    <t>con_game</t>
  </si>
  <si>
    <t>gyp</t>
  </si>
  <si>
    <t>hustle</t>
  </si>
  <si>
    <t>flimflam</t>
  </si>
  <si>
    <t>victimize</t>
  </si>
  <si>
    <t>swindle</t>
  </si>
  <si>
    <t>rook</t>
  </si>
  <si>
    <t>diddle</t>
  </si>
  <si>
    <t>defraud</t>
  </si>
  <si>
    <t>scam</t>
  </si>
  <si>
    <t>mulct</t>
  </si>
  <si>
    <t>gip</t>
  </si>
  <si>
    <t>hornswoggle</t>
  </si>
  <si>
    <t>short-change</t>
  </si>
  <si>
    <t>memorize</t>
  </si>
  <si>
    <t>memorise</t>
  </si>
  <si>
    <t>conic</t>
  </si>
  <si>
    <t>k ɑ n ɪ k</t>
  </si>
  <si>
    <t>kanik</t>
  </si>
  <si>
    <t>conic_section</t>
  </si>
  <si>
    <t>conical</t>
  </si>
  <si>
    <t>conelike</t>
  </si>
  <si>
    <t>cone-shaped</t>
  </si>
  <si>
    <t>conn</t>
  </si>
  <si>
    <t>coo</t>
  </si>
  <si>
    <t>coon</t>
  </si>
  <si>
    <t>k u n</t>
  </si>
  <si>
    <t>kun</t>
  </si>
  <si>
    <t>nigger</t>
  </si>
  <si>
    <t>nigga</t>
  </si>
  <si>
    <t>spade</t>
  </si>
  <si>
    <t>jigaboo</t>
  </si>
  <si>
    <t>nigra</t>
  </si>
  <si>
    <t>common_raccoon</t>
  </si>
  <si>
    <t>common_racoon</t>
  </si>
  <si>
    <t>ringtail</t>
  </si>
  <si>
    <t>Procyon_lotor</t>
  </si>
  <si>
    <t>k ɑ p</t>
  </si>
  <si>
    <t>bull</t>
  </si>
  <si>
    <t>copper</t>
  </si>
  <si>
    <t>nail</t>
  </si>
  <si>
    <t>apprehend</t>
  </si>
  <si>
    <t>arrest</t>
  </si>
  <si>
    <t>nab</t>
  </si>
  <si>
    <t>k ɑ p i</t>
  </si>
  <si>
    <t>transcript</t>
  </si>
  <si>
    <t>written_matter</t>
  </si>
  <si>
    <t>replicate</t>
  </si>
  <si>
    <t>re-create</t>
  </si>
  <si>
    <t>cos</t>
  </si>
  <si>
    <t>k ɑ s</t>
  </si>
  <si>
    <t>cosine</t>
  </si>
  <si>
    <t>cos_lettuce</t>
  </si>
  <si>
    <t>romaine</t>
  </si>
  <si>
    <t>romaine_lettuce</t>
  </si>
  <si>
    <t>carbon_monoxide</t>
  </si>
  <si>
    <t>carbon_monoxide_gas</t>
  </si>
  <si>
    <t>CO</t>
  </si>
  <si>
    <t>cobalt</t>
  </si>
  <si>
    <t>Co</t>
  </si>
  <si>
    <t>atomic_number_27</t>
  </si>
  <si>
    <t>conscientious_objector</t>
  </si>
  <si>
    <t>Colorado</t>
  </si>
  <si>
    <t>Centennial_State</t>
  </si>
  <si>
    <t>cossack</t>
  </si>
  <si>
    <t>k ɑ s æ k</t>
  </si>
  <si>
    <t>kasak</t>
  </si>
  <si>
    <t>Cossack</t>
  </si>
  <si>
    <t>coulee</t>
  </si>
  <si>
    <t>coulomb</t>
  </si>
  <si>
    <t>k u l ɑ m</t>
  </si>
  <si>
    <t>kulam</t>
  </si>
  <si>
    <t>C</t>
  </si>
  <si>
    <t>ampere-second</t>
  </si>
  <si>
    <t>Coulomb</t>
  </si>
  <si>
    <t>Charles_Augustin_de_Coulomb</t>
  </si>
  <si>
    <t>coup</t>
  </si>
  <si>
    <t>coup_d'etat</t>
  </si>
  <si>
    <t>putsch</t>
  </si>
  <si>
    <t>takeover</t>
  </si>
  <si>
    <t>couth</t>
  </si>
  <si>
    <t>k u θ</t>
  </si>
  <si>
    <t>kuth</t>
  </si>
  <si>
    <t>cowlick</t>
  </si>
  <si>
    <t>k æ l ɪ k</t>
  </si>
  <si>
    <t>kalik</t>
  </si>
  <si>
    <t>cpu</t>
  </si>
  <si>
    <t>s i p i j u</t>
  </si>
  <si>
    <t>sipiyu</t>
  </si>
  <si>
    <t>central_processing_unit</t>
  </si>
  <si>
    <t>CPU</t>
  </si>
  <si>
    <t>C.P.U.</t>
  </si>
  <si>
    <t>central_processor</t>
  </si>
  <si>
    <t>processor</t>
  </si>
  <si>
    <t>mainframe</t>
  </si>
  <si>
    <t>k u m ɪ n</t>
  </si>
  <si>
    <t>kumin</t>
  </si>
  <si>
    <t>k ʊ m ɪ n</t>
  </si>
  <si>
    <t>eek</t>
  </si>
  <si>
    <t>i k</t>
  </si>
  <si>
    <t>eke</t>
  </si>
  <si>
    <t>epoch</t>
  </si>
  <si>
    <t>i p ɑ k</t>
  </si>
  <si>
    <t>ipak</t>
  </si>
  <si>
    <t>era</t>
  </si>
  <si>
    <t>date_of_reference</t>
  </si>
  <si>
    <t>eschew</t>
  </si>
  <si>
    <t>ɪ ʃ u</t>
  </si>
  <si>
    <t>ishu</t>
  </si>
  <si>
    <t>shun</t>
  </si>
  <si>
    <t>eudaemonic</t>
  </si>
  <si>
    <t>j u ɾ ɪ m ɑ n ɪ k</t>
  </si>
  <si>
    <t>yurimanik</t>
  </si>
  <si>
    <t>eudemonic</t>
  </si>
  <si>
    <t>hahn</t>
  </si>
  <si>
    <t>h ɑ n</t>
  </si>
  <si>
    <t>Hahn</t>
  </si>
  <si>
    <t>Otto_Hahn</t>
  </si>
  <si>
    <t>hic</t>
  </si>
  <si>
    <t>hock</t>
  </si>
  <si>
    <t>h ɑ k</t>
  </si>
  <si>
    <t>Rhine_wine</t>
  </si>
  <si>
    <t>Rhenish</t>
  </si>
  <si>
    <t>hock-joint</t>
  </si>
  <si>
    <t>pawn</t>
  </si>
  <si>
    <t>holly</t>
  </si>
  <si>
    <t>h ɑ l i</t>
  </si>
  <si>
    <t>Holly</t>
  </si>
  <si>
    <t>Buddy_Holly</t>
  </si>
  <si>
    <t>Charles_Hardin_Holley</t>
  </si>
  <si>
    <t>hollyhock</t>
  </si>
  <si>
    <t>h ɑ l i h ɑ k</t>
  </si>
  <si>
    <t>halihak</t>
  </si>
  <si>
    <t>althea</t>
  </si>
  <si>
    <t>althaea</t>
  </si>
  <si>
    <t>homi</t>
  </si>
  <si>
    <t>h ɑ m i</t>
  </si>
  <si>
    <t>hami</t>
  </si>
  <si>
    <t>homily</t>
  </si>
  <si>
    <t>h ɑ m ɪ l i</t>
  </si>
  <si>
    <t>hamili</t>
  </si>
  <si>
    <t>preachment</t>
  </si>
  <si>
    <t>hoon</t>
  </si>
  <si>
    <t>hoopoe</t>
  </si>
  <si>
    <t>h u p u</t>
  </si>
  <si>
    <t>hupu</t>
  </si>
  <si>
    <t>hoopoo</t>
  </si>
  <si>
    <t>h ɑ p</t>
  </si>
  <si>
    <t>hops</t>
  </si>
  <si>
    <t>record_hop</t>
  </si>
  <si>
    <t>skip</t>
  </si>
  <si>
    <t>hop-skip</t>
  </si>
  <si>
    <t>ily</t>
  </si>
  <si>
    <t>ɪ l i</t>
  </si>
  <si>
    <t>ili</t>
  </si>
  <si>
    <t>imani</t>
  </si>
  <si>
    <t>ɪ m ɑ n i</t>
  </si>
  <si>
    <t>keen</t>
  </si>
  <si>
    <t>lament</t>
  </si>
  <si>
    <t>acute</t>
  </si>
  <si>
    <t>discriminating</t>
  </si>
  <si>
    <t>incisive</t>
  </si>
  <si>
    <t>knifelike</t>
  </si>
  <si>
    <t>penetrating</t>
  </si>
  <si>
    <t>penetrative</t>
  </si>
  <si>
    <t>piercing</t>
  </si>
  <si>
    <t>sharp</t>
  </si>
  <si>
    <t>exquisite</t>
  </si>
  <si>
    <t>bang-up</t>
  </si>
  <si>
    <t>bully</t>
  </si>
  <si>
    <t>corking</t>
  </si>
  <si>
    <t>cracking</t>
  </si>
  <si>
    <t>dandy</t>
  </si>
  <si>
    <t>groovy</t>
  </si>
  <si>
    <t>neat</t>
  </si>
  <si>
    <t>nifty</t>
  </si>
  <si>
    <t>not_bad</t>
  </si>
  <si>
    <t>peachy</t>
  </si>
  <si>
    <t>slap-up</t>
  </si>
  <si>
    <t>swell</t>
  </si>
  <si>
    <t>smashing</t>
  </si>
  <si>
    <t>stabbing</t>
  </si>
  <si>
    <t>lancinate</t>
  </si>
  <si>
    <t>lancinating</t>
  </si>
  <si>
    <t>key</t>
  </si>
  <si>
    <t>tonality</t>
  </si>
  <si>
    <t>samara</t>
  </si>
  <si>
    <t>key_fruit</t>
  </si>
  <si>
    <t>Key</t>
  </si>
  <si>
    <t>Francis_Scott_Key</t>
  </si>
  <si>
    <t>cay</t>
  </si>
  <si>
    <t>Florida_key</t>
  </si>
  <si>
    <t>paint</t>
  </si>
  <si>
    <t>winder</t>
  </si>
  <si>
    <t>keystone</t>
  </si>
  <si>
    <t>headstone</t>
  </si>
  <si>
    <t>identify</t>
  </si>
  <si>
    <t>discover</t>
  </si>
  <si>
    <t>key_out</t>
  </si>
  <si>
    <t>distinguish</t>
  </si>
  <si>
    <t>describe</t>
  </si>
  <si>
    <t>cardinal</t>
  </si>
  <si>
    <t>central</t>
  </si>
  <si>
    <t>fundamental</t>
  </si>
  <si>
    <t>primal</t>
  </si>
  <si>
    <t>k i l i m</t>
  </si>
  <si>
    <t>knee</t>
  </si>
  <si>
    <t>knee_joint</t>
  </si>
  <si>
    <t>human_knee</t>
  </si>
  <si>
    <t>articulatio_genus</t>
  </si>
  <si>
    <t>genu</t>
  </si>
  <si>
    <t>stifle</t>
  </si>
  <si>
    <t>n ɑ k</t>
  </si>
  <si>
    <t>roast</t>
  </si>
  <si>
    <t>bash</t>
  </si>
  <si>
    <t>smash</t>
  </si>
  <si>
    <t>belt</t>
  </si>
  <si>
    <t>whack</t>
  </si>
  <si>
    <t>whang</t>
  </si>
  <si>
    <t>strike_hard</t>
  </si>
  <si>
    <t>bump</t>
  </si>
  <si>
    <t>ping</t>
  </si>
  <si>
    <t>criticize</t>
  </si>
  <si>
    <t>criticise</t>
  </si>
  <si>
    <t>pick_apart</t>
  </si>
  <si>
    <t>koch</t>
  </si>
  <si>
    <t>k ɑ x</t>
  </si>
  <si>
    <t>Koch</t>
  </si>
  <si>
    <t>Robert_Koch</t>
  </si>
  <si>
    <t>kulak</t>
  </si>
  <si>
    <t>k u l æ k</t>
  </si>
  <si>
    <t>lakh</t>
  </si>
  <si>
    <t>hundred_thousand</t>
  </si>
  <si>
    <t>l æ s u</t>
  </si>
  <si>
    <t>lasu</t>
  </si>
  <si>
    <t>Lasso</t>
  </si>
  <si>
    <t>Orlando_di_Lasso</t>
  </si>
  <si>
    <t>Roland_de_Lassus</t>
  </si>
  <si>
    <t>rope</t>
  </si>
  <si>
    <t>lateen</t>
  </si>
  <si>
    <t>l æ t i n</t>
  </si>
  <si>
    <t>lateen_sail</t>
  </si>
  <si>
    <t>lateen-rigged</t>
  </si>
  <si>
    <t>lille</t>
  </si>
  <si>
    <t>l i l</t>
  </si>
  <si>
    <t>Lille</t>
  </si>
  <si>
    <t>loch</t>
  </si>
  <si>
    <t>l ɑ k</t>
  </si>
  <si>
    <t>l ɑ x</t>
  </si>
  <si>
    <t>curl</t>
  </si>
  <si>
    <t>ringlet</t>
  </si>
  <si>
    <t>whorl</t>
  </si>
  <si>
    <t>lock_chamber</t>
  </si>
  <si>
    <t>ignition_lock</t>
  </si>
  <si>
    <t>interlace</t>
  </si>
  <si>
    <t>lock_in</t>
  </si>
  <si>
    <t>lock_away</t>
  </si>
  <si>
    <t>put_away</t>
  </si>
  <si>
    <t>shut_away</t>
  </si>
  <si>
    <t>lock_up</t>
  </si>
  <si>
    <t>locke</t>
  </si>
  <si>
    <t>Locke</t>
  </si>
  <si>
    <t>John_Locke</t>
  </si>
  <si>
    <t>lol</t>
  </si>
  <si>
    <t>l ɑ l</t>
  </si>
  <si>
    <t>lal</t>
  </si>
  <si>
    <t>loll</t>
  </si>
  <si>
    <t>droop</t>
  </si>
  <si>
    <t>bum_around</t>
  </si>
  <si>
    <t>bum_about</t>
  </si>
  <si>
    <t>arse_around</t>
  </si>
  <si>
    <t>arse_about</t>
  </si>
  <si>
    <t>fuck_off</t>
  </si>
  <si>
    <t>loaf</t>
  </si>
  <si>
    <t>frig_around</t>
  </si>
  <si>
    <t>waste_one's_time</t>
  </si>
  <si>
    <t>lounge_around</t>
  </si>
  <si>
    <t>loll_around</t>
  </si>
  <si>
    <t>lounge_about</t>
  </si>
  <si>
    <t>lollipop</t>
  </si>
  <si>
    <t>l ɑ l i p ɑ p</t>
  </si>
  <si>
    <t>lalipap</t>
  </si>
  <si>
    <t>ice_lolly</t>
  </si>
  <si>
    <t>lolly</t>
  </si>
  <si>
    <t>popsicle</t>
  </si>
  <si>
    <t>all-day_sucker</t>
  </si>
  <si>
    <t>loo</t>
  </si>
  <si>
    <t>water_closet</t>
  </si>
  <si>
    <t>closet</t>
  </si>
  <si>
    <t>W.C.</t>
  </si>
  <si>
    <t>loom</t>
  </si>
  <si>
    <t>l u m</t>
  </si>
  <si>
    <t>lum</t>
  </si>
  <si>
    <t>tower</t>
  </si>
  <si>
    <t>predominate</t>
  </si>
  <si>
    <t>brood</t>
  </si>
  <si>
    <t>bulk_large</t>
  </si>
  <si>
    <t>lossy</t>
  </si>
  <si>
    <t>l ɑ s i</t>
  </si>
  <si>
    <t>louche</t>
  </si>
  <si>
    <t>l u ʃ</t>
  </si>
  <si>
    <t>lush</t>
  </si>
  <si>
    <t>shady</t>
  </si>
  <si>
    <t>m ɑ l ɑ</t>
  </si>
  <si>
    <t>m ɑ l i</t>
  </si>
  <si>
    <t>m ɑ l i k</t>
  </si>
  <si>
    <t>manicotti</t>
  </si>
  <si>
    <t>m æ n ɪ k ɑ t i</t>
  </si>
  <si>
    <t>manikati</t>
  </si>
  <si>
    <t>many</t>
  </si>
  <si>
    <t>massey</t>
  </si>
  <si>
    <t>m æ s i</t>
  </si>
  <si>
    <t>masi</t>
  </si>
  <si>
    <t>massy</t>
  </si>
  <si>
    <t>me</t>
  </si>
  <si>
    <t>Maine</t>
  </si>
  <si>
    <t>Pine_Tree_State</t>
  </si>
  <si>
    <t>ME</t>
  </si>
  <si>
    <t>meek</t>
  </si>
  <si>
    <t>tame</t>
  </si>
  <si>
    <t>spiritless</t>
  </si>
  <si>
    <t>mississippi</t>
  </si>
  <si>
    <t>m ɪ s ɪ s ɪ p i</t>
  </si>
  <si>
    <t>Mississippi</t>
  </si>
  <si>
    <t>Mississippi_River</t>
  </si>
  <si>
    <t>Magnolia_State</t>
  </si>
  <si>
    <t>MS</t>
  </si>
  <si>
    <t>mock</t>
  </si>
  <si>
    <t>m ɑ k</t>
  </si>
  <si>
    <t>bemock</t>
  </si>
  <si>
    <t>mollie</t>
  </si>
  <si>
    <t>molly</t>
  </si>
  <si>
    <t>m ɑ m</t>
  </si>
  <si>
    <t>m ɑ n</t>
  </si>
  <si>
    <t>Monday</t>
  </si>
  <si>
    <t>Mon</t>
  </si>
  <si>
    <t>moo</t>
  </si>
  <si>
    <t>moonlight</t>
  </si>
  <si>
    <t>moonshine</t>
  </si>
  <si>
    <t>Sun_Myung_Moon</t>
  </si>
  <si>
    <t>daydream</t>
  </si>
  <si>
    <t>moon_around</t>
  </si>
  <si>
    <t>moon_on</t>
  </si>
  <si>
    <t>mop</t>
  </si>
  <si>
    <t>m ɑ p</t>
  </si>
  <si>
    <t>swab</t>
  </si>
  <si>
    <t>swob</t>
  </si>
  <si>
    <t>wipe_up</t>
  </si>
  <si>
    <t>pout</t>
  </si>
  <si>
    <t>mosh</t>
  </si>
  <si>
    <t>m ɑ ʃ</t>
  </si>
  <si>
    <t>slam_dance</t>
  </si>
  <si>
    <t>slam</t>
  </si>
  <si>
    <t>n ɑ n</t>
  </si>
  <si>
    <t>n ɑ t i</t>
  </si>
  <si>
    <t>newly</t>
  </si>
  <si>
    <t>n u l i</t>
  </si>
  <si>
    <t>nuli</t>
  </si>
  <si>
    <t>freshly</t>
  </si>
  <si>
    <t>new</t>
  </si>
  <si>
    <t>niche</t>
  </si>
  <si>
    <t>n i ʃ</t>
  </si>
  <si>
    <t>nish</t>
  </si>
  <si>
    <t>recession</t>
  </si>
  <si>
    <t>ecological_niche</t>
  </si>
  <si>
    <t>n ɪ ʃ</t>
  </si>
  <si>
    <t>niece</t>
  </si>
  <si>
    <t>n i s</t>
  </si>
  <si>
    <t>nis</t>
  </si>
  <si>
    <t>nippon</t>
  </si>
  <si>
    <t>n ɪ p ɑ n</t>
  </si>
  <si>
    <t>nipan</t>
  </si>
  <si>
    <t>Japan</t>
  </si>
  <si>
    <t>Nippon</t>
  </si>
  <si>
    <t>Nihon</t>
  </si>
  <si>
    <t>nisenan</t>
  </si>
  <si>
    <t>n i s ɪ n ɑ n</t>
  </si>
  <si>
    <t>nisinan</t>
  </si>
  <si>
    <t>n ɪ t i</t>
  </si>
  <si>
    <t>nosh</t>
  </si>
  <si>
    <t>n ɑ ʃ</t>
  </si>
  <si>
    <t>snack</t>
  </si>
  <si>
    <t>oche</t>
  </si>
  <si>
    <t>oose</t>
  </si>
  <si>
    <t>os</t>
  </si>
  <si>
    <t>ɑ s</t>
  </si>
  <si>
    <t>osmium</t>
  </si>
  <si>
    <t>Os</t>
  </si>
  <si>
    <t>atomic_number_76</t>
  </si>
  <si>
    <t>operating_system</t>
  </si>
  <si>
    <t>OS</t>
  </si>
  <si>
    <t>oculus_sinister</t>
  </si>
  <si>
    <t>bone</t>
  </si>
  <si>
    <t>oxygen</t>
  </si>
  <si>
    <t>O</t>
  </si>
  <si>
    <t>atomic_number_8</t>
  </si>
  <si>
    <t>o</t>
  </si>
  <si>
    <t>type_O</t>
  </si>
  <si>
    <t>group_O</t>
  </si>
  <si>
    <t>p æ l</t>
  </si>
  <si>
    <t>pall</t>
  </si>
  <si>
    <t>p ɑ l</t>
  </si>
  <si>
    <t>chill</t>
  </si>
  <si>
    <t>cerement</t>
  </si>
  <si>
    <t>winding-sheet</t>
  </si>
  <si>
    <t>winding-clothes</t>
  </si>
  <si>
    <t>curtain</t>
  </si>
  <si>
    <t>drape</t>
  </si>
  <si>
    <t>drapery</t>
  </si>
  <si>
    <t>daunt</t>
  </si>
  <si>
    <t>dash</t>
  </si>
  <si>
    <t>scare_off</t>
  </si>
  <si>
    <t>frighten_off</t>
  </si>
  <si>
    <t>scare_away</t>
  </si>
  <si>
    <t>frighten_away</t>
  </si>
  <si>
    <t>cloy</t>
  </si>
  <si>
    <t>become_flat</t>
  </si>
  <si>
    <t>weary</t>
  </si>
  <si>
    <t>fatigue</t>
  </si>
  <si>
    <t>palm</t>
  </si>
  <si>
    <t>p ɑ m</t>
  </si>
  <si>
    <t>thenar</t>
  </si>
  <si>
    <t>palm_tree</t>
  </si>
  <si>
    <t>decoration</t>
  </si>
  <si>
    <t>laurel_wreath</t>
  </si>
  <si>
    <t>medal</t>
  </si>
  <si>
    <t>medallion</t>
  </si>
  <si>
    <t>ribbon</t>
  </si>
  <si>
    <t>paucity</t>
  </si>
  <si>
    <t>p ɑ s ɪ t i</t>
  </si>
  <si>
    <t>pasiti</t>
  </si>
  <si>
    <t>dearth</t>
  </si>
  <si>
    <t>peacock</t>
  </si>
  <si>
    <t>p i k ɑ k</t>
  </si>
  <si>
    <t>peacock_butterfly</t>
  </si>
  <si>
    <t>Inachis_io</t>
  </si>
  <si>
    <t>peep</t>
  </si>
  <si>
    <t>cheep</t>
  </si>
  <si>
    <t>peek</t>
  </si>
  <si>
    <t>chirp</t>
  </si>
  <si>
    <t>chirrup</t>
  </si>
  <si>
    <t>peepy</t>
  </si>
  <si>
    <t>penis</t>
  </si>
  <si>
    <t>p i n ɪ s</t>
  </si>
  <si>
    <t>phallus</t>
  </si>
  <si>
    <t>member</t>
  </si>
  <si>
    <t>pock</t>
  </si>
  <si>
    <t>p ɑ k</t>
  </si>
  <si>
    <t>scar</t>
  </si>
  <si>
    <t>pit</t>
  </si>
  <si>
    <t>p ɑ l ɪ ʃ</t>
  </si>
  <si>
    <t>palish</t>
  </si>
  <si>
    <t>glossiness</t>
  </si>
  <si>
    <t>culture</t>
  </si>
  <si>
    <t>cultivation</t>
  </si>
  <si>
    <t>Polish</t>
  </si>
  <si>
    <t>polity</t>
  </si>
  <si>
    <t>p ɑ l ɪ t i</t>
  </si>
  <si>
    <t>paliti</t>
  </si>
  <si>
    <t>civil_order</t>
  </si>
  <si>
    <t>polymath</t>
  </si>
  <si>
    <t>p ɑ l i m æ θ</t>
  </si>
  <si>
    <t>palimath</t>
  </si>
  <si>
    <t>p ɑ l ɪ m æ θ</t>
  </si>
  <si>
    <t>polyp</t>
  </si>
  <si>
    <t>p ɑ l ɪ p</t>
  </si>
  <si>
    <t>palip</t>
  </si>
  <si>
    <t>polypus</t>
  </si>
  <si>
    <t>polytonic</t>
  </si>
  <si>
    <t>p ɑ l i t ɑ n ɪ k</t>
  </si>
  <si>
    <t>palitanik</t>
  </si>
  <si>
    <t>pomey</t>
  </si>
  <si>
    <t>p ɑ m i</t>
  </si>
  <si>
    <t>pami</t>
  </si>
  <si>
    <t>pooh</t>
  </si>
  <si>
    <t>p u l</t>
  </si>
  <si>
    <t>pond</t>
  </si>
  <si>
    <t>consortium</t>
  </si>
  <si>
    <t>syndicate</t>
  </si>
  <si>
    <t>pocket_billiards</t>
  </si>
  <si>
    <t>p ɑ p</t>
  </si>
  <si>
    <t>soda</t>
  </si>
  <si>
    <t>soda_pop</t>
  </si>
  <si>
    <t>soda_water</t>
  </si>
  <si>
    <t>tonic</t>
  </si>
  <si>
    <t>popping</t>
  </si>
  <si>
    <t>pop_music</t>
  </si>
  <si>
    <t>protrude</t>
  </si>
  <si>
    <t>pop_out</t>
  </si>
  <si>
    <t>bulge</t>
  </si>
  <si>
    <t>bulge_out</t>
  </si>
  <si>
    <t>bug_out</t>
  </si>
  <si>
    <t>come_out</t>
  </si>
  <si>
    <t>crop_up</t>
  </si>
  <si>
    <t>pop_up</t>
  </si>
  <si>
    <t>popular</t>
  </si>
  <si>
    <t>poppy</t>
  </si>
  <si>
    <t>p ɑ p i</t>
  </si>
  <si>
    <t>posh</t>
  </si>
  <si>
    <t>p ɑ ʃ</t>
  </si>
  <si>
    <t>classy</t>
  </si>
  <si>
    <t>posse</t>
  </si>
  <si>
    <t>p ɑ s i</t>
  </si>
  <si>
    <t>pasi</t>
  </si>
  <si>
    <t>posse_comitatus</t>
  </si>
  <si>
    <t>psalm</t>
  </si>
  <si>
    <t>s ɑ m</t>
  </si>
  <si>
    <t>Psalm</t>
  </si>
  <si>
    <t>p ʊ s i</t>
  </si>
  <si>
    <t>quay</t>
  </si>
  <si>
    <t>quinine</t>
  </si>
  <si>
    <t>k ɪ n i n</t>
  </si>
  <si>
    <t>kinin</t>
  </si>
  <si>
    <t>s æ s i</t>
  </si>
  <si>
    <t>sauce</t>
  </si>
  <si>
    <t>s ɑ s</t>
  </si>
  <si>
    <t>s ɑ s i</t>
  </si>
  <si>
    <t>irreverent</t>
  </si>
  <si>
    <t>pert</t>
  </si>
  <si>
    <t>sault</t>
  </si>
  <si>
    <t>s u</t>
  </si>
  <si>
    <t>su</t>
  </si>
  <si>
    <t>she</t>
  </si>
  <si>
    <t>sheath</t>
  </si>
  <si>
    <t>ʃ i θ</t>
  </si>
  <si>
    <t>shith</t>
  </si>
  <si>
    <t>cocktail_dress</t>
  </si>
  <si>
    <t>sheep</t>
  </si>
  <si>
    <t>shiitake</t>
  </si>
  <si>
    <t>ʃ ɪ t ɑ k i</t>
  </si>
  <si>
    <t>shitaki</t>
  </si>
  <si>
    <t>shiitake_mushroom</t>
  </si>
  <si>
    <t>Chinese_black_mushroom</t>
  </si>
  <si>
    <t>golden_oak_mushroom</t>
  </si>
  <si>
    <t>Oriental_black_mushroom</t>
  </si>
  <si>
    <t>Lentinus_edodes</t>
  </si>
  <si>
    <t>shock</t>
  </si>
  <si>
    <t>ʃ ɑ k</t>
  </si>
  <si>
    <t>daze</t>
  </si>
  <si>
    <t>stupor</t>
  </si>
  <si>
    <t>impact</t>
  </si>
  <si>
    <t>electric_shock</t>
  </si>
  <si>
    <t>electrical_shock</t>
  </si>
  <si>
    <t>seismic_disturbance</t>
  </si>
  <si>
    <t>jolt</t>
  </si>
  <si>
    <t>jounce</t>
  </si>
  <si>
    <t>shock_absorber</t>
  </si>
  <si>
    <t>ball_over</t>
  </si>
  <si>
    <t>blow_out_of_the_water</t>
  </si>
  <si>
    <t>take_aback</t>
  </si>
  <si>
    <t>scandalize</t>
  </si>
  <si>
    <t>scandalise</t>
  </si>
  <si>
    <t>appal</t>
  </si>
  <si>
    <t>appall</t>
  </si>
  <si>
    <t>outrage</t>
  </si>
  <si>
    <t>traumatize</t>
  </si>
  <si>
    <t>traumatise</t>
  </si>
  <si>
    <t>shop</t>
  </si>
  <si>
    <t>ʃ ɑ p</t>
  </si>
  <si>
    <t>workshop</t>
  </si>
  <si>
    <t>shop_class</t>
  </si>
  <si>
    <t>patronize</t>
  </si>
  <si>
    <t>patronise</t>
  </si>
  <si>
    <t>shop_at</t>
  </si>
  <si>
    <t>buy_at</t>
  </si>
  <si>
    <t>frequent</t>
  </si>
  <si>
    <t>sponsor</t>
  </si>
  <si>
    <t>browse</t>
  </si>
  <si>
    <t>denounce</t>
  </si>
  <si>
    <t>tell_on</t>
  </si>
  <si>
    <t>betray</t>
  </si>
  <si>
    <t>give_away</t>
  </si>
  <si>
    <t>grass</t>
  </si>
  <si>
    <t>shit</t>
  </si>
  <si>
    <t>stag</t>
  </si>
  <si>
    <t>soc</t>
  </si>
  <si>
    <t>s ɑ k</t>
  </si>
  <si>
    <t>sock</t>
  </si>
  <si>
    <t>windsock</t>
  </si>
  <si>
    <t>wind_sock</t>
  </si>
  <si>
    <t>air_sock</t>
  </si>
  <si>
    <t>air-sleeve</t>
  </si>
  <si>
    <t>wind_sleeve</t>
  </si>
  <si>
    <t>wind_cone</t>
  </si>
  <si>
    <t>drogue</t>
  </si>
  <si>
    <t>bop</t>
  </si>
  <si>
    <t>whop</t>
  </si>
  <si>
    <t>whap</t>
  </si>
  <si>
    <t>bonk</t>
  </si>
  <si>
    <t>sol</t>
  </si>
  <si>
    <t>s ɑ l</t>
  </si>
  <si>
    <t>colloidal_solution</t>
  </si>
  <si>
    <t>colloidal_suspension</t>
  </si>
  <si>
    <t>Sol</t>
  </si>
  <si>
    <t>soh</t>
  </si>
  <si>
    <t>so</t>
  </si>
  <si>
    <t>soup</t>
  </si>
  <si>
    <t>s u p</t>
  </si>
  <si>
    <t>sup</t>
  </si>
  <si>
    <t>s u ʃ i</t>
  </si>
  <si>
    <t>tache</t>
  </si>
  <si>
    <t>t æ ʃ</t>
  </si>
  <si>
    <t>tash</t>
  </si>
  <si>
    <t>talk</t>
  </si>
  <si>
    <t>t ɑ k</t>
  </si>
  <si>
    <t>talking</t>
  </si>
  <si>
    <t>lecture</t>
  </si>
  <si>
    <t>public_lecture</t>
  </si>
  <si>
    <t>talk_of_the_town</t>
  </si>
  <si>
    <t>speak</t>
  </si>
  <si>
    <t>utter</t>
  </si>
  <si>
    <t>verbalize</t>
  </si>
  <si>
    <t>verbalise</t>
  </si>
  <si>
    <t>spill</t>
  </si>
  <si>
    <t>spill_the_beans</t>
  </si>
  <si>
    <t>let_the_cat_out_of_the_bag</t>
  </si>
  <si>
    <t>tattle</t>
  </si>
  <si>
    <t>blab</t>
  </si>
  <si>
    <t>peach</t>
  </si>
  <si>
    <t>babble</t>
  </si>
  <si>
    <t>sing</t>
  </si>
  <si>
    <t>babble_out</t>
  </si>
  <si>
    <t>blab_out</t>
  </si>
  <si>
    <t>tanuki</t>
  </si>
  <si>
    <t>t ɑ n u k i</t>
  </si>
  <si>
    <t>tea</t>
  </si>
  <si>
    <t>afternoon_tea</t>
  </si>
  <si>
    <t>teatime</t>
  </si>
  <si>
    <t>Camellia_sinensis</t>
  </si>
  <si>
    <t>tea_leaf</t>
  </si>
  <si>
    <t>teton</t>
  </si>
  <si>
    <t>t i t ɑ n</t>
  </si>
  <si>
    <t>Teton</t>
  </si>
  <si>
    <t>Lakota</t>
  </si>
  <si>
    <t>Teton_Sioux</t>
  </si>
  <si>
    <t>Teton_Dakota</t>
  </si>
  <si>
    <t>thesis</t>
  </si>
  <si>
    <t>θ i s ɪ s</t>
  </si>
  <si>
    <t>thisis</t>
  </si>
  <si>
    <t>dissertation</t>
  </si>
  <si>
    <t>to</t>
  </si>
  <si>
    <t>tom</t>
  </si>
  <si>
    <t>t ɑ m</t>
  </si>
  <si>
    <t>Tom</t>
  </si>
  <si>
    <t>Uncle_Tom</t>
  </si>
  <si>
    <t>tomcat</t>
  </si>
  <si>
    <t>turkey_cock</t>
  </si>
  <si>
    <t>gobbler</t>
  </si>
  <si>
    <t>tom_turkey</t>
  </si>
  <si>
    <t>tomb</t>
  </si>
  <si>
    <t>t u m</t>
  </si>
  <si>
    <t>tum</t>
  </si>
  <si>
    <t>grave</t>
  </si>
  <si>
    <t>tommy</t>
  </si>
  <si>
    <t>t ɑ m i</t>
  </si>
  <si>
    <t>too</t>
  </si>
  <si>
    <t>excessively</t>
  </si>
  <si>
    <t>overly</t>
  </si>
  <si>
    <t>to_a_fault</t>
  </si>
  <si>
    <t>besides</t>
  </si>
  <si>
    <t>also</t>
  </si>
  <si>
    <t>likewise</t>
  </si>
  <si>
    <t>as_well</t>
  </si>
  <si>
    <t>t u θ</t>
  </si>
  <si>
    <t>tuth</t>
  </si>
  <si>
    <t>t ɑ p</t>
  </si>
  <si>
    <t>top_side</t>
  </si>
  <si>
    <t>upper_side</t>
  </si>
  <si>
    <t>upside</t>
  </si>
  <si>
    <t>top_of_the_inning</t>
  </si>
  <si>
    <t>whirligig</t>
  </si>
  <si>
    <t>teetotum</t>
  </si>
  <si>
    <t>spinning_top</t>
  </si>
  <si>
    <t>circus_tent</t>
  </si>
  <si>
    <t>big_top</t>
  </si>
  <si>
    <t>round_top</t>
  </si>
  <si>
    <t>top_out</t>
  </si>
  <si>
    <t>top_off</t>
  </si>
  <si>
    <t>topic</t>
  </si>
  <si>
    <t>t ɑ p ɪ k</t>
  </si>
  <si>
    <t>tapik</t>
  </si>
  <si>
    <t>theme</t>
  </si>
  <si>
    <t>issue</t>
  </si>
  <si>
    <t>matter</t>
  </si>
  <si>
    <t>tsunami</t>
  </si>
  <si>
    <t>s u n ɑ m i</t>
  </si>
  <si>
    <t>sunami</t>
  </si>
  <si>
    <t>tulip</t>
  </si>
  <si>
    <t>t u l ɪ p</t>
  </si>
  <si>
    <t>two</t>
  </si>
  <si>
    <t>II</t>
  </si>
  <si>
    <t>deuce</t>
  </si>
  <si>
    <t>ii</t>
  </si>
  <si>
    <t>umich</t>
  </si>
  <si>
    <t>j u m ɪ ʃ</t>
  </si>
  <si>
    <t>yumish</t>
  </si>
  <si>
    <t>unity</t>
  </si>
  <si>
    <t>j u n ɪ t i</t>
  </si>
  <si>
    <t>yuniti</t>
  </si>
  <si>
    <t>integrity</t>
  </si>
  <si>
    <t>wholeness</t>
  </si>
  <si>
    <t>I</t>
  </si>
  <si>
    <t>single</t>
  </si>
  <si>
    <t>oneness</t>
  </si>
  <si>
    <t>yatta</t>
  </si>
  <si>
    <t>j ɑ t ɑ</t>
  </si>
  <si>
    <t>yata</t>
  </si>
  <si>
    <t>yippee</t>
  </si>
  <si>
    <t>j ɪ p i</t>
  </si>
  <si>
    <t>yipi</t>
  </si>
  <si>
    <t>yippie</t>
  </si>
  <si>
    <t>yippy</t>
  </si>
  <si>
    <t>yogh</t>
  </si>
  <si>
    <t>j ɑ x</t>
  </si>
  <si>
    <t>yon</t>
  </si>
  <si>
    <t>yonder</t>
  </si>
  <si>
    <t>youth</t>
  </si>
  <si>
    <t>young_person</t>
  </si>
  <si>
    <t>younker</t>
  </si>
  <si>
    <t>spring_chicken</t>
  </si>
  <si>
    <t>young</t>
  </si>
  <si>
    <t>early_days</t>
  </si>
  <si>
    <t>youthfulness</t>
  </si>
  <si>
    <t>juvenility</t>
  </si>
  <si>
    <t>eng_latn_us_broad_filtered.tsv</t>
  </si>
  <si>
    <t>eng_latn_us_narrow.tsv</t>
  </si>
  <si>
    <t>aha</t>
  </si>
  <si>
    <t>ɑ h ɑ</t>
  </si>
  <si>
    <t>æ m ɪ ɾ i</t>
  </si>
  <si>
    <t>amiri</t>
  </si>
  <si>
    <t>ʃ ɪ ɾ i</t>
  </si>
  <si>
    <t>shiri</t>
  </si>
  <si>
    <t>ɾ ʊ</t>
  </si>
  <si>
    <t>ru</t>
  </si>
  <si>
    <t>eus_latn_broad.tsv</t>
  </si>
  <si>
    <t>ahal</t>
  </si>
  <si>
    <t>a h a l</t>
  </si>
  <si>
    <t>ability</t>
  </si>
  <si>
    <t>power</t>
  </si>
  <si>
    <t>potential</t>
  </si>
  <si>
    <t>potentiality</t>
  </si>
  <si>
    <t>potency</t>
  </si>
  <si>
    <t>capability</t>
  </si>
  <si>
    <t>capacity</t>
  </si>
  <si>
    <t>dam</t>
  </si>
  <si>
    <t>mother</t>
  </si>
  <si>
    <t>female_parent</t>
  </si>
  <si>
    <t>pineapple_plant</t>
  </si>
  <si>
    <t>Ananas_comosus</t>
  </si>
  <si>
    <t>apiril</t>
  </si>
  <si>
    <t>a p i ɾ i l</t>
  </si>
  <si>
    <t>April</t>
  </si>
  <si>
    <t>Apr</t>
  </si>
  <si>
    <t>aramu</t>
  </si>
  <si>
    <t>a ɾ a m u</t>
  </si>
  <si>
    <t>plum</t>
  </si>
  <si>
    <t>atari</t>
  </si>
  <si>
    <t>a t a ɾ i</t>
  </si>
  <si>
    <t>atrium</t>
  </si>
  <si>
    <t>porch</t>
  </si>
  <si>
    <t>vestibule</t>
  </si>
  <si>
    <t>threshold</t>
  </si>
  <si>
    <t>limen</t>
  </si>
  <si>
    <t>first</t>
  </si>
  <si>
    <t>outset</t>
  </si>
  <si>
    <t>get-go</t>
  </si>
  <si>
    <t>kickoff</t>
  </si>
  <si>
    <t>starting_time</t>
  </si>
  <si>
    <t>showtime</t>
  </si>
  <si>
    <t>offset</t>
  </si>
  <si>
    <t>h a l a</t>
  </si>
  <si>
    <t>haran</t>
  </si>
  <si>
    <t>valley</t>
  </si>
  <si>
    <t>vale</t>
  </si>
  <si>
    <t>h a ɾ a n</t>
  </si>
  <si>
    <t>hari</t>
  </si>
  <si>
    <t>fillet</t>
  </si>
  <si>
    <t>stopping</t>
  </si>
  <si>
    <t>fishing_line</t>
  </si>
  <si>
    <t>thread</t>
  </si>
  <si>
    <t>yarn</t>
  </si>
  <si>
    <t>wire</t>
  </si>
  <si>
    <t>conducting_wire</t>
  </si>
  <si>
    <t>train_of_thought</t>
  </si>
  <si>
    <t>h a ɾ i</t>
  </si>
  <si>
    <t>h i k</t>
  </si>
  <si>
    <t>h i l</t>
  </si>
  <si>
    <t>butcher</t>
  </si>
  <si>
    <t>neutralize</t>
  </si>
  <si>
    <t>neutralise</t>
  </si>
  <si>
    <t>liquidate</t>
  </si>
  <si>
    <t>waste</t>
  </si>
  <si>
    <t>do_in</t>
  </si>
  <si>
    <t>smother</t>
  </si>
  <si>
    <t>strangle</t>
  </si>
  <si>
    <t>muffle</t>
  </si>
  <si>
    <t>repress</t>
  </si>
  <si>
    <t>execute</t>
  </si>
  <si>
    <t>put_to_death</t>
  </si>
  <si>
    <t>snuff_out</t>
  </si>
  <si>
    <t>blow_out</t>
  </si>
  <si>
    <t>extinguish</t>
  </si>
  <si>
    <t>quench</t>
  </si>
  <si>
    <t>casualty</t>
  </si>
  <si>
    <t>death</t>
  </si>
  <si>
    <t>expiry</t>
  </si>
  <si>
    <t>dead_person</t>
  </si>
  <si>
    <t>dead_soul</t>
  </si>
  <si>
    <t>deceased_person</t>
  </si>
  <si>
    <t>deceased</t>
  </si>
  <si>
    <t>decedent</t>
  </si>
  <si>
    <t>departed</t>
  </si>
  <si>
    <t>calendar_month</t>
  </si>
  <si>
    <t>month</t>
  </si>
  <si>
    <t>i l</t>
  </si>
  <si>
    <t>hiri</t>
  </si>
  <si>
    <t>h i ɾ i</t>
  </si>
  <si>
    <t>i ɾ i</t>
  </si>
  <si>
    <t>iri</t>
  </si>
  <si>
    <t>hiru</t>
  </si>
  <si>
    <t>h i ɾ u</t>
  </si>
  <si>
    <t>three</t>
  </si>
  <si>
    <t>III</t>
  </si>
  <si>
    <t>trio</t>
  </si>
  <si>
    <t>threesome</t>
  </si>
  <si>
    <t>tierce</t>
  </si>
  <si>
    <t>leash</t>
  </si>
  <si>
    <t>troika</t>
  </si>
  <si>
    <t>triad</t>
  </si>
  <si>
    <t>trine</t>
  </si>
  <si>
    <t>trinity</t>
  </si>
  <si>
    <t>ternary</t>
  </si>
  <si>
    <t>ternion</t>
  </si>
  <si>
    <t>triplet</t>
  </si>
  <si>
    <t>tercet</t>
  </si>
  <si>
    <t>terzetto</t>
  </si>
  <si>
    <t>trey</t>
  </si>
  <si>
    <t>deuce-ace</t>
  </si>
  <si>
    <t>i ɾ u</t>
  </si>
  <si>
    <t>iru</t>
  </si>
  <si>
    <t>hitan</t>
  </si>
  <si>
    <t>h i t a n</t>
  </si>
  <si>
    <t>hura</t>
  </si>
  <si>
    <t>h u ɾ a</t>
  </si>
  <si>
    <t>ihi</t>
  </si>
  <si>
    <t>i h i</t>
  </si>
  <si>
    <t>ilun</t>
  </si>
  <si>
    <t>i l u n</t>
  </si>
  <si>
    <t>obscureness</t>
  </si>
  <si>
    <t>obscurity</t>
  </si>
  <si>
    <t>abstruseness</t>
  </si>
  <si>
    <t>reconditeness</t>
  </si>
  <si>
    <t>darkness</t>
  </si>
  <si>
    <t>dark</t>
  </si>
  <si>
    <t>i ʎ u n</t>
  </si>
  <si>
    <t>illun</t>
  </si>
  <si>
    <t>irakin</t>
  </si>
  <si>
    <t>i ɾ a k i n</t>
  </si>
  <si>
    <t>seethe</t>
  </si>
  <si>
    <t>roll</t>
  </si>
  <si>
    <t>boil</t>
  </si>
  <si>
    <t>boiling</t>
  </si>
  <si>
    <t>iruña</t>
  </si>
  <si>
    <t>i ɾ u ɲ a</t>
  </si>
  <si>
    <t>ixa</t>
  </si>
  <si>
    <t>i ʃ a</t>
  </si>
  <si>
    <t>isha</t>
  </si>
  <si>
    <t>jaka</t>
  </si>
  <si>
    <t>j a k a</t>
  </si>
  <si>
    <t>yaka</t>
  </si>
  <si>
    <t>blazer</t>
  </si>
  <si>
    <t>sport_jacket</t>
  </si>
  <si>
    <t>sport_coat</t>
  </si>
  <si>
    <t>sports_jacket</t>
  </si>
  <si>
    <t>sports_coat</t>
  </si>
  <si>
    <t>bomber_jacket</t>
  </si>
  <si>
    <t>x a k a</t>
  </si>
  <si>
    <t>kaka</t>
  </si>
  <si>
    <t>jakik</t>
  </si>
  <si>
    <t>j a k i k</t>
  </si>
  <si>
    <t>yakik</t>
  </si>
  <si>
    <t>x a k i k</t>
  </si>
  <si>
    <t>kakik</t>
  </si>
  <si>
    <t>jakin</t>
  </si>
  <si>
    <t>j a k i n</t>
  </si>
  <si>
    <t>yakin</t>
  </si>
  <si>
    <t>understand</t>
  </si>
  <si>
    <t>know</t>
  </si>
  <si>
    <t>cognize</t>
  </si>
  <si>
    <t>cognise</t>
  </si>
  <si>
    <t>x a k i n</t>
  </si>
  <si>
    <t>kakin</t>
  </si>
  <si>
    <t>j a n</t>
  </si>
  <si>
    <t>food</t>
  </si>
  <si>
    <t>nutrient</t>
  </si>
  <si>
    <t>corrode</t>
  </si>
  <si>
    <t>eat</t>
  </si>
  <si>
    <t>rust</t>
  </si>
  <si>
    <t>devour</t>
  </si>
  <si>
    <t>swallow</t>
  </si>
  <si>
    <t>grocery</t>
  </si>
  <si>
    <t>foodstuff</t>
  </si>
  <si>
    <t>x a n</t>
  </si>
  <si>
    <t>janari</t>
  </si>
  <si>
    <t>j a n a ɾ i</t>
  </si>
  <si>
    <t>yanari</t>
  </si>
  <si>
    <t>x a n a ɾ i</t>
  </si>
  <si>
    <t>katu</t>
  </si>
  <si>
    <t>k a t u</t>
  </si>
  <si>
    <t>feline</t>
  </si>
  <si>
    <t>felid</t>
  </si>
  <si>
    <t>tabby</t>
  </si>
  <si>
    <t>tabby_cat</t>
  </si>
  <si>
    <t>big_cat</t>
  </si>
  <si>
    <t>gun_trigger</t>
  </si>
  <si>
    <t>trigger</t>
  </si>
  <si>
    <t>hair_trigger</t>
  </si>
  <si>
    <t>jack</t>
  </si>
  <si>
    <t>kuku</t>
  </si>
  <si>
    <t>k u k u</t>
  </si>
  <si>
    <t>peekaboo</t>
  </si>
  <si>
    <t>bopeep</t>
  </si>
  <si>
    <t>cuckoo</t>
  </si>
  <si>
    <t>lari</t>
  </si>
  <si>
    <t>l a ɾ i</t>
  </si>
  <si>
    <t>mahuka</t>
  </si>
  <si>
    <t>m a h u k a</t>
  </si>
  <si>
    <t>fire_hose</t>
  </si>
  <si>
    <t>hose</t>
  </si>
  <si>
    <t>hosepipe</t>
  </si>
  <si>
    <t>sleeve</t>
  </si>
  <si>
    <t>malin</t>
  </si>
  <si>
    <t>m a l i n</t>
  </si>
  <si>
    <t>m i n</t>
  </si>
  <si>
    <t>tongue</t>
  </si>
  <si>
    <t>lingua</t>
  </si>
  <si>
    <t>glossa</t>
  </si>
  <si>
    <t>clapper</t>
  </si>
  <si>
    <t>grief</t>
  </si>
  <si>
    <t>sorrow</t>
  </si>
  <si>
    <t>affliction</t>
  </si>
  <si>
    <t>desire</t>
  </si>
  <si>
    <t>painfulness</t>
  </si>
  <si>
    <t>harassment</t>
  </si>
  <si>
    <t>torment</t>
  </si>
  <si>
    <t>regret</t>
  </si>
  <si>
    <t>rue</t>
  </si>
  <si>
    <t>ruefulness</t>
  </si>
  <si>
    <t>distress</t>
  </si>
  <si>
    <t>m i ɲ a</t>
  </si>
  <si>
    <t>miña</t>
  </si>
  <si>
    <t>minatu</t>
  </si>
  <si>
    <t>m i n a t u</t>
  </si>
  <si>
    <t>mutil</t>
  </si>
  <si>
    <t>m u t i l</t>
  </si>
  <si>
    <t>boyfriend</t>
  </si>
  <si>
    <t>fellow</t>
  </si>
  <si>
    <t>beau</t>
  </si>
  <si>
    <t>swain</t>
  </si>
  <si>
    <t>young_man</t>
  </si>
  <si>
    <t>guy</t>
  </si>
  <si>
    <t>hombre</t>
  </si>
  <si>
    <t>bozo</t>
  </si>
  <si>
    <t>manservant</t>
  </si>
  <si>
    <t>self</t>
  </si>
  <si>
    <t>ego</t>
  </si>
  <si>
    <t>n i k</t>
  </si>
  <si>
    <t>nitan</t>
  </si>
  <si>
    <t>n i t a n</t>
  </si>
  <si>
    <t>white_potato_vine</t>
  </si>
  <si>
    <t>Solanum_tuberosum</t>
  </si>
  <si>
    <t>pinu</t>
  </si>
  <si>
    <t>p i n u</t>
  </si>
  <si>
    <t>p i ɲ u</t>
  </si>
  <si>
    <t>piñu</t>
  </si>
  <si>
    <t>piraña</t>
  </si>
  <si>
    <t>p i ɾ a ɲ a</t>
  </si>
  <si>
    <t>piranha</t>
  </si>
  <si>
    <t>pirana</t>
  </si>
  <si>
    <t>caribe</t>
  </si>
  <si>
    <t>q</t>
  </si>
  <si>
    <t>taratulu</t>
  </si>
  <si>
    <t>t a ɾ a t u l u</t>
  </si>
  <si>
    <t>tatami</t>
  </si>
  <si>
    <t>t a t a m i</t>
  </si>
  <si>
    <t>tipula</t>
  </si>
  <si>
    <t>t i p u l a</t>
  </si>
  <si>
    <t>onion</t>
  </si>
  <si>
    <t>onion_plant</t>
  </si>
  <si>
    <t>Allium_cepa</t>
  </si>
  <si>
    <t>heading</t>
  </si>
  <si>
    <t>header</t>
  </si>
  <si>
    <t>academic_degree</t>
  </si>
  <si>
    <t>bond</t>
  </si>
  <si>
    <t>bond_certificate</t>
  </si>
  <si>
    <t>championship</t>
  </si>
  <si>
    <t>x</t>
  </si>
  <si>
    <t>ten</t>
  </si>
  <si>
    <t>X</t>
  </si>
  <si>
    <t>tenner</t>
  </si>
  <si>
    <t>decade</t>
  </si>
  <si>
    <t>eus_latn_narrow.tsv</t>
  </si>
  <si>
    <t>fin_latn_broad.tsv</t>
  </si>
  <si>
    <t>ajan</t>
  </si>
  <si>
    <t>ɑ j ɑ n</t>
  </si>
  <si>
    <t>ayan</t>
  </si>
  <si>
    <t>aju</t>
  </si>
  <si>
    <t>ɑ j u</t>
  </si>
  <si>
    <t>ayu</t>
  </si>
  <si>
    <t>ɑ k ɑ n</t>
  </si>
  <si>
    <t>Akan</t>
  </si>
  <si>
    <t>akana</t>
  </si>
  <si>
    <t>ɑ k ɑ n ɑ</t>
  </si>
  <si>
    <t>beard</t>
  </si>
  <si>
    <t>cornhusk</t>
  </si>
  <si>
    <t>lemma</t>
  </si>
  <si>
    <t>flowering_glume</t>
  </si>
  <si>
    <t>glume</t>
  </si>
  <si>
    <t>ɑ k u</t>
  </si>
  <si>
    <t>Yoruba</t>
  </si>
  <si>
    <t>Aku</t>
  </si>
  <si>
    <t>ɑ l ɑ</t>
  </si>
  <si>
    <t>occupation</t>
  </si>
  <si>
    <t>business</t>
  </si>
  <si>
    <t>job</t>
  </si>
  <si>
    <t>line_of_work</t>
  </si>
  <si>
    <t>biz</t>
  </si>
  <si>
    <t>metier</t>
  </si>
  <si>
    <t>medium</t>
  </si>
  <si>
    <t>field_of_operation</t>
  </si>
  <si>
    <t>line_of_business</t>
  </si>
  <si>
    <t>confines</t>
  </si>
  <si>
    <t>areola</t>
  </si>
  <si>
    <t>ring_of_color</t>
  </si>
  <si>
    <t>department</t>
  </si>
  <si>
    <t>region</t>
  </si>
  <si>
    <t>realm</t>
  </si>
  <si>
    <t>occupational_group</t>
  </si>
  <si>
    <t>vocation</t>
  </si>
  <si>
    <t>preserve</t>
  </si>
  <si>
    <t>alamäki</t>
  </si>
  <si>
    <t>ɑ l ɑ m æ k i</t>
  </si>
  <si>
    <t>alamaki</t>
  </si>
  <si>
    <t>descent</t>
  </si>
  <si>
    <t>declivity</t>
  </si>
  <si>
    <t>decline</t>
  </si>
  <si>
    <t>declination</t>
  </si>
  <si>
    <t>declension</t>
  </si>
  <si>
    <t>downslope</t>
  </si>
  <si>
    <t>downhill</t>
  </si>
  <si>
    <t>ɑ l ɑ s</t>
  </si>
  <si>
    <t>downwards</t>
  </si>
  <si>
    <t>downward</t>
  </si>
  <si>
    <t>downwardly</t>
  </si>
  <si>
    <t>downriver</t>
  </si>
  <si>
    <t>downstream</t>
  </si>
  <si>
    <t>alasin</t>
  </si>
  <si>
    <t>ɑ l ɑ s i n</t>
  </si>
  <si>
    <t>anvil</t>
  </si>
  <si>
    <t>incus</t>
  </si>
  <si>
    <t>alasuku</t>
  </si>
  <si>
    <t>ɑ l ɑ s u k u</t>
  </si>
  <si>
    <t>ɑ l ɑ t i</t>
  </si>
  <si>
    <t>ɑ l i</t>
  </si>
  <si>
    <t>aliluku</t>
  </si>
  <si>
    <t>ɑ l i l u k u</t>
  </si>
  <si>
    <t>alin</t>
  </si>
  <si>
    <t>ɑ l i n</t>
  </si>
  <si>
    <t>bottommost</t>
  </si>
  <si>
    <t>lowermost</t>
  </si>
  <si>
    <t>nethermost</t>
  </si>
  <si>
    <t>alina</t>
  </si>
  <si>
    <t>ɑ l i n ɑ</t>
  </si>
  <si>
    <t>alisa</t>
  </si>
  <si>
    <t>ɑ l i s ɑ</t>
  </si>
  <si>
    <t>alula</t>
  </si>
  <si>
    <t>ɑ l u l ɑ</t>
  </si>
  <si>
    <t>bastard_wing</t>
  </si>
  <si>
    <t>spurious_wing</t>
  </si>
  <si>
    <t>calypter</t>
  </si>
  <si>
    <t>aluna</t>
  </si>
  <si>
    <t>ɑ l u n ɑ</t>
  </si>
  <si>
    <t>alum</t>
  </si>
  <si>
    <t>potassium_alum</t>
  </si>
  <si>
    <t>potash_alum</t>
  </si>
  <si>
    <t>ammonia_alum</t>
  </si>
  <si>
    <t>ammonium_alum</t>
  </si>
  <si>
    <t>alus</t>
  </si>
  <si>
    <t>ɑ l u s</t>
  </si>
  <si>
    <t>rigger</t>
  </si>
  <si>
    <t>watercraft</t>
  </si>
  <si>
    <t>amis</t>
  </si>
  <si>
    <t>ɑ m i s</t>
  </si>
  <si>
    <t>ɑ n ɑ n ɑ s</t>
  </si>
  <si>
    <t>Ananas</t>
  </si>
  <si>
    <t>genus_Ananas</t>
  </si>
  <si>
    <t>ɑ n i</t>
  </si>
  <si>
    <t>ɑ n i s</t>
  </si>
  <si>
    <t>anita</t>
  </si>
  <si>
    <t>ɑ n i t ɑ</t>
  </si>
  <si>
    <t>anu</t>
  </si>
  <si>
    <t>ɑ n u</t>
  </si>
  <si>
    <t>Anu</t>
  </si>
  <si>
    <t>ɑ n u s</t>
  </si>
  <si>
    <t>apaja</t>
  </si>
  <si>
    <t>ɑ p ɑ j ɑ</t>
  </si>
  <si>
    <t>apaya</t>
  </si>
  <si>
    <t>apila</t>
  </si>
  <si>
    <t>ɑ p i l ɑ</t>
  </si>
  <si>
    <t>clover</t>
  </si>
  <si>
    <t>trefoil</t>
  </si>
  <si>
    <t>hop_clover</t>
  </si>
  <si>
    <t>shamrock</t>
  </si>
  <si>
    <t>lesser_yellow_trefoil</t>
  </si>
  <si>
    <t>Trifolium_dubium</t>
  </si>
  <si>
    <t>buffalo_clover</t>
  </si>
  <si>
    <t>Trifolium_reflexum</t>
  </si>
  <si>
    <t>Trifolium_stoloniferum</t>
  </si>
  <si>
    <t>white_clover</t>
  </si>
  <si>
    <t>dutch_clover</t>
  </si>
  <si>
    <t>Trifolium_repens</t>
  </si>
  <si>
    <t>medic</t>
  </si>
  <si>
    <t>medick</t>
  </si>
  <si>
    <t>apina</t>
  </si>
  <si>
    <t>ɑ p i n ɑ</t>
  </si>
  <si>
    <t>anthropoid</t>
  </si>
  <si>
    <t>copycat</t>
  </si>
  <si>
    <t>imitator</t>
  </si>
  <si>
    <t>emulator</t>
  </si>
  <si>
    <t>aper</t>
  </si>
  <si>
    <t>apu</t>
  </si>
  <si>
    <t>ɑ p u</t>
  </si>
  <si>
    <t>relief</t>
  </si>
  <si>
    <t>assist</t>
  </si>
  <si>
    <t>assistance</t>
  </si>
  <si>
    <t>help</t>
  </si>
  <si>
    <t>helping_hand</t>
  </si>
  <si>
    <t>succor</t>
  </si>
  <si>
    <t>succour</t>
  </si>
  <si>
    <t>ministration</t>
  </si>
  <si>
    <t>avail</t>
  </si>
  <si>
    <t>service</t>
  </si>
  <si>
    <t>succorer</t>
  </si>
  <si>
    <t>succourer</t>
  </si>
  <si>
    <t>apusana</t>
  </si>
  <si>
    <t>ɑ p u s ɑ n ɑ</t>
  </si>
  <si>
    <t>asana</t>
  </si>
  <si>
    <t>ɑ s ɑ n ɑ</t>
  </si>
  <si>
    <t>asap</t>
  </si>
  <si>
    <t>ɑ s ɑ p</t>
  </si>
  <si>
    <t>ASAP</t>
  </si>
  <si>
    <t>asu</t>
  </si>
  <si>
    <t>ɑ s u</t>
  </si>
  <si>
    <t>attire</t>
  </si>
  <si>
    <t>garb</t>
  </si>
  <si>
    <t>dress</t>
  </si>
  <si>
    <t>clothing</t>
  </si>
  <si>
    <t>article_of_clothing</t>
  </si>
  <si>
    <t>vesture</t>
  </si>
  <si>
    <t>wearable</t>
  </si>
  <si>
    <t>habiliment</t>
  </si>
  <si>
    <t>outfit</t>
  </si>
  <si>
    <t>getup</t>
  </si>
  <si>
    <t>rig</t>
  </si>
  <si>
    <t>turnout</t>
  </si>
  <si>
    <t>rigout</t>
  </si>
  <si>
    <t>asuja</t>
  </si>
  <si>
    <t>ɑ s u j ɑ</t>
  </si>
  <si>
    <t>asuya</t>
  </si>
  <si>
    <t>inhabitant</t>
  </si>
  <si>
    <t>habitant</t>
  </si>
  <si>
    <t>dweller</t>
  </si>
  <si>
    <t>denizen</t>
  </si>
  <si>
    <t>indweller</t>
  </si>
  <si>
    <t>resident</t>
  </si>
  <si>
    <t>occupant</t>
  </si>
  <si>
    <t>occupier</t>
  </si>
  <si>
    <t>asuma</t>
  </si>
  <si>
    <t>ɑ s u m ɑ</t>
  </si>
  <si>
    <t>citykani</t>
  </si>
  <si>
    <t>s i t i k ɑ n i</t>
  </si>
  <si>
    <t>sitikani</t>
  </si>
  <si>
    <t>k u m u l u s</t>
  </si>
  <si>
    <t>kumulus</t>
  </si>
  <si>
    <t>hour_angle</t>
  </si>
  <si>
    <t>HA</t>
  </si>
  <si>
    <t>haju</t>
  </si>
  <si>
    <t>h ɑ j u</t>
  </si>
  <si>
    <t>hayu</t>
  </si>
  <si>
    <t>olfactory_property</t>
  </si>
  <si>
    <t>aroma</t>
  </si>
  <si>
    <t>odor</t>
  </si>
  <si>
    <t>odour</t>
  </si>
  <si>
    <t>olfactory_sensation</t>
  </si>
  <si>
    <t>olfactory_perception</t>
  </si>
  <si>
    <t>malodor</t>
  </si>
  <si>
    <t>malodour</t>
  </si>
  <si>
    <t>stench</t>
  </si>
  <si>
    <t>stink</t>
  </si>
  <si>
    <t>reek</t>
  </si>
  <si>
    <t>fetor</t>
  </si>
  <si>
    <t>foetor</t>
  </si>
  <si>
    <t>mephitis</t>
  </si>
  <si>
    <t>haka</t>
  </si>
  <si>
    <t>h ɑ k ɑ</t>
  </si>
  <si>
    <t>becket</t>
  </si>
  <si>
    <t>pawl</t>
  </si>
  <si>
    <t>detent</t>
  </si>
  <si>
    <t>timber_hitch</t>
  </si>
  <si>
    <t>enclosure</t>
  </si>
  <si>
    <t>natural_enclosure</t>
  </si>
  <si>
    <t>hakala</t>
  </si>
  <si>
    <t>h ɑ k ɑ l ɑ</t>
  </si>
  <si>
    <t>haku</t>
  </si>
  <si>
    <t>h ɑ k u</t>
  </si>
  <si>
    <t>retrieval</t>
  </si>
  <si>
    <t>lookup</t>
  </si>
  <si>
    <t>hakuli</t>
  </si>
  <si>
    <t>h ɑ k u l i</t>
  </si>
  <si>
    <t>halal</t>
  </si>
  <si>
    <t>h ɑ l ɑ l</t>
  </si>
  <si>
    <t>halipula</t>
  </si>
  <si>
    <t>h ɑ l i p u l ɑ</t>
  </si>
  <si>
    <t>halloumi</t>
  </si>
  <si>
    <t>h ɑ l u m i</t>
  </si>
  <si>
    <t>halumi</t>
  </si>
  <si>
    <t>halu</t>
  </si>
  <si>
    <t>h ɑ l u</t>
  </si>
  <si>
    <t>aspiration</t>
  </si>
  <si>
    <t>hunger</t>
  </si>
  <si>
    <t>hungriness</t>
  </si>
  <si>
    <t>thirst</t>
  </si>
  <si>
    <t>thirstiness</t>
  </si>
  <si>
    <t>importunity</t>
  </si>
  <si>
    <t>urgency</t>
  </si>
  <si>
    <t>urging</t>
  </si>
  <si>
    <t>appetite</t>
  </si>
  <si>
    <t>appetency</t>
  </si>
  <si>
    <t>appetence</t>
  </si>
  <si>
    <t>wish</t>
  </si>
  <si>
    <t>wishing</t>
  </si>
  <si>
    <t>urge</t>
  </si>
  <si>
    <t>stomach</t>
  </si>
  <si>
    <t>impulse</t>
  </si>
  <si>
    <t>halukas</t>
  </si>
  <si>
    <t>h ɑ l u k ɑ s</t>
  </si>
  <si>
    <t>appetent</t>
  </si>
  <si>
    <t>bent_on</t>
  </si>
  <si>
    <t>dead_set</t>
  </si>
  <si>
    <t>out_to</t>
  </si>
  <si>
    <t>disposed</t>
  </si>
  <si>
    <t>fain</t>
  </si>
  <si>
    <t>inclined</t>
  </si>
  <si>
    <t>prepared</t>
  </si>
  <si>
    <t>willing_and_able</t>
  </si>
  <si>
    <t>appetitive</t>
  </si>
  <si>
    <t>hama</t>
  </si>
  <si>
    <t>h ɑ m ɑ</t>
  </si>
  <si>
    <t>hamina</t>
  </si>
  <si>
    <t>h ɑ m i n ɑ</t>
  </si>
  <si>
    <t>hana</t>
  </si>
  <si>
    <t>h ɑ n ɑ</t>
  </si>
  <si>
    <t>faucet</t>
  </si>
  <si>
    <t>hanami</t>
  </si>
  <si>
    <t>h ɑ n ɑ m i</t>
  </si>
  <si>
    <t>hapan</t>
  </si>
  <si>
    <t>h ɑ p ɑ n</t>
  </si>
  <si>
    <t>acidic</t>
  </si>
  <si>
    <t>acid</t>
  </si>
  <si>
    <t>sour</t>
  </si>
  <si>
    <t>rancid</t>
  </si>
  <si>
    <t>dour</t>
  </si>
  <si>
    <t>glowering</t>
  </si>
  <si>
    <t>glum</t>
  </si>
  <si>
    <t>moody</t>
  </si>
  <si>
    <t>morose</t>
  </si>
  <si>
    <t>saturnine</t>
  </si>
  <si>
    <t>sullen</t>
  </si>
  <si>
    <t>huffish</t>
  </si>
  <si>
    <t>sulky</t>
  </si>
  <si>
    <t>vinegary</t>
  </si>
  <si>
    <t>vinegarish</t>
  </si>
  <si>
    <t>acerb</t>
  </si>
  <si>
    <t>acerbic</t>
  </si>
  <si>
    <t>astringent</t>
  </si>
  <si>
    <t>acidulent</t>
  </si>
  <si>
    <t>acidulous</t>
  </si>
  <si>
    <t>lemony</t>
  </si>
  <si>
    <t>lemonlike</t>
  </si>
  <si>
    <t>sourish</t>
  </si>
  <si>
    <t>tangy</t>
  </si>
  <si>
    <t>tart</t>
  </si>
  <si>
    <t>acid-tasting</t>
  </si>
  <si>
    <t>sour-tasting</t>
  </si>
  <si>
    <t>hapatin</t>
  </si>
  <si>
    <t>h ɑ p ɑ t i n</t>
  </si>
  <si>
    <t>hapatus</t>
  </si>
  <si>
    <t>h ɑ p ɑ t u s</t>
  </si>
  <si>
    <t>hiha</t>
  </si>
  <si>
    <t>h i h ɑ</t>
  </si>
  <si>
    <t>h i k i</t>
  </si>
  <si>
    <t>body_odor</t>
  </si>
  <si>
    <t>body_odour</t>
  </si>
  <si>
    <t>B.O.</t>
  </si>
  <si>
    <t>perspiration</t>
  </si>
  <si>
    <t>sweat</t>
  </si>
  <si>
    <t>sudor</t>
  </si>
  <si>
    <t>hikipaja</t>
  </si>
  <si>
    <t>h i k i p ɑ j ɑ</t>
  </si>
  <si>
    <t>hikipaya</t>
  </si>
  <si>
    <t>treadmill</t>
  </si>
  <si>
    <t>sweatshop</t>
  </si>
  <si>
    <t>hila</t>
  </si>
  <si>
    <t>h i l ɑ</t>
  </si>
  <si>
    <t>grid</t>
  </si>
  <si>
    <t>control_grid</t>
  </si>
  <si>
    <t>hoop</t>
  </si>
  <si>
    <t>hima</t>
  </si>
  <si>
    <t>h i m ɑ</t>
  </si>
  <si>
    <t>hina</t>
  </si>
  <si>
    <t>h i n ɑ</t>
  </si>
  <si>
    <t>h i s</t>
  </si>
  <si>
    <t>hitu</t>
  </si>
  <si>
    <t>h i t u</t>
  </si>
  <si>
    <t>huhu</t>
  </si>
  <si>
    <t>h u h u</t>
  </si>
  <si>
    <t>gossip</t>
  </si>
  <si>
    <t>comment</t>
  </si>
  <si>
    <t>scuttlebutt</t>
  </si>
  <si>
    <t>rumor</t>
  </si>
  <si>
    <t>rumour</t>
  </si>
  <si>
    <t>hearsay</t>
  </si>
  <si>
    <t>h u k i</t>
  </si>
  <si>
    <t>hukutus</t>
  </si>
  <si>
    <t>h u k u t u s</t>
  </si>
  <si>
    <t>hulina</t>
  </si>
  <si>
    <t>h u l i n ɑ</t>
  </si>
  <si>
    <t>tumult</t>
  </si>
  <si>
    <t>tumultuousness</t>
  </si>
  <si>
    <t>uproar</t>
  </si>
  <si>
    <t>garboil</t>
  </si>
  <si>
    <t>humala</t>
  </si>
  <si>
    <t>h u m ɑ l ɑ</t>
  </si>
  <si>
    <t>common_hop</t>
  </si>
  <si>
    <t>common_hops</t>
  </si>
  <si>
    <t>bine</t>
  </si>
  <si>
    <t>European_hop</t>
  </si>
  <si>
    <t>Humulus_lupulus</t>
  </si>
  <si>
    <t>drunkenness</t>
  </si>
  <si>
    <t>inebriation</t>
  </si>
  <si>
    <t>inebriety</t>
  </si>
  <si>
    <t>intoxication</t>
  </si>
  <si>
    <t>tipsiness</t>
  </si>
  <si>
    <t>insobriety</t>
  </si>
  <si>
    <t>humalatila</t>
  </si>
  <si>
    <t>h u m ɑ l ɑ t i l ɑ</t>
  </si>
  <si>
    <t>alcoholism</t>
  </si>
  <si>
    <t>alcohol_addiction</t>
  </si>
  <si>
    <t>humus</t>
  </si>
  <si>
    <t>h u m u s</t>
  </si>
  <si>
    <t>hunaja</t>
  </si>
  <si>
    <t>h u n ɑ j ɑ</t>
  </si>
  <si>
    <t>hunaya</t>
  </si>
  <si>
    <t>honey</t>
  </si>
  <si>
    <t>hunajapupu</t>
  </si>
  <si>
    <t>h u n ɑ j ɑ p u p u</t>
  </si>
  <si>
    <t>hunayapupu</t>
  </si>
  <si>
    <t>sex_kitten</t>
  </si>
  <si>
    <t>sexpot</t>
  </si>
  <si>
    <t>sex_bomb</t>
  </si>
  <si>
    <t>hupa</t>
  </si>
  <si>
    <t>h u p ɑ</t>
  </si>
  <si>
    <t>Hupa</t>
  </si>
  <si>
    <t>hupi</t>
  </si>
  <si>
    <t>h u p i</t>
  </si>
  <si>
    <t>good_time</t>
  </si>
  <si>
    <t>huputus</t>
  </si>
  <si>
    <t>h u p u t u s</t>
  </si>
  <si>
    <t>hus</t>
  </si>
  <si>
    <t>h u s</t>
  </si>
  <si>
    <t>Huss</t>
  </si>
  <si>
    <t>John_Huss</t>
  </si>
  <si>
    <t>Hus</t>
  </si>
  <si>
    <t>Jan_Hus</t>
  </si>
  <si>
    <t>huti</t>
  </si>
  <si>
    <t>h u t i</t>
  </si>
  <si>
    <t>hutilus</t>
  </si>
  <si>
    <t>h u t i l u s</t>
  </si>
  <si>
    <t>bungler</t>
  </si>
  <si>
    <t>blunderer</t>
  </si>
  <si>
    <t>fumbler</t>
  </si>
  <si>
    <t>bumbler</t>
  </si>
  <si>
    <t>stumbler</t>
  </si>
  <si>
    <t>sad_sack</t>
  </si>
  <si>
    <t>botcher</t>
  </si>
  <si>
    <t>fuckup</t>
  </si>
  <si>
    <t>hutu</t>
  </si>
  <si>
    <t>h u t u</t>
  </si>
  <si>
    <t>Hutu</t>
  </si>
  <si>
    <t>hä</t>
  </si>
  <si>
    <t>h æ</t>
  </si>
  <si>
    <t>häkilä</t>
  </si>
  <si>
    <t>h æ k i l æ</t>
  </si>
  <si>
    <t>hakila</t>
  </si>
  <si>
    <t>comb</t>
  </si>
  <si>
    <t>hatchel</t>
  </si>
  <si>
    <t>heckle</t>
  </si>
  <si>
    <t>häkä</t>
  </si>
  <si>
    <t>h æ k æ</t>
  </si>
  <si>
    <t>hälinä</t>
  </si>
  <si>
    <t>h æ l i n æ</t>
  </si>
  <si>
    <t>halina</t>
  </si>
  <si>
    <t>babel</t>
  </si>
  <si>
    <t>brouhaha</t>
  </si>
  <si>
    <t>commotion</t>
  </si>
  <si>
    <t>din</t>
  </si>
  <si>
    <t>ruction</t>
  </si>
  <si>
    <t>ruckus</t>
  </si>
  <si>
    <t>rumpus</t>
  </si>
  <si>
    <t>bustle</t>
  </si>
  <si>
    <t>flurry</t>
  </si>
  <si>
    <t>ado</t>
  </si>
  <si>
    <t>fuss</t>
  </si>
  <si>
    <t>noise</t>
  </si>
  <si>
    <t>hubbub</t>
  </si>
  <si>
    <t>katzenjammer</t>
  </si>
  <si>
    <t>disturbance</t>
  </si>
  <si>
    <t>disruption</t>
  </si>
  <si>
    <t>flutter</t>
  </si>
  <si>
    <t>hurly_burly</t>
  </si>
  <si>
    <t>to-do</t>
  </si>
  <si>
    <t>hoo-ha</t>
  </si>
  <si>
    <t>hoo-hah</t>
  </si>
  <si>
    <t>kerfuffle</t>
  </si>
  <si>
    <t>hämis</t>
  </si>
  <si>
    <t>h æ m i s</t>
  </si>
  <si>
    <t>hamis</t>
  </si>
  <si>
    <t>hän</t>
  </si>
  <si>
    <t>hätä</t>
  </si>
  <si>
    <t>h æ t æ</t>
  </si>
  <si>
    <t>hata</t>
  </si>
  <si>
    <t>anguish</t>
  </si>
  <si>
    <t>torture</t>
  </si>
  <si>
    <t>destitution</t>
  </si>
  <si>
    <t>hätäsatama</t>
  </si>
  <si>
    <t>h æ t æ s ɑ t ɑ m ɑ</t>
  </si>
  <si>
    <t>hatasatama</t>
  </si>
  <si>
    <t>hätätila</t>
  </si>
  <si>
    <t>h æ t æ t i l ɑ</t>
  </si>
  <si>
    <t>hatatila</t>
  </si>
  <si>
    <t>emergency</t>
  </si>
  <si>
    <t>hätätilalaki</t>
  </si>
  <si>
    <t>h æ t æ t i l ɑ l ɑ k i</t>
  </si>
  <si>
    <t>hatatilalaki</t>
  </si>
  <si>
    <t>iha</t>
  </si>
  <si>
    <t>i h ɑ</t>
  </si>
  <si>
    <t>ihan</t>
  </si>
  <si>
    <t>i h ɑ n</t>
  </si>
  <si>
    <t>precisely</t>
  </si>
  <si>
    <t>exactly</t>
  </si>
  <si>
    <t>just</t>
  </si>
  <si>
    <t>ihana</t>
  </si>
  <si>
    <t>i h ɑ n ɑ</t>
  </si>
  <si>
    <t>beautiful</t>
  </si>
  <si>
    <t>beauteous</t>
  </si>
  <si>
    <t>blissful</t>
  </si>
  <si>
    <t>dulcet</t>
  </si>
  <si>
    <t>delightful</t>
  </si>
  <si>
    <t>delicious</t>
  </si>
  <si>
    <t>ambrosial</t>
  </si>
  <si>
    <t>ambrosian</t>
  </si>
  <si>
    <t>nectarous</t>
  </si>
  <si>
    <t>ikinä</t>
  </si>
  <si>
    <t>i k i n æ</t>
  </si>
  <si>
    <t>ikina</t>
  </si>
  <si>
    <t>ikä</t>
  </si>
  <si>
    <t>i k æ</t>
  </si>
  <si>
    <t>age</t>
  </si>
  <si>
    <t>eld</t>
  </si>
  <si>
    <t>ikäkulu</t>
  </si>
  <si>
    <t>i k æ k u l u</t>
  </si>
  <si>
    <t>ikakulu</t>
  </si>
  <si>
    <t>ikälisä</t>
  </si>
  <si>
    <t>i k æ l i s æ</t>
  </si>
  <si>
    <t>ikalisa</t>
  </si>
  <si>
    <t>imi</t>
  </si>
  <si>
    <t>i m i</t>
  </si>
  <si>
    <t>imisä</t>
  </si>
  <si>
    <t>i m i s æ</t>
  </si>
  <si>
    <t>imisa</t>
  </si>
  <si>
    <t>imu</t>
  </si>
  <si>
    <t>i m u</t>
  </si>
  <si>
    <t>Islamic_Group_of_Uzbekistan</t>
  </si>
  <si>
    <t>IMU</t>
  </si>
  <si>
    <t>Islamic_Party_of_Turkestan</t>
  </si>
  <si>
    <t>imukala</t>
  </si>
  <si>
    <t>i m u k ɑ l ɑ</t>
  </si>
  <si>
    <t>snailfish</t>
  </si>
  <si>
    <t>seasnail</t>
  </si>
  <si>
    <t>sea_snail</t>
  </si>
  <si>
    <t>Liparis_liparis</t>
  </si>
  <si>
    <t>imulasi</t>
  </si>
  <si>
    <t>i m u l ɑ s i</t>
  </si>
  <si>
    <t>i n</t>
  </si>
  <si>
    <t>ipana</t>
  </si>
  <si>
    <t>i p ɑ n ɑ</t>
  </si>
  <si>
    <t>kiddy</t>
  </si>
  <si>
    <t>peanut</t>
  </si>
  <si>
    <t>isi</t>
  </si>
  <si>
    <t>i s i</t>
  </si>
  <si>
    <t>Directorate_for_Inter-Services_Intelligence</t>
  </si>
  <si>
    <t>Inter-Services_Intelligence</t>
  </si>
  <si>
    <t>ISI</t>
  </si>
  <si>
    <t>isisi</t>
  </si>
  <si>
    <t>i s i s i</t>
  </si>
  <si>
    <t>isä</t>
  </si>
  <si>
    <t>i s æ</t>
  </si>
  <si>
    <t>Father</t>
  </si>
  <si>
    <t>Father-God</t>
  </si>
  <si>
    <t>Fatherhood</t>
  </si>
  <si>
    <t>don</t>
  </si>
  <si>
    <t>Padre</t>
  </si>
  <si>
    <t>forefather</t>
  </si>
  <si>
    <t>sire</t>
  </si>
  <si>
    <t>founder</t>
  </si>
  <si>
    <t>beginner</t>
  </si>
  <si>
    <t>founding_father</t>
  </si>
  <si>
    <t>parent</t>
  </si>
  <si>
    <t>isänisä</t>
  </si>
  <si>
    <t>i s æ n i s æ</t>
  </si>
  <si>
    <t>isanisa</t>
  </si>
  <si>
    <t>isäsi</t>
  </si>
  <si>
    <t>i s æ s i</t>
  </si>
  <si>
    <t>isasi</t>
  </si>
  <si>
    <t>i t i</t>
  </si>
  <si>
    <t>itu</t>
  </si>
  <si>
    <t>i t u</t>
  </si>
  <si>
    <t>germ</t>
  </si>
  <si>
    <t>sprout</t>
  </si>
  <si>
    <t>itä</t>
  </si>
  <si>
    <t>i t æ</t>
  </si>
  <si>
    <t>east</t>
  </si>
  <si>
    <t>eastern_hemisphere</t>
  </si>
  <si>
    <t>orient</t>
  </si>
  <si>
    <t>East</t>
  </si>
  <si>
    <t>Orient</t>
  </si>
  <si>
    <t>due_east</t>
  </si>
  <si>
    <t>eastward</t>
  </si>
  <si>
    <t>E</t>
  </si>
  <si>
    <t>jaha</t>
  </si>
  <si>
    <t>j ɑ h ɑ</t>
  </si>
  <si>
    <t>yaha</t>
  </si>
  <si>
    <t>jakama</t>
  </si>
  <si>
    <t>j ɑ k ɑ m ɑ</t>
  </si>
  <si>
    <t>yakama</t>
  </si>
  <si>
    <t>jalan</t>
  </si>
  <si>
    <t>j ɑ l ɑ n</t>
  </si>
  <si>
    <t>yalan</t>
  </si>
  <si>
    <t>afoot</t>
  </si>
  <si>
    <t>jalas</t>
  </si>
  <si>
    <t>j ɑ l ɑ s</t>
  </si>
  <si>
    <t>yalas</t>
  </si>
  <si>
    <t>rocker</t>
  </si>
  <si>
    <t>runner</t>
  </si>
  <si>
    <t>jalis</t>
  </si>
  <si>
    <t>j ɑ l i s</t>
  </si>
  <si>
    <t>yalis</t>
  </si>
  <si>
    <t>jama</t>
  </si>
  <si>
    <t>j ɑ m ɑ</t>
  </si>
  <si>
    <t>yama</t>
  </si>
  <si>
    <t>jami</t>
  </si>
  <si>
    <t>j ɑ m i</t>
  </si>
  <si>
    <t>yami</t>
  </si>
  <si>
    <t>jana</t>
  </si>
  <si>
    <t>j ɑ n ɑ</t>
  </si>
  <si>
    <t>yana</t>
  </si>
  <si>
    <t>jani</t>
  </si>
  <si>
    <t>j ɑ n i</t>
  </si>
  <si>
    <t>yani</t>
  </si>
  <si>
    <t>janika</t>
  </si>
  <si>
    <t>j ɑ n i k ɑ</t>
  </si>
  <si>
    <t>yanika</t>
  </si>
  <si>
    <t>janina</t>
  </si>
  <si>
    <t>j ɑ n i n ɑ</t>
  </si>
  <si>
    <t>yanina</t>
  </si>
  <si>
    <t>janita</t>
  </si>
  <si>
    <t>j ɑ n i t ɑ</t>
  </si>
  <si>
    <t>yanita</t>
  </si>
  <si>
    <t>japani</t>
  </si>
  <si>
    <t>j ɑ p ɑ n i</t>
  </si>
  <si>
    <t>yapani</t>
  </si>
  <si>
    <t>Japanese</t>
  </si>
  <si>
    <t>Japanese_Islands</t>
  </si>
  <si>
    <t>Japanese_Archipelago</t>
  </si>
  <si>
    <t>jatuli</t>
  </si>
  <si>
    <t>j ɑ t u l i</t>
  </si>
  <si>
    <t>yatuli</t>
  </si>
  <si>
    <t>jimi</t>
  </si>
  <si>
    <t>j i m i</t>
  </si>
  <si>
    <t>yimi</t>
  </si>
  <si>
    <t>juha</t>
  </si>
  <si>
    <t>j u h ɑ</t>
  </si>
  <si>
    <t>yuha</t>
  </si>
  <si>
    <t>juhana</t>
  </si>
  <si>
    <t>j u h ɑ n ɑ</t>
  </si>
  <si>
    <t>yuhana</t>
  </si>
  <si>
    <t>John</t>
  </si>
  <si>
    <t>King_John</t>
  </si>
  <si>
    <t>John_Lackland</t>
  </si>
  <si>
    <t>juhani</t>
  </si>
  <si>
    <t>j u h ɑ n i</t>
  </si>
  <si>
    <t>yuhani</t>
  </si>
  <si>
    <t>juju</t>
  </si>
  <si>
    <t>j u j u</t>
  </si>
  <si>
    <t>yuyu</t>
  </si>
  <si>
    <t>device</t>
  </si>
  <si>
    <t>gimmick</t>
  </si>
  <si>
    <t>juka</t>
  </si>
  <si>
    <t>j u k ɑ</t>
  </si>
  <si>
    <t>yuka</t>
  </si>
  <si>
    <t>jumala</t>
  </si>
  <si>
    <t>j u m ɑ l ɑ</t>
  </si>
  <si>
    <t>yumala</t>
  </si>
  <si>
    <t>idol</t>
  </si>
  <si>
    <t>graven_image</t>
  </si>
  <si>
    <t>god</t>
  </si>
  <si>
    <t>deity</t>
  </si>
  <si>
    <t>divinity</t>
  </si>
  <si>
    <t>immortal</t>
  </si>
  <si>
    <t>God</t>
  </si>
  <si>
    <t>Supreme_Being</t>
  </si>
  <si>
    <t>Godhead</t>
  </si>
  <si>
    <t>Lord</t>
  </si>
  <si>
    <t>Creator</t>
  </si>
  <si>
    <t>Maker</t>
  </si>
  <si>
    <t>Divine</t>
  </si>
  <si>
    <t>God_Almighty</t>
  </si>
  <si>
    <t>Almighty</t>
  </si>
  <si>
    <t>Jehovah</t>
  </si>
  <si>
    <t>jumi</t>
  </si>
  <si>
    <t>j u m i</t>
  </si>
  <si>
    <t>yumi</t>
  </si>
  <si>
    <t>juna</t>
  </si>
  <si>
    <t>j u n ɑ</t>
  </si>
  <si>
    <t>yuna</t>
  </si>
  <si>
    <t>choo-choo</t>
  </si>
  <si>
    <t>railroad_train</t>
  </si>
  <si>
    <t>jupik</t>
  </si>
  <si>
    <t>j u p i k</t>
  </si>
  <si>
    <t>yupik</t>
  </si>
  <si>
    <t>jäkälä</t>
  </si>
  <si>
    <t>j æ k æ l æ</t>
  </si>
  <si>
    <t>yakala</t>
  </si>
  <si>
    <t>lichen</t>
  </si>
  <si>
    <t>horsehair_lichen</t>
  </si>
  <si>
    <t>horsetail_lichen</t>
  </si>
  <si>
    <t>fungus</t>
  </si>
  <si>
    <t>jämä</t>
  </si>
  <si>
    <t>j æ m æ</t>
  </si>
  <si>
    <t>jänis</t>
  </si>
  <si>
    <t>j æ n i s</t>
  </si>
  <si>
    <t>yanis</t>
  </si>
  <si>
    <t>eastern_cottontail</t>
  </si>
  <si>
    <t>Sylvilagus_floridanus</t>
  </si>
  <si>
    <t>swamp_rabbit</t>
  </si>
  <si>
    <t>canecutter</t>
  </si>
  <si>
    <t>swamp_hare</t>
  </si>
  <si>
    <t>Sylvilagus_aquaticus</t>
  </si>
  <si>
    <t>jackrabbit</t>
  </si>
  <si>
    <t>Belgian_hare</t>
  </si>
  <si>
    <t>leporide</t>
  </si>
  <si>
    <t>Lepus</t>
  </si>
  <si>
    <t>k ɑ</t>
  </si>
  <si>
    <t>Ka</t>
  </si>
  <si>
    <t>kaha</t>
  </si>
  <si>
    <t>k ɑ h ɑ</t>
  </si>
  <si>
    <t>kahina</t>
  </si>
  <si>
    <t>k ɑ h i n ɑ</t>
  </si>
  <si>
    <t>rustle</t>
  </si>
  <si>
    <t>rustling</t>
  </si>
  <si>
    <t>whisper</t>
  </si>
  <si>
    <t>whispering</t>
  </si>
  <si>
    <t>kahu</t>
  </si>
  <si>
    <t>k ɑ h u</t>
  </si>
  <si>
    <t>k ɑ k ɑ</t>
  </si>
  <si>
    <t>k ɑ l ɑ</t>
  </si>
  <si>
    <t>striped_killifish</t>
  </si>
  <si>
    <t>mayfish</t>
  </si>
  <si>
    <t>may_fish</t>
  </si>
  <si>
    <t>Fundulus_majalis</t>
  </si>
  <si>
    <t>fish</t>
  </si>
  <si>
    <t>Echeneididae</t>
  </si>
  <si>
    <t>family_Echeneididae</t>
  </si>
  <si>
    <t>family_Echeneidae</t>
  </si>
  <si>
    <t>blanquillo</t>
  </si>
  <si>
    <t>tilefish</t>
  </si>
  <si>
    <t>Bermuda_chub</t>
  </si>
  <si>
    <t>rudderfish</t>
  </si>
  <si>
    <t>Kyphosus_sectatrix</t>
  </si>
  <si>
    <t>beaugregory</t>
  </si>
  <si>
    <t>Pomacentrus_leucostictus</t>
  </si>
  <si>
    <t>barbu</t>
  </si>
  <si>
    <t>Polydactylus_virginicus</t>
  </si>
  <si>
    <t>blennioid_fish</t>
  </si>
  <si>
    <t>blennioid</t>
  </si>
  <si>
    <t>barrelfish</t>
  </si>
  <si>
    <t>black_rudderfish</t>
  </si>
  <si>
    <t>Hyperglyphe_perciformis</t>
  </si>
  <si>
    <t>Atlantic_tripletail</t>
  </si>
  <si>
    <t>Lobotes_surinamensis</t>
  </si>
  <si>
    <t>kalamaja</t>
  </si>
  <si>
    <t>k ɑ l ɑ m ɑ j ɑ</t>
  </si>
  <si>
    <t>kalamaya</t>
  </si>
  <si>
    <t>kalasatama</t>
  </si>
  <si>
    <t>k ɑ l ɑ s ɑ t ɑ m ɑ</t>
  </si>
  <si>
    <t>k ɑ l i</t>
  </si>
  <si>
    <t>Kali</t>
  </si>
  <si>
    <t>k ɑ l u</t>
  </si>
  <si>
    <t>k ɑ m ɑ</t>
  </si>
  <si>
    <t>doodad</t>
  </si>
  <si>
    <t>doohickey</t>
  </si>
  <si>
    <t>doojigger</t>
  </si>
  <si>
    <t>gizmo</t>
  </si>
  <si>
    <t>gismo</t>
  </si>
  <si>
    <t>gubbins</t>
  </si>
  <si>
    <t>thingamabob</t>
  </si>
  <si>
    <t>thingumabob</t>
  </si>
  <si>
    <t>thingmabob</t>
  </si>
  <si>
    <t>thingamajig</t>
  </si>
  <si>
    <t>thingumajig</t>
  </si>
  <si>
    <t>thingmajig</t>
  </si>
  <si>
    <t>thingummy</t>
  </si>
  <si>
    <t>whatchamacallit</t>
  </si>
  <si>
    <t>whatchamacallum</t>
  </si>
  <si>
    <t>whatsis</t>
  </si>
  <si>
    <t>widget</t>
  </si>
  <si>
    <t>stuff</t>
  </si>
  <si>
    <t>Kama</t>
  </si>
  <si>
    <t>kamala</t>
  </si>
  <si>
    <t>k ɑ m ɑ l ɑ</t>
  </si>
  <si>
    <t>atrocious</t>
  </si>
  <si>
    <t>frightful</t>
  </si>
  <si>
    <t>horrifying</t>
  </si>
  <si>
    <t>horrible</t>
  </si>
  <si>
    <t>ugly</t>
  </si>
  <si>
    <t>abominable</t>
  </si>
  <si>
    <t>awful</t>
  </si>
  <si>
    <t>dreadful</t>
  </si>
  <si>
    <t>painful</t>
  </si>
  <si>
    <t>terrible</t>
  </si>
  <si>
    <t>unspeakable</t>
  </si>
  <si>
    <t>horrid</t>
  </si>
  <si>
    <t>amazing</t>
  </si>
  <si>
    <t>awe-inspiring</t>
  </si>
  <si>
    <t>awesome</t>
  </si>
  <si>
    <t>awing</t>
  </si>
  <si>
    <t>nasty</t>
  </si>
  <si>
    <t>tremendous</t>
  </si>
  <si>
    <t>beastly</t>
  </si>
  <si>
    <t>hellish</t>
  </si>
  <si>
    <t>god-awful</t>
  </si>
  <si>
    <t>kamana</t>
  </si>
  <si>
    <t>k ɑ m ɑ n ɑ</t>
  </si>
  <si>
    <t>lintel</t>
  </si>
  <si>
    <t>soffit</t>
  </si>
  <si>
    <t>kamu</t>
  </si>
  <si>
    <t>k ɑ m u</t>
  </si>
  <si>
    <t>k ɑ n ɑ</t>
  </si>
  <si>
    <t>Gallus_gallus</t>
  </si>
  <si>
    <t>hen</t>
  </si>
  <si>
    <t>biddy</t>
  </si>
  <si>
    <t>poulet</t>
  </si>
  <si>
    <t>volaille</t>
  </si>
  <si>
    <t>kanala</t>
  </si>
  <si>
    <t>k ɑ n ɑ l ɑ</t>
  </si>
  <si>
    <t>chicken_coop</t>
  </si>
  <si>
    <t>coop</t>
  </si>
  <si>
    <t>hencoop</t>
  </si>
  <si>
    <t>henhouse</t>
  </si>
  <si>
    <t>k ɑ n i</t>
  </si>
  <si>
    <t>lapin</t>
  </si>
  <si>
    <t>kapakala</t>
  </si>
  <si>
    <t>k ɑ p ɑ k ɑ l ɑ</t>
  </si>
  <si>
    <t>stockfish</t>
  </si>
  <si>
    <t>kapanala</t>
  </si>
  <si>
    <t>k ɑ p ɑ n ɑ l ɑ</t>
  </si>
  <si>
    <t>kapina</t>
  </si>
  <si>
    <t>k ɑ p i n ɑ</t>
  </si>
  <si>
    <t>rebellion</t>
  </si>
  <si>
    <t>insurrection</t>
  </si>
  <si>
    <t>revolt</t>
  </si>
  <si>
    <t>rising</t>
  </si>
  <si>
    <t>uprising</t>
  </si>
  <si>
    <t>insurgency</t>
  </si>
  <si>
    <t>insurgence</t>
  </si>
  <si>
    <t>kapituli</t>
  </si>
  <si>
    <t>k ɑ p i t u l i</t>
  </si>
  <si>
    <t>kapu</t>
  </si>
  <si>
    <t>k ɑ p u</t>
  </si>
  <si>
    <t>kapula</t>
  </si>
  <si>
    <t>k ɑ p u l ɑ</t>
  </si>
  <si>
    <t>mallet</t>
  </si>
  <si>
    <t>k ɑ s ɑ</t>
  </si>
  <si>
    <t>congeries</t>
  </si>
  <si>
    <t>conglomeration</t>
  </si>
  <si>
    <t>k ɑ s i</t>
  </si>
  <si>
    <t>k ɑ t ɑ</t>
  </si>
  <si>
    <t>kataja</t>
  </si>
  <si>
    <t>k ɑ t ɑ j ɑ</t>
  </si>
  <si>
    <t>kataya</t>
  </si>
  <si>
    <t>juniper</t>
  </si>
  <si>
    <t>common_juniper</t>
  </si>
  <si>
    <t>Juniperus_communis</t>
  </si>
  <si>
    <t>retem</t>
  </si>
  <si>
    <t>raetam</t>
  </si>
  <si>
    <t>juniper_bush</t>
  </si>
  <si>
    <t>Retama_raetam</t>
  </si>
  <si>
    <t>Genista_raetam</t>
  </si>
  <si>
    <t>katal</t>
  </si>
  <si>
    <t>k ɑ t ɑ l</t>
  </si>
  <si>
    <t>k ɑ t i</t>
  </si>
  <si>
    <t>Catha_edulis</t>
  </si>
  <si>
    <t>k ɑ t u</t>
  </si>
  <si>
    <t>street</t>
  </si>
  <si>
    <t>katuja</t>
  </si>
  <si>
    <t>k ɑ t u j ɑ</t>
  </si>
  <si>
    <t>katuya</t>
  </si>
  <si>
    <t>kihinä</t>
  </si>
  <si>
    <t>k i h i n æ</t>
  </si>
  <si>
    <t>kihina</t>
  </si>
  <si>
    <t>splutter</t>
  </si>
  <si>
    <t>sizzle</t>
  </si>
  <si>
    <t>kihu</t>
  </si>
  <si>
    <t>k i h u</t>
  </si>
  <si>
    <t>jaeger</t>
  </si>
  <si>
    <t>kikuju</t>
  </si>
  <si>
    <t>k i k u j u</t>
  </si>
  <si>
    <t>kikuyu</t>
  </si>
  <si>
    <t>Gikuyu</t>
  </si>
  <si>
    <t>kili</t>
  </si>
  <si>
    <t>k i l i</t>
  </si>
  <si>
    <t>kilinä</t>
  </si>
  <si>
    <t>k i l i n æ</t>
  </si>
  <si>
    <t>kilina</t>
  </si>
  <si>
    <t>chattering</t>
  </si>
  <si>
    <t>chink</t>
  </si>
  <si>
    <t>clink</t>
  </si>
  <si>
    <t>click-clack</t>
  </si>
  <si>
    <t>clickety-clack</t>
  </si>
  <si>
    <t>clickety-click</t>
  </si>
  <si>
    <t>jingle</t>
  </si>
  <si>
    <t>jangle</t>
  </si>
  <si>
    <t>ringing</t>
  </si>
  <si>
    <t>tintinnabulation</t>
  </si>
  <si>
    <t>ting</t>
  </si>
  <si>
    <t>tinkle</t>
  </si>
  <si>
    <t>k i m i</t>
  </si>
  <si>
    <t>k i n ɑ</t>
  </si>
  <si>
    <t>haggle</t>
  </si>
  <si>
    <t>haggling</t>
  </si>
  <si>
    <t>wrangle</t>
  </si>
  <si>
    <t>wrangling</t>
  </si>
  <si>
    <t>quarrel</t>
  </si>
  <si>
    <t>row</t>
  </si>
  <si>
    <t>words</t>
  </si>
  <si>
    <t>run-in</t>
  </si>
  <si>
    <t>dustup</t>
  </si>
  <si>
    <t>bicker</t>
  </si>
  <si>
    <t>bickering</t>
  </si>
  <si>
    <t>spat</t>
  </si>
  <si>
    <t>tiff</t>
  </si>
  <si>
    <t>squabble</t>
  </si>
  <si>
    <t>pettifoggery</t>
  </si>
  <si>
    <t>toea</t>
  </si>
  <si>
    <t>kipinä</t>
  </si>
  <si>
    <t>k i p i n æ</t>
  </si>
  <si>
    <t>kipina</t>
  </si>
  <si>
    <t>flicker</t>
  </si>
  <si>
    <t>spark</t>
  </si>
  <si>
    <t>glint</t>
  </si>
  <si>
    <t>arc</t>
  </si>
  <si>
    <t>electric_arc</t>
  </si>
  <si>
    <t>electric_discharge</t>
  </si>
  <si>
    <t>unpleasantness</t>
  </si>
  <si>
    <t>melagra</t>
  </si>
  <si>
    <t>smarting</t>
  </si>
  <si>
    <t>tenderness</t>
  </si>
  <si>
    <t>soreness</t>
  </si>
  <si>
    <t>rawness</t>
  </si>
  <si>
    <t>kipuna</t>
  </si>
  <si>
    <t>k i p u n ɑ</t>
  </si>
  <si>
    <t>k i s ɑ</t>
  </si>
  <si>
    <t>burnup</t>
  </si>
  <si>
    <t>sports_meeting</t>
  </si>
  <si>
    <t>kisu</t>
  </si>
  <si>
    <t>k i s u</t>
  </si>
  <si>
    <t>k i t ɑ</t>
  </si>
  <si>
    <t>oral_cavity</t>
  </si>
  <si>
    <t>oral_fissure</t>
  </si>
  <si>
    <t>rima_oris</t>
  </si>
  <si>
    <t>kuha</t>
  </si>
  <si>
    <t>k u h ɑ</t>
  </si>
  <si>
    <t>pike-perch</t>
  </si>
  <si>
    <t>pike_perch</t>
  </si>
  <si>
    <t>kuhina</t>
  </si>
  <si>
    <t>k u h i n ɑ</t>
  </si>
  <si>
    <t>kuhun</t>
  </si>
  <si>
    <t>k u h u n</t>
  </si>
  <si>
    <t>kuja</t>
  </si>
  <si>
    <t>k u j ɑ</t>
  </si>
  <si>
    <t>kuya</t>
  </si>
  <si>
    <t>lane</t>
  </si>
  <si>
    <t>kujala</t>
  </si>
  <si>
    <t>k u j ɑ l ɑ</t>
  </si>
  <si>
    <t>kuyala</t>
  </si>
  <si>
    <t>kuka</t>
  </si>
  <si>
    <t>k u k ɑ</t>
  </si>
  <si>
    <t>kukin</t>
  </si>
  <si>
    <t>k u k i n</t>
  </si>
  <si>
    <t>respectively</t>
  </si>
  <si>
    <t>severally</t>
  </si>
  <si>
    <t>coolie</t>
  </si>
  <si>
    <t>cooly</t>
  </si>
  <si>
    <t>kulu</t>
  </si>
  <si>
    <t>k u l u</t>
  </si>
  <si>
    <t>k u l u m ɑ</t>
  </si>
  <si>
    <t>kumina</t>
  </si>
  <si>
    <t>k u m i n ɑ</t>
  </si>
  <si>
    <t>thump</t>
  </si>
  <si>
    <t>thumping</t>
  </si>
  <si>
    <t>clump</t>
  </si>
  <si>
    <t>clunk</t>
  </si>
  <si>
    <t>thud</t>
  </si>
  <si>
    <t>thrum</t>
  </si>
  <si>
    <t>Carum_carvi</t>
  </si>
  <si>
    <t>kumipuku</t>
  </si>
  <si>
    <t>k u m i p u k u</t>
  </si>
  <si>
    <t>kumitus</t>
  </si>
  <si>
    <t>k u m i t u s</t>
  </si>
  <si>
    <t>kuna</t>
  </si>
  <si>
    <t>k u n ɑ</t>
  </si>
  <si>
    <t>kupu</t>
  </si>
  <si>
    <t>k u p u</t>
  </si>
  <si>
    <t>craw</t>
  </si>
  <si>
    <t>crop</t>
  </si>
  <si>
    <t>gizzard</t>
  </si>
  <si>
    <t>ventriculus</t>
  </si>
  <si>
    <t>gastric_mill</t>
  </si>
  <si>
    <t>bubble</t>
  </si>
  <si>
    <t>bulb</t>
  </si>
  <si>
    <t>lamp_chimney</t>
  </si>
  <si>
    <t>chimney</t>
  </si>
  <si>
    <t>sound_bow</t>
  </si>
  <si>
    <t>kusi</t>
  </si>
  <si>
    <t>k u s i</t>
  </si>
  <si>
    <t>kusihätä</t>
  </si>
  <si>
    <t>k u s i h æ t æ</t>
  </si>
  <si>
    <t>kusihata</t>
  </si>
  <si>
    <t>kusu</t>
  </si>
  <si>
    <t>k u s u</t>
  </si>
  <si>
    <t>kuta</t>
  </si>
  <si>
    <t>k u t ɑ</t>
  </si>
  <si>
    <t>kuti</t>
  </si>
  <si>
    <t>k u t i</t>
  </si>
  <si>
    <t>kutikula</t>
  </si>
  <si>
    <t>k u t i k u l ɑ</t>
  </si>
  <si>
    <t>kutina</t>
  </si>
  <si>
    <t>k u t i n ɑ</t>
  </si>
  <si>
    <t>itchiness</t>
  </si>
  <si>
    <t>itching</t>
  </si>
  <si>
    <t>pruritus</t>
  </si>
  <si>
    <t>kutu</t>
  </si>
  <si>
    <t>k u t u</t>
  </si>
  <si>
    <t>spawn</t>
  </si>
  <si>
    <t>kutukala</t>
  </si>
  <si>
    <t>k u t u k ɑ l ɑ</t>
  </si>
  <si>
    <t>spawner</t>
  </si>
  <si>
    <t>kutupuku</t>
  </si>
  <si>
    <t>k u t u p u k u</t>
  </si>
  <si>
    <t>käki</t>
  </si>
  <si>
    <t>European_cuckoo</t>
  </si>
  <si>
    <t>Cuculus_canorus</t>
  </si>
  <si>
    <t>käpälä</t>
  </si>
  <si>
    <t>k æ p æ l æ</t>
  </si>
  <si>
    <t>kapala</t>
  </si>
  <si>
    <t>animal_foot</t>
  </si>
  <si>
    <t>käsi</t>
  </si>
  <si>
    <t>poker_hand</t>
  </si>
  <si>
    <t>käsin</t>
  </si>
  <si>
    <t>k æ s i n</t>
  </si>
  <si>
    <t>kasin</t>
  </si>
  <si>
    <t>by_hand</t>
  </si>
  <si>
    <t>käsis</t>
  </si>
  <si>
    <t>k æ s i s</t>
  </si>
  <si>
    <t>käsituki</t>
  </si>
  <si>
    <t>k æ s i t u k i</t>
  </si>
  <si>
    <t>kasituki</t>
  </si>
  <si>
    <t>handrest</t>
  </si>
  <si>
    <t>l</t>
  </si>
  <si>
    <t>L</t>
  </si>
  <si>
    <t>liter</t>
  </si>
  <si>
    <t>litre</t>
  </si>
  <si>
    <t>cubic_decimeter</t>
  </si>
  <si>
    <t>cubic_decimetre</t>
  </si>
  <si>
    <t>lambert</t>
  </si>
  <si>
    <t>fifty</t>
  </si>
  <si>
    <t>west</t>
  </si>
  <si>
    <t>due_west</t>
  </si>
  <si>
    <t>westward</t>
  </si>
  <si>
    <t>W</t>
  </si>
  <si>
    <t>laji</t>
  </si>
  <si>
    <t>l ɑ j i</t>
  </si>
  <si>
    <t>layi</t>
  </si>
  <si>
    <t>breed</t>
  </si>
  <si>
    <t>description</t>
  </si>
  <si>
    <t>species</t>
  </si>
  <si>
    <t>genus</t>
  </si>
  <si>
    <t>ilk</t>
  </si>
  <si>
    <t>music_genre</t>
  </si>
  <si>
    <t>musical_genre</t>
  </si>
  <si>
    <t>genre</t>
  </si>
  <si>
    <t>musical_style</t>
  </si>
  <si>
    <t>stamp</t>
  </si>
  <si>
    <t>lajinimi</t>
  </si>
  <si>
    <t>l ɑ j i n i m i</t>
  </si>
  <si>
    <t>layinimi</t>
  </si>
  <si>
    <t>type_genus</t>
  </si>
  <si>
    <t>lajitin</t>
  </si>
  <si>
    <t>l ɑ j i t i n</t>
  </si>
  <si>
    <t>layitin</t>
  </si>
  <si>
    <t>lakana</t>
  </si>
  <si>
    <t>l ɑ k ɑ n ɑ</t>
  </si>
  <si>
    <t>l ɑ k i</t>
  </si>
  <si>
    <t>sanction</t>
  </si>
  <si>
    <t>law</t>
  </si>
  <si>
    <t>natural_law</t>
  </si>
  <si>
    <t>law_of_nature</t>
  </si>
  <si>
    <t>Torah</t>
  </si>
  <si>
    <t>Pentateuch</t>
  </si>
  <si>
    <t>Laws</t>
  </si>
  <si>
    <t>enactment</t>
  </si>
  <si>
    <t>legislative_act</t>
  </si>
  <si>
    <t>statute</t>
  </si>
  <si>
    <t>jurisprudence</t>
  </si>
  <si>
    <t>lakitupa</t>
  </si>
  <si>
    <t>l ɑ k i t u p ɑ</t>
  </si>
  <si>
    <t>laku</t>
  </si>
  <si>
    <t>l ɑ k u</t>
  </si>
  <si>
    <t>lama</t>
  </si>
  <si>
    <t>l ɑ m ɑ</t>
  </si>
  <si>
    <t>Lama</t>
  </si>
  <si>
    <t>genus_Lama</t>
  </si>
  <si>
    <t>depression</t>
  </si>
  <si>
    <t>slump</t>
  </si>
  <si>
    <t>economic_crisis</t>
  </si>
  <si>
    <t>Depression</t>
  </si>
  <si>
    <t>Great_Depression</t>
  </si>
  <si>
    <t>lamatila</t>
  </si>
  <si>
    <t>l ɑ m ɑ t i l ɑ</t>
  </si>
  <si>
    <t>lana</t>
  </si>
  <si>
    <t>l ɑ n ɑ</t>
  </si>
  <si>
    <t>lapa</t>
  </si>
  <si>
    <t>l ɑ p ɑ</t>
  </si>
  <si>
    <t>blade</t>
  </si>
  <si>
    <t>vane</t>
  </si>
  <si>
    <t>shoulder</t>
  </si>
  <si>
    <t>lapalihas</t>
  </si>
  <si>
    <t>l ɑ p ɑ l i h ɑ s</t>
  </si>
  <si>
    <t>glass</t>
  </si>
  <si>
    <t>drinking_glass</t>
  </si>
  <si>
    <t>glassful</t>
  </si>
  <si>
    <t>lasikupu</t>
  </si>
  <si>
    <t>l ɑ s i k u p u</t>
  </si>
  <si>
    <t>bell_jar</t>
  </si>
  <si>
    <t>bell_glass</t>
  </si>
  <si>
    <t>lasitus</t>
  </si>
  <si>
    <t>l ɑ s i t u s</t>
  </si>
  <si>
    <t>enamel</t>
  </si>
  <si>
    <t>glaze</t>
  </si>
  <si>
    <t>latina</t>
  </si>
  <si>
    <t>l ɑ t i n ɑ</t>
  </si>
  <si>
    <t>latu</t>
  </si>
  <si>
    <t>l ɑ t u</t>
  </si>
  <si>
    <t>ski_run</t>
  </si>
  <si>
    <t>ski_trail</t>
  </si>
  <si>
    <t>liha</t>
  </si>
  <si>
    <t>l i h ɑ</t>
  </si>
  <si>
    <t>stew_meat</t>
  </si>
  <si>
    <t>lihapata</t>
  </si>
  <si>
    <t>l i h ɑ p ɑ t ɑ</t>
  </si>
  <si>
    <t>hot_pot</t>
  </si>
  <si>
    <t>hotpot</t>
  </si>
  <si>
    <t>beef_stew</t>
  </si>
  <si>
    <t>pot-au-feu</t>
  </si>
  <si>
    <t>lihas</t>
  </si>
  <si>
    <t>l i h ɑ s</t>
  </si>
  <si>
    <t>muscle</t>
  </si>
  <si>
    <t>muscular_tissue</t>
  </si>
  <si>
    <t>musculus</t>
  </si>
  <si>
    <t>lihasika</t>
  </si>
  <si>
    <t>l i h ɑ s i k ɑ</t>
  </si>
  <si>
    <t>lika</t>
  </si>
  <si>
    <t>l i k ɑ</t>
  </si>
  <si>
    <t>feculence</t>
  </si>
  <si>
    <t>filth</t>
  </si>
  <si>
    <t>filthiness</t>
  </si>
  <si>
    <t>foulness</t>
  </si>
  <si>
    <t>nastiness</t>
  </si>
  <si>
    <t>crud</t>
  </si>
  <si>
    <t>skank</t>
  </si>
  <si>
    <t>liki</t>
  </si>
  <si>
    <t>l i k i</t>
  </si>
  <si>
    <t>near</t>
  </si>
  <si>
    <t>nigh</t>
  </si>
  <si>
    <t>close</t>
  </si>
  <si>
    <t>lechwe</t>
  </si>
  <si>
    <t>Kobus_leche</t>
  </si>
  <si>
    <t>lima</t>
  </si>
  <si>
    <t>l i m ɑ</t>
  </si>
  <si>
    <t>mucus</t>
  </si>
  <si>
    <t>mucous_secretion</t>
  </si>
  <si>
    <t>phlegm</t>
  </si>
  <si>
    <t>sputum</t>
  </si>
  <si>
    <t>Lima</t>
  </si>
  <si>
    <t>capital_of_Peru</t>
  </si>
  <si>
    <t>limakala</t>
  </si>
  <si>
    <t>l i m ɑ k ɑ l ɑ</t>
  </si>
  <si>
    <t>shanny</t>
  </si>
  <si>
    <t>Blennius_pholis</t>
  </si>
  <si>
    <t>pikeblenny</t>
  </si>
  <si>
    <t>l i m i</t>
  </si>
  <si>
    <t>limitin</t>
  </si>
  <si>
    <t>l i m i t i n</t>
  </si>
  <si>
    <t>limu</t>
  </si>
  <si>
    <t>l i m u</t>
  </si>
  <si>
    <t>lipas</t>
  </si>
  <si>
    <t>l i p ɑ s</t>
  </si>
  <si>
    <t>casket</t>
  </si>
  <si>
    <t>jewel_casket</t>
  </si>
  <si>
    <t>firing_chamber</t>
  </si>
  <si>
    <t>gun_chamber</t>
  </si>
  <si>
    <t>liputus</t>
  </si>
  <si>
    <t>l i p u t u s</t>
  </si>
  <si>
    <t>lisä</t>
  </si>
  <si>
    <t>l i s æ</t>
  </si>
  <si>
    <t>add-on</t>
  </si>
  <si>
    <t>adjunct</t>
  </si>
  <si>
    <t>accession</t>
  </si>
  <si>
    <t>increase</t>
  </si>
  <si>
    <t>gain</t>
  </si>
  <si>
    <t>admixture</t>
  </si>
  <si>
    <t>alloy</t>
  </si>
  <si>
    <t>lisähaku</t>
  </si>
  <si>
    <t>l i s æ h ɑ k u</t>
  </si>
  <si>
    <t>lisahaku</t>
  </si>
  <si>
    <t>lisäjuna</t>
  </si>
  <si>
    <t>l i s æ j u n ɑ</t>
  </si>
  <si>
    <t>lisayuna</t>
  </si>
  <si>
    <t>litinä</t>
  </si>
  <si>
    <t>l i t i n æ</t>
  </si>
  <si>
    <t>litina</t>
  </si>
  <si>
    <t>squish</t>
  </si>
  <si>
    <t>litu</t>
  </si>
  <si>
    <t>l i t u</t>
  </si>
  <si>
    <t>silicle</t>
  </si>
  <si>
    <t>luha</t>
  </si>
  <si>
    <t>l u h ɑ</t>
  </si>
  <si>
    <t>runcible_spoon</t>
  </si>
  <si>
    <t>luja</t>
  </si>
  <si>
    <t>l u j ɑ</t>
  </si>
  <si>
    <t>luya</t>
  </si>
  <si>
    <t>gritty</t>
  </si>
  <si>
    <t>mettlesome</t>
  </si>
  <si>
    <t>spirited</t>
  </si>
  <si>
    <t>spunky</t>
  </si>
  <si>
    <t>stoic</t>
  </si>
  <si>
    <t>stoical</t>
  </si>
  <si>
    <t>durable</t>
  </si>
  <si>
    <t>indestructible</t>
  </si>
  <si>
    <t>perdurable</t>
  </si>
  <si>
    <t>undestroyable</t>
  </si>
  <si>
    <t>foursquare</t>
  </si>
  <si>
    <t>lasting</t>
  </si>
  <si>
    <t>dogged</t>
  </si>
  <si>
    <t>persistent</t>
  </si>
  <si>
    <t>pertinacious</t>
  </si>
  <si>
    <t>tenacious</t>
  </si>
  <si>
    <t>unyielding</t>
  </si>
  <si>
    <t>lujitus</t>
  </si>
  <si>
    <t>l u j i t u s</t>
  </si>
  <si>
    <t>luyitus</t>
  </si>
  <si>
    <t>luka</t>
  </si>
  <si>
    <t>l u k ɑ</t>
  </si>
  <si>
    <t>lukija</t>
  </si>
  <si>
    <t>l u k i j ɑ</t>
  </si>
  <si>
    <t>lukiya</t>
  </si>
  <si>
    <t>anagnost</t>
  </si>
  <si>
    <t>reader</t>
  </si>
  <si>
    <t>reviewer</t>
  </si>
  <si>
    <t>referee</t>
  </si>
  <si>
    <t>subscriber</t>
  </si>
  <si>
    <t>luku</t>
  </si>
  <si>
    <t>l u k u</t>
  </si>
  <si>
    <t>proportional</t>
  </si>
  <si>
    <t>canto</t>
  </si>
  <si>
    <t>chapter</t>
  </si>
  <si>
    <t>digit</t>
  </si>
  <si>
    <t>lukuhalu</t>
  </si>
  <si>
    <t>l u k u h ɑ l u</t>
  </si>
  <si>
    <t>lukusana</t>
  </si>
  <si>
    <t>l u k u s ɑ n ɑ</t>
  </si>
  <si>
    <t>lukutapa</t>
  </si>
  <si>
    <t>l u k u t ɑ p ɑ</t>
  </si>
  <si>
    <t>lumi</t>
  </si>
  <si>
    <t>l u m i</t>
  </si>
  <si>
    <t>coke</t>
  </si>
  <si>
    <t>nose_candy</t>
  </si>
  <si>
    <t>snow</t>
  </si>
  <si>
    <t>snowfall</t>
  </si>
  <si>
    <t>lumikasa</t>
  </si>
  <si>
    <t>l u m i k ɑ s ɑ</t>
  </si>
  <si>
    <t>lumimaja</t>
  </si>
  <si>
    <t>l u m i m ɑ j ɑ</t>
  </si>
  <si>
    <t>lumimaya</t>
  </si>
  <si>
    <t>l u p ɑ</t>
  </si>
  <si>
    <t>license</t>
  </si>
  <si>
    <t>permission</t>
  </si>
  <si>
    <t>permit</t>
  </si>
  <si>
    <t>clearance</t>
  </si>
  <si>
    <t>allowance</t>
  </si>
  <si>
    <t>authority</t>
  </si>
  <si>
    <t>authorization</t>
  </si>
  <si>
    <t>authorisation</t>
  </si>
  <si>
    <t>dominance</t>
  </si>
  <si>
    <t>say-so</t>
  </si>
  <si>
    <t>licence</t>
  </si>
  <si>
    <t>mandate</t>
  </si>
  <si>
    <t>stock_warrant</t>
  </si>
  <si>
    <t>countenance</t>
  </si>
  <si>
    <t>endorsement</t>
  </si>
  <si>
    <t>indorsement</t>
  </si>
  <si>
    <t>warrant</t>
  </si>
  <si>
    <t>imprimatur</t>
  </si>
  <si>
    <t>pronouncement</t>
  </si>
  <si>
    <t>dictum</t>
  </si>
  <si>
    <t>lusa</t>
  </si>
  <si>
    <t>l u s ɑ</t>
  </si>
  <si>
    <t>lähijuna</t>
  </si>
  <si>
    <t>l æ h i j u n ɑ</t>
  </si>
  <si>
    <t>lahiyuna</t>
  </si>
  <si>
    <t>lähiluku</t>
  </si>
  <si>
    <t>l æ h i l u k u</t>
  </si>
  <si>
    <t>lahiluku</t>
  </si>
  <si>
    <t>lähin</t>
  </si>
  <si>
    <t>l æ h i n</t>
  </si>
  <si>
    <t>lahin</t>
  </si>
  <si>
    <t>proximate</t>
  </si>
  <si>
    <t>lähisuku</t>
  </si>
  <si>
    <t>l æ h i s u k u</t>
  </si>
  <si>
    <t>lahisuku</t>
  </si>
  <si>
    <t>läjä</t>
  </si>
  <si>
    <t>l æ j æ</t>
  </si>
  <si>
    <t>läpi</t>
  </si>
  <si>
    <t>l æ p i</t>
  </si>
  <si>
    <t>lapi</t>
  </si>
  <si>
    <t>through</t>
  </si>
  <si>
    <t>läpimätä</t>
  </si>
  <si>
    <t>l æ p i m æ t æ</t>
  </si>
  <si>
    <t>lapimata</t>
  </si>
  <si>
    <t>läsi</t>
  </si>
  <si>
    <t>m ɑ</t>
  </si>
  <si>
    <t>Massachusetts</t>
  </si>
  <si>
    <t>Bay_State</t>
  </si>
  <si>
    <t>Old_Colony</t>
  </si>
  <si>
    <t>milliampere</t>
  </si>
  <si>
    <t>mA</t>
  </si>
  <si>
    <t>maha</t>
  </si>
  <si>
    <t>m ɑ h ɑ</t>
  </si>
  <si>
    <t>belly</t>
  </si>
  <si>
    <t>tummy</t>
  </si>
  <si>
    <t>breadbasket</t>
  </si>
  <si>
    <t>paunch</t>
  </si>
  <si>
    <t>potbelly</t>
  </si>
  <si>
    <t>bay_window</t>
  </si>
  <si>
    <t>corporation</t>
  </si>
  <si>
    <t>abdomen</t>
  </si>
  <si>
    <t>venter</t>
  </si>
  <si>
    <t>Omaha</t>
  </si>
  <si>
    <t>Maha</t>
  </si>
  <si>
    <t>mahakipu</t>
  </si>
  <si>
    <t>m ɑ h ɑ k i p u</t>
  </si>
  <si>
    <t>stomachache</t>
  </si>
  <si>
    <t>stomach_ache</t>
  </si>
  <si>
    <t>bellyache</t>
  </si>
  <si>
    <t>gastralgia</t>
  </si>
  <si>
    <t>mahanalus</t>
  </si>
  <si>
    <t>m ɑ h ɑ n ɑ l u s</t>
  </si>
  <si>
    <t>maja</t>
  </si>
  <si>
    <t>m ɑ j ɑ</t>
  </si>
  <si>
    <t>army_hut</t>
  </si>
  <si>
    <t>field_hut</t>
  </si>
  <si>
    <t>hunting_lodge</t>
  </si>
  <si>
    <t>tree_house</t>
  </si>
  <si>
    <t>m ɑ k u</t>
  </si>
  <si>
    <t>spiciness</t>
  </si>
  <si>
    <t>spice</t>
  </si>
  <si>
    <t>spicery</t>
  </si>
  <si>
    <t>taste</t>
  </si>
  <si>
    <t>gustation</t>
  </si>
  <si>
    <t>sense_of_taste</t>
  </si>
  <si>
    <t>gustatory_modality</t>
  </si>
  <si>
    <t>appreciation</t>
  </si>
  <si>
    <t>discernment</t>
  </si>
  <si>
    <t>perceptiveness</t>
  </si>
  <si>
    <t>common_wormwood</t>
  </si>
  <si>
    <t>absinthe</t>
  </si>
  <si>
    <t>lad's_love</t>
  </si>
  <si>
    <t>Artemisia_absinthium</t>
  </si>
  <si>
    <t>m ɑ n ɑ</t>
  </si>
  <si>
    <t>manala</t>
  </si>
  <si>
    <t>m ɑ n ɑ l ɑ</t>
  </si>
  <si>
    <t>Hell</t>
  </si>
  <si>
    <t>Hades</t>
  </si>
  <si>
    <t>infernal_region</t>
  </si>
  <si>
    <t>netherworld</t>
  </si>
  <si>
    <t>Scheol</t>
  </si>
  <si>
    <t>underworld</t>
  </si>
  <si>
    <t>perdition</t>
  </si>
  <si>
    <t>Inferno</t>
  </si>
  <si>
    <t>nether_region</t>
  </si>
  <si>
    <t>m ɑ n u</t>
  </si>
  <si>
    <t>mapitus</t>
  </si>
  <si>
    <t>m ɑ p i t u s</t>
  </si>
  <si>
    <t>m ɑ s ɑ</t>
  </si>
  <si>
    <t>masu</t>
  </si>
  <si>
    <t>m ɑ s u</t>
  </si>
  <si>
    <t>matala</t>
  </si>
  <si>
    <t>m ɑ t ɑ l ɑ</t>
  </si>
  <si>
    <t>shallow</t>
  </si>
  <si>
    <t>low-lying</t>
  </si>
  <si>
    <t>squat</t>
  </si>
  <si>
    <t>underslung</t>
  </si>
  <si>
    <t>low-pitched</t>
  </si>
  <si>
    <t>bass</t>
  </si>
  <si>
    <t>low-rise</t>
  </si>
  <si>
    <t>Secret_Intelligence_Service</t>
  </si>
  <si>
    <t>MI</t>
  </si>
  <si>
    <t>Military_Intelligence_Section_6</t>
  </si>
  <si>
    <t>Security_Service</t>
  </si>
  <si>
    <t>Military_Intelligence_Section_5</t>
  </si>
  <si>
    <t>Michigan</t>
  </si>
  <si>
    <t>Wolverine_State</t>
  </si>
  <si>
    <t>Great_Lakes_State</t>
  </si>
  <si>
    <t>m i k ɑ</t>
  </si>
  <si>
    <t>m i k i</t>
  </si>
  <si>
    <t>mikin</t>
  </si>
  <si>
    <t>m i k i n</t>
  </si>
  <si>
    <t>mikä</t>
  </si>
  <si>
    <t>m i k æ</t>
  </si>
  <si>
    <t>mikäkin</t>
  </si>
  <si>
    <t>m i k æ k i n</t>
  </si>
  <si>
    <t>mikakin</t>
  </si>
  <si>
    <t>mikäli</t>
  </si>
  <si>
    <t>m i k æ l i</t>
  </si>
  <si>
    <t>mikali</t>
  </si>
  <si>
    <t>in_case</t>
  </si>
  <si>
    <t>just_in_case</t>
  </si>
  <si>
    <t>m i l ɑ</t>
  </si>
  <si>
    <t>m i n ɑ</t>
  </si>
  <si>
    <t>minun</t>
  </si>
  <si>
    <t>m i n u n</t>
  </si>
  <si>
    <t>minuna</t>
  </si>
  <si>
    <t>m i n u n ɑ</t>
  </si>
  <si>
    <t>minä</t>
  </si>
  <si>
    <t>m i n æ</t>
  </si>
  <si>
    <t>minäkin</t>
  </si>
  <si>
    <t>m i n æ k i n</t>
  </si>
  <si>
    <t>minakin</t>
  </si>
  <si>
    <t>misu</t>
  </si>
  <si>
    <t>m i s u</t>
  </si>
  <si>
    <t>mitalisija</t>
  </si>
  <si>
    <t>m i t ɑ l i s i j ɑ</t>
  </si>
  <si>
    <t>mitalisiya</t>
  </si>
  <si>
    <t>mitalitili</t>
  </si>
  <si>
    <t>m i t ɑ l i t i l i</t>
  </si>
  <si>
    <t>mitäs</t>
  </si>
  <si>
    <t>m i t æ s</t>
  </si>
  <si>
    <t>mitas</t>
  </si>
  <si>
    <t>muha</t>
  </si>
  <si>
    <t>m u h ɑ</t>
  </si>
  <si>
    <t>muju</t>
  </si>
  <si>
    <t>m u j u</t>
  </si>
  <si>
    <t>muyu</t>
  </si>
  <si>
    <t>m u k ɑ</t>
  </si>
  <si>
    <t>muki</t>
  </si>
  <si>
    <t>m u k i</t>
  </si>
  <si>
    <t>mugful</t>
  </si>
  <si>
    <t>mukina</t>
  </si>
  <si>
    <t>m u k i n ɑ</t>
  </si>
  <si>
    <t>mukula</t>
  </si>
  <si>
    <t>m u k u l ɑ</t>
  </si>
  <si>
    <t>bulbil</t>
  </si>
  <si>
    <t>bulblet</t>
  </si>
  <si>
    <t>muna</t>
  </si>
  <si>
    <t>m u n ɑ</t>
  </si>
  <si>
    <t>egg</t>
  </si>
  <si>
    <t>ovum</t>
  </si>
  <si>
    <t>egg_cell</t>
  </si>
  <si>
    <t>eggs</t>
  </si>
  <si>
    <t>munakas</t>
  </si>
  <si>
    <t>m u n ɑ k ɑ s</t>
  </si>
  <si>
    <t>omelet</t>
  </si>
  <si>
    <t>omelette</t>
  </si>
  <si>
    <t>firm_omelet</t>
  </si>
  <si>
    <t>munija</t>
  </si>
  <si>
    <t>m u n i j ɑ</t>
  </si>
  <si>
    <t>muniya</t>
  </si>
  <si>
    <t>munitus</t>
  </si>
  <si>
    <t>m u n i t u s</t>
  </si>
  <si>
    <t>m u s ɑ</t>
  </si>
  <si>
    <t>m u t ɑ</t>
  </si>
  <si>
    <t>mud</t>
  </si>
  <si>
    <t>clay</t>
  </si>
  <si>
    <t>mire</t>
  </si>
  <si>
    <t>mutakala</t>
  </si>
  <si>
    <t>m u t ɑ k ɑ l ɑ</t>
  </si>
  <si>
    <t>mutina</t>
  </si>
  <si>
    <t>m u t i n ɑ</t>
  </si>
  <si>
    <t>grumble</t>
  </si>
  <si>
    <t>grumbling</t>
  </si>
  <si>
    <t>murmur</t>
  </si>
  <si>
    <t>murmuring</t>
  </si>
  <si>
    <t>mutter</t>
  </si>
  <si>
    <t>muttering</t>
  </si>
  <si>
    <t>murmuration</t>
  </si>
  <si>
    <t>mussitation</t>
  </si>
  <si>
    <t>minnow</t>
  </si>
  <si>
    <t>Phoxinus_phoxinus</t>
  </si>
  <si>
    <t>mä</t>
  </si>
  <si>
    <t>m æ</t>
  </si>
  <si>
    <t>mäki</t>
  </si>
  <si>
    <t>natural_elevation</t>
  </si>
  <si>
    <t>slope</t>
  </si>
  <si>
    <t>incline</t>
  </si>
  <si>
    <t>mäkilä</t>
  </si>
  <si>
    <t>m æ k i l æ</t>
  </si>
  <si>
    <t>makila</t>
  </si>
  <si>
    <t>mäkitupa</t>
  </si>
  <si>
    <t>m æ k i t u p ɑ</t>
  </si>
  <si>
    <t>makitupa</t>
  </si>
  <si>
    <t>mäsä</t>
  </si>
  <si>
    <t>m æ s æ</t>
  </si>
  <si>
    <t>mäsänä</t>
  </si>
  <si>
    <t>m æ s æ n æ</t>
  </si>
  <si>
    <t>masana</t>
  </si>
  <si>
    <t>mäti</t>
  </si>
  <si>
    <t>roe</t>
  </si>
  <si>
    <t>hard_roe</t>
  </si>
  <si>
    <t>caviar</t>
  </si>
  <si>
    <t>caviare</t>
  </si>
  <si>
    <t>mätikala</t>
  </si>
  <si>
    <t>m æ t i k ɑ l ɑ</t>
  </si>
  <si>
    <t>matikala</t>
  </si>
  <si>
    <t>mätimuna</t>
  </si>
  <si>
    <t>m æ t i m u n ɑ</t>
  </si>
  <si>
    <t>matimuna</t>
  </si>
  <si>
    <t>mätä</t>
  </si>
  <si>
    <t>m æ t æ</t>
  </si>
  <si>
    <t>addled</t>
  </si>
  <si>
    <t>putrid</t>
  </si>
  <si>
    <t>carious</t>
  </si>
  <si>
    <t>decayed</t>
  </si>
  <si>
    <t>rotted</t>
  </si>
  <si>
    <t>blackheart</t>
  </si>
  <si>
    <t>leak</t>
  </si>
  <si>
    <t>putrescence</t>
  </si>
  <si>
    <t>putridness</t>
  </si>
  <si>
    <t>rottenness</t>
  </si>
  <si>
    <t>corruption</t>
  </si>
  <si>
    <t>mätänä</t>
  </si>
  <si>
    <t>m æ t æ n æ</t>
  </si>
  <si>
    <t>matana</t>
  </si>
  <si>
    <t>mätäs</t>
  </si>
  <si>
    <t>m æ t æ s</t>
  </si>
  <si>
    <t>matas</t>
  </si>
  <si>
    <t>tuft</t>
  </si>
  <si>
    <t>tussock</t>
  </si>
  <si>
    <t>knoll</t>
  </si>
  <si>
    <t>hillock</t>
  </si>
  <si>
    <t>hummock</t>
  </si>
  <si>
    <t>nahikas</t>
  </si>
  <si>
    <t>n ɑ h i k ɑ s</t>
  </si>
  <si>
    <t>naku</t>
  </si>
  <si>
    <t>n ɑ k u</t>
  </si>
  <si>
    <t>bare-assed</t>
  </si>
  <si>
    <t>bare-ass</t>
  </si>
  <si>
    <t>in_the_altogether</t>
  </si>
  <si>
    <t>in_the_buff</t>
  </si>
  <si>
    <t>in_the_raw</t>
  </si>
  <si>
    <t>peeled</t>
  </si>
  <si>
    <t>naked_as_a_jaybird</t>
  </si>
  <si>
    <t>stark_naked</t>
  </si>
  <si>
    <t>altogether</t>
  </si>
  <si>
    <t>birthday_suit</t>
  </si>
  <si>
    <t>nakutus</t>
  </si>
  <si>
    <t>n ɑ k u t u s</t>
  </si>
  <si>
    <t>rat-a-tat-tat</t>
  </si>
  <si>
    <t>rat-a-tat</t>
  </si>
  <si>
    <t>rat-tat</t>
  </si>
  <si>
    <t>nami</t>
  </si>
  <si>
    <t>n ɑ m i</t>
  </si>
  <si>
    <t>dainty</t>
  </si>
  <si>
    <t>delicacy</t>
  </si>
  <si>
    <t>goody</t>
  </si>
  <si>
    <t>kickshaw</t>
  </si>
  <si>
    <t>treat</t>
  </si>
  <si>
    <t>namu</t>
  </si>
  <si>
    <t>n ɑ m u</t>
  </si>
  <si>
    <t>smasher</t>
  </si>
  <si>
    <t>stunner</t>
  </si>
  <si>
    <t>knockout</t>
  </si>
  <si>
    <t>beauty</t>
  </si>
  <si>
    <t>ravisher</t>
  </si>
  <si>
    <t>sweetheart</t>
  </si>
  <si>
    <t>lulu</t>
  </si>
  <si>
    <t>looker</t>
  </si>
  <si>
    <t>mantrap</t>
  </si>
  <si>
    <t>dish</t>
  </si>
  <si>
    <t>namupala</t>
  </si>
  <si>
    <t>n ɑ m u p ɑ l ɑ</t>
  </si>
  <si>
    <t>n ɑ n ɑ</t>
  </si>
  <si>
    <t>napa</t>
  </si>
  <si>
    <t>n ɑ p ɑ</t>
  </si>
  <si>
    <t>electrode</t>
  </si>
  <si>
    <t>fulcrum</t>
  </si>
  <si>
    <t>hub</t>
  </si>
  <si>
    <t>magnetic_pole</t>
  </si>
  <si>
    <t>navel</t>
  </si>
  <si>
    <t>umbilicus</t>
  </si>
  <si>
    <t>bellybutton</t>
  </si>
  <si>
    <t>belly_button</t>
  </si>
  <si>
    <t>omphalos</t>
  </si>
  <si>
    <t>omphalus</t>
  </si>
  <si>
    <t>navel_point</t>
  </si>
  <si>
    <t>nombril</t>
  </si>
  <si>
    <t>celestial_pole</t>
  </si>
  <si>
    <t>hilum</t>
  </si>
  <si>
    <t>nasu</t>
  </si>
  <si>
    <t>n ɑ s u</t>
  </si>
  <si>
    <t>n ɑ t ɑ</t>
  </si>
  <si>
    <t>fescue</t>
  </si>
  <si>
    <t>fescue_grass</t>
  </si>
  <si>
    <t>meadow_fescue</t>
  </si>
  <si>
    <t>Festuca_elatior</t>
  </si>
  <si>
    <t>natina</t>
  </si>
  <si>
    <t>n ɑ t i n ɑ</t>
  </si>
  <si>
    <t>nikula</t>
  </si>
  <si>
    <t>n i k u l ɑ</t>
  </si>
  <si>
    <t>nila</t>
  </si>
  <si>
    <t>n i l ɑ</t>
  </si>
  <si>
    <t>phloem</t>
  </si>
  <si>
    <t>bast</t>
  </si>
  <si>
    <t>n i m</t>
  </si>
  <si>
    <t>nimi</t>
  </si>
  <si>
    <t>n i m i</t>
  </si>
  <si>
    <t>street_name</t>
  </si>
  <si>
    <t>gens</t>
  </si>
  <si>
    <t>public_figure</t>
  </si>
  <si>
    <t>nimitapa</t>
  </si>
  <si>
    <t>n i m i t ɑ p ɑ</t>
  </si>
  <si>
    <t>nisu</t>
  </si>
  <si>
    <t>n i s u</t>
  </si>
  <si>
    <t>nisä</t>
  </si>
  <si>
    <t>n i s æ</t>
  </si>
  <si>
    <t>dug</t>
  </si>
  <si>
    <t>nisäkäs</t>
  </si>
  <si>
    <t>n i s æ k æ s</t>
  </si>
  <si>
    <t>nisakas</t>
  </si>
  <si>
    <t>mammal</t>
  </si>
  <si>
    <t>mammalian</t>
  </si>
  <si>
    <t>nuha</t>
  </si>
  <si>
    <t>n u h ɑ</t>
  </si>
  <si>
    <t>head_cold</t>
  </si>
  <si>
    <t>nuhasumutin</t>
  </si>
  <si>
    <t>n u h ɑ s u m u t i n</t>
  </si>
  <si>
    <t>nupula</t>
  </si>
  <si>
    <t>n u p u l ɑ</t>
  </si>
  <si>
    <t>n u t ɑ</t>
  </si>
  <si>
    <t>nutukas</t>
  </si>
  <si>
    <t>n u t u k ɑ s</t>
  </si>
  <si>
    <t>näkijä</t>
  </si>
  <si>
    <t>n æ k i j æ</t>
  </si>
  <si>
    <t>nakiya</t>
  </si>
  <si>
    <t>perceiver</t>
  </si>
  <si>
    <t>percipient</t>
  </si>
  <si>
    <t>observer</t>
  </si>
  <si>
    <t>beholder</t>
  </si>
  <si>
    <t>anticipator</t>
  </si>
  <si>
    <t>anticipant</t>
  </si>
  <si>
    <t>prophet</t>
  </si>
  <si>
    <t>prophesier</t>
  </si>
  <si>
    <t>oracle</t>
  </si>
  <si>
    <t>seer</t>
  </si>
  <si>
    <t>vaticinator</t>
  </si>
  <si>
    <t>prophetess</t>
  </si>
  <si>
    <t>nämä</t>
  </si>
  <si>
    <t>n æ m æ</t>
  </si>
  <si>
    <t>nama</t>
  </si>
  <si>
    <t>nätä</t>
  </si>
  <si>
    <t>n æ t æ</t>
  </si>
  <si>
    <t>paha</t>
  </si>
  <si>
    <t>p ɑ h ɑ</t>
  </si>
  <si>
    <t>unappetizing</t>
  </si>
  <si>
    <t>unappetising</t>
  </si>
  <si>
    <t>maleficent</t>
  </si>
  <si>
    <t>malefic</t>
  </si>
  <si>
    <t>malevolent</t>
  </si>
  <si>
    <t>malign</t>
  </si>
  <si>
    <t>tough</t>
  </si>
  <si>
    <t>awkward</t>
  </si>
  <si>
    <t>ill_at_ease</t>
  </si>
  <si>
    <t>uneasy</t>
  </si>
  <si>
    <t>dangerous</t>
  </si>
  <si>
    <t>grievous</t>
  </si>
  <si>
    <t>serious</t>
  </si>
  <si>
    <t>severe</t>
  </si>
  <si>
    <t>life-threatening</t>
  </si>
  <si>
    <t>flagitious</t>
  </si>
  <si>
    <t>monstrous</t>
  </si>
  <si>
    <t>black</t>
  </si>
  <si>
    <t>sinister</t>
  </si>
  <si>
    <t>evil-minded</t>
  </si>
  <si>
    <t>heartbreaking</t>
  </si>
  <si>
    <t>heartrending</t>
  </si>
  <si>
    <t>big</t>
  </si>
  <si>
    <t>wicked</t>
  </si>
  <si>
    <t>sinful</t>
  </si>
  <si>
    <t>unholy</t>
  </si>
  <si>
    <t>vicious</t>
  </si>
  <si>
    <t>evilness</t>
  </si>
  <si>
    <t>badness</t>
  </si>
  <si>
    <t>pahin</t>
  </si>
  <si>
    <t>p ɑ h i n</t>
  </si>
  <si>
    <t>pahis</t>
  </si>
  <si>
    <t>p ɑ h i s</t>
  </si>
  <si>
    <t>bad_guy</t>
  </si>
  <si>
    <t>baddie</t>
  </si>
  <si>
    <t>paja</t>
  </si>
  <si>
    <t>p ɑ j ɑ</t>
  </si>
  <si>
    <t>paya</t>
  </si>
  <si>
    <t>forge</t>
  </si>
  <si>
    <t>smithy</t>
  </si>
  <si>
    <t>pajatus</t>
  </si>
  <si>
    <t>p ɑ j ɑ t u s</t>
  </si>
  <si>
    <t>payatus</t>
  </si>
  <si>
    <t>paju</t>
  </si>
  <si>
    <t>p ɑ j u</t>
  </si>
  <si>
    <t>willow</t>
  </si>
  <si>
    <t>willow_tree</t>
  </si>
  <si>
    <t>sallow</t>
  </si>
  <si>
    <t>peachleaf_willow</t>
  </si>
  <si>
    <t>peach-leaved_willow</t>
  </si>
  <si>
    <t>almond-leaves_willow</t>
  </si>
  <si>
    <t>Salix_amygdaloides</t>
  </si>
  <si>
    <t>hoary_willow</t>
  </si>
  <si>
    <t>sage_willow</t>
  </si>
  <si>
    <t>Salix_candida</t>
  </si>
  <si>
    <t>prairie_willow</t>
  </si>
  <si>
    <t>Salix_humilis</t>
  </si>
  <si>
    <t>arroyo_willow</t>
  </si>
  <si>
    <t>Salix_lasiolepis</t>
  </si>
  <si>
    <t>swamp_willow</t>
  </si>
  <si>
    <t>black_willow</t>
  </si>
  <si>
    <t>Salix_nigra</t>
  </si>
  <si>
    <t>Sitka_willow</t>
  </si>
  <si>
    <t>silky_willow</t>
  </si>
  <si>
    <t>Salix_sitchensis</t>
  </si>
  <si>
    <t>dwarf_grey_willow</t>
  </si>
  <si>
    <t>dwarf_gray_willow</t>
  </si>
  <si>
    <t>Salix_tristis</t>
  </si>
  <si>
    <t>p ɑ k ɑ n ɑ</t>
  </si>
  <si>
    <t>heathen</t>
  </si>
  <si>
    <t>pagan</t>
  </si>
  <si>
    <t>gentile</t>
  </si>
  <si>
    <t>infidel</t>
  </si>
  <si>
    <t>paynim</t>
  </si>
  <si>
    <t>hedonist</t>
  </si>
  <si>
    <t>pleasure_seeker</t>
  </si>
  <si>
    <t>pakina</t>
  </si>
  <si>
    <t>p ɑ k i n ɑ</t>
  </si>
  <si>
    <t>paku</t>
  </si>
  <si>
    <t>p ɑ k u</t>
  </si>
  <si>
    <t>p ɑ l ɑ</t>
  </si>
  <si>
    <t>bar</t>
  </si>
  <si>
    <t>cut_of_meat</t>
  </si>
  <si>
    <t>section</t>
  </si>
  <si>
    <t>hunk</t>
  </si>
  <si>
    <t>lump</t>
  </si>
  <si>
    <t>part</t>
  </si>
  <si>
    <t>palan</t>
  </si>
  <si>
    <t>p ɑ l ɑ n</t>
  </si>
  <si>
    <t>p ɑ n ɑ m ɑ</t>
  </si>
  <si>
    <t>panija</t>
  </si>
  <si>
    <t>p ɑ n i j ɑ</t>
  </si>
  <si>
    <t>paniya</t>
  </si>
  <si>
    <t>panini</t>
  </si>
  <si>
    <t>p ɑ n i n i</t>
  </si>
  <si>
    <t>Panini</t>
  </si>
  <si>
    <t>panu</t>
  </si>
  <si>
    <t>p ɑ n u</t>
  </si>
  <si>
    <t>papatus</t>
  </si>
  <si>
    <t>p ɑ p ɑ t u s</t>
  </si>
  <si>
    <t>jabber</t>
  </si>
  <si>
    <t>jabbering</t>
  </si>
  <si>
    <t>gabble</t>
  </si>
  <si>
    <t>chitchat</t>
  </si>
  <si>
    <t>chit-chat</t>
  </si>
  <si>
    <t>chit_chat</t>
  </si>
  <si>
    <t>small_talk</t>
  </si>
  <si>
    <t>gabfest</t>
  </si>
  <si>
    <t>tittle-tattle</t>
  </si>
  <si>
    <t>chin_wag</t>
  </si>
  <si>
    <t>chin-wag</t>
  </si>
  <si>
    <t>chin_wagging</t>
  </si>
  <si>
    <t>chin-wagging</t>
  </si>
  <si>
    <t>causerie</t>
  </si>
  <si>
    <t>p ɑ p u</t>
  </si>
  <si>
    <t>edible_bean</t>
  </si>
  <si>
    <t>common_bean</t>
  </si>
  <si>
    <t>snap_bean</t>
  </si>
  <si>
    <t>snap</t>
  </si>
  <si>
    <t>sieva_bean</t>
  </si>
  <si>
    <t>butter_bean</t>
  </si>
  <si>
    <t>butterbean</t>
  </si>
  <si>
    <t>civet_bean</t>
  </si>
  <si>
    <t>Australian_pea</t>
  </si>
  <si>
    <t>Dipogon_lignosus</t>
  </si>
  <si>
    <t>Dolichos_lignosus</t>
  </si>
  <si>
    <t>bean_plant</t>
  </si>
  <si>
    <t>butter-bean_plant</t>
  </si>
  <si>
    <t>lima_bean</t>
  </si>
  <si>
    <t>Phaseolus_lunatus</t>
  </si>
  <si>
    <t>tepary_bean</t>
  </si>
  <si>
    <t>Phaseolus_acutifolius_latifolius</t>
  </si>
  <si>
    <t>p ɑ s</t>
  </si>
  <si>
    <t>pata</t>
  </si>
  <si>
    <t>p ɑ t ɑ</t>
  </si>
  <si>
    <t>casserole</t>
  </si>
  <si>
    <t>kettle</t>
  </si>
  <si>
    <t>kettledrum</t>
  </si>
  <si>
    <t>tympanum</t>
  </si>
  <si>
    <t>tympani</t>
  </si>
  <si>
    <t>timpani</t>
  </si>
  <si>
    <t>marmite</t>
  </si>
  <si>
    <t>confit</t>
  </si>
  <si>
    <t>bigos</t>
  </si>
  <si>
    <t>patasuti</t>
  </si>
  <si>
    <t>p ɑ t ɑ s u t i</t>
  </si>
  <si>
    <t>p ɑ t i</t>
  </si>
  <si>
    <t>piha</t>
  </si>
  <si>
    <t>p i h ɑ</t>
  </si>
  <si>
    <t>pihi</t>
  </si>
  <si>
    <t>p i h i</t>
  </si>
  <si>
    <t>cheeseparing</t>
  </si>
  <si>
    <t>penny-pinching</t>
  </si>
  <si>
    <t>skinny</t>
  </si>
  <si>
    <t>closefisted</t>
  </si>
  <si>
    <t>hardfisted</t>
  </si>
  <si>
    <t>tightfisted</t>
  </si>
  <si>
    <t>pihinä</t>
  </si>
  <si>
    <t>p i h i n æ</t>
  </si>
  <si>
    <t>pihina</t>
  </si>
  <si>
    <t>p i k ɑ</t>
  </si>
  <si>
    <t>pikahaku</t>
  </si>
  <si>
    <t>p i k ɑ h ɑ k u</t>
  </si>
  <si>
    <t>pikana</t>
  </si>
  <si>
    <t>p i k ɑ n ɑ</t>
  </si>
  <si>
    <t>p i k i</t>
  </si>
  <si>
    <t>pitch</t>
  </si>
  <si>
    <t>p i l ɑ</t>
  </si>
  <si>
    <t>escapade</t>
  </si>
  <si>
    <t>lark</t>
  </si>
  <si>
    <t>jest</t>
  </si>
  <si>
    <t>joke</t>
  </si>
  <si>
    <t>jocularity</t>
  </si>
  <si>
    <t>drollery</t>
  </si>
  <si>
    <t>waggery</t>
  </si>
  <si>
    <t>leg-pull</t>
  </si>
  <si>
    <t>leg-pulling</t>
  </si>
  <si>
    <t>gag</t>
  </si>
  <si>
    <t>laugh</t>
  </si>
  <si>
    <t>jape</t>
  </si>
  <si>
    <t>fun</t>
  </si>
  <si>
    <t>sport</t>
  </si>
  <si>
    <t>pimu</t>
  </si>
  <si>
    <t>p i m u</t>
  </si>
  <si>
    <t>pisama</t>
  </si>
  <si>
    <t>p i s ɑ m ɑ</t>
  </si>
  <si>
    <t>freckle</t>
  </si>
  <si>
    <t>lentigo</t>
  </si>
  <si>
    <t>pisihätä</t>
  </si>
  <si>
    <t>p i s i h æ t æ</t>
  </si>
  <si>
    <t>pisihata</t>
  </si>
  <si>
    <t>pisin</t>
  </si>
  <si>
    <t>p i s i n</t>
  </si>
  <si>
    <t>pisu</t>
  </si>
  <si>
    <t>p i s u</t>
  </si>
  <si>
    <t>pitali</t>
  </si>
  <si>
    <t>p i t ɑ l i</t>
  </si>
  <si>
    <t>p i t i</t>
  </si>
  <si>
    <t>pukama</t>
  </si>
  <si>
    <t>p u k ɑ m ɑ</t>
  </si>
  <si>
    <t>puku</t>
  </si>
  <si>
    <t>p u k u</t>
  </si>
  <si>
    <t>Adenota_vardoni</t>
  </si>
  <si>
    <t>apparel</t>
  </si>
  <si>
    <t>wearing_apparel</t>
  </si>
  <si>
    <t>clothes</t>
  </si>
  <si>
    <t>business_suit</t>
  </si>
  <si>
    <t>costume</t>
  </si>
  <si>
    <t>suit</t>
  </si>
  <si>
    <t>suit_of_clothes</t>
  </si>
  <si>
    <t>pulu</t>
  </si>
  <si>
    <t>p u l u</t>
  </si>
  <si>
    <t>rock_dove</t>
  </si>
  <si>
    <t>rock_pigeon</t>
  </si>
  <si>
    <t>Columba_livia</t>
  </si>
  <si>
    <t>roller</t>
  </si>
  <si>
    <t>tumbler</t>
  </si>
  <si>
    <t>tumbler_pigeon</t>
  </si>
  <si>
    <t>pumi</t>
  </si>
  <si>
    <t>p u m i</t>
  </si>
  <si>
    <t>puna</t>
  </si>
  <si>
    <t>p u n ɑ</t>
  </si>
  <si>
    <t>ruddiness</t>
  </si>
  <si>
    <t>rosiness</t>
  </si>
  <si>
    <t>bloom</t>
  </si>
  <si>
    <t>blush</t>
  </si>
  <si>
    <t>punapapu</t>
  </si>
  <si>
    <t>p u n ɑ p ɑ p u</t>
  </si>
  <si>
    <t>punasipuli</t>
  </si>
  <si>
    <t>p u n ɑ s i p u l i</t>
  </si>
  <si>
    <t>purple_onion</t>
  </si>
  <si>
    <t>red_onion</t>
  </si>
  <si>
    <t>pupu</t>
  </si>
  <si>
    <t>p u p u</t>
  </si>
  <si>
    <t>bunny</t>
  </si>
  <si>
    <t>bunny_rabbit</t>
  </si>
  <si>
    <t>pusu</t>
  </si>
  <si>
    <t>p u s u</t>
  </si>
  <si>
    <t>smooch</t>
  </si>
  <si>
    <t>pusukala</t>
  </si>
  <si>
    <t>p u s u k ɑ l ɑ</t>
  </si>
  <si>
    <t>putina</t>
  </si>
  <si>
    <t>p u t i n ɑ</t>
  </si>
  <si>
    <t>putu</t>
  </si>
  <si>
    <t>p u t u</t>
  </si>
  <si>
    <t>päkä</t>
  </si>
  <si>
    <t>p æ k æ</t>
  </si>
  <si>
    <t>paka</t>
  </si>
  <si>
    <t>päläs</t>
  </si>
  <si>
    <t>p æ l æ s</t>
  </si>
  <si>
    <t>palas</t>
  </si>
  <si>
    <t>s ɑ</t>
  </si>
  <si>
    <t>SA</t>
  </si>
  <si>
    <t>Sturmabteilung</t>
  </si>
  <si>
    <t>Storm_Troops</t>
  </si>
  <si>
    <t>saha</t>
  </si>
  <si>
    <t>s ɑ h ɑ</t>
  </si>
  <si>
    <t>lumbermill</t>
  </si>
  <si>
    <t>sawmill</t>
  </si>
  <si>
    <t>saw</t>
  </si>
  <si>
    <t>sahalihas</t>
  </si>
  <si>
    <t>s ɑ h ɑ l i h ɑ s</t>
  </si>
  <si>
    <t>sahi</t>
  </si>
  <si>
    <t>s ɑ h i</t>
  </si>
  <si>
    <t>s ɑ k ɑ</t>
  </si>
  <si>
    <t>sakala</t>
  </si>
  <si>
    <t>s ɑ k ɑ l ɑ</t>
  </si>
  <si>
    <t>saku</t>
  </si>
  <si>
    <t>s ɑ k u</t>
  </si>
  <si>
    <t>German_shepherd</t>
  </si>
  <si>
    <t>German_shepherd_dog</t>
  </si>
  <si>
    <t>German_police_dog</t>
  </si>
  <si>
    <t>alsatian</t>
  </si>
  <si>
    <t>Kraut</t>
  </si>
  <si>
    <t>Krauthead</t>
  </si>
  <si>
    <t>Boche</t>
  </si>
  <si>
    <t>Jerry</t>
  </si>
  <si>
    <t>s ɑ l ɑ</t>
  </si>
  <si>
    <t>salaki</t>
  </si>
  <si>
    <t>s ɑ l ɑ k i</t>
  </si>
  <si>
    <t>salama</t>
  </si>
  <si>
    <t>s ɑ l ɑ m ɑ</t>
  </si>
  <si>
    <t>s ɑ l ɑ m i</t>
  </si>
  <si>
    <t>s ɑ l i</t>
  </si>
  <si>
    <t>drawing_room</t>
  </si>
  <si>
    <t>withdrawing_room</t>
  </si>
  <si>
    <t>hall</t>
  </si>
  <si>
    <t>manor_hall</t>
  </si>
  <si>
    <t>sama</t>
  </si>
  <si>
    <t>s ɑ m ɑ</t>
  </si>
  <si>
    <t>s ɑ m i</t>
  </si>
  <si>
    <t>samu</t>
  </si>
  <si>
    <t>s ɑ m u</t>
  </si>
  <si>
    <t>samuli</t>
  </si>
  <si>
    <t>s ɑ m u l i</t>
  </si>
  <si>
    <t>s ɑ n ɑ</t>
  </si>
  <si>
    <t>paroxytone</t>
  </si>
  <si>
    <t>Bible</t>
  </si>
  <si>
    <t>Christian_Bible</t>
  </si>
  <si>
    <t>Book</t>
  </si>
  <si>
    <t>Good_Book</t>
  </si>
  <si>
    <t>Holy_Scripture</t>
  </si>
  <si>
    <t>Holy_Writ</t>
  </si>
  <si>
    <t>Scripture</t>
  </si>
  <si>
    <t>Word_of_God</t>
  </si>
  <si>
    <t>Word</t>
  </si>
  <si>
    <t>password</t>
  </si>
  <si>
    <t>watchword</t>
  </si>
  <si>
    <t>parole</t>
  </si>
  <si>
    <t>countersign</t>
  </si>
  <si>
    <t>word_of_honor</t>
  </si>
  <si>
    <t>Son</t>
  </si>
  <si>
    <t>Logos</t>
  </si>
  <si>
    <t>sanahaku</t>
  </si>
  <si>
    <t>s ɑ n ɑ h ɑ k u</t>
  </si>
  <si>
    <t>sapa</t>
  </si>
  <si>
    <t>s ɑ p ɑ</t>
  </si>
  <si>
    <t>sapilas</t>
  </si>
  <si>
    <t>s ɑ p i l ɑ s</t>
  </si>
  <si>
    <t>sasu</t>
  </si>
  <si>
    <t>s ɑ s u</t>
  </si>
  <si>
    <t>sata</t>
  </si>
  <si>
    <t>s ɑ t ɑ</t>
  </si>
  <si>
    <t>hundred</t>
  </si>
  <si>
    <t>century</t>
  </si>
  <si>
    <t>one_C</t>
  </si>
  <si>
    <t>satama</t>
  </si>
  <si>
    <t>s ɑ t ɑ m ɑ</t>
  </si>
  <si>
    <t>satikuti</t>
  </si>
  <si>
    <t>s ɑ t i k u t i</t>
  </si>
  <si>
    <t>satu</t>
  </si>
  <si>
    <t>s ɑ t u</t>
  </si>
  <si>
    <t>fib</t>
  </si>
  <si>
    <t>tale</t>
  </si>
  <si>
    <t>tarradiddle</t>
  </si>
  <si>
    <t>taradiddle</t>
  </si>
  <si>
    <t>cock-and-bull_story</t>
  </si>
  <si>
    <t>song_and_dance</t>
  </si>
  <si>
    <t>satula</t>
  </si>
  <si>
    <t>s ɑ t u l ɑ</t>
  </si>
  <si>
    <t>bicycle_seat</t>
  </si>
  <si>
    <t>saddle</t>
  </si>
  <si>
    <t>saddleback</t>
  </si>
  <si>
    <t>shakata</t>
  </si>
  <si>
    <t>ʃ ɑ k ɑ t ɑ</t>
  </si>
  <si>
    <t>sija</t>
  </si>
  <si>
    <t>s i j ɑ</t>
  </si>
  <si>
    <t>siya</t>
  </si>
  <si>
    <t>stead</t>
  </si>
  <si>
    <t>position</t>
  </si>
  <si>
    <t>place</t>
  </si>
  <si>
    <t>lieu</t>
  </si>
  <si>
    <t>shoes</t>
  </si>
  <si>
    <t>slot</t>
  </si>
  <si>
    <t>sijaluku</t>
  </si>
  <si>
    <t>s i j ɑ l u k u</t>
  </si>
  <si>
    <t>siyaluku</t>
  </si>
  <si>
    <t>s i k ɑ</t>
  </si>
  <si>
    <t>cad</t>
  </si>
  <si>
    <t>bounder</t>
  </si>
  <si>
    <t>blackguard</t>
  </si>
  <si>
    <t>hound</t>
  </si>
  <si>
    <t>heel</t>
  </si>
  <si>
    <t>sikahumala</t>
  </si>
  <si>
    <t>s i k ɑ h u m ɑ l ɑ</t>
  </si>
  <si>
    <t>sikuna</t>
  </si>
  <si>
    <t>s i k u n ɑ</t>
  </si>
  <si>
    <t>sikäli</t>
  </si>
  <si>
    <t>s i k æ l i</t>
  </si>
  <si>
    <t>sikali</t>
  </si>
  <si>
    <t>silika</t>
  </si>
  <si>
    <t>s i l i k ɑ</t>
  </si>
  <si>
    <t>s i m ɑ</t>
  </si>
  <si>
    <t>mead</t>
  </si>
  <si>
    <t>metheglin</t>
  </si>
  <si>
    <t>sini</t>
  </si>
  <si>
    <t>s i n i</t>
  </si>
  <si>
    <t>sinun</t>
  </si>
  <si>
    <t>s i n u n</t>
  </si>
  <si>
    <t>sinuna</t>
  </si>
  <si>
    <t>s i n u n ɑ</t>
  </si>
  <si>
    <t>sinä</t>
  </si>
  <si>
    <t>s i n æ</t>
  </si>
  <si>
    <t>sina</t>
  </si>
  <si>
    <t>sipa</t>
  </si>
  <si>
    <t>s i p ɑ</t>
  </si>
  <si>
    <t>sipuli</t>
  </si>
  <si>
    <t>s i p u l i</t>
  </si>
  <si>
    <t>Bermuda_onion</t>
  </si>
  <si>
    <t>tree_onion</t>
  </si>
  <si>
    <t>Egyptian_onion</t>
  </si>
  <si>
    <t>top_onion</t>
  </si>
  <si>
    <t>Allium_cepa_viviparum</t>
  </si>
  <si>
    <t>s i s ɑ l</t>
  </si>
  <si>
    <t>sisin</t>
  </si>
  <si>
    <t>s i s i n</t>
  </si>
  <si>
    <t>inmost</t>
  </si>
  <si>
    <t>innermost</t>
  </si>
  <si>
    <t>penetralia</t>
  </si>
  <si>
    <t>sisu</t>
  </si>
  <si>
    <t>s i s u</t>
  </si>
  <si>
    <t>mettle</t>
  </si>
  <si>
    <t>spunk</t>
  </si>
  <si>
    <t>backbone</t>
  </si>
  <si>
    <t>grit</t>
  </si>
  <si>
    <t>guts</t>
  </si>
  <si>
    <t>moxie</t>
  </si>
  <si>
    <t>gumption</t>
  </si>
  <si>
    <t>legs</t>
  </si>
  <si>
    <t>sisukas</t>
  </si>
  <si>
    <t>s i s u k ɑ s</t>
  </si>
  <si>
    <t>gutsy</t>
  </si>
  <si>
    <t>plucky</t>
  </si>
  <si>
    <t>feisty</t>
  </si>
  <si>
    <t>sisus</t>
  </si>
  <si>
    <t>s i s u s</t>
  </si>
  <si>
    <t>sitä</t>
  </si>
  <si>
    <t>s i t æ</t>
  </si>
  <si>
    <t>suhu</t>
  </si>
  <si>
    <t>s u h u</t>
  </si>
  <si>
    <t>s u k ɑ</t>
  </si>
  <si>
    <t>currycomb</t>
  </si>
  <si>
    <t>sukijaki</t>
  </si>
  <si>
    <t>s u k i j ɑ k i</t>
  </si>
  <si>
    <t>sukiyaki</t>
  </si>
  <si>
    <t>suku</t>
  </si>
  <si>
    <t>s u k u</t>
  </si>
  <si>
    <t>blood</t>
  </si>
  <si>
    <t>gender</t>
  </si>
  <si>
    <t>grammatical_gender</t>
  </si>
  <si>
    <t>family_line</t>
  </si>
  <si>
    <t>folk</t>
  </si>
  <si>
    <t>kinfolk</t>
  </si>
  <si>
    <t>kinsfolk</t>
  </si>
  <si>
    <t>sept</t>
  </si>
  <si>
    <t>phratry</t>
  </si>
  <si>
    <t>extended_family</t>
  </si>
  <si>
    <t>sukunimilaki</t>
  </si>
  <si>
    <t>s u k u n i m i l ɑ k i</t>
  </si>
  <si>
    <t>s u l ɑ</t>
  </si>
  <si>
    <t>thawed</t>
  </si>
  <si>
    <t>molten</t>
  </si>
  <si>
    <t>liquefied</t>
  </si>
  <si>
    <t>liquified</t>
  </si>
  <si>
    <t>Sula</t>
  </si>
  <si>
    <t>genus_Sula</t>
  </si>
  <si>
    <t>sulatin</t>
  </si>
  <si>
    <t>s u l ɑ t i n</t>
  </si>
  <si>
    <t>sulatus</t>
  </si>
  <si>
    <t>s u l ɑ t u s</t>
  </si>
  <si>
    <t>sulis</t>
  </si>
  <si>
    <t>s u l i s</t>
  </si>
  <si>
    <t>sulutus</t>
  </si>
  <si>
    <t>s u l u t u s</t>
  </si>
  <si>
    <t>s u m ɑ</t>
  </si>
  <si>
    <t>backlog</t>
  </si>
  <si>
    <t>gridlock</t>
  </si>
  <si>
    <t>sumu</t>
  </si>
  <si>
    <t>s u m u</t>
  </si>
  <si>
    <t>fog</t>
  </si>
  <si>
    <t>mist</t>
  </si>
  <si>
    <t>fogginess</t>
  </si>
  <si>
    <t>murk</t>
  </si>
  <si>
    <t>murkiness</t>
  </si>
  <si>
    <t>nebula</t>
  </si>
  <si>
    <t>spray</t>
  </si>
  <si>
    <t>sumutin</t>
  </si>
  <si>
    <t>s u m u t i n</t>
  </si>
  <si>
    <t>atomizer</t>
  </si>
  <si>
    <t>atomiser</t>
  </si>
  <si>
    <t>sprayer</t>
  </si>
  <si>
    <t>nebulizer</t>
  </si>
  <si>
    <t>nebuliser</t>
  </si>
  <si>
    <t>inhaler</t>
  </si>
  <si>
    <t>inhalator</t>
  </si>
  <si>
    <t>sun</t>
  </si>
  <si>
    <t>s u n</t>
  </si>
  <si>
    <t>supatus</t>
  </si>
  <si>
    <t>s u p ɑ t u s</t>
  </si>
  <si>
    <t>raccoon</t>
  </si>
  <si>
    <t>racoon</t>
  </si>
  <si>
    <t>supikas</t>
  </si>
  <si>
    <t>s u p i k ɑ s</t>
  </si>
  <si>
    <t>s u p i n ɑ</t>
  </si>
  <si>
    <t>sus</t>
  </si>
  <si>
    <t>s u s</t>
  </si>
  <si>
    <t>susi</t>
  </si>
  <si>
    <t>s u s i</t>
  </si>
  <si>
    <t>Lupus</t>
  </si>
  <si>
    <t>s u t i</t>
  </si>
  <si>
    <t>brush</t>
  </si>
  <si>
    <t>suši</t>
  </si>
  <si>
    <t>sä</t>
  </si>
  <si>
    <t>s æ</t>
  </si>
  <si>
    <t>säkä</t>
  </si>
  <si>
    <t>s æ k æ</t>
  </si>
  <si>
    <t>withers</t>
  </si>
  <si>
    <t>boom</t>
  </si>
  <si>
    <t>bonanza</t>
  </si>
  <si>
    <t>gold_rush</t>
  </si>
  <si>
    <t>gravy</t>
  </si>
  <si>
    <t>godsend</t>
  </si>
  <si>
    <t>manna_from_heaven</t>
  </si>
  <si>
    <t>windfall</t>
  </si>
  <si>
    <t>bunce</t>
  </si>
  <si>
    <t>säpikäs</t>
  </si>
  <si>
    <t>s æ p i k æ s</t>
  </si>
  <si>
    <t>sapikas</t>
  </si>
  <si>
    <t>tahi</t>
  </si>
  <si>
    <t>t ɑ h i</t>
  </si>
  <si>
    <t>taju</t>
  </si>
  <si>
    <t>t ɑ j u</t>
  </si>
  <si>
    <t>tayu</t>
  </si>
  <si>
    <t>grip</t>
  </si>
  <si>
    <t>grasp</t>
  </si>
  <si>
    <t>sense</t>
  </si>
  <si>
    <t>t ɑ k ɑ</t>
  </si>
  <si>
    <t>takakumi</t>
  </si>
  <si>
    <t>t ɑ k ɑ k u m i</t>
  </si>
  <si>
    <t>takakäpälä</t>
  </si>
  <si>
    <t>t ɑ k ɑ k æ p æ l æ</t>
  </si>
  <si>
    <t>takakapala</t>
  </si>
  <si>
    <t>takamus</t>
  </si>
  <si>
    <t>t ɑ k ɑ m u s</t>
  </si>
  <si>
    <t>takana</t>
  </si>
  <si>
    <t>t ɑ k ɑ n ɑ</t>
  </si>
  <si>
    <t>after</t>
  </si>
  <si>
    <t>takapaju</t>
  </si>
  <si>
    <t>t ɑ k ɑ p ɑ j u</t>
  </si>
  <si>
    <t>takapayu</t>
  </si>
  <si>
    <t>talas</t>
  </si>
  <si>
    <t>t ɑ l ɑ s</t>
  </si>
  <si>
    <t>t ɑ l i</t>
  </si>
  <si>
    <t>sebum</t>
  </si>
  <si>
    <t>tallow</t>
  </si>
  <si>
    <t>talutin</t>
  </si>
  <si>
    <t>t ɑ l u t i n</t>
  </si>
  <si>
    <t>t ɑ p ɑ</t>
  </si>
  <si>
    <t>means</t>
  </si>
  <si>
    <t>agency</t>
  </si>
  <si>
    <t>practice</t>
  </si>
  <si>
    <t>pattern</t>
  </si>
  <si>
    <t>habitude</t>
  </si>
  <si>
    <t>fashion</t>
  </si>
  <si>
    <t>manner</t>
  </si>
  <si>
    <t>mode</t>
  </si>
  <si>
    <t>style</t>
  </si>
  <si>
    <t>tradition</t>
  </si>
  <si>
    <t>convention</t>
  </si>
  <si>
    <t>normal</t>
  </si>
  <si>
    <t>rule</t>
  </si>
  <si>
    <t>formula</t>
  </si>
  <si>
    <t>institution</t>
  </si>
  <si>
    <t>tapani</t>
  </si>
  <si>
    <t>t ɑ p ɑ n i</t>
  </si>
  <si>
    <t>t ɑ p ɑ s</t>
  </si>
  <si>
    <t>tapitus</t>
  </si>
  <si>
    <t>t ɑ p i t u s</t>
  </si>
  <si>
    <t>doweling</t>
  </si>
  <si>
    <t>tapuli</t>
  </si>
  <si>
    <t>t ɑ p u l i</t>
  </si>
  <si>
    <t>taputus</t>
  </si>
  <si>
    <t>t ɑ p u t u s</t>
  </si>
  <si>
    <t>t ɑ s ɑ</t>
  </si>
  <si>
    <t>tasaluku</t>
  </si>
  <si>
    <t>t ɑ s ɑ l u k u</t>
  </si>
  <si>
    <t>tasan</t>
  </si>
  <si>
    <t>t ɑ s ɑ n</t>
  </si>
  <si>
    <t>distributively</t>
  </si>
  <si>
    <t>evenly</t>
  </si>
  <si>
    <t>tatu</t>
  </si>
  <si>
    <t>t ɑ t u</t>
  </si>
  <si>
    <t>Tuesday</t>
  </si>
  <si>
    <t>Tues</t>
  </si>
  <si>
    <t>tikas</t>
  </si>
  <si>
    <t>t i k ɑ s</t>
  </si>
  <si>
    <t>tiku</t>
  </si>
  <si>
    <t>t i k u</t>
  </si>
  <si>
    <t>tila</t>
  </si>
  <si>
    <t>t i l ɑ</t>
  </si>
  <si>
    <t>state</t>
  </si>
  <si>
    <t>facility</t>
  </si>
  <si>
    <t>bay</t>
  </si>
  <si>
    <t>hacienda</t>
  </si>
  <si>
    <t>well</t>
  </si>
  <si>
    <t>space</t>
  </si>
  <si>
    <t>blank_space</t>
  </si>
  <si>
    <t>property</t>
  </si>
  <si>
    <t>estate</t>
  </si>
  <si>
    <t>land</t>
  </si>
  <si>
    <t>landed_estate</t>
  </si>
  <si>
    <t>acres</t>
  </si>
  <si>
    <t>demesne</t>
  </si>
  <si>
    <t>seigneury</t>
  </si>
  <si>
    <t>seigniory</t>
  </si>
  <si>
    <t>signory</t>
  </si>
  <si>
    <t>room</t>
  </si>
  <si>
    <t>elbow_room</t>
  </si>
  <si>
    <t>condition</t>
  </si>
  <si>
    <t>status</t>
  </si>
  <si>
    <t>stigmatism</t>
  </si>
  <si>
    <t>state_of_the_art</t>
  </si>
  <si>
    <t>subservience</t>
  </si>
  <si>
    <t>t i l i</t>
  </si>
  <si>
    <t>bill</t>
  </si>
  <si>
    <t>account</t>
  </si>
  <si>
    <t>invoice</t>
  </si>
  <si>
    <t>business_relationship</t>
  </si>
  <si>
    <t>tilus</t>
  </si>
  <si>
    <t>t i l u s</t>
  </si>
  <si>
    <t>timali</t>
  </si>
  <si>
    <t>t i m ɑ l i</t>
  </si>
  <si>
    <t>babbler</t>
  </si>
  <si>
    <t>cackler</t>
  </si>
  <si>
    <t>t i n ɑ</t>
  </si>
  <si>
    <t>pewter</t>
  </si>
  <si>
    <t>tinajäkälä</t>
  </si>
  <si>
    <t>t i n ɑ j æ k æ l æ</t>
  </si>
  <si>
    <t>tinayakala</t>
  </si>
  <si>
    <t>tinalasitus</t>
  </si>
  <si>
    <t>t i n ɑ l ɑ s i t u s</t>
  </si>
  <si>
    <t>tipu</t>
  </si>
  <si>
    <t>t i p u</t>
  </si>
  <si>
    <t>dickeybird</t>
  </si>
  <si>
    <t>dickey-bird</t>
  </si>
  <si>
    <t>dickybird</t>
  </si>
  <si>
    <t>dicky-bird</t>
  </si>
  <si>
    <t>chick</t>
  </si>
  <si>
    <t>wench</t>
  </si>
  <si>
    <t>skirt</t>
  </si>
  <si>
    <t>tipu_tree</t>
  </si>
  <si>
    <t>yellow_jacaranda</t>
  </si>
  <si>
    <t>pride_of_Bolivia</t>
  </si>
  <si>
    <t>t i p u l ɑ</t>
  </si>
  <si>
    <t>tiputin</t>
  </si>
  <si>
    <t>t i p u t i n</t>
  </si>
  <si>
    <t>tukala</t>
  </si>
  <si>
    <t>t u k ɑ l ɑ</t>
  </si>
  <si>
    <t>fraught</t>
  </si>
  <si>
    <t>tuki</t>
  </si>
  <si>
    <t>t u k i</t>
  </si>
  <si>
    <t>subvention</t>
  </si>
  <si>
    <t>boost</t>
  </si>
  <si>
    <t>support</t>
  </si>
  <si>
    <t>backing</t>
  </si>
  <si>
    <t>backup</t>
  </si>
  <si>
    <t>patronage</t>
  </si>
  <si>
    <t>backstay</t>
  </si>
  <si>
    <t>brace</t>
  </si>
  <si>
    <t>modillion</t>
  </si>
  <si>
    <t>prop</t>
  </si>
  <si>
    <t>rest</t>
  </si>
  <si>
    <t>sprag</t>
  </si>
  <si>
    <t>stay</t>
  </si>
  <si>
    <t>reinforcement</t>
  </si>
  <si>
    <t>reenforcement</t>
  </si>
  <si>
    <t>subsidy</t>
  </si>
  <si>
    <t>transfer_payment</t>
  </si>
  <si>
    <t>benefit</t>
  </si>
  <si>
    <t>keep</t>
  </si>
  <si>
    <t>livelihood</t>
  </si>
  <si>
    <t>living</t>
  </si>
  <si>
    <t>bread_and_butter</t>
  </si>
  <si>
    <t>sustenance</t>
  </si>
  <si>
    <t>financial_support</t>
  </si>
  <si>
    <t>funding</t>
  </si>
  <si>
    <t>financial_backing</t>
  </si>
  <si>
    <t>unobserved_fire</t>
  </si>
  <si>
    <t>cookfire</t>
  </si>
  <si>
    <t>blaze</t>
  </si>
  <si>
    <t>blazing</t>
  </si>
  <si>
    <t>flame</t>
  </si>
  <si>
    <t>flaming</t>
  </si>
  <si>
    <t>tulisija</t>
  </si>
  <si>
    <t>t u l i s i j ɑ</t>
  </si>
  <si>
    <t>tulisiya</t>
  </si>
  <si>
    <t>tulituki</t>
  </si>
  <si>
    <t>t u l i t u k i</t>
  </si>
  <si>
    <t>call_fire</t>
  </si>
  <si>
    <t>supporting_fire</t>
  </si>
  <si>
    <t>tulitus</t>
  </si>
  <si>
    <t>t u l i t u s</t>
  </si>
  <si>
    <t>gunfire</t>
  </si>
  <si>
    <t>gunshot</t>
  </si>
  <si>
    <t>fusillade</t>
  </si>
  <si>
    <t>salvo</t>
  </si>
  <si>
    <t>volley</t>
  </si>
  <si>
    <t>burst</t>
  </si>
  <si>
    <t>tuma</t>
  </si>
  <si>
    <t>t u m ɑ</t>
  </si>
  <si>
    <t>nucleus</t>
  </si>
  <si>
    <t>cell_nucleus</t>
  </si>
  <si>
    <t>karyon</t>
  </si>
  <si>
    <t>tumalima</t>
  </si>
  <si>
    <t>t u m ɑ l i m ɑ</t>
  </si>
  <si>
    <t>nucleoplasm</t>
  </si>
  <si>
    <t>karyoplasm</t>
  </si>
  <si>
    <t>t u n i k ɑ</t>
  </si>
  <si>
    <t>t u p ɑ</t>
  </si>
  <si>
    <t>squad_room</t>
  </si>
  <si>
    <t>tupajumi</t>
  </si>
  <si>
    <t>t u p ɑ j u m i</t>
  </si>
  <si>
    <t>tupayumi</t>
  </si>
  <si>
    <t>tupas</t>
  </si>
  <si>
    <t>t u p ɑ s</t>
  </si>
  <si>
    <t>tutina</t>
  </si>
  <si>
    <t>t u t i n ɑ</t>
  </si>
  <si>
    <t>frisson</t>
  </si>
  <si>
    <t>shiver</t>
  </si>
  <si>
    <t>quiver</t>
  </si>
  <si>
    <t>shudder</t>
  </si>
  <si>
    <t>tingle</t>
  </si>
  <si>
    <t>tä</t>
  </si>
  <si>
    <t>t æ</t>
  </si>
  <si>
    <t>ta</t>
  </si>
  <si>
    <t>täkänä</t>
  </si>
  <si>
    <t>t æ k æ n æ</t>
  </si>
  <si>
    <t>tämä</t>
  </si>
  <si>
    <t>t æ m æ</t>
  </si>
  <si>
    <t>täti</t>
  </si>
  <si>
    <t>aunt</t>
  </si>
  <si>
    <t>auntie</t>
  </si>
  <si>
    <t>aunty</t>
  </si>
  <si>
    <t>tätilä</t>
  </si>
  <si>
    <t>t æ t i l æ</t>
  </si>
  <si>
    <t>tatila</t>
  </si>
  <si>
    <t>ukuli</t>
  </si>
  <si>
    <t>u k u l i</t>
  </si>
  <si>
    <t>ulina</t>
  </si>
  <si>
    <t>u l i n ɑ</t>
  </si>
  <si>
    <t>howl</t>
  </si>
  <si>
    <t>howling</t>
  </si>
  <si>
    <t>ululation</t>
  </si>
  <si>
    <t>whimper</t>
  </si>
  <si>
    <t>whine</t>
  </si>
  <si>
    <t>umami</t>
  </si>
  <si>
    <t>u m ɑ m i</t>
  </si>
  <si>
    <t>dream</t>
  </si>
  <si>
    <t>dreaming</t>
  </si>
  <si>
    <t>reverie</t>
  </si>
  <si>
    <t>revery</t>
  </si>
  <si>
    <t>daydreaming</t>
  </si>
  <si>
    <t>oneirism</t>
  </si>
  <si>
    <t>air_castle</t>
  </si>
  <si>
    <t>castle_in_the_air</t>
  </si>
  <si>
    <t>castle_in_Spain</t>
  </si>
  <si>
    <t>sopor</t>
  </si>
  <si>
    <t>unitila</t>
  </si>
  <si>
    <t>u n i t i l ɑ</t>
  </si>
  <si>
    <t>quiescence</t>
  </si>
  <si>
    <t>quiescency</t>
  </si>
  <si>
    <t>dormancy</t>
  </si>
  <si>
    <t>sleeping</t>
  </si>
  <si>
    <t>utu</t>
  </si>
  <si>
    <t>u t u</t>
  </si>
  <si>
    <t>Utu</t>
  </si>
  <si>
    <t>Utug</t>
  </si>
  <si>
    <t>haze</t>
  </si>
  <si>
    <t>äkämä</t>
  </si>
  <si>
    <t>æ k æ m æ</t>
  </si>
  <si>
    <t>akama</t>
  </si>
  <si>
    <t>abscess</t>
  </si>
  <si>
    <t>äl</t>
  </si>
  <si>
    <t>älä</t>
  </si>
  <si>
    <t>æ l æ</t>
  </si>
  <si>
    <t>äm</t>
  </si>
  <si>
    <t>än</t>
  </si>
  <si>
    <t>äs</t>
  </si>
  <si>
    <t>fin_latn_narrow.tsv</t>
  </si>
  <si>
    <t>que</t>
  </si>
  <si>
    <t>fra_latn_broad.tsv</t>
  </si>
  <si>
    <t>achat</t>
  </si>
  <si>
    <t>a ʃ a</t>
  </si>
  <si>
    <t>asha</t>
  </si>
  <si>
    <t>purchase</t>
  </si>
  <si>
    <t>buying</t>
  </si>
  <si>
    <t>purchasing</t>
  </si>
  <si>
    <t>succession</t>
  </si>
  <si>
    <t>taking_over</t>
  </si>
  <si>
    <t>leverage</t>
  </si>
  <si>
    <t>acquisition</t>
  </si>
  <si>
    <t>bargain</t>
  </si>
  <si>
    <t>buy</t>
  </si>
  <si>
    <t>steal</t>
  </si>
  <si>
    <t>a ʃ</t>
  </si>
  <si>
    <t>Apium</t>
  </si>
  <si>
    <t>genus_Apium</t>
  </si>
  <si>
    <t>achille</t>
  </si>
  <si>
    <t>a ʃ i l</t>
  </si>
  <si>
    <t>ashil</t>
  </si>
  <si>
    <t>Achilles</t>
  </si>
  <si>
    <t>acquired</t>
  </si>
  <si>
    <t>adventitious</t>
  </si>
  <si>
    <t>acquit</t>
  </si>
  <si>
    <t>acquitta</t>
  </si>
  <si>
    <t>acquittas</t>
  </si>
  <si>
    <t>a k i t ɑ</t>
  </si>
  <si>
    <t>acquittasse</t>
  </si>
  <si>
    <t>a k i t a s</t>
  </si>
  <si>
    <t>akitas</t>
  </si>
  <si>
    <t>acquittassent</t>
  </si>
  <si>
    <t>acquittasses</t>
  </si>
  <si>
    <t>acquittâmes</t>
  </si>
  <si>
    <t>a k i t ɑ m</t>
  </si>
  <si>
    <t>akitam</t>
  </si>
  <si>
    <t>acquittât</t>
  </si>
  <si>
    <t>aille</t>
  </si>
  <si>
    <t>aillent</t>
  </si>
  <si>
    <t>ailles</t>
  </si>
  <si>
    <t>ails</t>
  </si>
  <si>
    <t>a l i s</t>
  </si>
  <si>
    <t>aline</t>
  </si>
  <si>
    <t>a l i n</t>
  </si>
  <si>
    <t>alita</t>
  </si>
  <si>
    <t>a l i t a</t>
  </si>
  <si>
    <t>allas</t>
  </si>
  <si>
    <t>a l ɑ</t>
  </si>
  <si>
    <t>allasse</t>
  </si>
  <si>
    <t>allassent</t>
  </si>
  <si>
    <t>allasses</t>
  </si>
  <si>
    <t>alle</t>
  </si>
  <si>
    <t>allâmes</t>
  </si>
  <si>
    <t>a l ɑ m</t>
  </si>
  <si>
    <t>alam</t>
  </si>
  <si>
    <t>allât</t>
  </si>
  <si>
    <t>amas</t>
  </si>
  <si>
    <t>a m ɑ</t>
  </si>
  <si>
    <t>amassa</t>
  </si>
  <si>
    <t>a m a s a</t>
  </si>
  <si>
    <t>amasa</t>
  </si>
  <si>
    <t>amassas</t>
  </si>
  <si>
    <t>a m a s ɑ</t>
  </si>
  <si>
    <t>amassasse</t>
  </si>
  <si>
    <t>a m a s a s</t>
  </si>
  <si>
    <t>amasas</t>
  </si>
  <si>
    <t>amassassent</t>
  </si>
  <si>
    <t>amassasses</t>
  </si>
  <si>
    <t>amasse</t>
  </si>
  <si>
    <t>a m a s</t>
  </si>
  <si>
    <t>amassent</t>
  </si>
  <si>
    <t>amasses</t>
  </si>
  <si>
    <t>amassâmes</t>
  </si>
  <si>
    <t>a m a s ɑ m</t>
  </si>
  <si>
    <t>amasam</t>
  </si>
  <si>
    <t>amassât</t>
  </si>
  <si>
    <t>a m a t i</t>
  </si>
  <si>
    <t>ami</t>
  </si>
  <si>
    <t>a m i</t>
  </si>
  <si>
    <t>Friend</t>
  </si>
  <si>
    <t>Quaker</t>
  </si>
  <si>
    <t>acquaintance</t>
  </si>
  <si>
    <t>amical</t>
  </si>
  <si>
    <t>a m i k a l</t>
  </si>
  <si>
    <t>amikal</t>
  </si>
  <si>
    <t>affable</t>
  </si>
  <si>
    <t>amiable</t>
  </si>
  <si>
    <t>cordial</t>
  </si>
  <si>
    <t>genial</t>
  </si>
  <si>
    <t>amicable</t>
  </si>
  <si>
    <t>amicale</t>
  </si>
  <si>
    <t>amict</t>
  </si>
  <si>
    <t>amie</t>
  </si>
  <si>
    <t>amies</t>
  </si>
  <si>
    <t>anale</t>
  </si>
  <si>
    <t>anales</t>
  </si>
  <si>
    <t>anille</t>
  </si>
  <si>
    <t>a n i j</t>
  </si>
  <si>
    <t>aniy</t>
  </si>
  <si>
    <t>Animalia</t>
  </si>
  <si>
    <t>kingdom_Animalia</t>
  </si>
  <si>
    <t>animal_kingdom</t>
  </si>
  <si>
    <t>animale</t>
  </si>
  <si>
    <t>animales</t>
  </si>
  <si>
    <t>animasse</t>
  </si>
  <si>
    <t>a n i m a s</t>
  </si>
  <si>
    <t>animas</t>
  </si>
  <si>
    <t>animasses</t>
  </si>
  <si>
    <t>anime</t>
  </si>
  <si>
    <t>a n i t a</t>
  </si>
  <si>
    <t>anna</t>
  </si>
  <si>
    <t>annal</t>
  </si>
  <si>
    <t>annale</t>
  </si>
  <si>
    <t>annales</t>
  </si>
  <si>
    <t>annam</t>
  </si>
  <si>
    <t>a n a m</t>
  </si>
  <si>
    <t>anam</t>
  </si>
  <si>
    <t>annick</t>
  </si>
  <si>
    <t>a n i k</t>
  </si>
  <si>
    <t>anik</t>
  </si>
  <si>
    <t>apache</t>
  </si>
  <si>
    <t>a p a ʃ</t>
  </si>
  <si>
    <t>apash</t>
  </si>
  <si>
    <t>Apache</t>
  </si>
  <si>
    <t>apathie</t>
  </si>
  <si>
    <t>apathy</t>
  </si>
  <si>
    <t>indifference</t>
  </si>
  <si>
    <t>numbness</t>
  </si>
  <si>
    <t>spiritlessness</t>
  </si>
  <si>
    <t>apathique</t>
  </si>
  <si>
    <t>apathetic</t>
  </si>
  <si>
    <t>indifferent</t>
  </si>
  <si>
    <t>appalaches</t>
  </si>
  <si>
    <t>a p a l a ʃ</t>
  </si>
  <si>
    <t>apalash</t>
  </si>
  <si>
    <t>Appalachians</t>
  </si>
  <si>
    <t>Appalachian_Mountains</t>
  </si>
  <si>
    <t>appas</t>
  </si>
  <si>
    <t>a p ɑ</t>
  </si>
  <si>
    <t>appât</t>
  </si>
  <si>
    <t>enticement</t>
  </si>
  <si>
    <t>appâta</t>
  </si>
  <si>
    <t>a p a t a</t>
  </si>
  <si>
    <t>apata</t>
  </si>
  <si>
    <t>appâtas</t>
  </si>
  <si>
    <t>appâtasse</t>
  </si>
  <si>
    <t>a p a t a s</t>
  </si>
  <si>
    <t>apatas</t>
  </si>
  <si>
    <t>appâtassent</t>
  </si>
  <si>
    <t>appâtasses</t>
  </si>
  <si>
    <t>appâts</t>
  </si>
  <si>
    <t>appâtâmes</t>
  </si>
  <si>
    <t>a p a t a m</t>
  </si>
  <si>
    <t>apatam</t>
  </si>
  <si>
    <t>appâtât</t>
  </si>
  <si>
    <t>aquiline</t>
  </si>
  <si>
    <t>a k i l i n</t>
  </si>
  <si>
    <t>akilin</t>
  </si>
  <si>
    <t>breeze_through</t>
  </si>
  <si>
    <t>pass_with_flying_colors</t>
  </si>
  <si>
    <t>sweep_through</t>
  </si>
  <si>
    <t>sail_through</t>
  </si>
  <si>
    <t>angiotensin_converting_enzyme</t>
  </si>
  <si>
    <t>angiotensin-converting_enzyme</t>
  </si>
  <si>
    <t>ACE</t>
  </si>
  <si>
    <t>assassinat</t>
  </si>
  <si>
    <t>homicide</t>
  </si>
  <si>
    <t>slaying</t>
  </si>
  <si>
    <t>execution</t>
  </si>
  <si>
    <t>assassination</t>
  </si>
  <si>
    <t>mangle</t>
  </si>
  <si>
    <t>mutilate</t>
  </si>
  <si>
    <t>character_assassination</t>
  </si>
  <si>
    <t>blackwash</t>
  </si>
  <si>
    <t>assassine</t>
  </si>
  <si>
    <t>a s a s i n</t>
  </si>
  <si>
    <t>asasin</t>
  </si>
  <si>
    <t>assignat</t>
  </si>
  <si>
    <t>a s i ɲ a</t>
  </si>
  <si>
    <t>asiña</t>
  </si>
  <si>
    <t>assis</t>
  </si>
  <si>
    <t>seated</t>
  </si>
  <si>
    <t>sitting</t>
  </si>
  <si>
    <t>atout</t>
  </si>
  <si>
    <t>a t u</t>
  </si>
  <si>
    <t>atu</t>
  </si>
  <si>
    <t>trump</t>
  </si>
  <si>
    <t>trump_card</t>
  </si>
  <si>
    <t>asset</t>
  </si>
  <si>
    <t>advantage</t>
  </si>
  <si>
    <t>attalie</t>
  </si>
  <si>
    <t>a t a l i</t>
  </si>
  <si>
    <t>atali</t>
  </si>
  <si>
    <t>attaque</t>
  </si>
  <si>
    <t>plan_of_attack</t>
  </si>
  <si>
    <t>Assault</t>
  </si>
  <si>
    <t>oncoming</t>
  </si>
  <si>
    <t>seizure</t>
  </si>
  <si>
    <t>ictus</t>
  </si>
  <si>
    <t>raptus</t>
  </si>
  <si>
    <t>attaques</t>
  </si>
  <si>
    <t>attique</t>
  </si>
  <si>
    <t>penthouse</t>
  </si>
  <si>
    <t>Attica</t>
  </si>
  <si>
    <t>aya</t>
  </si>
  <si>
    <t>a j a</t>
  </si>
  <si>
    <t>ayah</t>
  </si>
  <si>
    <t>ayoù</t>
  </si>
  <si>
    <t>a j u</t>
  </si>
  <si>
    <t>ayumi</t>
  </si>
  <si>
    <t>a j u m i</t>
  </si>
  <si>
    <t>açaï</t>
  </si>
  <si>
    <t>a s a j</t>
  </si>
  <si>
    <t>asay</t>
  </si>
  <si>
    <t>aïe</t>
  </si>
  <si>
    <t>cac</t>
  </si>
  <si>
    <t>caca</t>
  </si>
  <si>
    <t>k a k a</t>
  </si>
  <si>
    <t>enshroud</t>
  </si>
  <si>
    <t>bomb_shelter</t>
  </si>
  <si>
    <t>air-raid_shelter</t>
  </si>
  <si>
    <t>bombproof</t>
  </si>
  <si>
    <t>hideaway</t>
  </si>
  <si>
    <t>retreat</t>
  </si>
  <si>
    <t>screen</t>
  </si>
  <si>
    <t>hideout</t>
  </si>
  <si>
    <t>den</t>
  </si>
  <si>
    <t>hiding_place</t>
  </si>
  <si>
    <t>cacique</t>
  </si>
  <si>
    <t>k a s i k</t>
  </si>
  <si>
    <t>kasik</t>
  </si>
  <si>
    <t>cagna</t>
  </si>
  <si>
    <t>caille</t>
  </si>
  <si>
    <t>k ɑ j</t>
  </si>
  <si>
    <t>kay</t>
  </si>
  <si>
    <t>quail</t>
  </si>
  <si>
    <t>caillou</t>
  </si>
  <si>
    <t>k a j u</t>
  </si>
  <si>
    <t>kayu</t>
  </si>
  <si>
    <t>pebble</t>
  </si>
  <si>
    <t>Rock</t>
  </si>
  <si>
    <t>John_Rock</t>
  </si>
  <si>
    <t>cailloux</t>
  </si>
  <si>
    <t>callosity</t>
  </si>
  <si>
    <t>calame</t>
  </si>
  <si>
    <t>calas</t>
  </si>
  <si>
    <t>calasse</t>
  </si>
  <si>
    <t>k a l a s</t>
  </si>
  <si>
    <t>kalas</t>
  </si>
  <si>
    <t>calasses</t>
  </si>
  <si>
    <t>cale</t>
  </si>
  <si>
    <t>cargo_area</t>
  </si>
  <si>
    <t>cargo_deck</t>
  </si>
  <si>
    <t>cargo_hold</t>
  </si>
  <si>
    <t>storage_area</t>
  </si>
  <si>
    <t>chock</t>
  </si>
  <si>
    <t>wedge</t>
  </si>
  <si>
    <t>cales</t>
  </si>
  <si>
    <t>calice</t>
  </si>
  <si>
    <t>k a l i s</t>
  </si>
  <si>
    <t>kalis</t>
  </si>
  <si>
    <t>chalice</t>
  </si>
  <si>
    <t>goblet</t>
  </si>
  <si>
    <t>calyx</t>
  </si>
  <si>
    <t>callimaque</t>
  </si>
  <si>
    <t>k a l i m a k</t>
  </si>
  <si>
    <t>kalimak</t>
  </si>
  <si>
    <t>webcam</t>
  </si>
  <si>
    <t>camail</t>
  </si>
  <si>
    <t>k a m a j</t>
  </si>
  <si>
    <t>kamay</t>
  </si>
  <si>
    <t>aventail</t>
  </si>
  <si>
    <t>ventail</t>
  </si>
  <si>
    <t>came</t>
  </si>
  <si>
    <t>cames</t>
  </si>
  <si>
    <t>camille</t>
  </si>
  <si>
    <t>k a m i j</t>
  </si>
  <si>
    <t>kamiy</t>
  </si>
  <si>
    <t>canaille</t>
  </si>
  <si>
    <t>k a n a j</t>
  </si>
  <si>
    <t>kanay</t>
  </si>
  <si>
    <t>rogue</t>
  </si>
  <si>
    <t>knave</t>
  </si>
  <si>
    <t>rascal</t>
  </si>
  <si>
    <t>rapscallion</t>
  </si>
  <si>
    <t>scalawag</t>
  </si>
  <si>
    <t>scallywag</t>
  </si>
  <si>
    <t>varlet</t>
  </si>
  <si>
    <t>k a n ɑ j</t>
  </si>
  <si>
    <t>canalize</t>
  </si>
  <si>
    <t>canalise</t>
  </si>
  <si>
    <t>canaque</t>
  </si>
  <si>
    <t>k a n a k</t>
  </si>
  <si>
    <t>kanak</t>
  </si>
  <si>
    <t>cane</t>
  </si>
  <si>
    <t>duck</t>
  </si>
  <si>
    <t>duck's_egg</t>
  </si>
  <si>
    <t>caniche</t>
  </si>
  <si>
    <t>k a n i ʃ</t>
  </si>
  <si>
    <t>kanish</t>
  </si>
  <si>
    <t>poodle</t>
  </si>
  <si>
    <t>poodle_dog</t>
  </si>
  <si>
    <t>k a n i n</t>
  </si>
  <si>
    <t>kanin</t>
  </si>
  <si>
    <t>canid</t>
  </si>
  <si>
    <t>laniary</t>
  </si>
  <si>
    <t>canne</t>
  </si>
  <si>
    <t>walking_stick</t>
  </si>
  <si>
    <t>walkingstick</t>
  </si>
  <si>
    <t>stick_insect</t>
  </si>
  <si>
    <t>baton</t>
  </si>
  <si>
    <t>wand</t>
  </si>
  <si>
    <t>promontory</t>
  </si>
  <si>
    <t>headland</t>
  </si>
  <si>
    <t>foreland</t>
  </si>
  <si>
    <t>capita</t>
  </si>
  <si>
    <t>capitalization</t>
  </si>
  <si>
    <t>capitalisation</t>
  </si>
  <si>
    <t>main</t>
  </si>
  <si>
    <t>primary</t>
  </si>
  <si>
    <t>Das_Kapital</t>
  </si>
  <si>
    <t>Capital</t>
  </si>
  <si>
    <t>working_capital</t>
  </si>
  <si>
    <t>capitale</t>
  </si>
  <si>
    <t>capital_letter</t>
  </si>
  <si>
    <t>uppercase</t>
  </si>
  <si>
    <t>upper-case_letter</t>
  </si>
  <si>
    <t>capitales</t>
  </si>
  <si>
    <t>capitanat</t>
  </si>
  <si>
    <t>capitoul</t>
  </si>
  <si>
    <t>k a p i t u l</t>
  </si>
  <si>
    <t>kapitul</t>
  </si>
  <si>
    <t>capitoulat</t>
  </si>
  <si>
    <t>k a p i t u l a</t>
  </si>
  <si>
    <t>kapitula</t>
  </si>
  <si>
    <t>capoue</t>
  </si>
  <si>
    <t>k a p u</t>
  </si>
  <si>
    <t>caq</t>
  </si>
  <si>
    <t>caque</t>
  </si>
  <si>
    <t>lawsuit</t>
  </si>
  <si>
    <t>cause</t>
  </si>
  <si>
    <t>causa</t>
  </si>
  <si>
    <t>display_case</t>
  </si>
  <si>
    <t>showcase</t>
  </si>
  <si>
    <t>vitrine</t>
  </si>
  <si>
    <t>pillowcase</t>
  </si>
  <si>
    <t>pillow_slip</t>
  </si>
  <si>
    <t>casing</t>
  </si>
  <si>
    <t>shell</t>
  </si>
  <si>
    <t>instance</t>
  </si>
  <si>
    <t>example</t>
  </si>
  <si>
    <t>circumstance</t>
  </si>
  <si>
    <t>guinea_pig</t>
  </si>
  <si>
    <t>caseful</t>
  </si>
  <si>
    <t>occurrence</t>
  </si>
  <si>
    <t>cassa</t>
  </si>
  <si>
    <t>casse</t>
  </si>
  <si>
    <t>letter_case</t>
  </si>
  <si>
    <t>cassent</t>
  </si>
  <si>
    <t>casses</t>
  </si>
  <si>
    <t>k a s i</t>
  </si>
  <si>
    <t>cassis</t>
  </si>
  <si>
    <t>black_currant</t>
  </si>
  <si>
    <t>k a s i s</t>
  </si>
  <si>
    <t>cata</t>
  </si>
  <si>
    <t>catalane</t>
  </si>
  <si>
    <t>k a t a l a n</t>
  </si>
  <si>
    <t>katalan</t>
  </si>
  <si>
    <t>catalanes</t>
  </si>
  <si>
    <t>catane</t>
  </si>
  <si>
    <t>k a t a n</t>
  </si>
  <si>
    <t>katan</t>
  </si>
  <si>
    <t>catas</t>
  </si>
  <si>
    <t>caye</t>
  </si>
  <si>
    <t>k a j</t>
  </si>
  <si>
    <t>chacal</t>
  </si>
  <si>
    <t>ʃ a k a l</t>
  </si>
  <si>
    <t>shakal</t>
  </si>
  <si>
    <t>jackal</t>
  </si>
  <si>
    <t>Canis_aureus</t>
  </si>
  <si>
    <t>Sanchez</t>
  </si>
  <si>
    <t>Ilich_Sanchez</t>
  </si>
  <si>
    <t>Ilich_Ramirez_Sanchez</t>
  </si>
  <si>
    <t>Carlos</t>
  </si>
  <si>
    <t>Carlos_the_Jackal</t>
  </si>
  <si>
    <t>Salim</t>
  </si>
  <si>
    <t>Andres_Martinez</t>
  </si>
  <si>
    <t>Taurus</t>
  </si>
  <si>
    <t>Glen_Gebhard</t>
  </si>
  <si>
    <t>Hector_Hevodidbon</t>
  </si>
  <si>
    <t>Michael_Assat</t>
  </si>
  <si>
    <t>chacals</t>
  </si>
  <si>
    <t>chacha</t>
  </si>
  <si>
    <t>ʃ a ʃ a</t>
  </si>
  <si>
    <t>shasha</t>
  </si>
  <si>
    <t>chaloupe</t>
  </si>
  <si>
    <t>ʃ a l u p</t>
  </si>
  <si>
    <t>shalup</t>
  </si>
  <si>
    <t>longboat</t>
  </si>
  <si>
    <t>chamaillis</t>
  </si>
  <si>
    <t>ʃ a m ɑ j i</t>
  </si>
  <si>
    <t>shamayi</t>
  </si>
  <si>
    <t>chaman</t>
  </si>
  <si>
    <t>ʃ a m a n</t>
  </si>
  <si>
    <t>shaman</t>
  </si>
  <si>
    <t>priest-doctor</t>
  </si>
  <si>
    <t>chamane</t>
  </si>
  <si>
    <t>chape</t>
  </si>
  <si>
    <t>ʃ a p</t>
  </si>
  <si>
    <t>coping</t>
  </si>
  <si>
    <t>cope</t>
  </si>
  <si>
    <t>chaque</t>
  </si>
  <si>
    <t>ʃ a k</t>
  </si>
  <si>
    <t>each</t>
  </si>
  <si>
    <t>to_each_one</t>
  </si>
  <si>
    <t>for_each_one</t>
  </si>
  <si>
    <t>from_each_one</t>
  </si>
  <si>
    <t>apiece</t>
  </si>
  <si>
    <t>every</t>
  </si>
  <si>
    <t>chas</t>
  </si>
  <si>
    <t>ʃ ɑ</t>
  </si>
  <si>
    <t>ʃ a s</t>
  </si>
  <si>
    <t>manhunt</t>
  </si>
  <si>
    <t>hunt_club</t>
  </si>
  <si>
    <t>hunter-gatherer</t>
  </si>
  <si>
    <t>chasses</t>
  </si>
  <si>
    <t>ʃ a s i</t>
  </si>
  <si>
    <t>chat</t>
  </si>
  <si>
    <t>computerized_tomography</t>
  </si>
  <si>
    <t>computed_tomography</t>
  </si>
  <si>
    <t>CT</t>
  </si>
  <si>
    <t>computerized_axial_tomography</t>
  </si>
  <si>
    <t>computed_axial_tomography</t>
  </si>
  <si>
    <t>CAT</t>
  </si>
  <si>
    <t>Felis</t>
  </si>
  <si>
    <t>genus_Felis</t>
  </si>
  <si>
    <t>Caterpillar</t>
  </si>
  <si>
    <t>cat-o'-nine-tails</t>
  </si>
  <si>
    <t>kat</t>
  </si>
  <si>
    <t>khat</t>
  </si>
  <si>
    <t>qat</t>
  </si>
  <si>
    <t>quat</t>
  </si>
  <si>
    <t>Arabian_tea</t>
  </si>
  <si>
    <t>African_tea</t>
  </si>
  <si>
    <t>chats</t>
  </si>
  <si>
    <t>chicana</t>
  </si>
  <si>
    <t>ʃ i k a n a</t>
  </si>
  <si>
    <t>shikana</t>
  </si>
  <si>
    <t>chicanas</t>
  </si>
  <si>
    <t>ʃ i k a n ɑ</t>
  </si>
  <si>
    <t>chicanasse</t>
  </si>
  <si>
    <t>ʃ i k a n a s</t>
  </si>
  <si>
    <t>shikanas</t>
  </si>
  <si>
    <t>chicanassent</t>
  </si>
  <si>
    <t>chicanasses</t>
  </si>
  <si>
    <t>chicane</t>
  </si>
  <si>
    <t>ʃ i k a n</t>
  </si>
  <si>
    <t>shikan</t>
  </si>
  <si>
    <t>chicanent</t>
  </si>
  <si>
    <t>chicanes</t>
  </si>
  <si>
    <t>chicanâmes</t>
  </si>
  <si>
    <t>ʃ i k a n ɑ m</t>
  </si>
  <si>
    <t>shikanam</t>
  </si>
  <si>
    <t>chicanât</t>
  </si>
  <si>
    <t>chicaya</t>
  </si>
  <si>
    <t>ʃ i k a j a</t>
  </si>
  <si>
    <t>shikaya</t>
  </si>
  <si>
    <t>chiche</t>
  </si>
  <si>
    <t>ʃ i ʃ</t>
  </si>
  <si>
    <t>chimie</t>
  </si>
  <si>
    <t>ʃ i m i</t>
  </si>
  <si>
    <t>chemical_substance</t>
  </si>
  <si>
    <t>chimique</t>
  </si>
  <si>
    <t>ʃ i m i k</t>
  </si>
  <si>
    <t>shimik</t>
  </si>
  <si>
    <t>chine</t>
  </si>
  <si>
    <t>ʃ i n</t>
  </si>
  <si>
    <t>china</t>
  </si>
  <si>
    <t>China</t>
  </si>
  <si>
    <t>People's_Republic_of_China</t>
  </si>
  <si>
    <t>mainland_China</t>
  </si>
  <si>
    <t>Communist_China</t>
  </si>
  <si>
    <t>Red_China</t>
  </si>
  <si>
    <t>PRC</t>
  </si>
  <si>
    <t>Cathay</t>
  </si>
  <si>
    <t>Taiwan</t>
  </si>
  <si>
    <t>Nationalist_China</t>
  </si>
  <si>
    <t>Republic_of_China</t>
  </si>
  <si>
    <t>chipa</t>
  </si>
  <si>
    <t>ʃ i p a</t>
  </si>
  <si>
    <t>shipa</t>
  </si>
  <si>
    <t>chipas</t>
  </si>
  <si>
    <t>ʃ i p ɑ</t>
  </si>
  <si>
    <t>chipasse</t>
  </si>
  <si>
    <t>ʃ i p a s</t>
  </si>
  <si>
    <t>shipas</t>
  </si>
  <si>
    <t>chipassent</t>
  </si>
  <si>
    <t>chipasses</t>
  </si>
  <si>
    <t>chipe</t>
  </si>
  <si>
    <t>chipent</t>
  </si>
  <si>
    <t>chipes</t>
  </si>
  <si>
    <t>chipie</t>
  </si>
  <si>
    <t>ʃ i p i</t>
  </si>
  <si>
    <t>shipi</t>
  </si>
  <si>
    <t>vixen</t>
  </si>
  <si>
    <t>harpy</t>
  </si>
  <si>
    <t>hellcat</t>
  </si>
  <si>
    <t>chipies</t>
  </si>
  <si>
    <t>chipâmes</t>
  </si>
  <si>
    <t>ʃ i p ɑ m</t>
  </si>
  <si>
    <t>shipam</t>
  </si>
  <si>
    <t>chipât</t>
  </si>
  <si>
    <t>chique</t>
  </si>
  <si>
    <t>chitine</t>
  </si>
  <si>
    <t>k i t i n</t>
  </si>
  <si>
    <t>kitin</t>
  </si>
  <si>
    <t>chou</t>
  </si>
  <si>
    <t>ʃ u</t>
  </si>
  <si>
    <t>shu</t>
  </si>
  <si>
    <t>dumpling</t>
  </si>
  <si>
    <t>Zhou</t>
  </si>
  <si>
    <t>Zhou_dynasty</t>
  </si>
  <si>
    <t>Chou</t>
  </si>
  <si>
    <t>Chou_dynasty</t>
  </si>
  <si>
    <t>Chow</t>
  </si>
  <si>
    <t>Chow_dynasty</t>
  </si>
  <si>
    <t>wild_cabbage</t>
  </si>
  <si>
    <t>Brassica_oleracea</t>
  </si>
  <si>
    <t>cultivated_cabbage</t>
  </si>
  <si>
    <t>kale</t>
  </si>
  <si>
    <t>kail</t>
  </si>
  <si>
    <t>cole</t>
  </si>
  <si>
    <t>borecole</t>
  </si>
  <si>
    <t>colewort</t>
  </si>
  <si>
    <t>Brassica_oleracea_acephala</t>
  </si>
  <si>
    <t>choucas</t>
  </si>
  <si>
    <t>ʃ u k ɑ</t>
  </si>
  <si>
    <t>shuka</t>
  </si>
  <si>
    <t>jackdaw</t>
  </si>
  <si>
    <t>daw</t>
  </si>
  <si>
    <t>Corvus_monedula</t>
  </si>
  <si>
    <t>chouchanik</t>
  </si>
  <si>
    <t>ʃ u ʃ a n i k</t>
  </si>
  <si>
    <t>shushanik</t>
  </si>
  <si>
    <t>chouchi</t>
  </si>
  <si>
    <t>ʃ u ʃ i</t>
  </si>
  <si>
    <t>shushi</t>
  </si>
  <si>
    <t>chouchou</t>
  </si>
  <si>
    <t>favored</t>
  </si>
  <si>
    <t>best-loved</t>
  </si>
  <si>
    <t>preferred</t>
  </si>
  <si>
    <t>preferent</t>
  </si>
  <si>
    <t>mollycoddle</t>
  </si>
  <si>
    <t>teacher's_pet</t>
  </si>
  <si>
    <t>chouillat</t>
  </si>
  <si>
    <t>ʃ u j a</t>
  </si>
  <si>
    <t>shuya</t>
  </si>
  <si>
    <t>chousse</t>
  </si>
  <si>
    <t>ʃ u s</t>
  </si>
  <si>
    <t>chouïa</t>
  </si>
  <si>
    <t>shred</t>
  </si>
  <si>
    <t>scintilla</t>
  </si>
  <si>
    <t>whit</t>
  </si>
  <si>
    <t>iota</t>
  </si>
  <si>
    <t>tittle</t>
  </si>
  <si>
    <t>smidgen</t>
  </si>
  <si>
    <t>smidgeon</t>
  </si>
  <si>
    <t>smidgin</t>
  </si>
  <si>
    <t>smidge</t>
  </si>
  <si>
    <t>châle</t>
  </si>
  <si>
    <t>ʃ ɑ l</t>
  </si>
  <si>
    <t>châsse</t>
  </si>
  <si>
    <t>ʃ ɑ s</t>
  </si>
  <si>
    <t>châsses</t>
  </si>
  <si>
    <t>châssis</t>
  </si>
  <si>
    <t>ʃ ɑ s i</t>
  </si>
  <si>
    <t>windowpane</t>
  </si>
  <si>
    <t>window</t>
  </si>
  <si>
    <t>ci</t>
  </si>
  <si>
    <t>cil</t>
  </si>
  <si>
    <t>s i l</t>
  </si>
  <si>
    <t>alga</t>
  </si>
  <si>
    <t>algae</t>
  </si>
  <si>
    <t>cirrus</t>
  </si>
  <si>
    <t>pleat</t>
  </si>
  <si>
    <t>plait</t>
  </si>
  <si>
    <t>cille</t>
  </si>
  <si>
    <t>s i j</t>
  </si>
  <si>
    <t>siy</t>
  </si>
  <si>
    <t>cilles</t>
  </si>
  <si>
    <t>cime</t>
  </si>
  <si>
    <t>climax</t>
  </si>
  <si>
    <t>culmination</t>
  </si>
  <si>
    <t>solar_apex</t>
  </si>
  <si>
    <t>apex_of_the_sun's_way</t>
  </si>
  <si>
    <t>zenith</t>
  </si>
  <si>
    <t>cimes</t>
  </si>
  <si>
    <t>cipaille</t>
  </si>
  <si>
    <t>s i p a j</t>
  </si>
  <si>
    <t>sipay</t>
  </si>
  <si>
    <t>cipaye</t>
  </si>
  <si>
    <t>cippe</t>
  </si>
  <si>
    <t>s i p</t>
  </si>
  <si>
    <t>citas</t>
  </si>
  <si>
    <t>citasse</t>
  </si>
  <si>
    <t>s i t a s</t>
  </si>
  <si>
    <t>sitas</t>
  </si>
  <si>
    <t>citasses</t>
  </si>
  <si>
    <t>cool</t>
  </si>
  <si>
    <t>cool_down</t>
  </si>
  <si>
    <t>coolheaded</t>
  </si>
  <si>
    <t>nerveless</t>
  </si>
  <si>
    <t>aplomb</t>
  </si>
  <si>
    <t>assuredness</t>
  </si>
  <si>
    <t>poise</t>
  </si>
  <si>
    <t>sang-froid</t>
  </si>
  <si>
    <t>cou</t>
  </si>
  <si>
    <t>neck</t>
  </si>
  <si>
    <t>cervix</t>
  </si>
  <si>
    <t>col</t>
  </si>
  <si>
    <t>gap</t>
  </si>
  <si>
    <t>lodger</t>
  </si>
  <si>
    <t>boarder</t>
  </si>
  <si>
    <t>roomer</t>
  </si>
  <si>
    <t>couche</t>
  </si>
  <si>
    <t>k u ʃ</t>
  </si>
  <si>
    <t>stratum</t>
  </si>
  <si>
    <t>coucou</t>
  </si>
  <si>
    <t>cuckoo_clock</t>
  </si>
  <si>
    <t>fathead</t>
  </si>
  <si>
    <t>goofball</t>
  </si>
  <si>
    <t>jackass</t>
  </si>
  <si>
    <t>goose</t>
  </si>
  <si>
    <t>cowslip</t>
  </si>
  <si>
    <t>paigle</t>
  </si>
  <si>
    <t>Primula_veris</t>
  </si>
  <si>
    <t>coucoune</t>
  </si>
  <si>
    <t>k u k u n</t>
  </si>
  <si>
    <t>kukun</t>
  </si>
  <si>
    <t>coud</t>
  </si>
  <si>
    <t>couds</t>
  </si>
  <si>
    <t>couille</t>
  </si>
  <si>
    <t>k u j</t>
  </si>
  <si>
    <t>ball</t>
  </si>
  <si>
    <t>bollock</t>
  </si>
  <si>
    <t>bullock_block</t>
  </si>
  <si>
    <t>gonad</t>
  </si>
  <si>
    <t>sex_gland</t>
  </si>
  <si>
    <t>testis</t>
  </si>
  <si>
    <t>testicle</t>
  </si>
  <si>
    <t>orchis</t>
  </si>
  <si>
    <t>ballock</t>
  </si>
  <si>
    <t>nut</t>
  </si>
  <si>
    <t>Nut</t>
  </si>
  <si>
    <t>Ball</t>
  </si>
  <si>
    <t>Lucille_Ball</t>
  </si>
  <si>
    <t>couilles</t>
  </si>
  <si>
    <t>coulis</t>
  </si>
  <si>
    <t>coulisse</t>
  </si>
  <si>
    <t>backroom</t>
  </si>
  <si>
    <t>scene</t>
  </si>
  <si>
    <t>smacking</t>
  </si>
  <si>
    <t>slap</t>
  </si>
  <si>
    <t>stroke</t>
  </si>
  <si>
    <t>stroking</t>
  </si>
  <si>
    <t>ten-strike</t>
  </si>
  <si>
    <t>glance</t>
  </si>
  <si>
    <t>glimpse</t>
  </si>
  <si>
    <t>coup_d'oeil</t>
  </si>
  <si>
    <t>solidus</t>
  </si>
  <si>
    <t>virgule</t>
  </si>
  <si>
    <t>diagonal</t>
  </si>
  <si>
    <t>separatrix</t>
  </si>
  <si>
    <t>accident</t>
  </si>
  <si>
    <t>fortuity</t>
  </si>
  <si>
    <t>chance_event</t>
  </si>
  <si>
    <t>throw</t>
  </si>
  <si>
    <t>cam_stroke</t>
  </si>
  <si>
    <t>shooter</t>
  </si>
  <si>
    <t>gale</t>
  </si>
  <si>
    <t>gust</t>
  </si>
  <si>
    <t>coupe</t>
  </si>
  <si>
    <t>cutback</t>
  </si>
  <si>
    <t>incision</t>
  </si>
  <si>
    <t>surgical_incision</t>
  </si>
  <si>
    <t>loving_cup</t>
  </si>
  <si>
    <t>plane_section</t>
  </si>
  <si>
    <t>Crater</t>
  </si>
  <si>
    <t>cout</t>
  </si>
  <si>
    <t>coutil</t>
  </si>
  <si>
    <t>coût</t>
  </si>
  <si>
    <t>cygne</t>
  </si>
  <si>
    <t>s i ɲ</t>
  </si>
  <si>
    <t>siñ</t>
  </si>
  <si>
    <t>swan</t>
  </si>
  <si>
    <t>cygnet</t>
  </si>
  <si>
    <t>Cygnus</t>
  </si>
  <si>
    <t>genus_Cygnus</t>
  </si>
  <si>
    <t>cygnes</t>
  </si>
  <si>
    <t>cynique</t>
  </si>
  <si>
    <t>gnaque</t>
  </si>
  <si>
    <t>ɲ a k</t>
  </si>
  <si>
    <t>ñak</t>
  </si>
  <si>
    <t>gnou</t>
  </si>
  <si>
    <t>h</t>
  </si>
  <si>
    <t>hedge</t>
  </si>
  <si>
    <t>hedgerow</t>
  </si>
  <si>
    <t>Planck's_constant</t>
  </si>
  <si>
    <t>hydrogen</t>
  </si>
  <si>
    <t>H</t>
  </si>
  <si>
    <t>atomic_number_1</t>
  </si>
  <si>
    <t>hache</t>
  </si>
  <si>
    <t>ax</t>
  </si>
  <si>
    <t>axe</t>
  </si>
  <si>
    <t>hatchet</t>
  </si>
  <si>
    <t>h a ʃ</t>
  </si>
  <si>
    <t>haches</t>
  </si>
  <si>
    <t>hachis</t>
  </si>
  <si>
    <t>a ʃ i</t>
  </si>
  <si>
    <t>hallali</t>
  </si>
  <si>
    <t>a l a l i</t>
  </si>
  <si>
    <t>alali</t>
  </si>
  <si>
    <t>halle</t>
  </si>
  <si>
    <t>challah</t>
  </si>
  <si>
    <t>hallah</t>
  </si>
  <si>
    <t>Halle</t>
  </si>
  <si>
    <t>Halle-an-der-Saale</t>
  </si>
  <si>
    <t>hamac</t>
  </si>
  <si>
    <t>a m a k</t>
  </si>
  <si>
    <t>amak</t>
  </si>
  <si>
    <t>hamacs</t>
  </si>
  <si>
    <t>hanap</t>
  </si>
  <si>
    <t>a n a p</t>
  </si>
  <si>
    <t>anap</t>
  </si>
  <si>
    <t>hanoukka</t>
  </si>
  <si>
    <t>a n u k a</t>
  </si>
  <si>
    <t>anuka</t>
  </si>
  <si>
    <t>Hanukkah</t>
  </si>
  <si>
    <t>Hanukah</t>
  </si>
  <si>
    <t>Hannukah</t>
  </si>
  <si>
    <t>Chanukah</t>
  </si>
  <si>
    <t>Chanukkah</t>
  </si>
  <si>
    <t>Channukah</t>
  </si>
  <si>
    <t>Channukkah</t>
  </si>
  <si>
    <t>Festival_of_Lights</t>
  </si>
  <si>
    <t>Feast_of_Lights</t>
  </si>
  <si>
    <t>Feast_of_Dedication</t>
  </si>
  <si>
    <t>Feast_of_the_Dedication</t>
  </si>
  <si>
    <t>hasch</t>
  </si>
  <si>
    <t>haschich</t>
  </si>
  <si>
    <t>a ʃ i ʃ</t>
  </si>
  <si>
    <t>ashish</t>
  </si>
  <si>
    <t>haïe</t>
  </si>
  <si>
    <t>hiatal</t>
  </si>
  <si>
    <t>j a t a l</t>
  </si>
  <si>
    <t>yatal</t>
  </si>
  <si>
    <t>hitch</t>
  </si>
  <si>
    <t>fly_in_the_ointment</t>
  </si>
  <si>
    <t>hile</t>
  </si>
  <si>
    <t>himalaya</t>
  </si>
  <si>
    <t>i m a l a j a</t>
  </si>
  <si>
    <t>imalaya</t>
  </si>
  <si>
    <t>Himalayas</t>
  </si>
  <si>
    <t>Himalaya_Mountains</t>
  </si>
  <si>
    <t>Himalaya</t>
  </si>
  <si>
    <t>houille</t>
  </si>
  <si>
    <t>u j</t>
  </si>
  <si>
    <t>uy</t>
  </si>
  <si>
    <t>coal</t>
  </si>
  <si>
    <t>char</t>
  </si>
  <si>
    <t>ember</t>
  </si>
  <si>
    <t>bituminous_coal</t>
  </si>
  <si>
    <t>soft_coal</t>
  </si>
  <si>
    <t>houka</t>
  </si>
  <si>
    <t>u k a</t>
  </si>
  <si>
    <t>uka</t>
  </si>
  <si>
    <t>hookah</t>
  </si>
  <si>
    <t>narghile</t>
  </si>
  <si>
    <t>nargileh</t>
  </si>
  <si>
    <t>sheesha</t>
  </si>
  <si>
    <t>shisha</t>
  </si>
  <si>
    <t>chicha</t>
  </si>
  <si>
    <t>calean</t>
  </si>
  <si>
    <t>kalian</t>
  </si>
  <si>
    <t>water_pipe</t>
  </si>
  <si>
    <t>hubble-bubble</t>
  </si>
  <si>
    <t>hubbly-bubbly</t>
  </si>
  <si>
    <t>houle</t>
  </si>
  <si>
    <t>u l</t>
  </si>
  <si>
    <t>ul</t>
  </si>
  <si>
    <t>houlque</t>
  </si>
  <si>
    <t>u k</t>
  </si>
  <si>
    <t>Holcus</t>
  </si>
  <si>
    <t>genus_Holcus</t>
  </si>
  <si>
    <t>houmach</t>
  </si>
  <si>
    <t>u m a ʃ</t>
  </si>
  <si>
    <t>umash</t>
  </si>
  <si>
    <t>houmous</t>
  </si>
  <si>
    <t>u m u s</t>
  </si>
  <si>
    <t>umus</t>
  </si>
  <si>
    <t>hummus</t>
  </si>
  <si>
    <t>hommos</t>
  </si>
  <si>
    <t>hoummos</t>
  </si>
  <si>
    <t>humous</t>
  </si>
  <si>
    <t>houppe</t>
  </si>
  <si>
    <t>u p</t>
  </si>
  <si>
    <t>housse</t>
  </si>
  <si>
    <t>houthi</t>
  </si>
  <si>
    <t>u t i</t>
  </si>
  <si>
    <t>uti</t>
  </si>
  <si>
    <t>ici</t>
  </si>
  <si>
    <t>hence</t>
  </si>
  <si>
    <t>here</t>
  </si>
  <si>
    <t>hither</t>
  </si>
  <si>
    <t>up_here</t>
  </si>
  <si>
    <t>over_here</t>
  </si>
  <si>
    <t>Hera</t>
  </si>
  <si>
    <t>Here</t>
  </si>
  <si>
    <t>ignace</t>
  </si>
  <si>
    <t>i ɲ a s</t>
  </si>
  <si>
    <t>iñas</t>
  </si>
  <si>
    <t>Ignatius</t>
  </si>
  <si>
    <t>Saint_Ignatius</t>
  </si>
  <si>
    <t>St._Ignatius</t>
  </si>
  <si>
    <t>igname</t>
  </si>
  <si>
    <t>i ɲ a m</t>
  </si>
  <si>
    <t>iñam</t>
  </si>
  <si>
    <t>ignames</t>
  </si>
  <si>
    <t>Illinois</t>
  </si>
  <si>
    <t>Prairie_State</t>
  </si>
  <si>
    <t>Land_of_Lincoln</t>
  </si>
  <si>
    <t>IL</t>
  </si>
  <si>
    <t>ille</t>
  </si>
  <si>
    <t>ils</t>
  </si>
  <si>
    <t>imamat</t>
  </si>
  <si>
    <t>i m a m a</t>
  </si>
  <si>
    <t>imama</t>
  </si>
  <si>
    <t>imamats</t>
  </si>
  <si>
    <t>immisce</t>
  </si>
  <si>
    <t>i m i s</t>
  </si>
  <si>
    <t>imis</t>
  </si>
  <si>
    <t>immiscent</t>
  </si>
  <si>
    <t>immisces</t>
  </si>
  <si>
    <t>immisça</t>
  </si>
  <si>
    <t>i m i s a</t>
  </si>
  <si>
    <t>immisças</t>
  </si>
  <si>
    <t>i m i s ɑ</t>
  </si>
  <si>
    <t>immisçasse</t>
  </si>
  <si>
    <t>i m i s a s</t>
  </si>
  <si>
    <t>imisas</t>
  </si>
  <si>
    <t>immisçassent</t>
  </si>
  <si>
    <t>immisçasses</t>
  </si>
  <si>
    <t>immisçâmes</t>
  </si>
  <si>
    <t>i m i s ɑ m</t>
  </si>
  <si>
    <t>imisam</t>
  </si>
  <si>
    <t>immisçât</t>
  </si>
  <si>
    <t>inique</t>
  </si>
  <si>
    <t>i n i k</t>
  </si>
  <si>
    <t>inik</t>
  </si>
  <si>
    <t>iniquitous</t>
  </si>
  <si>
    <t>ungodly</t>
  </si>
  <si>
    <t>issa</t>
  </si>
  <si>
    <t>italie</t>
  </si>
  <si>
    <t>i t a l i</t>
  </si>
  <si>
    <t>itali</t>
  </si>
  <si>
    <t>Italy</t>
  </si>
  <si>
    <t>Italian_Republic</t>
  </si>
  <si>
    <t>Italia</t>
  </si>
  <si>
    <t>itou</t>
  </si>
  <si>
    <t>içi</t>
  </si>
  <si>
    <t>kanake</t>
  </si>
  <si>
    <t>kappa</t>
  </si>
  <si>
    <t>kasumi</t>
  </si>
  <si>
    <t>k a s u m i</t>
  </si>
  <si>
    <t>katana</t>
  </si>
  <si>
    <t>k a t a n a</t>
  </si>
  <si>
    <t>kayaka</t>
  </si>
  <si>
    <t>k a j a k a</t>
  </si>
  <si>
    <t>kayakas</t>
  </si>
  <si>
    <t>k a j a k ɑ</t>
  </si>
  <si>
    <t>kayakasse</t>
  </si>
  <si>
    <t>k a j a k a s</t>
  </si>
  <si>
    <t>kayakassent</t>
  </si>
  <si>
    <t>kayakasses</t>
  </si>
  <si>
    <t>kayake</t>
  </si>
  <si>
    <t>kayakent</t>
  </si>
  <si>
    <t>kayakes</t>
  </si>
  <si>
    <t>kayaks</t>
  </si>
  <si>
    <t>kayakâmes</t>
  </si>
  <si>
    <t>k a j a k ɑ m</t>
  </si>
  <si>
    <t>kayakam</t>
  </si>
  <si>
    <t>kayakât</t>
  </si>
  <si>
    <t>chi</t>
  </si>
  <si>
    <t>khâgne</t>
  </si>
  <si>
    <t>k a ɲ</t>
  </si>
  <si>
    <t>kañ</t>
  </si>
  <si>
    <t>kiki</t>
  </si>
  <si>
    <t>k i k i</t>
  </si>
  <si>
    <t>kippa</t>
  </si>
  <si>
    <t>k i p a</t>
  </si>
  <si>
    <t>kipa</t>
  </si>
  <si>
    <t>skullcap</t>
  </si>
  <si>
    <t>yarmulke</t>
  </si>
  <si>
    <t>yarmulka</t>
  </si>
  <si>
    <t>yarmelke</t>
  </si>
  <si>
    <t>koulak</t>
  </si>
  <si>
    <t>k u l a k</t>
  </si>
  <si>
    <t>koumis</t>
  </si>
  <si>
    <t>k u m i s</t>
  </si>
  <si>
    <t>kumis</t>
  </si>
  <si>
    <t>statistics</t>
  </si>
  <si>
    <t>Ladyship</t>
  </si>
  <si>
    <t>Louisiana</t>
  </si>
  <si>
    <t>Pelican_State</t>
  </si>
  <si>
    <t>LA</t>
  </si>
  <si>
    <t>lanthanum</t>
  </si>
  <si>
    <t>La</t>
  </si>
  <si>
    <t>atomic_number_57</t>
  </si>
  <si>
    <t>lacs</t>
  </si>
  <si>
    <t>lagniappe</t>
  </si>
  <si>
    <t>l a ɲ a p</t>
  </si>
  <si>
    <t>lañap</t>
  </si>
  <si>
    <t>l a m a</t>
  </si>
  <si>
    <t>lame</t>
  </si>
  <si>
    <t>slide</t>
  </si>
  <si>
    <t>microscope_slide</t>
  </si>
  <si>
    <t>lamie</t>
  </si>
  <si>
    <t>l a m i</t>
  </si>
  <si>
    <t>lami</t>
  </si>
  <si>
    <t>l a p a</t>
  </si>
  <si>
    <t>lapas</t>
  </si>
  <si>
    <t>l a p ɑ</t>
  </si>
  <si>
    <t>lapasse</t>
  </si>
  <si>
    <t>l a p a s</t>
  </si>
  <si>
    <t>lapassent</t>
  </si>
  <si>
    <t>lapasses</t>
  </si>
  <si>
    <t>lape</t>
  </si>
  <si>
    <t>l a p</t>
  </si>
  <si>
    <t>lapent</t>
  </si>
  <si>
    <t>lapes</t>
  </si>
  <si>
    <t>lapine</t>
  </si>
  <si>
    <t>l a p i n</t>
  </si>
  <si>
    <t>doe</t>
  </si>
  <si>
    <t>lapines</t>
  </si>
  <si>
    <t>lapâmes</t>
  </si>
  <si>
    <t>l a p ɑ m</t>
  </si>
  <si>
    <t>lapam</t>
  </si>
  <si>
    <t>lapât</t>
  </si>
  <si>
    <t>laque</t>
  </si>
  <si>
    <t>hair_spray</t>
  </si>
  <si>
    <t>varnish</t>
  </si>
  <si>
    <t>lacquer</t>
  </si>
  <si>
    <t>l a s</t>
  </si>
  <si>
    <t>latine</t>
  </si>
  <si>
    <t>l a t i n</t>
  </si>
  <si>
    <t>latines</t>
  </si>
  <si>
    <t>lattis</t>
  </si>
  <si>
    <t>l a t i</t>
  </si>
  <si>
    <t>lati</t>
  </si>
  <si>
    <t>lice</t>
  </si>
  <si>
    <t>l i s</t>
  </si>
  <si>
    <t>lis</t>
  </si>
  <si>
    <t>licou</t>
  </si>
  <si>
    <t>l i k u</t>
  </si>
  <si>
    <t>liku</t>
  </si>
  <si>
    <t>ligna</t>
  </si>
  <si>
    <t>l i ɲ a</t>
  </si>
  <si>
    <t>liña</t>
  </si>
  <si>
    <t>lignas</t>
  </si>
  <si>
    <t>l i ɲ ɑ</t>
  </si>
  <si>
    <t>lignasse</t>
  </si>
  <si>
    <t>l i ɲ a s</t>
  </si>
  <si>
    <t>liñas</t>
  </si>
  <si>
    <t>lignassent</t>
  </si>
  <si>
    <t>lignasses</t>
  </si>
  <si>
    <t>ligne</t>
  </si>
  <si>
    <t>l i ɲ</t>
  </si>
  <si>
    <t>liñ</t>
  </si>
  <si>
    <t>product_line</t>
  </si>
  <si>
    <t>line_of_products</t>
  </si>
  <si>
    <t>line_of_merchandise</t>
  </si>
  <si>
    <t>business_line</t>
  </si>
  <si>
    <t>telephone_line</t>
  </si>
  <si>
    <t>phone_line</t>
  </si>
  <si>
    <t>telephone_circuit</t>
  </si>
  <si>
    <t>subscriber_line</t>
  </si>
  <si>
    <t>dividing_line</t>
  </si>
  <si>
    <t>demarcation</t>
  </si>
  <si>
    <t>contrast</t>
  </si>
  <si>
    <t>communication_channel</t>
  </si>
  <si>
    <t>isotherm</t>
  </si>
  <si>
    <t>credit_line</t>
  </si>
  <si>
    <t>line_of_credit</t>
  </si>
  <si>
    <t>bank_line</t>
  </si>
  <si>
    <t>personal_credit_line</t>
  </si>
  <si>
    <t>personal_line_of_credit</t>
  </si>
  <si>
    <t>agate_line</t>
  </si>
  <si>
    <t>straight_line</t>
  </si>
  <si>
    <t>wrinkle</t>
  </si>
  <si>
    <t>furrow</t>
  </si>
  <si>
    <t>crease</t>
  </si>
  <si>
    <t>crinkle</t>
  </si>
  <si>
    <t>seam</t>
  </si>
  <si>
    <t>lignent</t>
  </si>
  <si>
    <t>lignâmes</t>
  </si>
  <si>
    <t>l i ɲ ɑ m</t>
  </si>
  <si>
    <t>liñam</t>
  </si>
  <si>
    <t>lignât</t>
  </si>
  <si>
    <t>l i l a k</t>
  </si>
  <si>
    <t>lilak</t>
  </si>
  <si>
    <t>lilas</t>
  </si>
  <si>
    <t>l i l ɑ</t>
  </si>
  <si>
    <t>l i m a</t>
  </si>
  <si>
    <t>limace</t>
  </si>
  <si>
    <t>l i m a s</t>
  </si>
  <si>
    <t>limas</t>
  </si>
  <si>
    <t>slog</t>
  </si>
  <si>
    <t>swig</t>
  </si>
  <si>
    <t>idle</t>
  </si>
  <si>
    <t>laze</t>
  </si>
  <si>
    <t>stagnate</t>
  </si>
  <si>
    <t>sluggard</t>
  </si>
  <si>
    <t>limaille</t>
  </si>
  <si>
    <t>l i m ɑ j</t>
  </si>
  <si>
    <t>limay</t>
  </si>
  <si>
    <t>l i m</t>
  </si>
  <si>
    <t>limes</t>
  </si>
  <si>
    <t>lippe</t>
  </si>
  <si>
    <t>l i p</t>
  </si>
  <si>
    <t>Lilium</t>
  </si>
  <si>
    <t>genus_Lilium</t>
  </si>
  <si>
    <t>lisse</t>
  </si>
  <si>
    <t>politic</t>
  </si>
  <si>
    <t>suave</t>
  </si>
  <si>
    <t>bland</t>
  </si>
  <si>
    <t>fluent</t>
  </si>
  <si>
    <t>fluid</t>
  </si>
  <si>
    <t>liquid</t>
  </si>
  <si>
    <t>smooth_out</t>
  </si>
  <si>
    <t>lisses</t>
  </si>
  <si>
    <t>lit</t>
  </si>
  <si>
    <t>go_to_bed</t>
  </si>
  <si>
    <t>turn_in</t>
  </si>
  <si>
    <t>crawl_in</t>
  </si>
  <si>
    <t>kip_down</t>
  </si>
  <si>
    <t>hit_the_hay</t>
  </si>
  <si>
    <t>hit_the_sack</t>
  </si>
  <si>
    <t>sack_out</t>
  </si>
  <si>
    <t>go_to_sleep</t>
  </si>
  <si>
    <t>retire</t>
  </si>
  <si>
    <t>litanie</t>
  </si>
  <si>
    <t>l i t a n i</t>
  </si>
  <si>
    <t>litani</t>
  </si>
  <si>
    <t>Litany</t>
  </si>
  <si>
    <t>litany</t>
  </si>
  <si>
    <t>looc</t>
  </si>
  <si>
    <t>l u k</t>
  </si>
  <si>
    <t>lou</t>
  </si>
  <si>
    <t>laden</t>
  </si>
  <si>
    <t>fishy</t>
  </si>
  <si>
    <t>suspect</t>
  </si>
  <si>
    <t>suspicious</t>
  </si>
  <si>
    <t>seamy</t>
  </si>
  <si>
    <t>seedy</t>
  </si>
  <si>
    <t>sordid</t>
  </si>
  <si>
    <t>squalid</t>
  </si>
  <si>
    <t>loue</t>
  </si>
  <si>
    <t>loukoum</t>
  </si>
  <si>
    <t>l u k u m</t>
  </si>
  <si>
    <t>lukum</t>
  </si>
  <si>
    <t>Turkish_Delight</t>
  </si>
  <si>
    <t>loup</t>
  </si>
  <si>
    <t>wolf_down</t>
  </si>
  <si>
    <t>timber_wolf</t>
  </si>
  <si>
    <t>grey_wolf</t>
  </si>
  <si>
    <t>gray_wolf</t>
  </si>
  <si>
    <t>Canis_lupus</t>
  </si>
  <si>
    <t>woman_chaser</t>
  </si>
  <si>
    <t>skirt_chaser</t>
  </si>
  <si>
    <t>masher</t>
  </si>
  <si>
    <t>loupe</t>
  </si>
  <si>
    <t>l u p</t>
  </si>
  <si>
    <t>lup</t>
  </si>
  <si>
    <t>jeweler's_loupe</t>
  </si>
  <si>
    <t>sebaceous_cyst</t>
  </si>
  <si>
    <t>pilar_cyst</t>
  </si>
  <si>
    <t>wen</t>
  </si>
  <si>
    <t>steatocystoma</t>
  </si>
  <si>
    <t>lys</t>
  </si>
  <si>
    <t>là</t>
  </si>
  <si>
    <t>meanwhile</t>
  </si>
  <si>
    <t>meantime</t>
  </si>
  <si>
    <t>in_the_meantime</t>
  </si>
  <si>
    <t>there</t>
  </si>
  <si>
    <t>at_that_place</t>
  </si>
  <si>
    <t>in_that_location</t>
  </si>
  <si>
    <t>thither</t>
  </si>
  <si>
    <t>in_that_respect</t>
  </si>
  <si>
    <t>on_that_point</t>
  </si>
  <si>
    <t>lâche</t>
  </si>
  <si>
    <t>l ɑ ʃ</t>
  </si>
  <si>
    <t>disentangled</t>
  </si>
  <si>
    <t>loosened</t>
  </si>
  <si>
    <t>unsnarled</t>
  </si>
  <si>
    <t>abject</t>
  </si>
  <si>
    <t>low-down</t>
  </si>
  <si>
    <t>miserable</t>
  </si>
  <si>
    <t>scummy</t>
  </si>
  <si>
    <t>scurvy</t>
  </si>
  <si>
    <t>coward</t>
  </si>
  <si>
    <t>poltroon</t>
  </si>
  <si>
    <t>craven</t>
  </si>
  <si>
    <t>recreant</t>
  </si>
  <si>
    <t>Coward</t>
  </si>
  <si>
    <t>Noel_Coward</t>
  </si>
  <si>
    <t>Sir_Noel_Pierce_Coward</t>
  </si>
  <si>
    <t>lâches</t>
  </si>
  <si>
    <t>m'as</t>
  </si>
  <si>
    <t>ma'ame</t>
  </si>
  <si>
    <t>m a m</t>
  </si>
  <si>
    <t>macaque</t>
  </si>
  <si>
    <t>m a k a k</t>
  </si>
  <si>
    <t>makak</t>
  </si>
  <si>
    <t>machina</t>
  </si>
  <si>
    <t>m a ʃ i n a</t>
  </si>
  <si>
    <t>mashina</t>
  </si>
  <si>
    <t>machinas</t>
  </si>
  <si>
    <t>m a ʃ i n ɑ</t>
  </si>
  <si>
    <t>machinasse</t>
  </si>
  <si>
    <t>m a ʃ i n a s</t>
  </si>
  <si>
    <t>mashinas</t>
  </si>
  <si>
    <t>machinassent</t>
  </si>
  <si>
    <t>machinasses</t>
  </si>
  <si>
    <t>m a ʃ i n</t>
  </si>
  <si>
    <t>mashin</t>
  </si>
  <si>
    <t>machinery</t>
  </si>
  <si>
    <t>political_machine</t>
  </si>
  <si>
    <t>John_Doe</t>
  </si>
  <si>
    <t>machinent</t>
  </si>
  <si>
    <t>machinâmes</t>
  </si>
  <si>
    <t>m a ʃ i n ɑ m</t>
  </si>
  <si>
    <t>mashinam</t>
  </si>
  <si>
    <t>machinât</t>
  </si>
  <si>
    <t>macis</t>
  </si>
  <si>
    <t>m a s i</t>
  </si>
  <si>
    <t>macebearer</t>
  </si>
  <si>
    <t>macer</t>
  </si>
  <si>
    <t>Mace</t>
  </si>
  <si>
    <t>Chemical_Mace</t>
  </si>
  <si>
    <t>magnanime</t>
  </si>
  <si>
    <t>m a ɲ a n i m</t>
  </si>
  <si>
    <t>mañanim</t>
  </si>
  <si>
    <t>large</t>
  </si>
  <si>
    <t>magnanimous</t>
  </si>
  <si>
    <t>greathearted</t>
  </si>
  <si>
    <t>magnat</t>
  </si>
  <si>
    <t>baron</t>
  </si>
  <si>
    <t>big_businessman</t>
  </si>
  <si>
    <t>business_leader</t>
  </si>
  <si>
    <t>king</t>
  </si>
  <si>
    <t>magnate</t>
  </si>
  <si>
    <t>mogul</t>
  </si>
  <si>
    <t>top_executive</t>
  </si>
  <si>
    <t>tycoon</t>
  </si>
  <si>
    <t>Mogul</t>
  </si>
  <si>
    <t>Moghul</t>
  </si>
  <si>
    <t>magnes</t>
  </si>
  <si>
    <t>m a ɲ</t>
  </si>
  <si>
    <t>mañ</t>
  </si>
  <si>
    <t>maille</t>
  </si>
  <si>
    <t>tricot</t>
  </si>
  <si>
    <t>mesh_topology</t>
  </si>
  <si>
    <t>disadvantageously</t>
  </si>
  <si>
    <t>severely</t>
  </si>
  <si>
    <t>gravely</t>
  </si>
  <si>
    <t>seriously</t>
  </si>
  <si>
    <t>mischievously</t>
  </si>
  <si>
    <t>naughtily</t>
  </si>
  <si>
    <t>hard</t>
  </si>
  <si>
    <t>incompletely</t>
  </si>
  <si>
    <t>wrongly</t>
  </si>
  <si>
    <t>impolite</t>
  </si>
  <si>
    <t>immorality</t>
  </si>
  <si>
    <t>iniquity</t>
  </si>
  <si>
    <t>forged</t>
  </si>
  <si>
    <t>regretful</t>
  </si>
  <si>
    <t>sorry</t>
  </si>
  <si>
    <t>uncollectible</t>
  </si>
  <si>
    <t>difficulty</t>
  </si>
  <si>
    <t>difficultness</t>
  </si>
  <si>
    <t>trouble</t>
  </si>
  <si>
    <t>bother</t>
  </si>
  <si>
    <t>hassle</t>
  </si>
  <si>
    <t>scabies</t>
  </si>
  <si>
    <t>malacie</t>
  </si>
  <si>
    <t>m a l a s i</t>
  </si>
  <si>
    <t>malasi</t>
  </si>
  <si>
    <t>malayalam</t>
  </si>
  <si>
    <t>m a l a j a l a m</t>
  </si>
  <si>
    <t>Malayalam</t>
  </si>
  <si>
    <t>m a l i s</t>
  </si>
  <si>
    <t>maligne</t>
  </si>
  <si>
    <t>m a l i ɲ</t>
  </si>
  <si>
    <t>maliñ</t>
  </si>
  <si>
    <t>malines</t>
  </si>
  <si>
    <t>malle</t>
  </si>
  <si>
    <t>malles</t>
  </si>
  <si>
    <t>malou</t>
  </si>
  <si>
    <t>m a l u</t>
  </si>
  <si>
    <t>malu</t>
  </si>
  <si>
    <t>mamie</t>
  </si>
  <si>
    <t>m a m i</t>
  </si>
  <si>
    <t>mami</t>
  </si>
  <si>
    <t>granny_knot</t>
  </si>
  <si>
    <t>mamies</t>
  </si>
  <si>
    <t>manicou</t>
  </si>
  <si>
    <t>m a n i k u</t>
  </si>
  <si>
    <t>maniku</t>
  </si>
  <si>
    <t>common_opossum</t>
  </si>
  <si>
    <t>Didelphis_virginiana</t>
  </si>
  <si>
    <t>Didelphis_marsupialis</t>
  </si>
  <si>
    <t>manie</t>
  </si>
  <si>
    <t>mania</t>
  </si>
  <si>
    <t>cacoethes</t>
  </si>
  <si>
    <t>manic_disorder</t>
  </si>
  <si>
    <t>manille</t>
  </si>
  <si>
    <t>m a n i j</t>
  </si>
  <si>
    <t>maniy</t>
  </si>
  <si>
    <t>fetter</t>
  </si>
  <si>
    <t>shackle</t>
  </si>
  <si>
    <t>pinion</t>
  </si>
  <si>
    <t>hamper</t>
  </si>
  <si>
    <t>Manila</t>
  </si>
  <si>
    <t>capital_of_the_Philippines</t>
  </si>
  <si>
    <t>manila</t>
  </si>
  <si>
    <t>manila_paper</t>
  </si>
  <si>
    <t>manilla_paper</t>
  </si>
  <si>
    <t>manip</t>
  </si>
  <si>
    <t>m a n i p</t>
  </si>
  <si>
    <t>manitou</t>
  </si>
  <si>
    <t>m a n i t u</t>
  </si>
  <si>
    <t>manitu</t>
  </si>
  <si>
    <t>manne</t>
  </si>
  <si>
    <t>miraculous_food</t>
  </si>
  <si>
    <t>manna</t>
  </si>
  <si>
    <t>manouche</t>
  </si>
  <si>
    <t>m a n u ʃ</t>
  </si>
  <si>
    <t>manush</t>
  </si>
  <si>
    <t>maquis</t>
  </si>
  <si>
    <t>brushwood</t>
  </si>
  <si>
    <t>coppice</t>
  </si>
  <si>
    <t>copse</t>
  </si>
  <si>
    <t>thicket</t>
  </si>
  <si>
    <t>scrub</t>
  </si>
  <si>
    <t>chaparral</t>
  </si>
  <si>
    <t>underbrush</t>
  </si>
  <si>
    <t>undergrowth</t>
  </si>
  <si>
    <t>underwood</t>
  </si>
  <si>
    <t>m ɑ s</t>
  </si>
  <si>
    <t>massat</t>
  </si>
  <si>
    <t>masse</t>
  </si>
  <si>
    <t>density</t>
  </si>
  <si>
    <t>denseness</t>
  </si>
  <si>
    <t>concentration</t>
  </si>
  <si>
    <t>tightness</t>
  </si>
  <si>
    <t>compactness</t>
  </si>
  <si>
    <t>Lot</t>
  </si>
  <si>
    <t>mat</t>
  </si>
  <si>
    <t>matt</t>
  </si>
  <si>
    <t>matte</t>
  </si>
  <si>
    <t>matted</t>
  </si>
  <si>
    <t>abdominal</t>
  </si>
  <si>
    <t>abdominal_muscle</t>
  </si>
  <si>
    <t>Master_of_Arts_in_Teaching</t>
  </si>
  <si>
    <t>MAT</t>
  </si>
  <si>
    <t>mate</t>
  </si>
  <si>
    <t>Ab</t>
  </si>
  <si>
    <t>Av</t>
  </si>
  <si>
    <t>mathis</t>
  </si>
  <si>
    <t>matina</t>
  </si>
  <si>
    <t>m a t i n a</t>
  </si>
  <si>
    <t>matinal</t>
  </si>
  <si>
    <t>m a t i n a l</t>
  </si>
  <si>
    <t>matines</t>
  </si>
  <si>
    <t>m a t i n</t>
  </si>
  <si>
    <t>matin</t>
  </si>
  <si>
    <t>matins</t>
  </si>
  <si>
    <t>morning_prayer</t>
  </si>
  <si>
    <t>matou</t>
  </si>
  <si>
    <t>m a t u</t>
  </si>
  <si>
    <t>matu</t>
  </si>
  <si>
    <t>miami</t>
  </si>
  <si>
    <t>m a j a m i</t>
  </si>
  <si>
    <t>mayami</t>
  </si>
  <si>
    <t>m i j a m i</t>
  </si>
  <si>
    <t>miyami</t>
  </si>
  <si>
    <t>miche</t>
  </si>
  <si>
    <t>loaf_of_bread</t>
  </si>
  <si>
    <t>mie</t>
  </si>
  <si>
    <t>mies</t>
  </si>
  <si>
    <t>m i j</t>
  </si>
  <si>
    <t>miy</t>
  </si>
  <si>
    <t>milice</t>
  </si>
  <si>
    <t>m i l i s</t>
  </si>
  <si>
    <t>milis</t>
  </si>
  <si>
    <t>militia</t>
  </si>
  <si>
    <t>reserves</t>
  </si>
  <si>
    <t>mille</t>
  </si>
  <si>
    <t>millikatal</t>
  </si>
  <si>
    <t>m i l i k a t a l</t>
  </si>
  <si>
    <t>milikatal</t>
  </si>
  <si>
    <t>millile</t>
  </si>
  <si>
    <t>m i l i l</t>
  </si>
  <si>
    <t>milil</t>
  </si>
  <si>
    <t>minas</t>
  </si>
  <si>
    <t>minasse</t>
  </si>
  <si>
    <t>m i n a s</t>
  </si>
  <si>
    <t>minassent</t>
  </si>
  <si>
    <t>minasses</t>
  </si>
  <si>
    <t>mining</t>
  </si>
  <si>
    <t>excavation</t>
  </si>
  <si>
    <t>minelaying</t>
  </si>
  <si>
    <t>bearing</t>
  </si>
  <si>
    <t>comportment</t>
  </si>
  <si>
    <t>presence</t>
  </si>
  <si>
    <t>mien</t>
  </si>
  <si>
    <t>miner</t>
  </si>
  <si>
    <t>mineworker</t>
  </si>
  <si>
    <t>minent</t>
  </si>
  <si>
    <t>mines</t>
  </si>
  <si>
    <t>m i n i</t>
  </si>
  <si>
    <t>m i n i m a l</t>
  </si>
  <si>
    <t>minou</t>
  </si>
  <si>
    <t>m i n u</t>
  </si>
  <si>
    <t>minu</t>
  </si>
  <si>
    <t>sweetie</t>
  </si>
  <si>
    <t>truelove</t>
  </si>
  <si>
    <t>minoune</t>
  </si>
  <si>
    <t>minâmes</t>
  </si>
  <si>
    <t>m i n ɑ m</t>
  </si>
  <si>
    <t>minam</t>
  </si>
  <si>
    <t>minât</t>
  </si>
  <si>
    <t>missile</t>
  </si>
  <si>
    <t>m i s i l</t>
  </si>
  <si>
    <t>misil</t>
  </si>
  <si>
    <t>skyrocket</t>
  </si>
  <si>
    <t>rocket</t>
  </si>
  <si>
    <t>mit</t>
  </si>
  <si>
    <t>Massachusetts_Institute_of_Technology</t>
  </si>
  <si>
    <t>MIT</t>
  </si>
  <si>
    <t>mita</t>
  </si>
  <si>
    <t>m i t a</t>
  </si>
  <si>
    <t>m i t ɑ</t>
  </si>
  <si>
    <t>mitasse</t>
  </si>
  <si>
    <t>m i t a s</t>
  </si>
  <si>
    <t>mitassent</t>
  </si>
  <si>
    <t>mitasses</t>
  </si>
  <si>
    <t>mitâmes</t>
  </si>
  <si>
    <t>m i t ɑ m</t>
  </si>
  <si>
    <t>mitam</t>
  </si>
  <si>
    <t>mitât</t>
  </si>
  <si>
    <t>miyu</t>
  </si>
  <si>
    <t>m i j u</t>
  </si>
  <si>
    <t>miyuki</t>
  </si>
  <si>
    <t>m i j u k i</t>
  </si>
  <si>
    <t>mou</t>
  </si>
  <si>
    <t>easy</t>
  </si>
  <si>
    <t>nonalcoholic</t>
  </si>
  <si>
    <t>gentle</t>
  </si>
  <si>
    <t>piano</t>
  </si>
  <si>
    <t>forte</t>
  </si>
  <si>
    <t>indulgent</t>
  </si>
  <si>
    <t>lenient</t>
  </si>
  <si>
    <t>delicate</t>
  </si>
  <si>
    <t>mouche</t>
  </si>
  <si>
    <t>m u ʃ</t>
  </si>
  <si>
    <t>fly_ball</t>
  </si>
  <si>
    <t>vanish</t>
  </si>
  <si>
    <t>vaporize</t>
  </si>
  <si>
    <t>fell</t>
  </si>
  <si>
    <t>flee</t>
  </si>
  <si>
    <t>take_flight</t>
  </si>
  <si>
    <t>Musca</t>
  </si>
  <si>
    <t>genus_Musca</t>
  </si>
  <si>
    <t>fly_front</t>
  </si>
  <si>
    <t>tent-fly</t>
  </si>
  <si>
    <t>rainfly</t>
  </si>
  <si>
    <t>fly_sheet</t>
  </si>
  <si>
    <t>tent_flap</t>
  </si>
  <si>
    <t>mouches</t>
  </si>
  <si>
    <t>moue</t>
  </si>
  <si>
    <t>wry_face</t>
  </si>
  <si>
    <t>mouille</t>
  </si>
  <si>
    <t>m u j</t>
  </si>
  <si>
    <t>muy</t>
  </si>
  <si>
    <t>moula</t>
  </si>
  <si>
    <t>moulas</t>
  </si>
  <si>
    <t>m u l ɑ</t>
  </si>
  <si>
    <t>moulasse</t>
  </si>
  <si>
    <t>m u l a s</t>
  </si>
  <si>
    <t>mulas</t>
  </si>
  <si>
    <t>moulassent</t>
  </si>
  <si>
    <t>moulasses</t>
  </si>
  <si>
    <t>moule</t>
  </si>
  <si>
    <t>mussel</t>
  </si>
  <si>
    <t>molding</t>
  </si>
  <si>
    <t>moulding</t>
  </si>
  <si>
    <t>modeling</t>
  </si>
  <si>
    <t>clay_sculpture</t>
  </si>
  <si>
    <t>moult</t>
  </si>
  <si>
    <t>moulâmes</t>
  </si>
  <si>
    <t>m u l ɑ m</t>
  </si>
  <si>
    <t>mulam</t>
  </si>
  <si>
    <t>moulât</t>
  </si>
  <si>
    <t>moumoune</t>
  </si>
  <si>
    <t>m u m u n</t>
  </si>
  <si>
    <t>mumun</t>
  </si>
  <si>
    <t>moussa</t>
  </si>
  <si>
    <t>moussas</t>
  </si>
  <si>
    <t>moussasse</t>
  </si>
  <si>
    <t>m u s a s</t>
  </si>
  <si>
    <t>musas</t>
  </si>
  <si>
    <t>moussassent</t>
  </si>
  <si>
    <t>moussasses</t>
  </si>
  <si>
    <t>mousse</t>
  </si>
  <si>
    <t>m u s</t>
  </si>
  <si>
    <t>mus</t>
  </si>
  <si>
    <t>froth</t>
  </si>
  <si>
    <t>spume</t>
  </si>
  <si>
    <t>suds</t>
  </si>
  <si>
    <t>foam</t>
  </si>
  <si>
    <t>fizz</t>
  </si>
  <si>
    <t>effervesce</t>
  </si>
  <si>
    <t>form_bubbles</t>
  </si>
  <si>
    <t>soapsuds</t>
  </si>
  <si>
    <t>cabin_boy</t>
  </si>
  <si>
    <t>Bryophyta</t>
  </si>
  <si>
    <t>division_Bryophyta</t>
  </si>
  <si>
    <t>moss</t>
  </si>
  <si>
    <t>moussent</t>
  </si>
  <si>
    <t>mousses</t>
  </si>
  <si>
    <t>moussâmes</t>
  </si>
  <si>
    <t>m u s ɑ m</t>
  </si>
  <si>
    <t>musam</t>
  </si>
  <si>
    <t>moussât</t>
  </si>
  <si>
    <t>moût</t>
  </si>
  <si>
    <t>must</t>
  </si>
  <si>
    <t>mustiness</t>
  </si>
  <si>
    <t>moldiness</t>
  </si>
  <si>
    <t>mythique</t>
  </si>
  <si>
    <t>mâchicoulis</t>
  </si>
  <si>
    <t>m ɑ ʃ i k u l i</t>
  </si>
  <si>
    <t>mashikuli</t>
  </si>
  <si>
    <t>machicolation</t>
  </si>
  <si>
    <t>mâle</t>
  </si>
  <si>
    <t>m ɑ l</t>
  </si>
  <si>
    <t>male</t>
  </si>
  <si>
    <t>manful</t>
  </si>
  <si>
    <t>manlike</t>
  </si>
  <si>
    <t>manly</t>
  </si>
  <si>
    <t>virile</t>
  </si>
  <si>
    <t>masculine</t>
  </si>
  <si>
    <t>Male</t>
  </si>
  <si>
    <t>male_person</t>
  </si>
  <si>
    <t>geezer</t>
  </si>
  <si>
    <t>mânes</t>
  </si>
  <si>
    <t>Manes</t>
  </si>
  <si>
    <t>mât</t>
  </si>
  <si>
    <t>flagpole</t>
  </si>
  <si>
    <t>flagstaff</t>
  </si>
  <si>
    <t>mast</t>
  </si>
  <si>
    <t>Flagstaff</t>
  </si>
  <si>
    <t>nanami</t>
  </si>
  <si>
    <t>n a n a m i</t>
  </si>
  <si>
    <t>nanas</t>
  </si>
  <si>
    <t>n a n ɑ</t>
  </si>
  <si>
    <t>tablecloth</t>
  </si>
  <si>
    <t>air</t>
  </si>
  <si>
    <t>naquis</t>
  </si>
  <si>
    <t>n a k i</t>
  </si>
  <si>
    <t>naki</t>
  </si>
  <si>
    <t>naquisse</t>
  </si>
  <si>
    <t>n a k i s</t>
  </si>
  <si>
    <t>nakis</t>
  </si>
  <si>
    <t>naquit</t>
  </si>
  <si>
    <t>naquît</t>
  </si>
  <si>
    <t>nasse</t>
  </si>
  <si>
    <t>natacha</t>
  </si>
  <si>
    <t>n a t a ʃ a</t>
  </si>
  <si>
    <t>natasha</t>
  </si>
  <si>
    <t>natale</t>
  </si>
  <si>
    <t>natales</t>
  </si>
  <si>
    <t>nathalie</t>
  </si>
  <si>
    <t>n a t a l i</t>
  </si>
  <si>
    <t>natali</t>
  </si>
  <si>
    <t>nenni</t>
  </si>
  <si>
    <t>n a n i</t>
  </si>
  <si>
    <t>nickel</t>
  </si>
  <si>
    <t>Ni</t>
  </si>
  <si>
    <t>atomic_number_28</t>
  </si>
  <si>
    <t>Nice</t>
  </si>
  <si>
    <t>kennel</t>
  </si>
  <si>
    <t>doghouse</t>
  </si>
  <si>
    <t>dog_house</t>
  </si>
  <si>
    <t>nid</t>
  </si>
  <si>
    <t>nest</t>
  </si>
  <si>
    <t>cuddle</t>
  </si>
  <si>
    <t>snuggle</t>
  </si>
  <si>
    <t>nestle</t>
  </si>
  <si>
    <t>nuzzle</t>
  </si>
  <si>
    <t>draw_close</t>
  </si>
  <si>
    <t>lair</t>
  </si>
  <si>
    <t>nie</t>
  </si>
  <si>
    <t>nikita</t>
  </si>
  <si>
    <t>n i k i t a</t>
  </si>
  <si>
    <t>Nina</t>
  </si>
  <si>
    <t>n i n i</t>
  </si>
  <si>
    <t>nique</t>
  </si>
  <si>
    <t>noue</t>
  </si>
  <si>
    <t>noues</t>
  </si>
  <si>
    <t>nouille</t>
  </si>
  <si>
    <t>n u j</t>
  </si>
  <si>
    <t>nuy</t>
  </si>
  <si>
    <t>snot</t>
  </si>
  <si>
    <t>noune</t>
  </si>
  <si>
    <t>n u n</t>
  </si>
  <si>
    <t>nounou</t>
  </si>
  <si>
    <t>n u n u</t>
  </si>
  <si>
    <t>nunu</t>
  </si>
  <si>
    <t>nuuk</t>
  </si>
  <si>
    <t>n u k</t>
  </si>
  <si>
    <t>nîmes</t>
  </si>
  <si>
    <t>ouch</t>
  </si>
  <si>
    <t>u ʃ</t>
  </si>
  <si>
    <t>ush</t>
  </si>
  <si>
    <t>ouilla</t>
  </si>
  <si>
    <t>u j a</t>
  </si>
  <si>
    <t>uya</t>
  </si>
  <si>
    <t>ouillas</t>
  </si>
  <si>
    <t>u j ɑ</t>
  </si>
  <si>
    <t>ouillasse</t>
  </si>
  <si>
    <t>u j a s</t>
  </si>
  <si>
    <t>uyas</t>
  </si>
  <si>
    <t>ouillassent</t>
  </si>
  <si>
    <t>ouillasses</t>
  </si>
  <si>
    <t>ouille</t>
  </si>
  <si>
    <t>ouillent</t>
  </si>
  <si>
    <t>ouilles</t>
  </si>
  <si>
    <t>ouillâmes</t>
  </si>
  <si>
    <t>u j ɑ m</t>
  </si>
  <si>
    <t>uyam</t>
  </si>
  <si>
    <t>ouillât</t>
  </si>
  <si>
    <t>outil</t>
  </si>
  <si>
    <t>instrument</t>
  </si>
  <si>
    <t>instrumentate</t>
  </si>
  <si>
    <t>joyride</t>
  </si>
  <si>
    <t>tool_around</t>
  </si>
  <si>
    <t>appliance</t>
  </si>
  <si>
    <t>contraption</t>
  </si>
  <si>
    <t>contrivance</t>
  </si>
  <si>
    <t>convenience</t>
  </si>
  <si>
    <t>gadget</t>
  </si>
  <si>
    <t>implement</t>
  </si>
  <si>
    <t>utensil</t>
  </si>
  <si>
    <t>instrumental_role</t>
  </si>
  <si>
    <t>puppet</t>
  </si>
  <si>
    <t>cat's-paw</t>
  </si>
  <si>
    <t>paca</t>
  </si>
  <si>
    <t>p a k a</t>
  </si>
  <si>
    <t>Cuniculus_paca</t>
  </si>
  <si>
    <t>pacane</t>
  </si>
  <si>
    <t>p a k a n</t>
  </si>
  <si>
    <t>pakan</t>
  </si>
  <si>
    <t>pachalik</t>
  </si>
  <si>
    <t>p a ʃ a l i k</t>
  </si>
  <si>
    <t>pashalik</t>
  </si>
  <si>
    <t>pagne</t>
  </si>
  <si>
    <t>breechcloth</t>
  </si>
  <si>
    <t>breechclout</t>
  </si>
  <si>
    <t>loincloth</t>
  </si>
  <si>
    <t>sarong</t>
  </si>
  <si>
    <t>paillasse</t>
  </si>
  <si>
    <t>p a j a s</t>
  </si>
  <si>
    <t>payas</t>
  </si>
  <si>
    <t>paille</t>
  </si>
  <si>
    <t>strew</t>
  </si>
  <si>
    <t>drinking_straw</t>
  </si>
  <si>
    <t>pale_yellow</t>
  </si>
  <si>
    <t>wheat</t>
  </si>
  <si>
    <t>chaff</t>
  </si>
  <si>
    <t>husk</t>
  </si>
  <si>
    <t>shuck</t>
  </si>
  <si>
    <t>stubble</t>
  </si>
  <si>
    <t>p ɑ j</t>
  </si>
  <si>
    <t>p a k i</t>
  </si>
  <si>
    <t>p a l a s</t>
  </si>
  <si>
    <t>palatalized</t>
  </si>
  <si>
    <t>palatalised</t>
  </si>
  <si>
    <t>palatine</t>
  </si>
  <si>
    <t>p a l a t i n</t>
  </si>
  <si>
    <t>palatin</t>
  </si>
  <si>
    <t>paddle</t>
  </si>
  <si>
    <t>pallas</t>
  </si>
  <si>
    <t>Pallas</t>
  </si>
  <si>
    <t>Athena</t>
  </si>
  <si>
    <t>Athene</t>
  </si>
  <si>
    <t>Pallas_Athena</t>
  </si>
  <si>
    <t>Pallas_Athene</t>
  </si>
  <si>
    <t>panache</t>
  </si>
  <si>
    <t>p a n a ʃ</t>
  </si>
  <si>
    <t>panash</t>
  </si>
  <si>
    <t>elan</t>
  </si>
  <si>
    <t>flair</t>
  </si>
  <si>
    <t>paname</t>
  </si>
  <si>
    <t>p a n a m</t>
  </si>
  <si>
    <t>panam</t>
  </si>
  <si>
    <t>panamá</t>
  </si>
  <si>
    <t>pane</t>
  </si>
  <si>
    <t>p a n</t>
  </si>
  <si>
    <t>Panicum</t>
  </si>
  <si>
    <t>genus_Panicum</t>
  </si>
  <si>
    <t>p a n i n i</t>
  </si>
  <si>
    <t>panique</t>
  </si>
  <si>
    <t>breakdown</t>
  </si>
  <si>
    <t>equipment_failure</t>
  </si>
  <si>
    <t>outage</t>
  </si>
  <si>
    <t>blackout</t>
  </si>
  <si>
    <t>paonne</t>
  </si>
  <si>
    <t>peahen</t>
  </si>
  <si>
    <t>papaye</t>
  </si>
  <si>
    <t>p a p a j</t>
  </si>
  <si>
    <t>papay</t>
  </si>
  <si>
    <t>papaya_tree</t>
  </si>
  <si>
    <t>melon_tree</t>
  </si>
  <si>
    <t>Carica_papaya</t>
  </si>
  <si>
    <t>pape</t>
  </si>
  <si>
    <t>p a p</t>
  </si>
  <si>
    <t>Pope</t>
  </si>
  <si>
    <t>Alexander_Pope</t>
  </si>
  <si>
    <t>p a p i</t>
  </si>
  <si>
    <t>papille</t>
  </si>
  <si>
    <t>p a p i j</t>
  </si>
  <si>
    <t>papiy</t>
  </si>
  <si>
    <t>tastebud</t>
  </si>
  <si>
    <t>taste_bud</t>
  </si>
  <si>
    <t>gustatory_organ</t>
  </si>
  <si>
    <t>papis</t>
  </si>
  <si>
    <t>papou</t>
  </si>
  <si>
    <t>Papuan</t>
  </si>
  <si>
    <t>Papuan_language</t>
  </si>
  <si>
    <t>papy</t>
  </si>
  <si>
    <t>not</t>
  </si>
  <si>
    <t>non</t>
  </si>
  <si>
    <t>nowhere</t>
  </si>
  <si>
    <t>delivery</t>
  </si>
  <si>
    <t>incorrectly</t>
  </si>
  <si>
    <t>wrong</t>
  </si>
  <si>
    <t>pitching</t>
  </si>
  <si>
    <t>auction_pitch</t>
  </si>
  <si>
    <t>dance_step</t>
  </si>
  <si>
    <t>screw_thread</t>
  </si>
  <si>
    <t>stair</t>
  </si>
  <si>
    <t>no</t>
  </si>
  <si>
    <t>tempo</t>
  </si>
  <si>
    <t>p ɑ</t>
  </si>
  <si>
    <t>passacaille</t>
  </si>
  <si>
    <t>p a s a k a j</t>
  </si>
  <si>
    <t>pasakay</t>
  </si>
  <si>
    <t>passe</t>
  </si>
  <si>
    <t>passkey</t>
  </si>
  <si>
    <t>passe-partout</t>
  </si>
  <si>
    <t>master_key</t>
  </si>
  <si>
    <t>passes</t>
  </si>
  <si>
    <t>passy</t>
  </si>
  <si>
    <t>p a s i</t>
  </si>
  <si>
    <t>patache</t>
  </si>
  <si>
    <t>p a t a ʃ</t>
  </si>
  <si>
    <t>patash</t>
  </si>
  <si>
    <t>patati</t>
  </si>
  <si>
    <t>p a t a t i</t>
  </si>
  <si>
    <t>patine</t>
  </si>
  <si>
    <t>p a t i n</t>
  </si>
  <si>
    <t>patin</t>
  </si>
  <si>
    <t>patina</t>
  </si>
  <si>
    <t>patouille</t>
  </si>
  <si>
    <t>p a t u j</t>
  </si>
  <si>
    <t>patuy</t>
  </si>
  <si>
    <t>petit</t>
  </si>
  <si>
    <t>little</t>
  </si>
  <si>
    <t>belittled</t>
  </si>
  <si>
    <t>diminished</t>
  </si>
  <si>
    <t>fiddling</t>
  </si>
  <si>
    <t>footling</t>
  </si>
  <si>
    <t>niggling</t>
  </si>
  <si>
    <t>piddling</t>
  </si>
  <si>
    <t>piffling</t>
  </si>
  <si>
    <t>petty</t>
  </si>
  <si>
    <t>picayune</t>
  </si>
  <si>
    <t>trivial</t>
  </si>
  <si>
    <t>offspring</t>
  </si>
  <si>
    <t>small-scale</t>
  </si>
  <si>
    <t>pocket-size</t>
  </si>
  <si>
    <t>pocket-sized</t>
  </si>
  <si>
    <t>brief</t>
  </si>
  <si>
    <t>minuscule</t>
  </si>
  <si>
    <t>immature</t>
  </si>
  <si>
    <t>younger</t>
  </si>
  <si>
    <t>jr.</t>
  </si>
  <si>
    <t>microscopic</t>
  </si>
  <si>
    <t>microscopical</t>
  </si>
  <si>
    <t>Kyd</t>
  </si>
  <si>
    <t>Kid</t>
  </si>
  <si>
    <t>Thomas_Kyd</t>
  </si>
  <si>
    <t>Thomas_Kid</t>
  </si>
  <si>
    <t>woodpecker</t>
  </si>
  <si>
    <t>peckerwood</t>
  </si>
  <si>
    <t>flower</t>
  </si>
  <si>
    <t>prime</t>
  </si>
  <si>
    <t>heyday</t>
  </si>
  <si>
    <t>blossom</t>
  </si>
  <si>
    <t>efflorescence</t>
  </si>
  <si>
    <t>pics</t>
  </si>
  <si>
    <t>motley</t>
  </si>
  <si>
    <t>calico</t>
  </si>
  <si>
    <t>multicolor</t>
  </si>
  <si>
    <t>multi-color</t>
  </si>
  <si>
    <t>multicolour</t>
  </si>
  <si>
    <t>multi-colour</t>
  </si>
  <si>
    <t>multicolored</t>
  </si>
  <si>
    <t>multi-colored</t>
  </si>
  <si>
    <t>multicoloured</t>
  </si>
  <si>
    <t>multi-coloured</t>
  </si>
  <si>
    <t>painted</t>
  </si>
  <si>
    <t>particolored</t>
  </si>
  <si>
    <t>particoloured</t>
  </si>
  <si>
    <t>piebald</t>
  </si>
  <si>
    <t>pied</t>
  </si>
  <si>
    <t>varicolored</t>
  </si>
  <si>
    <t>varicoloured</t>
  </si>
  <si>
    <t>Pica</t>
  </si>
  <si>
    <t>genus_Pica</t>
  </si>
  <si>
    <t>magpie</t>
  </si>
  <si>
    <t>dappled</t>
  </si>
  <si>
    <t>mottled</t>
  </si>
  <si>
    <t>stone</t>
  </si>
  <si>
    <t>crust</t>
  </si>
  <si>
    <t>incrustation</t>
  </si>
  <si>
    <t>encrustation</t>
  </si>
  <si>
    <t>tartar</t>
  </si>
  <si>
    <t>calculus</t>
  </si>
  <si>
    <t>tophus</t>
  </si>
  <si>
    <t>chatterer</t>
  </si>
  <si>
    <t>prater</t>
  </si>
  <si>
    <t>chatterbox</t>
  </si>
  <si>
    <t>spouter</t>
  </si>
  <si>
    <t>scavenger</t>
  </si>
  <si>
    <t>pack_rat</t>
  </si>
  <si>
    <t>pikine</t>
  </si>
  <si>
    <t>p i k i n</t>
  </si>
  <si>
    <t>pikin</t>
  </si>
  <si>
    <t>p i l</t>
  </si>
  <si>
    <t>on_the_nose</t>
  </si>
  <si>
    <t>on_the_dot</t>
  </si>
  <si>
    <t>on_the_button</t>
  </si>
  <si>
    <t>battery</t>
  </si>
  <si>
    <t>electric_battery</t>
  </si>
  <si>
    <t>stamp_battery</t>
  </si>
  <si>
    <t>cubicle</t>
  </si>
  <si>
    <t>dress_suit</t>
  </si>
  <si>
    <t>full_dress</t>
  </si>
  <si>
    <t>tailcoat</t>
  </si>
  <si>
    <t>tail_coat</t>
  </si>
  <si>
    <t>tails</t>
  </si>
  <si>
    <t>white_tie</t>
  </si>
  <si>
    <t>white_tie_and_tails</t>
  </si>
  <si>
    <t>pacemaker</t>
  </si>
  <si>
    <t>artificial_pacemaker</t>
  </si>
  <si>
    <t>voltaic_pile</t>
  </si>
  <si>
    <t>galvanic_pile</t>
  </si>
  <si>
    <t>pille</t>
  </si>
  <si>
    <t>pina</t>
  </si>
  <si>
    <t>p i n a</t>
  </si>
  <si>
    <t>pinas</t>
  </si>
  <si>
    <t>p i n ɑ</t>
  </si>
  <si>
    <t>pinasse</t>
  </si>
  <si>
    <t>p i n a s</t>
  </si>
  <si>
    <t>pinassent</t>
  </si>
  <si>
    <t>pinasses</t>
  </si>
  <si>
    <t>pinent</t>
  </si>
  <si>
    <t>pines</t>
  </si>
  <si>
    <t>pinâmes</t>
  </si>
  <si>
    <t>p i n ɑ m</t>
  </si>
  <si>
    <t>pinam</t>
  </si>
  <si>
    <t>pinât</t>
  </si>
  <si>
    <t>cock_sucking</t>
  </si>
  <si>
    <t>blowjob</t>
  </si>
  <si>
    <t>shriek</t>
  </si>
  <si>
    <t>shrill</t>
  </si>
  <si>
    <t>pipe_up</t>
  </si>
  <si>
    <t>pipage</t>
  </si>
  <si>
    <t>piping</t>
  </si>
  <si>
    <t>pipes</t>
  </si>
  <si>
    <t>piques</t>
  </si>
  <si>
    <t>worse</t>
  </si>
  <si>
    <t>udder</t>
  </si>
  <si>
    <t>piscine</t>
  </si>
  <si>
    <t>swimming</t>
  </si>
  <si>
    <t>pisse</t>
  </si>
  <si>
    <t>pisses</t>
  </si>
  <si>
    <t>pitaya</t>
  </si>
  <si>
    <t>p i t a j a</t>
  </si>
  <si>
    <t>pitou</t>
  </si>
  <si>
    <t>p i t u</t>
  </si>
  <si>
    <t>pitu</t>
  </si>
  <si>
    <t>pitoune</t>
  </si>
  <si>
    <t>p i t u n</t>
  </si>
  <si>
    <t>pitun</t>
  </si>
  <si>
    <t>poole</t>
  </si>
  <si>
    <t>pou</t>
  </si>
  <si>
    <t>sucking_louse</t>
  </si>
  <si>
    <t>bird_louse</t>
  </si>
  <si>
    <t>biting_louse</t>
  </si>
  <si>
    <t>plant_louse</t>
  </si>
  <si>
    <t>pouce</t>
  </si>
  <si>
    <t>hitchhike</t>
  </si>
  <si>
    <t>thumb</t>
  </si>
  <si>
    <t>riffle</t>
  </si>
  <si>
    <t>leaf</t>
  </si>
  <si>
    <t>riff</t>
  </si>
  <si>
    <t>ovolo</t>
  </si>
  <si>
    <t>quarter_round</t>
  </si>
  <si>
    <t>pollex</t>
  </si>
  <si>
    <t>big_toe</t>
  </si>
  <si>
    <t>great_toe</t>
  </si>
  <si>
    <t>hallux</t>
  </si>
  <si>
    <t>thumbnail</t>
  </si>
  <si>
    <t>column_inch</t>
  </si>
  <si>
    <t>pouces</t>
  </si>
  <si>
    <t>pouilles</t>
  </si>
  <si>
    <t>p u j</t>
  </si>
  <si>
    <t>puy</t>
  </si>
  <si>
    <t>Puglia</t>
  </si>
  <si>
    <t>Apulia</t>
  </si>
  <si>
    <t>poulaille</t>
  </si>
  <si>
    <t>p u l ɑ j</t>
  </si>
  <si>
    <t>pulay</t>
  </si>
  <si>
    <t>poule</t>
  </si>
  <si>
    <t>pouliche</t>
  </si>
  <si>
    <t>p u l i ʃ</t>
  </si>
  <si>
    <t>pulish</t>
  </si>
  <si>
    <t>filly</t>
  </si>
  <si>
    <t>poulie</t>
  </si>
  <si>
    <t>pouls</t>
  </si>
  <si>
    <t>pulse</t>
  </si>
  <si>
    <t>pulsate</t>
  </si>
  <si>
    <t>pulsation</t>
  </si>
  <si>
    <t>throb</t>
  </si>
  <si>
    <t>throbbing</t>
  </si>
  <si>
    <t>pounding</t>
  </si>
  <si>
    <t>pulsing</t>
  </si>
  <si>
    <t>pulse_rate</t>
  </si>
  <si>
    <t>heart_rate</t>
  </si>
  <si>
    <t>poupe</t>
  </si>
  <si>
    <t>p u p</t>
  </si>
  <si>
    <t>pup</t>
  </si>
  <si>
    <t>strict</t>
  </si>
  <si>
    <t>exacting</t>
  </si>
  <si>
    <t>austere</t>
  </si>
  <si>
    <t>inexorable</t>
  </si>
  <si>
    <t>relentless</t>
  </si>
  <si>
    <t>unappeasable</t>
  </si>
  <si>
    <t>unforgiving</t>
  </si>
  <si>
    <t>unrelenting</t>
  </si>
  <si>
    <t>after_part</t>
  </si>
  <si>
    <t>quarter</t>
  </si>
  <si>
    <t>the_skinny</t>
  </si>
  <si>
    <t>Puppis</t>
  </si>
  <si>
    <t>Stern</t>
  </si>
  <si>
    <t>Isaac_Stern</t>
  </si>
  <si>
    <t>poutine</t>
  </si>
  <si>
    <t>p u t i n</t>
  </si>
  <si>
    <t>putin</t>
  </si>
  <si>
    <t>Putin</t>
  </si>
  <si>
    <t>Vladimir_Putin</t>
  </si>
  <si>
    <t>Vladimir_Vladimirovich_Putin</t>
  </si>
  <si>
    <t>poux</t>
  </si>
  <si>
    <t>pulls</t>
  </si>
  <si>
    <t>pâle</t>
  </si>
  <si>
    <t>lurid</t>
  </si>
  <si>
    <t>pâque</t>
  </si>
  <si>
    <t>Passover</t>
  </si>
  <si>
    <t>Pesach</t>
  </si>
  <si>
    <t>Pesah</t>
  </si>
  <si>
    <t>Feast_of_the_Unleavened_Bread</t>
  </si>
  <si>
    <t>pâques</t>
  </si>
  <si>
    <t>east_wind</t>
  </si>
  <si>
    <t>easter</t>
  </si>
  <si>
    <t>easterly</t>
  </si>
  <si>
    <t>Easter</t>
  </si>
  <si>
    <t>pâquis</t>
  </si>
  <si>
    <t>p ɑ k i</t>
  </si>
  <si>
    <t>pâti</t>
  </si>
  <si>
    <t>pâtis</t>
  </si>
  <si>
    <t>pâtisse</t>
  </si>
  <si>
    <t>p a t i s</t>
  </si>
  <si>
    <t>patis</t>
  </si>
  <si>
    <t>p ɑ t i s</t>
  </si>
  <si>
    <t>pâtissent</t>
  </si>
  <si>
    <t>pâtisses</t>
  </si>
  <si>
    <t>pâtit</t>
  </si>
  <si>
    <t>pâtîmes</t>
  </si>
  <si>
    <t>pâtît</t>
  </si>
  <si>
    <t>père</t>
  </si>
  <si>
    <t>p æ ɾ</t>
  </si>
  <si>
    <t>par</t>
  </si>
  <si>
    <t>beget</t>
  </si>
  <si>
    <t>engender</t>
  </si>
  <si>
    <t>generate</t>
  </si>
  <si>
    <t>bring_forth</t>
  </si>
  <si>
    <t>Trinity</t>
  </si>
  <si>
    <t>Holy_Trinity</t>
  </si>
  <si>
    <t>Blessed_Trinity</t>
  </si>
  <si>
    <t>Sacred_Trinity</t>
  </si>
  <si>
    <t>qilin</t>
  </si>
  <si>
    <t>k i l i n</t>
  </si>
  <si>
    <t>kilin</t>
  </si>
  <si>
    <t>World_Health_Organization</t>
  </si>
  <si>
    <t>WHO</t>
  </si>
  <si>
    <t>quiche</t>
  </si>
  <si>
    <t>k i ʃ</t>
  </si>
  <si>
    <t>quille</t>
  </si>
  <si>
    <t>k i j</t>
  </si>
  <si>
    <t>kiy</t>
  </si>
  <si>
    <t>ninepins</t>
  </si>
  <si>
    <t>skittles</t>
  </si>
  <si>
    <t>pelvic_fin</t>
  </si>
  <si>
    <t>ventral_fin</t>
  </si>
  <si>
    <t>ninepin</t>
  </si>
  <si>
    <t>skittle</t>
  </si>
  <si>
    <t>skittle_pin</t>
  </si>
  <si>
    <t>k i n i n</t>
  </si>
  <si>
    <t>joint-stock_company</t>
  </si>
  <si>
    <t>cup_of_tea</t>
  </si>
  <si>
    <t>traveling_bag</t>
  </si>
  <si>
    <t>travelling_bag</t>
  </si>
  <si>
    <t>suitcase</t>
  </si>
  <si>
    <t>handbag</t>
  </si>
  <si>
    <t>pocketbook</t>
  </si>
  <si>
    <t>purse</t>
  </si>
  <si>
    <t>base</t>
  </si>
  <si>
    <t>old_bag</t>
  </si>
  <si>
    <t>swelling</t>
  </si>
  <si>
    <t>puffiness</t>
  </si>
  <si>
    <t>sacha</t>
  </si>
  <si>
    <t>s a ʃ a</t>
  </si>
  <si>
    <t>sasha</t>
  </si>
  <si>
    <t>sache</t>
  </si>
  <si>
    <t>s a ʃ</t>
  </si>
  <si>
    <t>saches</t>
  </si>
  <si>
    <t>saillie</t>
  </si>
  <si>
    <t>s a j i</t>
  </si>
  <si>
    <t>sayi</t>
  </si>
  <si>
    <t>protrusion</t>
  </si>
  <si>
    <t>projection</t>
  </si>
  <si>
    <t>jut</t>
  </si>
  <si>
    <t>jutting</t>
  </si>
  <si>
    <t>sexual_intercourse</t>
  </si>
  <si>
    <t>intercourse</t>
  </si>
  <si>
    <t>sex_act</t>
  </si>
  <si>
    <t>copulation</t>
  </si>
  <si>
    <t>coitus</t>
  </si>
  <si>
    <t>coition</t>
  </si>
  <si>
    <t>sexual_congress</t>
  </si>
  <si>
    <t>congress</t>
  </si>
  <si>
    <t>sexual_relation</t>
  </si>
  <si>
    <t>relation</t>
  </si>
  <si>
    <t>carnal_knowledge</t>
  </si>
  <si>
    <t>project</t>
  </si>
  <si>
    <t>acoustic_projection</t>
  </si>
  <si>
    <t>sound_projection</t>
  </si>
  <si>
    <t>hump</t>
  </si>
  <si>
    <t>gibbosity</t>
  </si>
  <si>
    <t>gibbousness</t>
  </si>
  <si>
    <t>prominence</t>
  </si>
  <si>
    <t>protuberance</t>
  </si>
  <si>
    <t>extrusion</t>
  </si>
  <si>
    <t>excrescence</t>
  </si>
  <si>
    <t>salas</t>
  </si>
  <si>
    <t>s a l ɑ</t>
  </si>
  <si>
    <t>sale</t>
  </si>
  <si>
    <t>soiled</t>
  </si>
  <si>
    <t>unclean</t>
  </si>
  <si>
    <t>contaminating</t>
  </si>
  <si>
    <t>cheating</t>
  </si>
  <si>
    <t>unsporting</t>
  </si>
  <si>
    <t>unsportsmanlike</t>
  </si>
  <si>
    <t>ill-gotten</t>
  </si>
  <si>
    <t>marked-up</t>
  </si>
  <si>
    <t>filthy</t>
  </si>
  <si>
    <t>dingy</t>
  </si>
  <si>
    <t>muddied</t>
  </si>
  <si>
    <t>muddy</t>
  </si>
  <si>
    <t>pestiferous</t>
  </si>
  <si>
    <t>saline</t>
  </si>
  <si>
    <t>s a l i n</t>
  </si>
  <si>
    <t>salin</t>
  </si>
  <si>
    <t>salle</t>
  </si>
  <si>
    <t>chamber</t>
  </si>
  <si>
    <t>board</t>
  </si>
  <si>
    <t>bedroom</t>
  </si>
  <si>
    <t>sleeping_room</t>
  </si>
  <si>
    <t>sleeping_accommodation</t>
  </si>
  <si>
    <t>bedchamber</t>
  </si>
  <si>
    <t>cellblock</t>
  </si>
  <si>
    <t>suite</t>
  </si>
  <si>
    <t>sanie</t>
  </si>
  <si>
    <t>s a n i</t>
  </si>
  <si>
    <t>sani</t>
  </si>
  <si>
    <t>saoul</t>
  </si>
  <si>
    <t>saoule</t>
  </si>
  <si>
    <t>s u l</t>
  </si>
  <si>
    <t>sul</t>
  </si>
  <si>
    <t>s a p a</t>
  </si>
  <si>
    <t>sape</t>
  </si>
  <si>
    <t>sapes</t>
  </si>
  <si>
    <t>s a s</t>
  </si>
  <si>
    <t>airlock</t>
  </si>
  <si>
    <t>air_lock</t>
  </si>
  <si>
    <t>sassa</t>
  </si>
  <si>
    <t>s a s a</t>
  </si>
  <si>
    <t>sasa</t>
  </si>
  <si>
    <t>sassas</t>
  </si>
  <si>
    <t>s a s ɑ</t>
  </si>
  <si>
    <t>sassasse</t>
  </si>
  <si>
    <t>s a s a s</t>
  </si>
  <si>
    <t>sasas</t>
  </si>
  <si>
    <t>sassassent</t>
  </si>
  <si>
    <t>sassasses</t>
  </si>
  <si>
    <t>sassent</t>
  </si>
  <si>
    <t>sasses</t>
  </si>
  <si>
    <t>sassâmes</t>
  </si>
  <si>
    <t>s a s ɑ m</t>
  </si>
  <si>
    <t>sasam</t>
  </si>
  <si>
    <t>sassât</t>
  </si>
  <si>
    <t>schah</t>
  </si>
  <si>
    <t>scie</t>
  </si>
  <si>
    <t>cat's_cradle</t>
  </si>
  <si>
    <t>hacksaw</t>
  </si>
  <si>
    <t>hack_saw</t>
  </si>
  <si>
    <t>metal_saw</t>
  </si>
  <si>
    <t>power_saw</t>
  </si>
  <si>
    <t>sawing_machine</t>
  </si>
  <si>
    <t>proverb</t>
  </si>
  <si>
    <t>adage</t>
  </si>
  <si>
    <t>byword</t>
  </si>
  <si>
    <t>scille</t>
  </si>
  <si>
    <t>scilla</t>
  </si>
  <si>
    <t>squill</t>
  </si>
  <si>
    <t>sea_squill</t>
  </si>
  <si>
    <t>sea_onion</t>
  </si>
  <si>
    <t>Urginea_maritima</t>
  </si>
  <si>
    <t>shah</t>
  </si>
  <si>
    <t>s i k</t>
  </si>
  <si>
    <t>sicile</t>
  </si>
  <si>
    <t>s i s i l</t>
  </si>
  <si>
    <t>sisil</t>
  </si>
  <si>
    <t>Sicily</t>
  </si>
  <si>
    <t>Sicilia</t>
  </si>
  <si>
    <t>signal</t>
  </si>
  <si>
    <t>s i ɲ a l</t>
  </si>
  <si>
    <t>siñal</t>
  </si>
  <si>
    <t>sign</t>
  </si>
  <si>
    <t>signalize</t>
  </si>
  <si>
    <t>signalise</t>
  </si>
  <si>
    <t>signaling</t>
  </si>
  <si>
    <t>signe</t>
  </si>
  <si>
    <t>sign_of_the_zodiac</t>
  </si>
  <si>
    <t>star_sign</t>
  </si>
  <si>
    <t>mansion</t>
  </si>
  <si>
    <t>planetary_house</t>
  </si>
  <si>
    <t>polarity</t>
  </si>
  <si>
    <t>signent</t>
  </si>
  <si>
    <t>signes</t>
  </si>
  <si>
    <t>sikhe</t>
  </si>
  <si>
    <t>silice</t>
  </si>
  <si>
    <t>s i l i s</t>
  </si>
  <si>
    <t>silis</t>
  </si>
  <si>
    <t>silica</t>
  </si>
  <si>
    <t>silicon_oxide</t>
  </si>
  <si>
    <t>silicon_dioxide</t>
  </si>
  <si>
    <t>s i l i k</t>
  </si>
  <si>
    <t>simoun</t>
  </si>
  <si>
    <t>s i m u n</t>
  </si>
  <si>
    <t>simun</t>
  </si>
  <si>
    <t>simoom</t>
  </si>
  <si>
    <t>simoon</t>
  </si>
  <si>
    <t>samiel</t>
  </si>
  <si>
    <t>located</t>
  </si>
  <si>
    <t>placed</t>
  </si>
  <si>
    <t>situated</t>
  </si>
  <si>
    <t>flooring</t>
  </si>
  <si>
    <t>ground</t>
  </si>
  <si>
    <t>earth</t>
  </si>
  <si>
    <t>dry_land</t>
  </si>
  <si>
    <t>solid_ground</t>
  </si>
  <si>
    <t>terra_firma</t>
  </si>
  <si>
    <t>dirt</t>
  </si>
  <si>
    <t>sou</t>
  </si>
  <si>
    <t>penny</t>
  </si>
  <si>
    <t>souche</t>
  </si>
  <si>
    <t>s u ʃ</t>
  </si>
  <si>
    <t>sush</t>
  </si>
  <si>
    <t>striving</t>
  </si>
  <si>
    <t>nisus</t>
  </si>
  <si>
    <t>pains</t>
  </si>
  <si>
    <t>strain</t>
  </si>
  <si>
    <t>tenor</t>
  </si>
  <si>
    <t>souci</t>
  </si>
  <si>
    <t>concern</t>
  </si>
  <si>
    <t>headache</t>
  </si>
  <si>
    <t>vexation</t>
  </si>
  <si>
    <t>sake</t>
  </si>
  <si>
    <t>edginess</t>
  </si>
  <si>
    <t>uneasiness</t>
  </si>
  <si>
    <t>inquietude</t>
  </si>
  <si>
    <t>disquietude</t>
  </si>
  <si>
    <t>marigold</t>
  </si>
  <si>
    <t>soucoupe</t>
  </si>
  <si>
    <t>discus</t>
  </si>
  <si>
    <t>saucer</t>
  </si>
  <si>
    <t>dish_aerial</t>
  </si>
  <si>
    <t>dish_antenna</t>
  </si>
  <si>
    <t>disk</t>
  </si>
  <si>
    <t>disc</t>
  </si>
  <si>
    <t>souille</t>
  </si>
  <si>
    <t>s u j</t>
  </si>
  <si>
    <t>suy</t>
  </si>
  <si>
    <t>souk</t>
  </si>
  <si>
    <t>soukoun</t>
  </si>
  <si>
    <t>s u k u n</t>
  </si>
  <si>
    <t>sukun</t>
  </si>
  <si>
    <t>soumis</t>
  </si>
  <si>
    <t>s u m i</t>
  </si>
  <si>
    <t>sumi</t>
  </si>
  <si>
    <t>soupa</t>
  </si>
  <si>
    <t>soupape</t>
  </si>
  <si>
    <t>s u p a p</t>
  </si>
  <si>
    <t>supap</t>
  </si>
  <si>
    <t>poppet</t>
  </si>
  <si>
    <t>poppet_valve</t>
  </si>
  <si>
    <t>valve</t>
  </si>
  <si>
    <t>soupapes</t>
  </si>
  <si>
    <t>soupas</t>
  </si>
  <si>
    <t>s u p ɑ</t>
  </si>
  <si>
    <t>soupasse</t>
  </si>
  <si>
    <t>s u p a s</t>
  </si>
  <si>
    <t>supas</t>
  </si>
  <si>
    <t>soupassent</t>
  </si>
  <si>
    <t>soupasses</t>
  </si>
  <si>
    <t>soupe</t>
  </si>
  <si>
    <t>soupent</t>
  </si>
  <si>
    <t>soupâmes</t>
  </si>
  <si>
    <t>s u p ɑ m</t>
  </si>
  <si>
    <t>supam</t>
  </si>
  <si>
    <t>soupât</t>
  </si>
  <si>
    <t>sous</t>
  </si>
  <si>
    <t>soutane</t>
  </si>
  <si>
    <t>s u t a n</t>
  </si>
  <si>
    <t>sutan</t>
  </si>
  <si>
    <t>cassock</t>
  </si>
  <si>
    <t>soûl</t>
  </si>
  <si>
    <t>syli</t>
  </si>
  <si>
    <t>s i l i</t>
  </si>
  <si>
    <t>t a</t>
  </si>
  <si>
    <t>t a ʃ</t>
  </si>
  <si>
    <t>doubling</t>
  </si>
  <si>
    <t>double</t>
  </si>
  <si>
    <t>blotch</t>
  </si>
  <si>
    <t>splodge</t>
  </si>
  <si>
    <t>splotch</t>
  </si>
  <si>
    <t>macule</t>
  </si>
  <si>
    <t>contamination</t>
  </si>
  <si>
    <t>grease</t>
  </si>
  <si>
    <t>grunge</t>
  </si>
  <si>
    <t>tachine</t>
  </si>
  <si>
    <t>t a k i n</t>
  </si>
  <si>
    <t>takin</t>
  </si>
  <si>
    <t>taille</t>
  </si>
  <si>
    <t>t a j</t>
  </si>
  <si>
    <t>tay</t>
  </si>
  <si>
    <t>waist</t>
  </si>
  <si>
    <t>stature</t>
  </si>
  <si>
    <t>size</t>
  </si>
  <si>
    <t>extent</t>
  </si>
  <si>
    <t>width</t>
  </si>
  <si>
    <t>breadth</t>
  </si>
  <si>
    <t>waistline</t>
  </si>
  <si>
    <t>size_of_it</t>
  </si>
  <si>
    <t>taillis</t>
  </si>
  <si>
    <t>t ɑ j i</t>
  </si>
  <si>
    <t>tayi</t>
  </si>
  <si>
    <t>t a l i n</t>
  </si>
  <si>
    <t>tamis</t>
  </si>
  <si>
    <t>sieve</t>
  </si>
  <si>
    <t>sift</t>
  </si>
  <si>
    <t>screen_out</t>
  </si>
  <si>
    <t>tamoul</t>
  </si>
  <si>
    <t>t a m u l</t>
  </si>
  <si>
    <t>tamul</t>
  </si>
  <si>
    <t>tana</t>
  </si>
  <si>
    <t>t a n a</t>
  </si>
  <si>
    <t>tanna</t>
  </si>
  <si>
    <t>tannas</t>
  </si>
  <si>
    <t>t a n ɑ</t>
  </si>
  <si>
    <t>tannasse</t>
  </si>
  <si>
    <t>t a n a s</t>
  </si>
  <si>
    <t>tanas</t>
  </si>
  <si>
    <t>tannassent</t>
  </si>
  <si>
    <t>tannasses</t>
  </si>
  <si>
    <t>tanne</t>
  </si>
  <si>
    <t>tannent</t>
  </si>
  <si>
    <t>tannes</t>
  </si>
  <si>
    <t>tannâmes</t>
  </si>
  <si>
    <t>t a n ɑ m</t>
  </si>
  <si>
    <t>tanam</t>
  </si>
  <si>
    <t>tannât</t>
  </si>
  <si>
    <t>tape</t>
  </si>
  <si>
    <t>tapi</t>
  </si>
  <si>
    <t>t a p i</t>
  </si>
  <si>
    <t>tapisse</t>
  </si>
  <si>
    <t>tapissent</t>
  </si>
  <si>
    <t>tapisses</t>
  </si>
  <si>
    <t>tapit</t>
  </si>
  <si>
    <t>tapîmes</t>
  </si>
  <si>
    <t>t a p i m</t>
  </si>
  <si>
    <t>tapim</t>
  </si>
  <si>
    <t>tapît</t>
  </si>
  <si>
    <t>t ɑ</t>
  </si>
  <si>
    <t>t ɑ s</t>
  </si>
  <si>
    <t>transfuse</t>
  </si>
  <si>
    <t>cupful</t>
  </si>
  <si>
    <t>tassât</t>
  </si>
  <si>
    <t>t a s ɑ</t>
  </si>
  <si>
    <t>tata</t>
  </si>
  <si>
    <t>t a t a</t>
  </si>
  <si>
    <t>tatie</t>
  </si>
  <si>
    <t>t a t i</t>
  </si>
  <si>
    <t>tatou</t>
  </si>
  <si>
    <t>t a t u</t>
  </si>
  <si>
    <t>armadillo</t>
  </si>
  <si>
    <t>tatouille</t>
  </si>
  <si>
    <t>t a t u j</t>
  </si>
  <si>
    <t>tatuy</t>
  </si>
  <si>
    <t>thaï</t>
  </si>
  <si>
    <t>Thai</t>
  </si>
  <si>
    <t>Tai</t>
  </si>
  <si>
    <t>Siamese</t>
  </si>
  <si>
    <t>Central_Thai</t>
  </si>
  <si>
    <t>thaïe</t>
  </si>
  <si>
    <t>thaïs</t>
  </si>
  <si>
    <t>jerk</t>
  </si>
  <si>
    <t>communication</t>
  </si>
  <si>
    <t>tignasse</t>
  </si>
  <si>
    <t>t i ɲ a s</t>
  </si>
  <si>
    <t>tiñas</t>
  </si>
  <si>
    <t>tignasses</t>
  </si>
  <si>
    <t>tillac</t>
  </si>
  <si>
    <t>t i j a k</t>
  </si>
  <si>
    <t>tiyak</t>
  </si>
  <si>
    <t>tinamou</t>
  </si>
  <si>
    <t>partridge</t>
  </si>
  <si>
    <t>tinamous</t>
  </si>
  <si>
    <t>Tinamiformes</t>
  </si>
  <si>
    <t>order_Tinamiformes</t>
  </si>
  <si>
    <t>tique</t>
  </si>
  <si>
    <t>Argasidae</t>
  </si>
  <si>
    <t>family_Argasidae</t>
  </si>
  <si>
    <t>tisse</t>
  </si>
  <si>
    <t>titane</t>
  </si>
  <si>
    <t>titine</t>
  </si>
  <si>
    <t>t i t i n</t>
  </si>
  <si>
    <t>titin</t>
  </si>
  <si>
    <t>toucha</t>
  </si>
  <si>
    <t>t u ʃ a</t>
  </si>
  <si>
    <t>tusha</t>
  </si>
  <si>
    <t>touche</t>
  </si>
  <si>
    <t>t u ʃ</t>
  </si>
  <si>
    <t>avocation</t>
  </si>
  <si>
    <t>by-line</t>
  </si>
  <si>
    <t>hobby</t>
  </si>
  <si>
    <t>sideline</t>
  </si>
  <si>
    <t>spare-time_activity</t>
  </si>
  <si>
    <t>operative</t>
  </si>
  <si>
    <t>piano_keyboard</t>
  </si>
  <si>
    <t>fingerboard</t>
  </si>
  <si>
    <t>clavier</t>
  </si>
  <si>
    <t>toul</t>
  </si>
  <si>
    <t>t u l</t>
  </si>
  <si>
    <t>tul</t>
  </si>
  <si>
    <t>toune</t>
  </si>
  <si>
    <t>t u n</t>
  </si>
  <si>
    <t>toupie</t>
  </si>
  <si>
    <t>tous</t>
  </si>
  <si>
    <t>t u s</t>
  </si>
  <si>
    <t>tus</t>
  </si>
  <si>
    <t>t ʊ s</t>
  </si>
  <si>
    <t>tout</t>
  </si>
  <si>
    <t>whole</t>
  </si>
  <si>
    <t>unit</t>
  </si>
  <si>
    <t>wholly</t>
  </si>
  <si>
    <t>entirely</t>
  </si>
  <si>
    <t>completely</t>
  </si>
  <si>
    <t>totally</t>
  </si>
  <si>
    <t>anywhere</t>
  </si>
  <si>
    <t>anyplace</t>
  </si>
  <si>
    <t>plentifulness</t>
  </si>
  <si>
    <t>plenteousness</t>
  </si>
  <si>
    <t>plenitude</t>
  </si>
  <si>
    <t>plentitude</t>
  </si>
  <si>
    <t>charwoman</t>
  </si>
  <si>
    <t>cleaning_woman</t>
  </si>
  <si>
    <t>cleaning_lady</t>
  </si>
  <si>
    <t>woman</t>
  </si>
  <si>
    <t>none</t>
  </si>
  <si>
    <t>toutou</t>
  </si>
  <si>
    <t>pooch</t>
  </si>
  <si>
    <t>doggie</t>
  </si>
  <si>
    <t>doggy</t>
  </si>
  <si>
    <t>barker</t>
  </si>
  <si>
    <t>bow-wow</t>
  </si>
  <si>
    <t>toutoune</t>
  </si>
  <si>
    <t>t u t u n</t>
  </si>
  <si>
    <t>tutun</t>
  </si>
  <si>
    <t>toux</t>
  </si>
  <si>
    <t>coughing</t>
  </si>
  <si>
    <t>Tupi</t>
  </si>
  <si>
    <t>tutti</t>
  </si>
  <si>
    <t>t u t i</t>
  </si>
  <si>
    <t>tuti</t>
  </si>
  <si>
    <t>type_specimen</t>
  </si>
  <si>
    <t>holotype</t>
  </si>
  <si>
    <t>variant</t>
  </si>
  <si>
    <t>var.</t>
  </si>
  <si>
    <t>covey</t>
  </si>
  <si>
    <t>dude</t>
  </si>
  <si>
    <t>fop</t>
  </si>
  <si>
    <t>gallant</t>
  </si>
  <si>
    <t>sheik</t>
  </si>
  <si>
    <t>fashion_plate</t>
  </si>
  <si>
    <t>clotheshorse</t>
  </si>
  <si>
    <t>types</t>
  </si>
  <si>
    <t>tâche</t>
  </si>
  <si>
    <t>task</t>
  </si>
  <si>
    <t>chore</t>
  </si>
  <si>
    <t>stint</t>
  </si>
  <si>
    <t>homework</t>
  </si>
  <si>
    <t>prep</t>
  </si>
  <si>
    <t>preparation</t>
  </si>
  <si>
    <t>assignment</t>
  </si>
  <si>
    <t>duty_assignment</t>
  </si>
  <si>
    <t>problem</t>
  </si>
  <si>
    <t>t ɑ ʃ</t>
  </si>
  <si>
    <t>tâches</t>
  </si>
  <si>
    <t>y'a</t>
  </si>
  <si>
    <t>yali</t>
  </si>
  <si>
    <t>j a l i</t>
  </si>
  <si>
    <t>yamachiche</t>
  </si>
  <si>
    <t>j a m a ʃ i ʃ</t>
  </si>
  <si>
    <t>yamashish</t>
  </si>
  <si>
    <t>yamme</t>
  </si>
  <si>
    <t>j a m</t>
  </si>
  <si>
    <t>yann</t>
  </si>
  <si>
    <t>yanne</t>
  </si>
  <si>
    <t>yannick</t>
  </si>
  <si>
    <t>j a n i k</t>
  </si>
  <si>
    <t>yanik</t>
  </si>
  <si>
    <t>j i n</t>
  </si>
  <si>
    <t>youpi</t>
  </si>
  <si>
    <t>j u p i</t>
  </si>
  <si>
    <t>yupi</t>
  </si>
  <si>
    <t>whoopee</t>
  </si>
  <si>
    <t>youpine</t>
  </si>
  <si>
    <t>j u p i n</t>
  </si>
  <si>
    <t>yupin</t>
  </si>
  <si>
    <t>youyou</t>
  </si>
  <si>
    <t>dinghy</t>
  </si>
  <si>
    <t>dory</t>
  </si>
  <si>
    <t>rowboat</t>
  </si>
  <si>
    <t>ys</t>
  </si>
  <si>
    <t>âme</t>
  </si>
  <si>
    <t>soulfulness</t>
  </si>
  <si>
    <t>âmes</t>
  </si>
  <si>
    <t>âne</t>
  </si>
  <si>
    <t>domestic_ass</t>
  </si>
  <si>
    <t>donkey</t>
  </si>
  <si>
    <t>Equus_asinus</t>
  </si>
  <si>
    <t>burro</t>
  </si>
  <si>
    <t>ɑ n</t>
  </si>
  <si>
    <t>çà</t>
  </si>
  <si>
    <t>île</t>
  </si>
  <si>
    <t>enclave</t>
  </si>
  <si>
    <t>Cyprus</t>
  </si>
  <si>
    <t>Republic_of_Cyprus</t>
  </si>
  <si>
    <t>Hebrides</t>
  </si>
  <si>
    <t>Hebridean_Islands</t>
  </si>
  <si>
    <t>Hebridean_Isles</t>
  </si>
  <si>
    <t>Western_Islands</t>
  </si>
  <si>
    <t>Western_Isles</t>
  </si>
  <si>
    <t>isle</t>
  </si>
  <si>
    <t>islet</t>
  </si>
  <si>
    <t>îles</t>
  </si>
  <si>
    <t>Scilly_Islands</t>
  </si>
  <si>
    <t>Isles_of_Scilly</t>
  </si>
  <si>
    <t>fra_latn_broad_filtered.tsv</t>
  </si>
  <si>
    <t>fra_latn_narrow.tsv</t>
  </si>
  <si>
    <t>cher</t>
  </si>
  <si>
    <t>ʃ æ</t>
  </si>
  <si>
    <t>dearly</t>
  </si>
  <si>
    <t>affectionately</t>
  </si>
  <si>
    <t>expensively</t>
  </si>
  <si>
    <t>costly</t>
  </si>
  <si>
    <t>high-priced</t>
  </si>
  <si>
    <t>pricey</t>
  </si>
  <si>
    <t>pricy</t>
  </si>
  <si>
    <t>dearly-won</t>
  </si>
  <si>
    <t>beloved</t>
  </si>
  <si>
    <t>cherished</t>
  </si>
  <si>
    <t>precious</t>
  </si>
  <si>
    <t>treasured</t>
  </si>
  <si>
    <t>wanted</t>
  </si>
  <si>
    <t>devout</t>
  </si>
  <si>
    <t>earnest</t>
  </si>
  <si>
    <t>heartfelt</t>
  </si>
  <si>
    <t>terre</t>
  </si>
  <si>
    <t>t æ ɾ</t>
  </si>
  <si>
    <t>terrestrial</t>
  </si>
  <si>
    <t>farming</t>
  </si>
  <si>
    <t>global</t>
  </si>
  <si>
    <t>planetary</t>
  </si>
  <si>
    <t>worldwide</t>
  </si>
  <si>
    <t>world-wide</t>
  </si>
  <si>
    <t>earthworm</t>
  </si>
  <si>
    <t>angleworm</t>
  </si>
  <si>
    <t>fishworm</t>
  </si>
  <si>
    <t>fishing_worm</t>
  </si>
  <si>
    <t>wiggler</t>
  </si>
  <si>
    <t>nightwalker</t>
  </si>
  <si>
    <t>nightcrawler</t>
  </si>
  <si>
    <t>dew_worm</t>
  </si>
  <si>
    <t>red_worm</t>
  </si>
  <si>
    <t>set_down</t>
  </si>
  <si>
    <t>put_down</t>
  </si>
  <si>
    <t>set_ashore</t>
  </si>
  <si>
    <t>shore</t>
  </si>
  <si>
    <t>globe</t>
  </si>
  <si>
    <t>worldly_concern</t>
  </si>
  <si>
    <t>earthly_concern</t>
  </si>
  <si>
    <t>scandal</t>
  </si>
  <si>
    <t>malicious_gossip</t>
  </si>
  <si>
    <t>territory</t>
  </si>
  <si>
    <t>Earth</t>
  </si>
  <si>
    <t>Land</t>
  </si>
  <si>
    <t>Din_Land</t>
  </si>
  <si>
    <t>Edwin_Herbert_Land</t>
  </si>
  <si>
    <t>orb</t>
  </si>
  <si>
    <t>quill</t>
  </si>
  <si>
    <t>calamus</t>
  </si>
  <si>
    <t>quill_pen</t>
  </si>
  <si>
    <t>glg_latn_broad.tsv</t>
  </si>
  <si>
    <t>acañar</t>
  </si>
  <si>
    <t>a k a ɲ a ɾ</t>
  </si>
  <si>
    <t>akañar</t>
  </si>
  <si>
    <t>acá</t>
  </si>
  <si>
    <t>a k a</t>
  </si>
  <si>
    <t>aka</t>
  </si>
  <si>
    <t>agarimar</t>
  </si>
  <si>
    <t>a ɣ a ɾ i m a ɾ</t>
  </si>
  <si>
    <t>akarimar</t>
  </si>
  <si>
    <t>agasallar</t>
  </si>
  <si>
    <t>a ɣ a s a ʎ a ɾ</t>
  </si>
  <si>
    <t>akasallar</t>
  </si>
  <si>
    <t>gift</t>
  </si>
  <si>
    <t>present</t>
  </si>
  <si>
    <t>aguillar</t>
  </si>
  <si>
    <t>a ɣ i ʎ a ɾ</t>
  </si>
  <si>
    <t>akillar</t>
  </si>
  <si>
    <t>aguisar</t>
  </si>
  <si>
    <t>a ɣ i s a ɾ</t>
  </si>
  <si>
    <t>akisar</t>
  </si>
  <si>
    <t>alalá</t>
  </si>
  <si>
    <t>a l a l a</t>
  </si>
  <si>
    <t>alala</t>
  </si>
  <si>
    <t>allariz</t>
  </si>
  <si>
    <t>a ʎ a ɾ i θ</t>
  </si>
  <si>
    <t>allarith</t>
  </si>
  <si>
    <t>alugar</t>
  </si>
  <si>
    <t>a l u ɣ a ɾ</t>
  </si>
  <si>
    <t>alukar</t>
  </si>
  <si>
    <t>alí</t>
  </si>
  <si>
    <t>a l i</t>
  </si>
  <si>
    <t>amañar</t>
  </si>
  <si>
    <t>a m a ɲ a ɾ</t>
  </si>
  <si>
    <t>anazar</t>
  </si>
  <si>
    <t>a n a θ a ɾ</t>
  </si>
  <si>
    <t>anathar</t>
  </si>
  <si>
    <t>apañar</t>
  </si>
  <si>
    <t>a p a ɲ a ɾ</t>
  </si>
  <si>
    <t>apupar</t>
  </si>
  <si>
    <t>a p u p a ɾ</t>
  </si>
  <si>
    <t>asa</t>
  </si>
  <si>
    <t>a s a</t>
  </si>
  <si>
    <t>handgrip</t>
  </si>
  <si>
    <t>asar</t>
  </si>
  <si>
    <t>a s a ɾ</t>
  </si>
  <si>
    <t>asinar</t>
  </si>
  <si>
    <t>a s i n a ɾ</t>
  </si>
  <si>
    <t>atar</t>
  </si>
  <si>
    <t>a t a ɾ</t>
  </si>
  <si>
    <t>aturuxar</t>
  </si>
  <si>
    <t>a t u ɾ u ʃ a ɾ</t>
  </si>
  <si>
    <t>aturushar</t>
  </si>
  <si>
    <t>axar</t>
  </si>
  <si>
    <t>a ʃ a ɾ</t>
  </si>
  <si>
    <t>ashar</t>
  </si>
  <si>
    <t>aza</t>
  </si>
  <si>
    <t>a θ a</t>
  </si>
  <si>
    <t>atha</t>
  </si>
  <si>
    <t>azul</t>
  </si>
  <si>
    <t>a s u l</t>
  </si>
  <si>
    <t>asul</t>
  </si>
  <si>
    <t>bluish</t>
  </si>
  <si>
    <t>blueish</t>
  </si>
  <si>
    <t>bluing</t>
  </si>
  <si>
    <t>blueing</t>
  </si>
  <si>
    <t>a θ u l</t>
  </si>
  <si>
    <t>athul</t>
  </si>
  <si>
    <t>cagar</t>
  </si>
  <si>
    <t>k a ɣ a ɾ</t>
  </si>
  <si>
    <t>kakar</t>
  </si>
  <si>
    <t>cai</t>
  </si>
  <si>
    <t>calcium_hydroxide</t>
  </si>
  <si>
    <t>slaked_lime</t>
  </si>
  <si>
    <t>hydrated_lime</t>
  </si>
  <si>
    <t>calcium_hydrate</t>
  </si>
  <si>
    <t>caustic_lime</t>
  </si>
  <si>
    <t>lime_hydrate</t>
  </si>
  <si>
    <t>calacú</t>
  </si>
  <si>
    <t>k a l a k u</t>
  </si>
  <si>
    <t>kalaku</t>
  </si>
  <si>
    <t>canil</t>
  </si>
  <si>
    <t>k a n i l</t>
  </si>
  <si>
    <t>kanil</t>
  </si>
  <si>
    <t>casal</t>
  </si>
  <si>
    <t>k a s a l</t>
  </si>
  <si>
    <t>kasal</t>
  </si>
  <si>
    <t>catar</t>
  </si>
  <si>
    <t>cazacú</t>
  </si>
  <si>
    <t>k a s a k u</t>
  </si>
  <si>
    <t>kasaku</t>
  </si>
  <si>
    <t>k a θ a k u</t>
  </si>
  <si>
    <t>kathaku</t>
  </si>
  <si>
    <t>cinguir</t>
  </si>
  <si>
    <t>s i ɲ i ɾ</t>
  </si>
  <si>
    <t>siñir</t>
  </si>
  <si>
    <t>colar</t>
  </si>
  <si>
    <t>k ʊ l a ɾ</t>
  </si>
  <si>
    <t>kular</t>
  </si>
  <si>
    <t>como</t>
  </si>
  <si>
    <t>k ʊ m ʊ</t>
  </si>
  <si>
    <t>cális</t>
  </si>
  <si>
    <t>halar</t>
  </si>
  <si>
    <t>a l a ɾ</t>
  </si>
  <si>
    <t>alar</t>
  </si>
  <si>
    <t>humillar</t>
  </si>
  <si>
    <t>u m i ʎ a ɾ</t>
  </si>
  <si>
    <t>umillar</t>
  </si>
  <si>
    <t>illar</t>
  </si>
  <si>
    <t>i ʎ a ɾ</t>
  </si>
  <si>
    <t>imaxinar</t>
  </si>
  <si>
    <t>i m a ʃ i n a ɾ</t>
  </si>
  <si>
    <t>imashinar</t>
  </si>
  <si>
    <t>lagar</t>
  </si>
  <si>
    <t>l a ɣ a ɾ</t>
  </si>
  <si>
    <t>lakar</t>
  </si>
  <si>
    <t>laiar</t>
  </si>
  <si>
    <t>l a j a ɾ</t>
  </si>
  <si>
    <t>layar</t>
  </si>
  <si>
    <t>lamazal</t>
  </si>
  <si>
    <t>l a m a s a l</t>
  </si>
  <si>
    <t>lamasal</t>
  </si>
  <si>
    <t>bog</t>
  </si>
  <si>
    <t>peat_bog</t>
  </si>
  <si>
    <t>quagmire</t>
  </si>
  <si>
    <t>quag</t>
  </si>
  <si>
    <t>morass</t>
  </si>
  <si>
    <t>l a m a θ a l</t>
  </si>
  <si>
    <t>lamathal</t>
  </si>
  <si>
    <t>lapar</t>
  </si>
  <si>
    <t>l a p a ɾ</t>
  </si>
  <si>
    <t>l a p i s</t>
  </si>
  <si>
    <t>lar</t>
  </si>
  <si>
    <t>l a ɾ</t>
  </si>
  <si>
    <t>latar</t>
  </si>
  <si>
    <t>l a t a ɾ</t>
  </si>
  <si>
    <t>lañar</t>
  </si>
  <si>
    <t>l a ɲ a ɾ</t>
  </si>
  <si>
    <t>liñar</t>
  </si>
  <si>
    <t>l i ɲ a ɾ</t>
  </si>
  <si>
    <t>ailing</t>
  </si>
  <si>
    <t>indisposed</t>
  </si>
  <si>
    <t>peaked</t>
  </si>
  <si>
    <t>sickly</t>
  </si>
  <si>
    <t>unwell</t>
  </si>
  <si>
    <t>under_the_weather</t>
  </si>
  <si>
    <t>mallar</t>
  </si>
  <si>
    <t>m a ʎ a ɾ</t>
  </si>
  <si>
    <t>mariz</t>
  </si>
  <si>
    <t>m a ɾ i θ</t>
  </si>
  <si>
    <t>marith</t>
  </si>
  <si>
    <t>mariño</t>
  </si>
  <si>
    <t>m a ɾ i ɲ ʊ</t>
  </si>
  <si>
    <t>mariñu</t>
  </si>
  <si>
    <t>marís</t>
  </si>
  <si>
    <t>m a ɾ i s</t>
  </si>
  <si>
    <t>maris</t>
  </si>
  <si>
    <t>mazar</t>
  </si>
  <si>
    <t>m a s a ɾ</t>
  </si>
  <si>
    <t>masar</t>
  </si>
  <si>
    <t>m a θ a ɾ</t>
  </si>
  <si>
    <t>mathar</t>
  </si>
  <si>
    <t>mañá</t>
  </si>
  <si>
    <t>morrow</t>
  </si>
  <si>
    <t>migar</t>
  </si>
  <si>
    <t>m i ɣ a ɾ</t>
  </si>
  <si>
    <t>mikar</t>
  </si>
  <si>
    <t>mirar</t>
  </si>
  <si>
    <t>m i ɾ a ɾ</t>
  </si>
  <si>
    <t>watch</t>
  </si>
  <si>
    <t>look_on</t>
  </si>
  <si>
    <t>examine</t>
  </si>
  <si>
    <t>muxir</t>
  </si>
  <si>
    <t>m u ʃ i ɾ</t>
  </si>
  <si>
    <t>mushir</t>
  </si>
  <si>
    <t>nai</t>
  </si>
  <si>
    <t>n a j</t>
  </si>
  <si>
    <t>nay</t>
  </si>
  <si>
    <t>nariz</t>
  </si>
  <si>
    <t>n a ɾ i s</t>
  </si>
  <si>
    <t>naris</t>
  </si>
  <si>
    <t>n a ɾ i θ</t>
  </si>
  <si>
    <t>narith</t>
  </si>
  <si>
    <t>n ʊ</t>
  </si>
  <si>
    <t>nobelium</t>
  </si>
  <si>
    <t>No</t>
  </si>
  <si>
    <t>atomic_number_102</t>
  </si>
  <si>
    <t>nos</t>
  </si>
  <si>
    <t>n ʊ s</t>
  </si>
  <si>
    <t>ʊ s</t>
  </si>
  <si>
    <t>pagar</t>
  </si>
  <si>
    <t>p a ɣ a ɾ</t>
  </si>
  <si>
    <t>pakar</t>
  </si>
  <si>
    <t>pai</t>
  </si>
  <si>
    <t>pasal</t>
  </si>
  <si>
    <t>p a s a l</t>
  </si>
  <si>
    <t>paz</t>
  </si>
  <si>
    <t>p a θ</t>
  </si>
  <si>
    <t>pisar</t>
  </si>
  <si>
    <t>p i s a ɾ</t>
  </si>
  <si>
    <t>pitar</t>
  </si>
  <si>
    <t>p i t a ɾ</t>
  </si>
  <si>
    <t>polaco</t>
  </si>
  <si>
    <t>p ʊ l a k ʊ</t>
  </si>
  <si>
    <t>pulaku</t>
  </si>
  <si>
    <t>puñar</t>
  </si>
  <si>
    <t>p u ɲ a ɾ</t>
  </si>
  <si>
    <t>k ɪ</t>
  </si>
  <si>
    <t>sacar</t>
  </si>
  <si>
    <t>s a k a ɾ</t>
  </si>
  <si>
    <t>sakar</t>
  </si>
  <si>
    <t>produce</t>
  </si>
  <si>
    <t>bring_on</t>
  </si>
  <si>
    <t>bring_out</t>
  </si>
  <si>
    <t>get_rid_of</t>
  </si>
  <si>
    <t>move_out</t>
  </si>
  <si>
    <t>salaiar</t>
  </si>
  <si>
    <t>s a l a j a ɾ</t>
  </si>
  <si>
    <t>salayar</t>
  </si>
  <si>
    <t>sar</t>
  </si>
  <si>
    <t>s a ɾ</t>
  </si>
  <si>
    <t>reticular_activating_system</t>
  </si>
  <si>
    <t>RAS</t>
  </si>
  <si>
    <t>sinal</t>
  </si>
  <si>
    <t>s i n a l</t>
  </si>
  <si>
    <t>tillar</t>
  </si>
  <si>
    <t>t i ʎ a ɾ</t>
  </si>
  <si>
    <t>tusir</t>
  </si>
  <si>
    <t>t u s i ɾ</t>
  </si>
  <si>
    <t>uz</t>
  </si>
  <si>
    <t>u θ</t>
  </si>
  <si>
    <t>uth</t>
  </si>
  <si>
    <t>zapping</t>
  </si>
  <si>
    <t>θ a p i n</t>
  </si>
  <si>
    <t>thapin</t>
  </si>
  <si>
    <t>zugar</t>
  </si>
  <si>
    <t>s u ɣ a ɾ</t>
  </si>
  <si>
    <t>θ u ɣ a ɾ</t>
  </si>
  <si>
    <t>thukar</t>
  </si>
  <si>
    <t>ás</t>
  </si>
  <si>
    <t>glg_latn_narrow.tsv</t>
  </si>
  <si>
    <t>acariñar</t>
  </si>
  <si>
    <t>a k a ɾ i ɲ a ɾ</t>
  </si>
  <si>
    <t>akariñar</t>
  </si>
  <si>
    <t>agarimo</t>
  </si>
  <si>
    <t>a ɣ a ɾ i m ʊ</t>
  </si>
  <si>
    <t>akarimu</t>
  </si>
  <si>
    <t>caress</t>
  </si>
  <si>
    <t>affection</t>
  </si>
  <si>
    <t>affectionateness</t>
  </si>
  <si>
    <t>fondness</t>
  </si>
  <si>
    <t>warmness</t>
  </si>
  <si>
    <t>warmheartedness</t>
  </si>
  <si>
    <t>philia</t>
  </si>
  <si>
    <t>aio</t>
  </si>
  <si>
    <t>a j ʊ</t>
  </si>
  <si>
    <t>alagar</t>
  </si>
  <si>
    <t>a l a ɣ a ɾ</t>
  </si>
  <si>
    <t>alakar</t>
  </si>
  <si>
    <t>alasar</t>
  </si>
  <si>
    <t>a l a s a ɾ</t>
  </si>
  <si>
    <t>allo</t>
  </si>
  <si>
    <t>a ʎ ʊ</t>
  </si>
  <si>
    <t>allu</t>
  </si>
  <si>
    <t>amaro</t>
  </si>
  <si>
    <t>a m a ɾ ʊ</t>
  </si>
  <si>
    <t>amaru</t>
  </si>
  <si>
    <t>amasar</t>
  </si>
  <si>
    <t>a m a s a ɾ</t>
  </si>
  <si>
    <t>anicar</t>
  </si>
  <si>
    <t>a n i k a ɾ</t>
  </si>
  <si>
    <t>anikar</t>
  </si>
  <si>
    <t>apagar</t>
  </si>
  <si>
    <t>a p a ɣ a ɾ</t>
  </si>
  <si>
    <t>apakar</t>
  </si>
  <si>
    <t>apupo</t>
  </si>
  <si>
    <t>a p u p ʊ</t>
  </si>
  <si>
    <t>apupu</t>
  </si>
  <si>
    <t>ar</t>
  </si>
  <si>
    <t>a ɾ</t>
  </si>
  <si>
    <t>argon</t>
  </si>
  <si>
    <t>Ar</t>
  </si>
  <si>
    <t>atomic_number_18</t>
  </si>
  <si>
    <t>asañar</t>
  </si>
  <si>
    <t>a s a ɲ a ɾ</t>
  </si>
  <si>
    <t>a ʃ ɪ</t>
  </si>
  <si>
    <t>año</t>
  </si>
  <si>
    <t>a ɲ ʊ</t>
  </si>
  <si>
    <t>añu</t>
  </si>
  <si>
    <t>k ɑ l a ɾ</t>
  </si>
  <si>
    <t>keep_quiet</t>
  </si>
  <si>
    <t>shut_one's_mouth</t>
  </si>
  <si>
    <t>keep_one's_mouth_shut</t>
  </si>
  <si>
    <t>k ɑ l ʊ</t>
  </si>
  <si>
    <t>capaz</t>
  </si>
  <si>
    <t>k ɑ p a s</t>
  </si>
  <si>
    <t>k ɑ p a θ</t>
  </si>
  <si>
    <t>kapath</t>
  </si>
  <si>
    <t>carai</t>
  </si>
  <si>
    <t>k ɑ ɾ a j</t>
  </si>
  <si>
    <t>karay</t>
  </si>
  <si>
    <t>cariz</t>
  </si>
  <si>
    <t>k ɑ ɾ i s</t>
  </si>
  <si>
    <t>karis</t>
  </si>
  <si>
    <t>k ɑ ɾ i θ</t>
  </si>
  <si>
    <t>karith</t>
  </si>
  <si>
    <t>caro</t>
  </si>
  <si>
    <t>k ɑ ɾ ʊ</t>
  </si>
  <si>
    <t>karu</t>
  </si>
  <si>
    <t>casar</t>
  </si>
  <si>
    <t>k ɑ s ɪ</t>
  </si>
  <si>
    <t>caxato</t>
  </si>
  <si>
    <t>k ɑ ʃ a t ʊ</t>
  </si>
  <si>
    <t>kashatu</t>
  </si>
  <si>
    <t>caxigo</t>
  </si>
  <si>
    <t>k ɑ ʃ i ɣ ʊ</t>
  </si>
  <si>
    <t>kashiku</t>
  </si>
  <si>
    <t>cazar</t>
  </si>
  <si>
    <t>k ɑ s a ɾ</t>
  </si>
  <si>
    <t>k ɑ θ a ɾ</t>
  </si>
  <si>
    <t>kathar</t>
  </si>
  <si>
    <t>cazo</t>
  </si>
  <si>
    <t>k ɑ s ʊ</t>
  </si>
  <si>
    <t>k ɑ θ ʊ</t>
  </si>
  <si>
    <t>kathu</t>
  </si>
  <si>
    <t>caño</t>
  </si>
  <si>
    <t>k ɑ ɲ ʊ</t>
  </si>
  <si>
    <t>kañu</t>
  </si>
  <si>
    <t>cimo</t>
  </si>
  <si>
    <t>θ i m ʊ</t>
  </si>
  <si>
    <t>thimu</t>
  </si>
  <si>
    <t>Cu</t>
  </si>
  <si>
    <t>atomic_number_29</t>
  </si>
  <si>
    <t>cuco</t>
  </si>
  <si>
    <t>k u k ʊ</t>
  </si>
  <si>
    <t>curuxo</t>
  </si>
  <si>
    <t>k u ɾ u ʃ ʊ</t>
  </si>
  <si>
    <t>kurushu</t>
  </si>
  <si>
    <t>cuxo</t>
  </si>
  <si>
    <t>k u ʃ ʊ</t>
  </si>
  <si>
    <t>kushu</t>
  </si>
  <si>
    <t>cuzo</t>
  </si>
  <si>
    <t>k u θ ʊ</t>
  </si>
  <si>
    <t>kuthu</t>
  </si>
  <si>
    <t>cuño</t>
  </si>
  <si>
    <t>k u ɲ ʊ</t>
  </si>
  <si>
    <t>kuñu</t>
  </si>
  <si>
    <t>wafer</t>
  </si>
  <si>
    <t>cáliz</t>
  </si>
  <si>
    <t>k ɑ l i s</t>
  </si>
  <si>
    <t>k ɑ l i θ</t>
  </si>
  <si>
    <t>kalith</t>
  </si>
  <si>
    <t>himno</t>
  </si>
  <si>
    <t>i n ʊ</t>
  </si>
  <si>
    <t>inu</t>
  </si>
  <si>
    <t>iago</t>
  </si>
  <si>
    <t>j a ɣ ʊ</t>
  </si>
  <si>
    <t>yaku</t>
  </si>
  <si>
    <t>igar</t>
  </si>
  <si>
    <t>i ɣ a ɾ</t>
  </si>
  <si>
    <t>ikar</t>
  </si>
  <si>
    <t>imaxe</t>
  </si>
  <si>
    <t>i m a ʃ ɪ</t>
  </si>
  <si>
    <t>imashi</t>
  </si>
  <si>
    <t>inimigo</t>
  </si>
  <si>
    <t>i n i m i ɣ ʊ</t>
  </si>
  <si>
    <t>inimiku</t>
  </si>
  <si>
    <t>unfriendly</t>
  </si>
  <si>
    <t>inimical</t>
  </si>
  <si>
    <t>iso</t>
  </si>
  <si>
    <t>i s ʊ</t>
  </si>
  <si>
    <t>isu</t>
  </si>
  <si>
    <t>laso</t>
  </si>
  <si>
    <t>l a s ʊ</t>
  </si>
  <si>
    <t>latir</t>
  </si>
  <si>
    <t>l a t i ɾ</t>
  </si>
  <si>
    <t>lipe</t>
  </si>
  <si>
    <t>l i p ɪ</t>
  </si>
  <si>
    <t>lixar</t>
  </si>
  <si>
    <t>l i ʃ a ɾ</t>
  </si>
  <si>
    <t>lishar</t>
  </si>
  <si>
    <t>lugar</t>
  </si>
  <si>
    <t>l u ɣ a ɾ</t>
  </si>
  <si>
    <t>lukar</t>
  </si>
  <si>
    <t>vicinity</t>
  </si>
  <si>
    <t>locality</t>
  </si>
  <si>
    <t>neighborhood</t>
  </si>
  <si>
    <t>neighbourhood</t>
  </si>
  <si>
    <t>neck_of_the_woods</t>
  </si>
  <si>
    <t>lugo</t>
  </si>
  <si>
    <t>l u ɣ ʊ</t>
  </si>
  <si>
    <t>lume</t>
  </si>
  <si>
    <t>l u m ɪ</t>
  </si>
  <si>
    <t>luz</t>
  </si>
  <si>
    <t>l u s</t>
  </si>
  <si>
    <t>lus</t>
  </si>
  <si>
    <t>l u θ</t>
  </si>
  <si>
    <t>luth</t>
  </si>
  <si>
    <t>macicar</t>
  </si>
  <si>
    <t>m a θ i k a ɾ</t>
  </si>
  <si>
    <t>mathikar</t>
  </si>
  <si>
    <t>macico</t>
  </si>
  <si>
    <t>m a s i k ʊ</t>
  </si>
  <si>
    <t>masiku</t>
  </si>
  <si>
    <t>m a θ i k ʊ</t>
  </si>
  <si>
    <t>mathiku</t>
  </si>
  <si>
    <t>macizar</t>
  </si>
  <si>
    <t>m a s i s a ɾ</t>
  </si>
  <si>
    <t>masisar</t>
  </si>
  <si>
    <t>m a θ i θ a ɾ</t>
  </si>
  <si>
    <t>mathithar</t>
  </si>
  <si>
    <t>macizo</t>
  </si>
  <si>
    <t>m a θ i θ ʊ</t>
  </si>
  <si>
    <t>mathithu</t>
  </si>
  <si>
    <t>mamai</t>
  </si>
  <si>
    <t>m a m a j</t>
  </si>
  <si>
    <t>mamay</t>
  </si>
  <si>
    <t>mamaie</t>
  </si>
  <si>
    <t>m a m a j ɪ</t>
  </si>
  <si>
    <t>mamayi</t>
  </si>
  <si>
    <t>mamá</t>
  </si>
  <si>
    <t>maraxe</t>
  </si>
  <si>
    <t>m a ɾ a ʃ ɪ</t>
  </si>
  <si>
    <t>marashi</t>
  </si>
  <si>
    <t>marulo</t>
  </si>
  <si>
    <t>m a ɾ u l ʊ</t>
  </si>
  <si>
    <t>marulu</t>
  </si>
  <si>
    <t>millar</t>
  </si>
  <si>
    <t>m i ʎ a ɾ</t>
  </si>
  <si>
    <t>millo</t>
  </si>
  <si>
    <t>m i ʎ ʊ</t>
  </si>
  <si>
    <t>millu</t>
  </si>
  <si>
    <t>mulime</t>
  </si>
  <si>
    <t>m u l i m ɪ</t>
  </si>
  <si>
    <t>mulimi</t>
  </si>
  <si>
    <t>manure</t>
  </si>
  <si>
    <t>muraño</t>
  </si>
  <si>
    <t>m u ɾ a ɲ ʊ</t>
  </si>
  <si>
    <t>murañu</t>
  </si>
  <si>
    <t>músico</t>
  </si>
  <si>
    <t>m u s i k ʊ</t>
  </si>
  <si>
    <t>musiku</t>
  </si>
  <si>
    <t>musician</t>
  </si>
  <si>
    <t>instrumentalist</t>
  </si>
  <si>
    <t>player</t>
  </si>
  <si>
    <t>protactinium</t>
  </si>
  <si>
    <t>protoactinium</t>
  </si>
  <si>
    <t>atomic_number_91</t>
  </si>
  <si>
    <t>p a j ʊ</t>
  </si>
  <si>
    <t>palillar</t>
  </si>
  <si>
    <t>p a l i ʎ a ɾ</t>
  </si>
  <si>
    <t>palillo</t>
  </si>
  <si>
    <t>p a l i ʎ ʊ</t>
  </si>
  <si>
    <t>palillu</t>
  </si>
  <si>
    <t>bobbin</t>
  </si>
  <si>
    <t>spool</t>
  </si>
  <si>
    <t>reel</t>
  </si>
  <si>
    <t>pallaso</t>
  </si>
  <si>
    <t>p a ʎ a s ʊ</t>
  </si>
  <si>
    <t>pallasu</t>
  </si>
  <si>
    <t>papagaio</t>
  </si>
  <si>
    <t>p a p a ɣ a j ʊ</t>
  </si>
  <si>
    <t>papakayu</t>
  </si>
  <si>
    <t>parir</t>
  </si>
  <si>
    <t>p a ɾ i ɾ</t>
  </si>
  <si>
    <t>pasaxe</t>
  </si>
  <si>
    <t>p a s a ʃ ɪ</t>
  </si>
  <si>
    <t>pasashi</t>
  </si>
  <si>
    <t>passageway</t>
  </si>
  <si>
    <t>paso</t>
  </si>
  <si>
    <t>p a s ʊ</t>
  </si>
  <si>
    <t>pato</t>
  </si>
  <si>
    <t>p a t ʊ</t>
  </si>
  <si>
    <t>patu</t>
  </si>
  <si>
    <t>paxariño</t>
  </si>
  <si>
    <t>p a ʃ a ɾ i ɲ ʊ</t>
  </si>
  <si>
    <t>pashariñu</t>
  </si>
  <si>
    <t>paxariños</t>
  </si>
  <si>
    <t>p a ʃ a ɾ i ɲ ʊ s</t>
  </si>
  <si>
    <t>pashariñus</t>
  </si>
  <si>
    <t>paxaro</t>
  </si>
  <si>
    <t>p a ʃ a ɾ ʊ</t>
  </si>
  <si>
    <t>pasharu</t>
  </si>
  <si>
    <t>penico</t>
  </si>
  <si>
    <t>p ɪ n i k ʊ</t>
  </si>
  <si>
    <t>piniku</t>
  </si>
  <si>
    <t>pipo</t>
  </si>
  <si>
    <t>p i p ʊ</t>
  </si>
  <si>
    <t>pipu</t>
  </si>
  <si>
    <t>piso</t>
  </si>
  <si>
    <t>p i s ʊ</t>
  </si>
  <si>
    <t>pixo</t>
  </si>
  <si>
    <t>p i ʃ ʊ</t>
  </si>
  <si>
    <t>pishu</t>
  </si>
  <si>
    <t>polo</t>
  </si>
  <si>
    <t>p ʊ l ʊ</t>
  </si>
  <si>
    <t>puxar</t>
  </si>
  <si>
    <t>p u ʃ a ɾ</t>
  </si>
  <si>
    <t>pushar</t>
  </si>
  <si>
    <t>quilate</t>
  </si>
  <si>
    <t>k i l a t ɪ</t>
  </si>
  <si>
    <t>kilati</t>
  </si>
  <si>
    <t>quino</t>
  </si>
  <si>
    <t>k i n ʊ</t>
  </si>
  <si>
    <t>kinu</t>
  </si>
  <si>
    <t>saio</t>
  </si>
  <si>
    <t>s a j ʊ</t>
  </si>
  <si>
    <t>sayu</t>
  </si>
  <si>
    <t>s ʊ</t>
  </si>
  <si>
    <t>sugar</t>
  </si>
  <si>
    <t>sumir</t>
  </si>
  <si>
    <t>s u m i ɾ</t>
  </si>
  <si>
    <t>sutil</t>
  </si>
  <si>
    <t>s u t i l</t>
  </si>
  <si>
    <t>dimmed</t>
  </si>
  <si>
    <t>talizo</t>
  </si>
  <si>
    <t>t a l i s ʊ</t>
  </si>
  <si>
    <t>talisu</t>
  </si>
  <si>
    <t>t a l i θ ʊ</t>
  </si>
  <si>
    <t>talithu</t>
  </si>
  <si>
    <t>tamaño</t>
  </si>
  <si>
    <t>t a m a ɲ ʊ</t>
  </si>
  <si>
    <t>tamañu</t>
  </si>
  <si>
    <t>tapiz</t>
  </si>
  <si>
    <t>t a p i θ</t>
  </si>
  <si>
    <t>tapith</t>
  </si>
  <si>
    <t>uzal</t>
  </si>
  <si>
    <t>u s a l</t>
  </si>
  <si>
    <t>usal</t>
  </si>
  <si>
    <t>u θ a l</t>
  </si>
  <si>
    <t>uthal</t>
  </si>
  <si>
    <t>xugo</t>
  </si>
  <si>
    <t>ʃ u ɣ ʊ</t>
  </si>
  <si>
    <t>shuku</t>
  </si>
  <si>
    <t>yoke</t>
  </si>
  <si>
    <t>xurar</t>
  </si>
  <si>
    <t>ʃ u ɾ a ɾ</t>
  </si>
  <si>
    <t>shurar</t>
  </si>
  <si>
    <t>xuro</t>
  </si>
  <si>
    <t>ʃ u ɾ ʊ</t>
  </si>
  <si>
    <t>shuru</t>
  </si>
  <si>
    <t>zume</t>
  </si>
  <si>
    <t>s u m ɪ</t>
  </si>
  <si>
    <t>succus</t>
  </si>
  <si>
    <t>θ u m ɪ</t>
  </si>
  <si>
    <t>thumi</t>
  </si>
  <si>
    <t>heb_hebr_broad.tsv</t>
  </si>
  <si>
    <t>אהל</t>
  </si>
  <si>
    <t>אולי</t>
  </si>
  <si>
    <t>u l a j</t>
  </si>
  <si>
    <t>ulay</t>
  </si>
  <si>
    <t>ה־</t>
  </si>
  <si>
    <t>הוא</t>
  </si>
  <si>
    <t>h u</t>
  </si>
  <si>
    <t>hu</t>
  </si>
  <si>
    <t>היה</t>
  </si>
  <si>
    <t>h a j a</t>
  </si>
  <si>
    <t>haya</t>
  </si>
  <si>
    <t>חיים</t>
  </si>
  <si>
    <t>x a j i m</t>
  </si>
  <si>
    <t>kayim</t>
  </si>
  <si>
    <t>חכם</t>
  </si>
  <si>
    <t>x u x u m</t>
  </si>
  <si>
    <t>kukum</t>
  </si>
  <si>
    <t>חמישה</t>
  </si>
  <si>
    <t>x a m i ʃ a</t>
  </si>
  <si>
    <t>kamisha</t>
  </si>
  <si>
    <t>חתול</t>
  </si>
  <si>
    <t>x u s i l</t>
  </si>
  <si>
    <t>kusil</t>
  </si>
  <si>
    <t>יין</t>
  </si>
  <si>
    <t>j a j i n</t>
  </si>
  <si>
    <t>yayin</t>
  </si>
  <si>
    <t>כאילו</t>
  </si>
  <si>
    <t>כולה</t>
  </si>
  <si>
    <t>כולם</t>
  </si>
  <si>
    <t>k u l a m</t>
  </si>
  <si>
    <t>כולנו</t>
  </si>
  <si>
    <t>k u l a n u</t>
  </si>
  <si>
    <t>kulanu</t>
  </si>
  <si>
    <t>כלל</t>
  </si>
  <si>
    <t>k a l a l</t>
  </si>
  <si>
    <t>kalal</t>
  </si>
  <si>
    <t>כן</t>
  </si>
  <si>
    <t>ל־</t>
  </si>
  <si>
    <t>לה</t>
  </si>
  <si>
    <t>להקה</t>
  </si>
  <si>
    <t>l a h a k a</t>
  </si>
  <si>
    <t>lahaka</t>
  </si>
  <si>
    <t>לו</t>
  </si>
  <si>
    <t>לקק</t>
  </si>
  <si>
    <t>l u k a k</t>
  </si>
  <si>
    <t>lukak</t>
  </si>
  <si>
    <t>מ־</t>
  </si>
  <si>
    <t>מאתיים</t>
  </si>
  <si>
    <t>m a t a j i m</t>
  </si>
  <si>
    <t>matayim</t>
  </si>
  <si>
    <t>מיכה</t>
  </si>
  <si>
    <t>m i x a</t>
  </si>
  <si>
    <t>מין</t>
  </si>
  <si>
    <t>מיני</t>
  </si>
  <si>
    <t>מישהו</t>
  </si>
  <si>
    <t>m i ʃ u</t>
  </si>
  <si>
    <t>mishu</t>
  </si>
  <si>
    <t>ממש</t>
  </si>
  <si>
    <t>m a m a ʃ</t>
  </si>
  <si>
    <t>mamash</t>
  </si>
  <si>
    <t>מתי</t>
  </si>
  <si>
    <t>m a t a j</t>
  </si>
  <si>
    <t>matay</t>
  </si>
  <si>
    <t>נילוס</t>
  </si>
  <si>
    <t>n i l u s</t>
  </si>
  <si>
    <t>nilus</t>
  </si>
  <si>
    <t>נמל</t>
  </si>
  <si>
    <t>n a m a l</t>
  </si>
  <si>
    <t>namal</t>
  </si>
  <si>
    <t>סוס</t>
  </si>
  <si>
    <t>סמל</t>
  </si>
  <si>
    <t>s a m a l</t>
  </si>
  <si>
    <t>samal</t>
  </si>
  <si>
    <t>עין</t>
  </si>
  <si>
    <t>a j i n</t>
  </si>
  <si>
    <t>על</t>
  </si>
  <si>
    <t>עם</t>
  </si>
  <si>
    <t>עש</t>
  </si>
  <si>
    <t>עשה</t>
  </si>
  <si>
    <t>u s u</t>
  </si>
  <si>
    <t>usu</t>
  </si>
  <si>
    <t>עשים</t>
  </si>
  <si>
    <t>a ʃ i m</t>
  </si>
  <si>
    <t>ashim</t>
  </si>
  <si>
    <t>פי</t>
  </si>
  <si>
    <t>פין</t>
  </si>
  <si>
    <t>פנס</t>
  </si>
  <si>
    <t>p a n a s</t>
  </si>
  <si>
    <t>panas</t>
  </si>
  <si>
    <t>צימוקים</t>
  </si>
  <si>
    <t>s i m u k i m</t>
  </si>
  <si>
    <t>simukim</t>
  </si>
  <si>
    <t>קהל</t>
  </si>
  <si>
    <t>k a h a l</t>
  </si>
  <si>
    <t>kahal</t>
  </si>
  <si>
    <t>קול</t>
  </si>
  <si>
    <t>קום</t>
  </si>
  <si>
    <t>k u m</t>
  </si>
  <si>
    <t>קטל</t>
  </si>
  <si>
    <t>k a t a l</t>
  </si>
  <si>
    <t>קטן</t>
  </si>
  <si>
    <t>קין</t>
  </si>
  <si>
    <t>k a j i n</t>
  </si>
  <si>
    <t>kayin</t>
  </si>
  <si>
    <t>קל</t>
  </si>
  <si>
    <t>קלה</t>
  </si>
  <si>
    <t>קנה</t>
  </si>
  <si>
    <t>קש</t>
  </si>
  <si>
    <t>קשת</t>
  </si>
  <si>
    <t>q e ʃ e θ</t>
  </si>
  <si>
    <t>qishith</t>
  </si>
  <si>
    <t>q ɛ ʃ ɛ θ</t>
  </si>
  <si>
    <t>שישה</t>
  </si>
  <si>
    <t>ʃ i ʃ a</t>
  </si>
  <si>
    <t>שמים</t>
  </si>
  <si>
    <t>ʃ a m a j i m</t>
  </si>
  <si>
    <t>shamayim</t>
  </si>
  <si>
    <t>שמן</t>
  </si>
  <si>
    <t>ʃ u m a n</t>
  </si>
  <si>
    <t>shuman</t>
  </si>
  <si>
    <t>שמע</t>
  </si>
  <si>
    <t>ʃ a m a</t>
  </si>
  <si>
    <t>shama</t>
  </si>
  <si>
    <t>שנה</t>
  </si>
  <si>
    <t>ʃ a n a</t>
  </si>
  <si>
    <t>shana</t>
  </si>
  <si>
    <t>שק</t>
  </si>
  <si>
    <t>שקים</t>
  </si>
  <si>
    <t>s a k i m</t>
  </si>
  <si>
    <t>sakim</t>
  </si>
  <si>
    <t>sacos</t>
  </si>
  <si>
    <t>שקל</t>
  </si>
  <si>
    <t>ʃ e q e l</t>
  </si>
  <si>
    <t>shiqil</t>
  </si>
  <si>
    <t>שתה</t>
  </si>
  <si>
    <t>ʃ a t a</t>
  </si>
  <si>
    <t>shata</t>
  </si>
  <si>
    <t>שתל</t>
  </si>
  <si>
    <t>ʃ a t a l</t>
  </si>
  <si>
    <t>shatal</t>
  </si>
  <si>
    <t>תא</t>
  </si>
  <si>
    <t>תחת</t>
  </si>
  <si>
    <t>t a x a s</t>
  </si>
  <si>
    <t>takas</t>
  </si>
  <si>
    <t>תלוי</t>
  </si>
  <si>
    <t>t a l u j</t>
  </si>
  <si>
    <t>taluy</t>
  </si>
  <si>
    <t>heb_hebr_narrow.tsv</t>
  </si>
  <si>
    <t>x a j ɪ m</t>
  </si>
  <si>
    <t>x a θ u l</t>
  </si>
  <si>
    <t>kathul</t>
  </si>
  <si>
    <t>כאן</t>
  </si>
  <si>
    <t>משהו</t>
  </si>
  <si>
    <t>m a ʃ u</t>
  </si>
  <si>
    <t>mashu</t>
  </si>
  <si>
    <t>ind_latn_broad.tsv</t>
  </si>
  <si>
    <t>akil</t>
  </si>
  <si>
    <t>a k ɪ l</t>
  </si>
  <si>
    <t>a k u</t>
  </si>
  <si>
    <t>establish</t>
  </si>
  <si>
    <t>found</t>
  </si>
  <si>
    <t>basal</t>
  </si>
  <si>
    <t>pedestal</t>
  </si>
  <si>
    <t>stand</t>
  </si>
  <si>
    <t>base_of_operations</t>
  </si>
  <si>
    <t>foundation</t>
  </si>
  <si>
    <t>groundwork</t>
  </si>
  <si>
    <t>substructure</t>
  </si>
  <si>
    <t>understructure</t>
  </si>
  <si>
    <t>liner</t>
  </si>
  <si>
    <t>lining</t>
  </si>
  <si>
    <t>mounting</t>
  </si>
  <si>
    <t>plinth</t>
  </si>
  <si>
    <t>footstall</t>
  </si>
  <si>
    <t>socle</t>
  </si>
  <si>
    <t>root</t>
  </si>
  <si>
    <t>root_word</t>
  </si>
  <si>
    <t>radical</t>
  </si>
  <si>
    <t>al-Qaeda</t>
  </si>
  <si>
    <t>Qaeda</t>
  </si>
  <si>
    <t>al-Qa'ida</t>
  </si>
  <si>
    <t>al-Qaida</t>
  </si>
  <si>
    <t>Base</t>
  </si>
  <si>
    <t>radix</t>
  </si>
  <si>
    <t>basis</t>
  </si>
  <si>
    <t>alkali</t>
  </si>
  <si>
    <t>eyebrow</t>
  </si>
  <si>
    <t>brow</t>
  </si>
  <si>
    <t>supercilium</t>
  </si>
  <si>
    <t>forehead</t>
  </si>
  <si>
    <t>cosmopolitan</t>
  </si>
  <si>
    <t>ecumenical</t>
  </si>
  <si>
    <t>oecumenical</t>
  </si>
  <si>
    <t>general</t>
  </si>
  <si>
    <t>universal</t>
  </si>
  <si>
    <t>placid</t>
  </si>
  <si>
    <t>unruffled</t>
  </si>
  <si>
    <t>peaceful</t>
  </si>
  <si>
    <t>peaceable</t>
  </si>
  <si>
    <t>protected</t>
  </si>
  <si>
    <t>restful</t>
  </si>
  <si>
    <t>reposeful</t>
  </si>
  <si>
    <t>relaxing</t>
  </si>
  <si>
    <t>safe</t>
  </si>
  <si>
    <t>unafraid</t>
  </si>
  <si>
    <t>untroubled</t>
  </si>
  <si>
    <t>a m ɪ n</t>
  </si>
  <si>
    <t>Amen</t>
  </si>
  <si>
    <t>Amon</t>
  </si>
  <si>
    <t>Amun</t>
  </si>
  <si>
    <t>Ana</t>
  </si>
  <si>
    <t>anak</t>
  </si>
  <si>
    <t>a n a k</t>
  </si>
  <si>
    <t>whelp</t>
  </si>
  <si>
    <t>young_carnivore</t>
  </si>
  <si>
    <t>bairn</t>
  </si>
  <si>
    <t>chit</t>
  </si>
  <si>
    <t>daughter</t>
  </si>
  <si>
    <t>progeny</t>
  </si>
  <si>
    <t>sprog</t>
  </si>
  <si>
    <t>toddler</t>
  </si>
  <si>
    <t>yearling</t>
  </si>
  <si>
    <t>bambino</t>
  </si>
  <si>
    <t>outgrowth</t>
  </si>
  <si>
    <t>offshoot</t>
  </si>
  <si>
    <t>analisis</t>
  </si>
  <si>
    <t>a n a l i s ɪ s</t>
  </si>
  <si>
    <t>psychoanalysis</t>
  </si>
  <si>
    <t>depth_psychology</t>
  </si>
  <si>
    <t>partitioning</t>
  </si>
  <si>
    <t>ananim</t>
  </si>
  <si>
    <t>a n a n ɪ m</t>
  </si>
  <si>
    <t>animasi</t>
  </si>
  <si>
    <t>a n i m a s i</t>
  </si>
  <si>
    <t>animation</t>
  </si>
  <si>
    <t>animated</t>
  </si>
  <si>
    <t>cartoon</t>
  </si>
  <si>
    <t>animated_cartoon</t>
  </si>
  <si>
    <t>toon</t>
  </si>
  <si>
    <t>sketch</t>
  </si>
  <si>
    <t>life</t>
  </si>
  <si>
    <t>aliveness</t>
  </si>
  <si>
    <t>apak</t>
  </si>
  <si>
    <t>a p a k</t>
  </si>
  <si>
    <t>a s a m</t>
  </si>
  <si>
    <t>sourly</t>
  </si>
  <si>
    <t>tamarind</t>
  </si>
  <si>
    <t>tamarindo</t>
  </si>
  <si>
    <t>asyik</t>
  </si>
  <si>
    <t>a s ɪ k</t>
  </si>
  <si>
    <t>asik</t>
  </si>
  <si>
    <t>captive</t>
  </si>
  <si>
    <t>absorbed</t>
  </si>
  <si>
    <t>engrossed</t>
  </si>
  <si>
    <t>enwrapped</t>
  </si>
  <si>
    <t>intent</t>
  </si>
  <si>
    <t>wrapped</t>
  </si>
  <si>
    <t>eager</t>
  </si>
  <si>
    <t>enthusiastic</t>
  </si>
  <si>
    <t>indulge</t>
  </si>
  <si>
    <t>luxuriate</t>
  </si>
  <si>
    <t>passionate</t>
  </si>
  <si>
    <t>bemused</t>
  </si>
  <si>
    <t>deep_in_thought</t>
  </si>
  <si>
    <t>preoccupied</t>
  </si>
  <si>
    <t>romantic</t>
  </si>
  <si>
    <t>romanticist</t>
  </si>
  <si>
    <t>romanticistic</t>
  </si>
  <si>
    <t>daredevil</t>
  </si>
  <si>
    <t>madcap</t>
  </si>
  <si>
    <t>hothead</t>
  </si>
  <si>
    <t>swashbuckler</t>
  </si>
  <si>
    <t>lunatic</t>
  </si>
  <si>
    <t>harum-scarum</t>
  </si>
  <si>
    <t>a ʃ ɪ k</t>
  </si>
  <si>
    <t>ashik</t>
  </si>
  <si>
    <t>ayam</t>
  </si>
  <si>
    <t>a j a m</t>
  </si>
  <si>
    <t>domestic_fowl</t>
  </si>
  <si>
    <t>fowl</t>
  </si>
  <si>
    <t>poultry</t>
  </si>
  <si>
    <t>coq_au_vin</t>
  </si>
  <si>
    <t>ayun</t>
  </si>
  <si>
    <t>a j ʊ n</t>
  </si>
  <si>
    <t>swing</t>
  </si>
  <si>
    <t>swinging</t>
  </si>
  <si>
    <t>vacillation</t>
  </si>
  <si>
    <t>thing</t>
  </si>
  <si>
    <t>affair</t>
  </si>
  <si>
    <t>respect</t>
  </si>
  <si>
    <t>regard</t>
  </si>
  <si>
    <t>material</t>
  </si>
  <si>
    <t>halaman</t>
  </si>
  <si>
    <t>h a l a m a n</t>
  </si>
  <si>
    <t>page</t>
  </si>
  <si>
    <t>lawn</t>
  </si>
  <si>
    <t>halusinasi</t>
  </si>
  <si>
    <t>h a l u s i n a s i</t>
  </si>
  <si>
    <t>hallucination</t>
  </si>
  <si>
    <t>hanya</t>
  </si>
  <si>
    <t>h a ɲ a</t>
  </si>
  <si>
    <t>haña</t>
  </si>
  <si>
    <t>barely</t>
  </si>
  <si>
    <t>hardly</t>
  </si>
  <si>
    <t>scarcely</t>
  </si>
  <si>
    <t>scarce</t>
  </si>
  <si>
    <t>merely</t>
  </si>
  <si>
    <t>simply</t>
  </si>
  <si>
    <t>but</t>
  </si>
  <si>
    <t>exclusively</t>
  </si>
  <si>
    <t>solely</t>
  </si>
  <si>
    <t>otherwise</t>
  </si>
  <si>
    <t>strictly</t>
  </si>
  <si>
    <t>purely</t>
  </si>
  <si>
    <t>hati</t>
  </si>
  <si>
    <t>h a t i</t>
  </si>
  <si>
    <t>tertiary_syphilis</t>
  </si>
  <si>
    <t>hayati</t>
  </si>
  <si>
    <t>h a j a t i</t>
  </si>
  <si>
    <t>biology</t>
  </si>
  <si>
    <t>biological_science</t>
  </si>
  <si>
    <t>h i n a</t>
  </si>
  <si>
    <t>accursed</t>
  </si>
  <si>
    <t>accurst</t>
  </si>
  <si>
    <t>maledict</t>
  </si>
  <si>
    <t>abuse</t>
  </si>
  <si>
    <t>clapperclaw</t>
  </si>
  <si>
    <t>diss</t>
  </si>
  <si>
    <t>insult</t>
  </si>
  <si>
    <t>affront</t>
  </si>
  <si>
    <t>contemptible</t>
  </si>
  <si>
    <t>despicable</t>
  </si>
  <si>
    <t>vile</t>
  </si>
  <si>
    <t>slimy</t>
  </si>
  <si>
    <t>unworthy</t>
  </si>
  <si>
    <t>worthless</t>
  </si>
  <si>
    <t>wretched</t>
  </si>
  <si>
    <t>contemn</t>
  </si>
  <si>
    <t>despise</t>
  </si>
  <si>
    <t>scorn</t>
  </si>
  <si>
    <t>disdain</t>
  </si>
  <si>
    <t>mistreat</t>
  </si>
  <si>
    <t>maltreat</t>
  </si>
  <si>
    <t>ill-use</t>
  </si>
  <si>
    <t>ill-treat</t>
  </si>
  <si>
    <t>revilement</t>
  </si>
  <si>
    <t>contumely</t>
  </si>
  <si>
    <t>vilification</t>
  </si>
  <si>
    <t>hukum</t>
  </si>
  <si>
    <t>h u k ʊ m</t>
  </si>
  <si>
    <t>practice_of_law</t>
  </si>
  <si>
    <t>sentence</t>
  </si>
  <si>
    <t>condemn</t>
  </si>
  <si>
    <t>doom</t>
  </si>
  <si>
    <t>punishment</t>
  </si>
  <si>
    <t>penalty</t>
  </si>
  <si>
    <t>penalization</t>
  </si>
  <si>
    <t>penalisation</t>
  </si>
  <si>
    <t>legal</t>
  </si>
  <si>
    <t>legal_philosophy</t>
  </si>
  <si>
    <t>dogma</t>
  </si>
  <si>
    <t>tenet</t>
  </si>
  <si>
    <t>hukuman</t>
  </si>
  <si>
    <t>h u k u m a n</t>
  </si>
  <si>
    <t>correction</t>
  </si>
  <si>
    <t>conviction</t>
  </si>
  <si>
    <t>judgment_of_conviction</t>
  </si>
  <si>
    <t>condemnation</t>
  </si>
  <si>
    <t>retribution</t>
  </si>
  <si>
    <t>requital</t>
  </si>
  <si>
    <t>prison_term</t>
  </si>
  <si>
    <t>time</t>
  </si>
  <si>
    <t>huni</t>
  </si>
  <si>
    <t>h u n i</t>
  </si>
  <si>
    <t>hutan</t>
  </si>
  <si>
    <t>h u t a n</t>
  </si>
  <si>
    <t>untamed</t>
  </si>
  <si>
    <t>forest</t>
  </si>
  <si>
    <t>wood</t>
  </si>
  <si>
    <t>woods</t>
  </si>
  <si>
    <t>hobo_camp</t>
  </si>
  <si>
    <t>jungle</t>
  </si>
  <si>
    <t>wilderness</t>
  </si>
  <si>
    <t>woodland</t>
  </si>
  <si>
    <t>timberland</t>
  </si>
  <si>
    <t>timber</t>
  </si>
  <si>
    <t>i k a n</t>
  </si>
  <si>
    <t>Pisces</t>
  </si>
  <si>
    <t>Fish</t>
  </si>
  <si>
    <t>religion</t>
  </si>
  <si>
    <t>faith</t>
  </si>
  <si>
    <t>religious_belief</t>
  </si>
  <si>
    <t>creed</t>
  </si>
  <si>
    <t>credo</t>
  </si>
  <si>
    <t>ipa</t>
  </si>
  <si>
    <t>i p a</t>
  </si>
  <si>
    <t>isama</t>
  </si>
  <si>
    <t>i s a m a</t>
  </si>
  <si>
    <t>isap</t>
  </si>
  <si>
    <t>i s a p</t>
  </si>
  <si>
    <t>ɪ s u</t>
  </si>
  <si>
    <t>publish</t>
  </si>
  <si>
    <t>put_out</t>
  </si>
  <si>
    <t>issuing</t>
  </si>
  <si>
    <t>issuance</t>
  </si>
  <si>
    <t>publication</t>
  </si>
  <si>
    <t>itas</t>
  </si>
  <si>
    <t>i t a s</t>
  </si>
  <si>
    <t>kakus</t>
  </si>
  <si>
    <t>k a k ʊ s</t>
  </si>
  <si>
    <t>river</t>
  </si>
  <si>
    <t>times</t>
  </si>
  <si>
    <t>Kami</t>
  </si>
  <si>
    <t>k a m ɪ s</t>
  </si>
  <si>
    <t>Thursday</t>
  </si>
  <si>
    <t>Th</t>
  </si>
  <si>
    <t>k a m u</t>
  </si>
  <si>
    <t>kapal</t>
  </si>
  <si>
    <t>k a p a l</t>
  </si>
  <si>
    <t>naval</t>
  </si>
  <si>
    <t>bark</t>
  </si>
  <si>
    <t>barque</t>
  </si>
  <si>
    <t>boat</t>
  </si>
  <si>
    <t>ocean_liner</t>
  </si>
  <si>
    <t>warship</t>
  </si>
  <si>
    <t>war_vessel</t>
  </si>
  <si>
    <t>combat_ship</t>
  </si>
  <si>
    <t>kapalan</t>
  </si>
  <si>
    <t>k a p a l a n</t>
  </si>
  <si>
    <t>kapan</t>
  </si>
  <si>
    <t>k a p a n</t>
  </si>
  <si>
    <t>downy</t>
  </si>
  <si>
    <t>downlike</t>
  </si>
  <si>
    <t>flossy</t>
  </si>
  <si>
    <t>fluffy</t>
  </si>
  <si>
    <t>cotton</t>
  </si>
  <si>
    <t>cotton_plant</t>
  </si>
  <si>
    <t>cotton_fiber</t>
  </si>
  <si>
    <t>cotton_wool</t>
  </si>
  <si>
    <t>k a p i t a n</t>
  </si>
  <si>
    <t>katun</t>
  </si>
  <si>
    <t>k a t u n</t>
  </si>
  <si>
    <t>kayas</t>
  </si>
  <si>
    <t>k a j a s</t>
  </si>
  <si>
    <t>khatam</t>
  </si>
  <si>
    <t>h a t a m</t>
  </si>
  <si>
    <t>hatam</t>
  </si>
  <si>
    <t>ending</t>
  </si>
  <si>
    <t>conclusion</t>
  </si>
  <si>
    <t>k a t a m</t>
  </si>
  <si>
    <t>katam</t>
  </si>
  <si>
    <t>x a t a m</t>
  </si>
  <si>
    <t>kisi</t>
  </si>
  <si>
    <t>k i s i</t>
  </si>
  <si>
    <t>cleft</t>
  </si>
  <si>
    <t>crevice</t>
  </si>
  <si>
    <t>fissure</t>
  </si>
  <si>
    <t>scissure</t>
  </si>
  <si>
    <t>United_States</t>
  </si>
  <si>
    <t>United_States_of_America</t>
  </si>
  <si>
    <t>America</t>
  </si>
  <si>
    <t>the_States</t>
  </si>
  <si>
    <t>US</t>
  </si>
  <si>
    <t>U.S.</t>
  </si>
  <si>
    <t>USA</t>
  </si>
  <si>
    <t>U.S.A.</t>
  </si>
  <si>
    <t>kitas</t>
  </si>
  <si>
    <t>k i t a s</t>
  </si>
  <si>
    <t>kk</t>
  </si>
  <si>
    <t>hoof</t>
  </si>
  <si>
    <t>fingernail</t>
  </si>
  <si>
    <t>kukus</t>
  </si>
  <si>
    <t>k u k ʊ s</t>
  </si>
  <si>
    <t>steamed</t>
  </si>
  <si>
    <t>k u n a</t>
  </si>
  <si>
    <t>kusuma</t>
  </si>
  <si>
    <t>k u s u m a</t>
  </si>
  <si>
    <t>l a k i</t>
  </si>
  <si>
    <t>husband</t>
  </si>
  <si>
    <t>hubby</t>
  </si>
  <si>
    <t>married_man</t>
  </si>
  <si>
    <t>l a k u</t>
  </si>
  <si>
    <t>salable</t>
  </si>
  <si>
    <t>saleable</t>
  </si>
  <si>
    <t>personal_manner</t>
  </si>
  <si>
    <t>previous</t>
  </si>
  <si>
    <t>old</t>
  </si>
  <si>
    <t>long</t>
  </si>
  <si>
    <t>Old</t>
  </si>
  <si>
    <t>older</t>
  </si>
  <si>
    <t>drawn-out</t>
  </si>
  <si>
    <t>extended</t>
  </si>
  <si>
    <t>lengthy</t>
  </si>
  <si>
    <t>prolonged</t>
  </si>
  <si>
    <t>protracted</t>
  </si>
  <si>
    <t>stale</t>
  </si>
  <si>
    <t>dusty</t>
  </si>
  <si>
    <t>ancient</t>
  </si>
  <si>
    <t>erstwhile</t>
  </si>
  <si>
    <t>former</t>
  </si>
  <si>
    <t>onetime</t>
  </si>
  <si>
    <t>one-time</t>
  </si>
  <si>
    <t>quondam</t>
  </si>
  <si>
    <t>sometime</t>
  </si>
  <si>
    <t>retentive</t>
  </si>
  <si>
    <t>recollective</t>
  </si>
  <si>
    <t>ancientness</t>
  </si>
  <si>
    <t>antiquity</t>
  </si>
  <si>
    <t>duration</t>
  </si>
  <si>
    <t>continuance</t>
  </si>
  <si>
    <t>laman</t>
  </si>
  <si>
    <t>l a m a n</t>
  </si>
  <si>
    <t>lasik</t>
  </si>
  <si>
    <t>l a s i k</t>
  </si>
  <si>
    <t>layan</t>
  </si>
  <si>
    <t>l a j a n</t>
  </si>
  <si>
    <t>listen</t>
  </si>
  <si>
    <t>do_by</t>
  </si>
  <si>
    <t>layanan</t>
  </si>
  <si>
    <t>l a j a n a n</t>
  </si>
  <si>
    <t>treatment</t>
  </si>
  <si>
    <t>handling</t>
  </si>
  <si>
    <t>reception</t>
  </si>
  <si>
    <t>response</t>
  </si>
  <si>
    <t>verbal</t>
  </si>
  <si>
    <t>spoken</t>
  </si>
  <si>
    <t>unwritten</t>
  </si>
  <si>
    <t>speech</t>
  </si>
  <si>
    <t>speech_communication</t>
  </si>
  <si>
    <t>spoken_communication</t>
  </si>
  <si>
    <t>spoken_language</t>
  </si>
  <si>
    <t>voice_communication</t>
  </si>
  <si>
    <t>oral_communication</t>
  </si>
  <si>
    <t>lulusan</t>
  </si>
  <si>
    <t>l u l ʊ s a n</t>
  </si>
  <si>
    <t>forget</t>
  </si>
  <si>
    <t>blank_out</t>
  </si>
  <si>
    <t>draw_a_blank</t>
  </si>
  <si>
    <t>bury</t>
  </si>
  <si>
    <t>lusin</t>
  </si>
  <si>
    <t>l u s i n</t>
  </si>
  <si>
    <t>twelve</t>
  </si>
  <si>
    <t>XII</t>
  </si>
  <si>
    <t>dozen</t>
  </si>
  <si>
    <t>m ɑ x</t>
  </si>
  <si>
    <t>makan</t>
  </si>
  <si>
    <t>m a k a n</t>
  </si>
  <si>
    <t>erode</t>
  </si>
  <si>
    <t>eat_away</t>
  </si>
  <si>
    <t>auspicate</t>
  </si>
  <si>
    <t>live_with</t>
  </si>
  <si>
    <t>take_back</t>
  </si>
  <si>
    <t>unsay</t>
  </si>
  <si>
    <t>eating</t>
  </si>
  <si>
    <t>feeding</t>
  </si>
  <si>
    <t>demolish</t>
  </si>
  <si>
    <t>destroy</t>
  </si>
  <si>
    <t>eat_up</t>
  </si>
  <si>
    <t>deplete</t>
  </si>
  <si>
    <t>run_through</t>
  </si>
  <si>
    <t>squander</t>
  </si>
  <si>
    <t>ware</t>
  </si>
  <si>
    <t>gluttonize</t>
  </si>
  <si>
    <t>gluttonise</t>
  </si>
  <si>
    <t>fress</t>
  </si>
  <si>
    <t>partake</t>
  </si>
  <si>
    <t>gobble</t>
  </si>
  <si>
    <t>bolt</t>
  </si>
  <si>
    <t>brunch</t>
  </si>
  <si>
    <t>gorge</t>
  </si>
  <si>
    <t>ingurgitate</t>
  </si>
  <si>
    <t>overindulge</t>
  </si>
  <si>
    <t>glut</t>
  </si>
  <si>
    <t>englut</t>
  </si>
  <si>
    <t>engorge</t>
  </si>
  <si>
    <t>overgorge</t>
  </si>
  <si>
    <t>overeat</t>
  </si>
  <si>
    <t>gormandize</t>
  </si>
  <si>
    <t>gormandise</t>
  </si>
  <si>
    <t>gourmandize</t>
  </si>
  <si>
    <t>binge</t>
  </si>
  <si>
    <t>pig_out</t>
  </si>
  <si>
    <t>satiate</t>
  </si>
  <si>
    <t>scarf_out</t>
  </si>
  <si>
    <t>fill_up</t>
  </si>
  <si>
    <t>ruin</t>
  </si>
  <si>
    <t>immerse</t>
  </si>
  <si>
    <t>swallow_up</t>
  </si>
  <si>
    <t>destruct</t>
  </si>
  <si>
    <t>turn</t>
  </si>
  <si>
    <t>makanan</t>
  </si>
  <si>
    <t>m a k a n a n</t>
  </si>
  <si>
    <t>supply</t>
  </si>
  <si>
    <t>provision</t>
  </si>
  <si>
    <t>supplying</t>
  </si>
  <si>
    <t>alimentation</t>
  </si>
  <si>
    <t>provide</t>
  </si>
  <si>
    <t>ply</t>
  </si>
  <si>
    <t>cater</t>
  </si>
  <si>
    <t>render</t>
  </si>
  <si>
    <t>furnish</t>
  </si>
  <si>
    <t>food_for_thought</t>
  </si>
  <si>
    <t>intellectual_nourishment</t>
  </si>
  <si>
    <t>solid_food</t>
  </si>
  <si>
    <t>fare</t>
  </si>
  <si>
    <t>chow</t>
  </si>
  <si>
    <t>eats</t>
  </si>
  <si>
    <t>table</t>
  </si>
  <si>
    <t>nutriment</t>
  </si>
  <si>
    <t>nourishment</t>
  </si>
  <si>
    <t>nutrition</t>
  </si>
  <si>
    <t>aliment</t>
  </si>
  <si>
    <t>victuals</t>
  </si>
  <si>
    <t>commissariat</t>
  </si>
  <si>
    <t>provisions</t>
  </si>
  <si>
    <t>provender</t>
  </si>
  <si>
    <t>viands</t>
  </si>
  <si>
    <t>meal</t>
  </si>
  <si>
    <t>repast</t>
  </si>
  <si>
    <t>malam</t>
  </si>
  <si>
    <t>m a l a m</t>
  </si>
  <si>
    <t>nocturnal</t>
  </si>
  <si>
    <t>night</t>
  </si>
  <si>
    <t>wax</t>
  </si>
  <si>
    <t>eve</t>
  </si>
  <si>
    <t>evening</t>
  </si>
  <si>
    <t>even</t>
  </si>
  <si>
    <t>eventide</t>
  </si>
  <si>
    <t>nighttime</t>
  </si>
  <si>
    <t>masam</t>
  </si>
  <si>
    <t>m a s a m</t>
  </si>
  <si>
    <t>surly</t>
  </si>
  <si>
    <t>acidify</t>
  </si>
  <si>
    <t>acidulate</t>
  </si>
  <si>
    <t>acetify</t>
  </si>
  <si>
    <t>magic_trick</t>
  </si>
  <si>
    <t>conjuring_trick</t>
  </si>
  <si>
    <t>trick</t>
  </si>
  <si>
    <t>magic</t>
  </si>
  <si>
    <t>legerdemain</t>
  </si>
  <si>
    <t>conjuration</t>
  </si>
  <si>
    <t>thaumaturgy</t>
  </si>
  <si>
    <t>illusion</t>
  </si>
  <si>
    <t>deception</t>
  </si>
  <si>
    <t>delusion</t>
  </si>
  <si>
    <t>head_game</t>
  </si>
  <si>
    <t>mirage</t>
  </si>
  <si>
    <t>meme</t>
  </si>
  <si>
    <t>mipa</t>
  </si>
  <si>
    <t>m i p a</t>
  </si>
  <si>
    <t>snout</t>
  </si>
  <si>
    <t>neb</t>
  </si>
  <si>
    <t>facial</t>
  </si>
  <si>
    <t>visage</t>
  </si>
  <si>
    <t>physiognomy</t>
  </si>
  <si>
    <t>phiz</t>
  </si>
  <si>
    <t>kisser</t>
  </si>
  <si>
    <t>smiler</t>
  </si>
  <si>
    <t>front_end</t>
  </si>
  <si>
    <t>forepart</t>
  </si>
  <si>
    <t>surface</t>
  </si>
  <si>
    <t>Earth's_surface</t>
  </si>
  <si>
    <t>causal_agent</t>
  </si>
  <si>
    <t>causal_agency</t>
  </si>
  <si>
    <t>begin</t>
  </si>
  <si>
    <t>start_out</t>
  </si>
  <si>
    <t>set_about</t>
  </si>
  <si>
    <t>set_out</t>
  </si>
  <si>
    <t>commence</t>
  </si>
  <si>
    <t>early</t>
  </si>
  <si>
    <t>initial</t>
  </si>
  <si>
    <t>develop</t>
  </si>
  <si>
    <t>start_up</t>
  </si>
  <si>
    <t>embark_on</t>
  </si>
  <si>
    <t>get_going</t>
  </si>
  <si>
    <t>mutasi</t>
  </si>
  <si>
    <t>m u t a s i</t>
  </si>
  <si>
    <t>mutation</t>
  </si>
  <si>
    <t>genetic_mutation</t>
  </si>
  <si>
    <t>chromosomal_mutation</t>
  </si>
  <si>
    <t>mutant</t>
  </si>
  <si>
    <t>variation</t>
  </si>
  <si>
    <t>n a n a s</t>
  </si>
  <si>
    <t>nasi</t>
  </si>
  <si>
    <t>n a s i</t>
  </si>
  <si>
    <t>rice</t>
  </si>
  <si>
    <t>Christmas</t>
  </si>
  <si>
    <t>Christmas_Day</t>
  </si>
  <si>
    <t>Xmas</t>
  </si>
  <si>
    <t>Dec_25</t>
  </si>
  <si>
    <t>n i l a</t>
  </si>
  <si>
    <t>indigo</t>
  </si>
  <si>
    <t>anil</t>
  </si>
  <si>
    <t>indigotin</t>
  </si>
  <si>
    <t>nyanyi</t>
  </si>
  <si>
    <t>ɲ a ɲ i</t>
  </si>
  <si>
    <t>ñañi</t>
  </si>
  <si>
    <t>pahala</t>
  </si>
  <si>
    <t>p a h a l a</t>
  </si>
  <si>
    <t>paham</t>
  </si>
  <si>
    <t>p a h a m</t>
  </si>
  <si>
    <t>p a k u</t>
  </si>
  <si>
    <t>fern</t>
  </si>
  <si>
    <t>allspice</t>
  </si>
  <si>
    <t>nutmeg</t>
  </si>
  <si>
    <t>nutmeg_tree</t>
  </si>
  <si>
    <t>Myristica_fragrans</t>
  </si>
  <si>
    <t>palu</t>
  </si>
  <si>
    <t>p a l u</t>
  </si>
  <si>
    <t>warm</t>
  </si>
  <si>
    <t>fevered</t>
  </si>
  <si>
    <t>hot</t>
  </si>
  <si>
    <t>fiery</t>
  </si>
  <si>
    <t>igneous</t>
  </si>
  <si>
    <t>thermal</t>
  </si>
  <si>
    <t>torrid</t>
  </si>
  <si>
    <t>heated</t>
  </si>
  <si>
    <t>red-hot</t>
  </si>
  <si>
    <t>feverish</t>
  </si>
  <si>
    <t>feverous</t>
  </si>
  <si>
    <t>muggy</t>
  </si>
  <si>
    <t>steamy</t>
  </si>
  <si>
    <t>sticky</t>
  </si>
  <si>
    <t>febrile</t>
  </si>
  <si>
    <t>hotness</t>
  </si>
  <si>
    <t>heat</t>
  </si>
  <si>
    <t>high_temperature</t>
  </si>
  <si>
    <t>warmth</t>
  </si>
  <si>
    <t>estrus</t>
  </si>
  <si>
    <t>oestrus</t>
  </si>
  <si>
    <t>rut</t>
  </si>
  <si>
    <t>poor</t>
  </si>
  <si>
    <t>buttock</t>
  </si>
  <si>
    <t>magnetic_tape</t>
  </si>
  <si>
    <t>mag_tape</t>
  </si>
  <si>
    <t>typewriter_ribbon</t>
  </si>
  <si>
    <t>tape_recording</t>
  </si>
  <si>
    <t>taping</t>
  </si>
  <si>
    <t>stria</t>
  </si>
  <si>
    <t>striation</t>
  </si>
  <si>
    <t>putus</t>
  </si>
  <si>
    <t>p u t ʊ s</t>
  </si>
  <si>
    <t>separate</t>
  </si>
  <si>
    <t>split_up</t>
  </si>
  <si>
    <t>fall_apart</t>
  </si>
  <si>
    <t>come_apart</t>
  </si>
  <si>
    <t>estimate</t>
  </si>
  <si>
    <t>gauge</t>
  </si>
  <si>
    <t>approximate</t>
  </si>
  <si>
    <t>guess</t>
  </si>
  <si>
    <t>snarl</t>
  </si>
  <si>
    <t>pronounce</t>
  </si>
  <si>
    <t>label</t>
  </si>
  <si>
    <t>done</t>
  </si>
  <si>
    <t>through_with</t>
  </si>
  <si>
    <t>bust</t>
  </si>
  <si>
    <t>discerp</t>
  </si>
  <si>
    <t>sever</t>
  </si>
  <si>
    <t>lop</t>
  </si>
  <si>
    <t>rupture</t>
  </si>
  <si>
    <t>break_with</t>
  </si>
  <si>
    <t>breach</t>
  </si>
  <si>
    <t>severance</t>
  </si>
  <si>
    <t>rift</t>
  </si>
  <si>
    <t>falling_out</t>
  </si>
  <si>
    <t>Q</t>
  </si>
  <si>
    <t>qanun</t>
  </si>
  <si>
    <t>q a n u n</t>
  </si>
  <si>
    <t>sahaya</t>
  </si>
  <si>
    <t>s a h a j a</t>
  </si>
  <si>
    <t>slave</t>
  </si>
  <si>
    <t>perennial</t>
  </si>
  <si>
    <t>s a m a</t>
  </si>
  <si>
    <t>uniformly</t>
  </si>
  <si>
    <t>same</t>
  </si>
  <si>
    <t>undifferentiated</t>
  </si>
  <si>
    <t>uniform</t>
  </si>
  <si>
    <t>fifty-fifty</t>
  </si>
  <si>
    <t>consistent</t>
  </si>
  <si>
    <t>unvarying</t>
  </si>
  <si>
    <t>comparable</t>
  </si>
  <si>
    <t>corresponding</t>
  </si>
  <si>
    <t>identical</t>
  </si>
  <si>
    <t>indistinguishable</t>
  </si>
  <si>
    <t>selfsame</t>
  </si>
  <si>
    <t>very</t>
  </si>
  <si>
    <t>binary</t>
  </si>
  <si>
    <t>coincide</t>
  </si>
  <si>
    <t>resemble</t>
  </si>
  <si>
    <t>harmonize</t>
  </si>
  <si>
    <t>harmonise</t>
  </si>
  <si>
    <t>consort</t>
  </si>
  <si>
    <t>accord</t>
  </si>
  <si>
    <t>concord</t>
  </si>
  <si>
    <t>fit_in</t>
  </si>
  <si>
    <t>likeness</t>
  </si>
  <si>
    <t>sameness</t>
  </si>
  <si>
    <t>identity</t>
  </si>
  <si>
    <t>identicalness</t>
  </si>
  <si>
    <t>indistinguishability</t>
  </si>
  <si>
    <t>equivalent</t>
  </si>
  <si>
    <t>equivalent_weight</t>
  </si>
  <si>
    <t>combining_weight</t>
  </si>
  <si>
    <t>eq</t>
  </si>
  <si>
    <t>peer</t>
  </si>
  <si>
    <t>compeer</t>
  </si>
  <si>
    <t>sasana</t>
  </si>
  <si>
    <t>s a s a n a</t>
  </si>
  <si>
    <t>s a t u</t>
  </si>
  <si>
    <t>self-colored</t>
  </si>
  <si>
    <t>self-coloured</t>
  </si>
  <si>
    <t>saya</t>
  </si>
  <si>
    <t>s a j a</t>
  </si>
  <si>
    <t>silam</t>
  </si>
  <si>
    <t>s i l a m</t>
  </si>
  <si>
    <t>bygone</t>
  </si>
  <si>
    <t>bypast</t>
  </si>
  <si>
    <t>foregone</t>
  </si>
  <si>
    <t>gone</t>
  </si>
  <si>
    <t>water_under_the_bridge</t>
  </si>
  <si>
    <t>sipil</t>
  </si>
  <si>
    <t>s i p ɪ l</t>
  </si>
  <si>
    <t>civilian</t>
  </si>
  <si>
    <t>approve</t>
  </si>
  <si>
    <t>apt</t>
  </si>
  <si>
    <t>given</t>
  </si>
  <si>
    <t>minded</t>
  </si>
  <si>
    <t>fond</t>
  </si>
  <si>
    <t>partial</t>
  </si>
  <si>
    <t>fancy</t>
  </si>
  <si>
    <t>go_for</t>
  </si>
  <si>
    <t>take_to</t>
  </si>
  <si>
    <t>enjoy</t>
  </si>
  <si>
    <t>approval</t>
  </si>
  <si>
    <t>commendation</t>
  </si>
  <si>
    <t>preference</t>
  </si>
  <si>
    <t>penchant</t>
  </si>
  <si>
    <t>predilection</t>
  </si>
  <si>
    <t>susyi</t>
  </si>
  <si>
    <t>tahanan</t>
  </si>
  <si>
    <t>t a h a n a n</t>
  </si>
  <si>
    <t>remand</t>
  </si>
  <si>
    <t>prison</t>
  </si>
  <si>
    <t>prison_house</t>
  </si>
  <si>
    <t>weight</t>
  </si>
  <si>
    <t>detainee</t>
  </si>
  <si>
    <t>political_detainee</t>
  </si>
  <si>
    <t>hostage</t>
  </si>
  <si>
    <t>surety</t>
  </si>
  <si>
    <t>enslavement</t>
  </si>
  <si>
    <t>captivity</t>
  </si>
  <si>
    <t>imprisonment</t>
  </si>
  <si>
    <t>incarceration</t>
  </si>
  <si>
    <t>immurement</t>
  </si>
  <si>
    <t>detention</t>
  </si>
  <si>
    <t>detainment</t>
  </si>
  <si>
    <t>custody</t>
  </si>
  <si>
    <t>t a h i</t>
  </si>
  <si>
    <t>feculent</t>
  </si>
  <si>
    <t>dump</t>
  </si>
  <si>
    <t>the_shits</t>
  </si>
  <si>
    <t>the_trots</t>
  </si>
  <si>
    <t>fecal_matter</t>
  </si>
  <si>
    <t>faecal_matter</t>
  </si>
  <si>
    <t>feces</t>
  </si>
  <si>
    <t>faeces</t>
  </si>
  <si>
    <t>BM</t>
  </si>
  <si>
    <t>ordure</t>
  </si>
  <si>
    <t>dejection</t>
  </si>
  <si>
    <t>crap</t>
  </si>
  <si>
    <t>shite</t>
  </si>
  <si>
    <t>turd</t>
  </si>
  <si>
    <t>droppings</t>
  </si>
  <si>
    <t>dung</t>
  </si>
  <si>
    <t>tahu</t>
  </si>
  <si>
    <t>t a h u</t>
  </si>
  <si>
    <t>witting</t>
  </si>
  <si>
    <t>acknowledge</t>
  </si>
  <si>
    <t>recognize</t>
  </si>
  <si>
    <t>recognise</t>
  </si>
  <si>
    <t>experience</t>
  </si>
  <si>
    <t>sleep_together</t>
  </si>
  <si>
    <t>make_out</t>
  </si>
  <si>
    <t>make_love</t>
  </si>
  <si>
    <t>sleep_with</t>
  </si>
  <si>
    <t>get_laid</t>
  </si>
  <si>
    <t>have_sex</t>
  </si>
  <si>
    <t>do_it</t>
  </si>
  <si>
    <t>be_intimate</t>
  </si>
  <si>
    <t>have_intercourse</t>
  </si>
  <si>
    <t>have_it_away</t>
  </si>
  <si>
    <t>have_it_off</t>
  </si>
  <si>
    <t>jazz</t>
  </si>
  <si>
    <t>eff</t>
  </si>
  <si>
    <t>lie_with</t>
  </si>
  <si>
    <t>have_a_go_at_it</t>
  </si>
  <si>
    <t>get_it_on</t>
  </si>
  <si>
    <t>mindful</t>
  </si>
  <si>
    <t>aware</t>
  </si>
  <si>
    <t>impression</t>
  </si>
  <si>
    <t>belief</t>
  </si>
  <si>
    <t>notion</t>
  </si>
  <si>
    <t>opinion</t>
  </si>
  <si>
    <t>whim</t>
  </si>
  <si>
    <t>whimsy</t>
  </si>
  <si>
    <t>whimsey</t>
  </si>
  <si>
    <t>bean_curd</t>
  </si>
  <si>
    <t>tofu</t>
  </si>
  <si>
    <t>curd</t>
  </si>
  <si>
    <t>tahun</t>
  </si>
  <si>
    <t>t a h ʊ n</t>
  </si>
  <si>
    <t>takal</t>
  </si>
  <si>
    <t>t a k a l</t>
  </si>
  <si>
    <t>rigging</t>
  </si>
  <si>
    <t>tackle</t>
  </si>
  <si>
    <t>winch</t>
  </si>
  <si>
    <t>windlass</t>
  </si>
  <si>
    <t>t a m ɪ l</t>
  </si>
  <si>
    <t>t a n a m</t>
  </si>
  <si>
    <t>plant</t>
  </si>
  <si>
    <t>tanya</t>
  </si>
  <si>
    <t>t a ɲ a</t>
  </si>
  <si>
    <t>taña</t>
  </si>
  <si>
    <t>wonder</t>
  </si>
  <si>
    <t>inquire</t>
  </si>
  <si>
    <t>enquire</t>
  </si>
  <si>
    <t>investigate</t>
  </si>
  <si>
    <t>interrogate</t>
  </si>
  <si>
    <t>question</t>
  </si>
  <si>
    <t>t a p a s</t>
  </si>
  <si>
    <t>satchel</t>
  </si>
  <si>
    <t>fast_one</t>
  </si>
  <si>
    <t>antic</t>
  </si>
  <si>
    <t>prank</t>
  </si>
  <si>
    <t>caper</t>
  </si>
  <si>
    <t>wheedle</t>
  </si>
  <si>
    <t>cajole</t>
  </si>
  <si>
    <t>palaver</t>
  </si>
  <si>
    <t>blarney</t>
  </si>
  <si>
    <t>coax</t>
  </si>
  <si>
    <t>sweet-talk</t>
  </si>
  <si>
    <t>inveigle</t>
  </si>
  <si>
    <t>deceive</t>
  </si>
  <si>
    <t>lead_astray</t>
  </si>
  <si>
    <t>cheat</t>
  </si>
  <si>
    <t>chouse</t>
  </si>
  <si>
    <t>jockey</t>
  </si>
  <si>
    <t>rip_off</t>
  </si>
  <si>
    <t>chisel</t>
  </si>
  <si>
    <t>lead_on</t>
  </si>
  <si>
    <t>delude</t>
  </si>
  <si>
    <t>cozen</t>
  </si>
  <si>
    <t>flim-flam</t>
  </si>
  <si>
    <t>play_a_joke_on</t>
  </si>
  <si>
    <t>play_tricks</t>
  </si>
  <si>
    <t>fob</t>
  </si>
  <si>
    <t>fox</t>
  </si>
  <si>
    <t>pull_a_fast_one_on</t>
  </si>
  <si>
    <t>play_a_trick_on</t>
  </si>
  <si>
    <t>prevarication</t>
  </si>
  <si>
    <t>s u n a m i</t>
  </si>
  <si>
    <t>tuhan</t>
  </si>
  <si>
    <t>t u h a n</t>
  </si>
  <si>
    <t>divine</t>
  </si>
  <si>
    <t>godlike</t>
  </si>
  <si>
    <t>goddess</t>
  </si>
  <si>
    <t>ulama</t>
  </si>
  <si>
    <t>u l a m a</t>
  </si>
  <si>
    <t>ulema</t>
  </si>
  <si>
    <t>especial</t>
  </si>
  <si>
    <t>exceptional</t>
  </si>
  <si>
    <t>special</t>
  </si>
  <si>
    <t>peculiar</t>
  </si>
  <si>
    <t>original</t>
  </si>
  <si>
    <t>upaya</t>
  </si>
  <si>
    <t>ʊ p a j a</t>
  </si>
  <si>
    <t>effort</t>
  </si>
  <si>
    <t>endeavor</t>
  </si>
  <si>
    <t>endeavour</t>
  </si>
  <si>
    <t>try</t>
  </si>
  <si>
    <t>utama</t>
  </si>
  <si>
    <t>u t a m a</t>
  </si>
  <si>
    <t>primary_election</t>
  </si>
  <si>
    <t>prominent</t>
  </si>
  <si>
    <t>pivotal</t>
  </si>
  <si>
    <t>independent</t>
  </si>
  <si>
    <t>dominant</t>
  </si>
  <si>
    <t>overriding</t>
  </si>
  <si>
    <t>paramount</t>
  </si>
  <si>
    <t>predominant</t>
  </si>
  <si>
    <t>preponderant</t>
  </si>
  <si>
    <t>preponderating</t>
  </si>
  <si>
    <t>essential</t>
  </si>
  <si>
    <t>staple</t>
  </si>
  <si>
    <t>premier</t>
  </si>
  <si>
    <t>premiere</t>
  </si>
  <si>
    <t>major</t>
  </si>
  <si>
    <t>profound</t>
  </si>
  <si>
    <t>superior</t>
  </si>
  <si>
    <t>elemental</t>
  </si>
  <si>
    <t>school_principal</t>
  </si>
  <si>
    <t>head_teacher</t>
  </si>
  <si>
    <t>precedence</t>
  </si>
  <si>
    <t>precedency</t>
  </si>
  <si>
    <t>priority</t>
  </si>
  <si>
    <t>utan</t>
  </si>
  <si>
    <t>u t a n</t>
  </si>
  <si>
    <t>indeed</t>
  </si>
  <si>
    <t>nowadays</t>
  </si>
  <si>
    <t>today</t>
  </si>
  <si>
    <t>surely</t>
  </si>
  <si>
    <t>certainly</t>
  </si>
  <si>
    <t>sure</t>
  </si>
  <si>
    <t>for_sure</t>
  </si>
  <si>
    <t>for_certain</t>
  </si>
  <si>
    <t>sure_enough</t>
  </si>
  <si>
    <t>sure_as_shooting</t>
  </si>
  <si>
    <t>yea</t>
  </si>
  <si>
    <t>ind_latn_narrow.tsv</t>
  </si>
  <si>
    <t>akasa</t>
  </si>
  <si>
    <t>a k a s a</t>
  </si>
  <si>
    <t>barrage</t>
  </si>
  <si>
    <t>barrage_fire</t>
  </si>
  <si>
    <t>bombardment</t>
  </si>
  <si>
    <t>shelling</t>
  </si>
  <si>
    <t>akun</t>
  </si>
  <si>
    <t>a k ʊ n</t>
  </si>
  <si>
    <t>a l a m</t>
  </si>
  <si>
    <t>kingdom</t>
  </si>
  <si>
    <t>alamas</t>
  </si>
  <si>
    <t>a l a m a s</t>
  </si>
  <si>
    <t>amal</t>
  </si>
  <si>
    <t>a m a l</t>
  </si>
  <si>
    <t>social_welfare</t>
  </si>
  <si>
    <t>welfare</t>
  </si>
  <si>
    <t>public_assistance</t>
  </si>
  <si>
    <t>charity</t>
  </si>
  <si>
    <t>charitable</t>
  </si>
  <si>
    <t>brotherly_love</t>
  </si>
  <si>
    <t>beneficence</t>
  </si>
  <si>
    <t>amalaka</t>
  </si>
  <si>
    <t>a m a l a k a</t>
  </si>
  <si>
    <t>anakan</t>
  </si>
  <si>
    <t>a n a k a n</t>
  </si>
  <si>
    <t>apam</t>
  </si>
  <si>
    <t>a p a m</t>
  </si>
  <si>
    <t>ignite</t>
  </si>
  <si>
    <t>lighter</t>
  </si>
  <si>
    <t>igniter</t>
  </si>
  <si>
    <t>ignitor</t>
  </si>
  <si>
    <t>gleam</t>
  </si>
  <si>
    <t>gleaming</t>
  </si>
  <si>
    <t>lambency</t>
  </si>
  <si>
    <t>conflagration</t>
  </si>
  <si>
    <t>inferno</t>
  </si>
  <si>
    <t>hope</t>
  </si>
  <si>
    <t>a s a n a</t>
  </si>
  <si>
    <t>asas</t>
  </si>
  <si>
    <t>a s a s</t>
  </si>
  <si>
    <t>basic</t>
  </si>
  <si>
    <t>quell</t>
  </si>
  <si>
    <t>appease</t>
  </si>
  <si>
    <t>elementary</t>
  </si>
  <si>
    <t>rudimentary</t>
  </si>
  <si>
    <t>underlying</t>
  </si>
  <si>
    <t>last_out</t>
  </si>
  <si>
    <t>ride_out</t>
  </si>
  <si>
    <t>outride</t>
  </si>
  <si>
    <t>bide</t>
  </si>
  <si>
    <t>abide</t>
  </si>
  <si>
    <t>stay_on</t>
  </si>
  <si>
    <t>continue</t>
  </si>
  <si>
    <t>remain</t>
  </si>
  <si>
    <t>foundation_garment</t>
  </si>
  <si>
    <t>infrastructure</t>
  </si>
  <si>
    <t>rationale</t>
  </si>
  <si>
    <t>principle</t>
  </si>
  <si>
    <t>cornerstone</t>
  </si>
  <si>
    <t>basics</t>
  </si>
  <si>
    <t>rudiments</t>
  </si>
  <si>
    <t>precept</t>
  </si>
  <si>
    <t>footing</t>
  </si>
  <si>
    <t>asimilasi</t>
  </si>
  <si>
    <t>a s i m i l a s i</t>
  </si>
  <si>
    <t>assimilation</t>
  </si>
  <si>
    <t>absorption</t>
  </si>
  <si>
    <t>a s u</t>
  </si>
  <si>
    <t>asusila</t>
  </si>
  <si>
    <t>a s u s i l a</t>
  </si>
  <si>
    <t>h a m</t>
  </si>
  <si>
    <t>hamil</t>
  </si>
  <si>
    <t>h a m ɪ l</t>
  </si>
  <si>
    <t>bear</t>
  </si>
  <si>
    <t>give_birth</t>
  </si>
  <si>
    <t>deliver</t>
  </si>
  <si>
    <t>birth</t>
  </si>
  <si>
    <t>have_a_bun_in_the_oven</t>
  </si>
  <si>
    <t>gestate</t>
  </si>
  <si>
    <t>pregnant</t>
  </si>
  <si>
    <t>yield</t>
  </si>
  <si>
    <t>h a n a</t>
  </si>
  <si>
    <t>h a n a m i</t>
  </si>
  <si>
    <t>hapus</t>
  </si>
  <si>
    <t>h a p ʊ s</t>
  </si>
  <si>
    <t>disappear</t>
  </si>
  <si>
    <t>blotted_out</t>
  </si>
  <si>
    <t>obliterated</t>
  </si>
  <si>
    <t>erase</t>
  </si>
  <si>
    <t>delete</t>
  </si>
  <si>
    <t>h a s</t>
  </si>
  <si>
    <t>hasil</t>
  </si>
  <si>
    <t>h a s ɪ l</t>
  </si>
  <si>
    <t>deed</t>
  </si>
  <si>
    <t>human_action</t>
  </si>
  <si>
    <t>human_activity</t>
  </si>
  <si>
    <t>output</t>
  </si>
  <si>
    <t>profit</t>
  </si>
  <si>
    <t>turn_a_profit</t>
  </si>
  <si>
    <t>earn</t>
  </si>
  <si>
    <t>realize</t>
  </si>
  <si>
    <t>realise</t>
  </si>
  <si>
    <t>bring_in</t>
  </si>
  <si>
    <t>end_product</t>
  </si>
  <si>
    <t>merchandise</t>
  </si>
  <si>
    <t>product</t>
  </si>
  <si>
    <t>outturn</t>
  </si>
  <si>
    <t>production</t>
  </si>
  <si>
    <t>throughput</t>
  </si>
  <si>
    <t>fruit</t>
  </si>
  <si>
    <t>mathematical_product</t>
  </si>
  <si>
    <t>effect</t>
  </si>
  <si>
    <t>answer</t>
  </si>
  <si>
    <t>result</t>
  </si>
  <si>
    <t>resolution</t>
  </si>
  <si>
    <t>solvent</t>
  </si>
  <si>
    <t>output_signal</t>
  </si>
  <si>
    <t>resultant</t>
  </si>
  <si>
    <t>final_result</t>
  </si>
  <si>
    <t>outcome</t>
  </si>
  <si>
    <t>termination</t>
  </si>
  <si>
    <t>consequence</t>
  </si>
  <si>
    <t>aftermath</t>
  </si>
  <si>
    <t>deserts</t>
  </si>
  <si>
    <t>comeuppance</t>
  </si>
  <si>
    <t>comeupance</t>
  </si>
  <si>
    <t>materialization</t>
  </si>
  <si>
    <t>materialisation</t>
  </si>
  <si>
    <t>wages</t>
  </si>
  <si>
    <t>reward</t>
  </si>
  <si>
    <t>payoff</t>
  </si>
  <si>
    <t>green_goods</t>
  </si>
  <si>
    <t>green_groceries</t>
  </si>
  <si>
    <t>garden_truck</t>
  </si>
  <si>
    <t>upshot</t>
  </si>
  <si>
    <t>harvest</t>
  </si>
  <si>
    <t>takings</t>
  </si>
  <si>
    <t>proceeds</t>
  </si>
  <si>
    <t>tax_income</t>
  </si>
  <si>
    <t>tax_revenue</t>
  </si>
  <si>
    <t>revenue</t>
  </si>
  <si>
    <t>development</t>
  </si>
  <si>
    <t>ilusi</t>
  </si>
  <si>
    <t>ɪ l u s i</t>
  </si>
  <si>
    <t>self-deception</t>
  </si>
  <si>
    <t>self-deceit</t>
  </si>
  <si>
    <t>fantasy</t>
  </si>
  <si>
    <t>phantasy</t>
  </si>
  <si>
    <t>imitasi</t>
  </si>
  <si>
    <t>ɪ m i t a s i</t>
  </si>
  <si>
    <t>imunisasi</t>
  </si>
  <si>
    <t>ɪ m u n i s a s i</t>
  </si>
  <si>
    <t>immunization</t>
  </si>
  <si>
    <t>immunisation</t>
  </si>
  <si>
    <t>kahak</t>
  </si>
  <si>
    <t>k a h a k</t>
  </si>
  <si>
    <t>confirmed</t>
  </si>
  <si>
    <t>invertebrate_foot</t>
  </si>
  <si>
    <t>bracelet</t>
  </si>
  <si>
    <t>bangle</t>
  </si>
  <si>
    <t>nylons</t>
  </si>
  <si>
    <t>nylon_stocking</t>
  </si>
  <si>
    <t>rayons</t>
  </si>
  <si>
    <t>rayon_stocking</t>
  </si>
  <si>
    <t>silk_stocking</t>
  </si>
  <si>
    <t>stocking</t>
  </si>
  <si>
    <t>human_foot</t>
  </si>
  <si>
    <t>pes</t>
  </si>
  <si>
    <t>stub</t>
  </si>
  <si>
    <t>check_stub</t>
  </si>
  <si>
    <t>counterfoil</t>
  </si>
  <si>
    <t>ticket_stub</t>
  </si>
  <si>
    <t>metrical_foot</t>
  </si>
  <si>
    <t>metrical_unit</t>
  </si>
  <si>
    <t>headcheese</t>
  </si>
  <si>
    <t>freak</t>
  </si>
  <si>
    <t>junkie</t>
  </si>
  <si>
    <t>junky</t>
  </si>
  <si>
    <t>stooge</t>
  </si>
  <si>
    <t>yes-man</t>
  </si>
  <si>
    <t>ft</t>
  </si>
  <si>
    <t>erythema_nodosum</t>
  </si>
  <si>
    <t>erythema_nodosum_leprosum</t>
  </si>
  <si>
    <t>ENL</t>
  </si>
  <si>
    <t>acromyotonia</t>
  </si>
  <si>
    <t>k a m i s a</t>
  </si>
  <si>
    <t>kamus</t>
  </si>
  <si>
    <t>k a m ʊ s</t>
  </si>
  <si>
    <t>dictionary</t>
  </si>
  <si>
    <t>lexicon</t>
  </si>
  <si>
    <t>ship_canal</t>
  </si>
  <si>
    <t>shipway</t>
  </si>
  <si>
    <t>kanan</t>
  </si>
  <si>
    <t>k a n a n</t>
  </si>
  <si>
    <t>inside</t>
  </si>
  <si>
    <t>indoors</t>
  </si>
  <si>
    <t>senior</t>
  </si>
  <si>
    <t>fourth-year</t>
  </si>
  <si>
    <t>kapasitas</t>
  </si>
  <si>
    <t>k a p a s i t a s</t>
  </si>
  <si>
    <t>kapitalis</t>
  </si>
  <si>
    <t>k a p i t a l ɪ s</t>
  </si>
  <si>
    <t>capitalistic</t>
  </si>
  <si>
    <t>capitalist</t>
  </si>
  <si>
    <t>kapitasi</t>
  </si>
  <si>
    <t>k a p i t a s i</t>
  </si>
  <si>
    <t>kapitulasi</t>
  </si>
  <si>
    <t>k a p i t u l a s i</t>
  </si>
  <si>
    <t>capitulation</t>
  </si>
  <si>
    <t>surrender</t>
  </si>
  <si>
    <t>casting</t>
  </si>
  <si>
    <t>plaster_cast</t>
  </si>
  <si>
    <t>plaster_bandage</t>
  </si>
  <si>
    <t>kasasi</t>
  </si>
  <si>
    <t>k a s a s i</t>
  </si>
  <si>
    <t>emasculated</t>
  </si>
  <si>
    <t>gelded</t>
  </si>
  <si>
    <t>kasus</t>
  </si>
  <si>
    <t>k a s ʊ s</t>
  </si>
  <si>
    <t>articulate</t>
  </si>
  <si>
    <t>enounce</t>
  </si>
  <si>
    <t>sound_out</t>
  </si>
  <si>
    <t>enunciate</t>
  </si>
  <si>
    <t>kataka</t>
  </si>
  <si>
    <t>k a t a k a</t>
  </si>
  <si>
    <t>katalis</t>
  </si>
  <si>
    <t>k a t a l ɪ s</t>
  </si>
  <si>
    <t>catalysis</t>
  </si>
  <si>
    <t>contact_action</t>
  </si>
  <si>
    <t>k a t i</t>
  </si>
  <si>
    <t>katil</t>
  </si>
  <si>
    <t>k a t ɪ l</t>
  </si>
  <si>
    <t>berth</t>
  </si>
  <si>
    <t>built_in_bed</t>
  </si>
  <si>
    <t>couch</t>
  </si>
  <si>
    <t>kaya</t>
  </si>
  <si>
    <t>k a j a</t>
  </si>
  <si>
    <t>abundant</t>
  </si>
  <si>
    <t>lavish</t>
  </si>
  <si>
    <t>munificent</t>
  </si>
  <si>
    <t>overgenerous</t>
  </si>
  <si>
    <t>too-generous</t>
  </si>
  <si>
    <t>unsparing</t>
  </si>
  <si>
    <t>unstinted</t>
  </si>
  <si>
    <t>unstinting</t>
  </si>
  <si>
    <t>rich</t>
  </si>
  <si>
    <t>affluent</t>
  </si>
  <si>
    <t>loaded</t>
  </si>
  <si>
    <t>moneyed</t>
  </si>
  <si>
    <t>wealthy</t>
  </si>
  <si>
    <t>comfortable</t>
  </si>
  <si>
    <t>prosperous</t>
  </si>
  <si>
    <t>well-fixed</t>
  </si>
  <si>
    <t>well-heeled</t>
  </si>
  <si>
    <t>well-off</t>
  </si>
  <si>
    <t>well-situated</t>
  </si>
  <si>
    <t>well-to-do</t>
  </si>
  <si>
    <t>full-bodied</t>
  </si>
  <si>
    <t>robust</t>
  </si>
  <si>
    <t>wealth</t>
  </si>
  <si>
    <t>riches</t>
  </si>
  <si>
    <t>paste</t>
  </si>
  <si>
    <t>wooden</t>
  </si>
  <si>
    <t>woodwind</t>
  </si>
  <si>
    <t>woodwind_instrument</t>
  </si>
  <si>
    <t>lumber</t>
  </si>
  <si>
    <t>khas</t>
  </si>
  <si>
    <t>x a s</t>
  </si>
  <si>
    <t>design</t>
  </si>
  <si>
    <t>specific</t>
  </si>
  <si>
    <t>exclusive</t>
  </si>
  <si>
    <t>specialized</t>
  </si>
  <si>
    <t>specialised</t>
  </si>
  <si>
    <t>khasi</t>
  </si>
  <si>
    <t>x a s i</t>
  </si>
  <si>
    <t>khayal</t>
  </si>
  <si>
    <t>x a j a l</t>
  </si>
  <si>
    <t>kayal</t>
  </si>
  <si>
    <t>in_high_spirits</t>
  </si>
  <si>
    <t>mellow</t>
  </si>
  <si>
    <t>khitan</t>
  </si>
  <si>
    <t>x i t a n</t>
  </si>
  <si>
    <t>kitan</t>
  </si>
  <si>
    <t>khusus</t>
  </si>
  <si>
    <t>x u s ʊ s</t>
  </si>
  <si>
    <t>kusus</t>
  </si>
  <si>
    <t>expressly</t>
  </si>
  <si>
    <t>specially</t>
  </si>
  <si>
    <t>especially</t>
  </si>
  <si>
    <t>limited</t>
  </si>
  <si>
    <t>private</t>
  </si>
  <si>
    <t>kipi</t>
  </si>
  <si>
    <t>k i p i</t>
  </si>
  <si>
    <t>peon</t>
  </si>
  <si>
    <t>navvy</t>
  </si>
  <si>
    <t>galley_slave</t>
  </si>
  <si>
    <t>kuluyuk</t>
  </si>
  <si>
    <t>k u l u j ʊ k</t>
  </si>
  <si>
    <t>kuman</t>
  </si>
  <si>
    <t>k u m a n</t>
  </si>
  <si>
    <t>pest</t>
  </si>
  <si>
    <t>bacillus</t>
  </si>
  <si>
    <t>B</t>
  </si>
  <si>
    <t>microbe</t>
  </si>
  <si>
    <t>bacteriological</t>
  </si>
  <si>
    <t>bacteriologic</t>
  </si>
  <si>
    <t>kusala</t>
  </si>
  <si>
    <t>k u s a l a</t>
  </si>
  <si>
    <t>hard_tick</t>
  </si>
  <si>
    <t>ixodid</t>
  </si>
  <si>
    <t>vermin</t>
  </si>
  <si>
    <t>varmint</t>
  </si>
  <si>
    <t>lahan</t>
  </si>
  <si>
    <t>l a h a n</t>
  </si>
  <si>
    <t>laminar_flow</t>
  </si>
  <si>
    <t>welding</t>
  </si>
  <si>
    <t>lata</t>
  </si>
  <si>
    <t>l a t a</t>
  </si>
  <si>
    <t>crawl</t>
  </si>
  <si>
    <t>crawling</t>
  </si>
  <si>
    <t>creep</t>
  </si>
  <si>
    <t>creeping</t>
  </si>
  <si>
    <t>fawn</t>
  </si>
  <si>
    <t>cringe</t>
  </si>
  <si>
    <t>cower</t>
  </si>
  <si>
    <t>grovel</t>
  </si>
  <si>
    <t>waterfall</t>
  </si>
  <si>
    <t>falls</t>
  </si>
  <si>
    <t>limusin</t>
  </si>
  <si>
    <t>l i m u s ɪ n</t>
  </si>
  <si>
    <t>limousine</t>
  </si>
  <si>
    <t>limo</t>
  </si>
  <si>
    <t>lint</t>
  </si>
  <si>
    <t>lipan</t>
  </si>
  <si>
    <t>l i p a n</t>
  </si>
  <si>
    <t>garden_centipede</t>
  </si>
  <si>
    <t>garden_symphilid</t>
  </si>
  <si>
    <t>symphilid</t>
  </si>
  <si>
    <t>Scutigerella_immaculata</t>
  </si>
  <si>
    <t>Chilopoda</t>
  </si>
  <si>
    <t>class_Chilopoda</t>
  </si>
  <si>
    <t>centipede</t>
  </si>
  <si>
    <t>l i p a s</t>
  </si>
  <si>
    <t>cockroach</t>
  </si>
  <si>
    <t>roach</t>
  </si>
  <si>
    <t>l ɪ s</t>
  </si>
  <si>
    <t>mahal</t>
  </si>
  <si>
    <t>m a h a l</t>
  </si>
  <si>
    <t>cute</t>
  </si>
  <si>
    <t>lucullan</t>
  </si>
  <si>
    <t>plush</t>
  </si>
  <si>
    <t>plushy</t>
  </si>
  <si>
    <t>makam</t>
  </si>
  <si>
    <t>m a k a m</t>
  </si>
  <si>
    <t>mausoleum</t>
  </si>
  <si>
    <t>burial_vault</t>
  </si>
  <si>
    <t>cemetery</t>
  </si>
  <si>
    <t>graveyard</t>
  </si>
  <si>
    <t>burial_site</t>
  </si>
  <si>
    <t>burial_ground</t>
  </si>
  <si>
    <t>burying_ground</t>
  </si>
  <si>
    <t>memorial_park</t>
  </si>
  <si>
    <t>necropolis</t>
  </si>
  <si>
    <t>sperm</t>
  </si>
  <si>
    <t>sperm_cell</t>
  </si>
  <si>
    <t>spermatozoon</t>
  </si>
  <si>
    <t>spermatozoan</t>
  </si>
  <si>
    <t>m a n ɪ k</t>
  </si>
  <si>
    <t>bead</t>
  </si>
  <si>
    <t>gold</t>
  </si>
  <si>
    <t>Au</t>
  </si>
  <si>
    <t>atomic_number_79</t>
  </si>
  <si>
    <t>temporal</t>
  </si>
  <si>
    <t>juncture</t>
  </si>
  <si>
    <t>occasion</t>
  </si>
  <si>
    <t>time_period</t>
  </si>
  <si>
    <t>period_of_time</t>
  </si>
  <si>
    <t>hours</t>
  </si>
  <si>
    <t>clock_time</t>
  </si>
  <si>
    <t>term</t>
  </si>
  <si>
    <t>hour</t>
  </si>
  <si>
    <t>time_of_day</t>
  </si>
  <si>
    <t>season</t>
  </si>
  <si>
    <t>moment</t>
  </si>
  <si>
    <t>mo</t>
  </si>
  <si>
    <t>second</t>
  </si>
  <si>
    <t>then</t>
  </si>
  <si>
    <t>masin</t>
  </si>
  <si>
    <t>m a s ɪ n</t>
  </si>
  <si>
    <t>saltiness</t>
  </si>
  <si>
    <t>salinity</t>
  </si>
  <si>
    <t>masinis</t>
  </si>
  <si>
    <t>m a s i n ɪ s</t>
  </si>
  <si>
    <t>carter</t>
  </si>
  <si>
    <t>engineer</t>
  </si>
  <si>
    <t>locomotive_engineer</t>
  </si>
  <si>
    <t>railroad_engineer</t>
  </si>
  <si>
    <t>engine_driver</t>
  </si>
  <si>
    <t>masuk</t>
  </si>
  <si>
    <t>m a s ʊ k</t>
  </si>
  <si>
    <t>convert</t>
  </si>
  <si>
    <t>enter</t>
  </si>
  <si>
    <t>participate</t>
  </si>
  <si>
    <t>enlist</t>
  </si>
  <si>
    <t>draft</t>
  </si>
  <si>
    <t>muster_in</t>
  </si>
  <si>
    <t>interpenetrate</t>
  </si>
  <si>
    <t>permeate</t>
  </si>
  <si>
    <t>penetrate</t>
  </si>
  <si>
    <t>pervade</t>
  </si>
  <si>
    <t>diffuse</t>
  </si>
  <si>
    <t>riddle</t>
  </si>
  <si>
    <t>inbound</t>
  </si>
  <si>
    <t>insert</t>
  </si>
  <si>
    <t>infix</t>
  </si>
  <si>
    <t>introduce</t>
  </si>
  <si>
    <t>move_in</t>
  </si>
  <si>
    <t>drive_in</t>
  </si>
  <si>
    <t>get_in</t>
  </si>
  <si>
    <t>come_in</t>
  </si>
  <si>
    <t>get_into</t>
  </si>
  <si>
    <t>go_into</t>
  </si>
  <si>
    <t>go_in</t>
  </si>
  <si>
    <t>move_into</t>
  </si>
  <si>
    <t>fall_in</t>
  </si>
  <si>
    <t>get_together</t>
  </si>
  <si>
    <t>take_part</t>
  </si>
  <si>
    <t>milisi</t>
  </si>
  <si>
    <t>m i l i s i</t>
  </si>
  <si>
    <t>mimisan</t>
  </si>
  <si>
    <t>m i m ɪ s a n</t>
  </si>
  <si>
    <t>nosebleed</t>
  </si>
  <si>
    <t>epistaxis</t>
  </si>
  <si>
    <t>myna</t>
  </si>
  <si>
    <t>mynah</t>
  </si>
  <si>
    <t>minah</t>
  </si>
  <si>
    <t>myna_bird</t>
  </si>
  <si>
    <t>mynah_bird</t>
  </si>
  <si>
    <t>minum</t>
  </si>
  <si>
    <t>m i n ʊ m</t>
  </si>
  <si>
    <t>drink</t>
  </si>
  <si>
    <t>drinking</t>
  </si>
  <si>
    <t>boozing</t>
  </si>
  <si>
    <t>crapulence</t>
  </si>
  <si>
    <t>imbibe</t>
  </si>
  <si>
    <t>booze</t>
  </si>
  <si>
    <t>fuddle</t>
  </si>
  <si>
    <t>tope</t>
  </si>
  <si>
    <t>minyak</t>
  </si>
  <si>
    <t>m i ɲ a k</t>
  </si>
  <si>
    <t>miñak</t>
  </si>
  <si>
    <t>accelerator</t>
  </si>
  <si>
    <t>accelerator_pedal</t>
  </si>
  <si>
    <t>gas_pedal</t>
  </si>
  <si>
    <t>gas</t>
  </si>
  <si>
    <t>gun</t>
  </si>
  <si>
    <t>oil</t>
  </si>
  <si>
    <t>oil_color</t>
  </si>
  <si>
    <t>oil_colour</t>
  </si>
  <si>
    <t>adipose_tissue</t>
  </si>
  <si>
    <t>fat</t>
  </si>
  <si>
    <t>fatty_tissue</t>
  </si>
  <si>
    <t>vegetable_oil</t>
  </si>
  <si>
    <t>half-and-half_dressing</t>
  </si>
  <si>
    <t>misal</t>
  </si>
  <si>
    <t>m i s a l</t>
  </si>
  <si>
    <t>illustration</t>
  </si>
  <si>
    <t>representative</t>
  </si>
  <si>
    <t>m i s i</t>
  </si>
  <si>
    <t>mission</t>
  </si>
  <si>
    <t>missionary_work</t>
  </si>
  <si>
    <t>commission</t>
  </si>
  <si>
    <t>military_mission</t>
  </si>
  <si>
    <t>deputation</t>
  </si>
  <si>
    <t>delegation</t>
  </si>
  <si>
    <t>delegacy</t>
  </si>
  <si>
    <t>mukim</t>
  </si>
  <si>
    <t>m u k ɪ m</t>
  </si>
  <si>
    <t>canton</t>
  </si>
  <si>
    <t>county</t>
  </si>
  <si>
    <t>parish</t>
  </si>
  <si>
    <t>musala</t>
  </si>
  <si>
    <t>m u s a l a</t>
  </si>
  <si>
    <t>musikus</t>
  </si>
  <si>
    <t>m u s i k ʊ s</t>
  </si>
  <si>
    <t>musim</t>
  </si>
  <si>
    <t>m u s ɪ m</t>
  </si>
  <si>
    <t>seasonal</t>
  </si>
  <si>
    <t>time_of_year</t>
  </si>
  <si>
    <t>musisi</t>
  </si>
  <si>
    <t>m u s i s i</t>
  </si>
  <si>
    <t>n a m a</t>
  </si>
  <si>
    <t>designation</t>
  </si>
  <si>
    <t>identification</t>
  </si>
  <si>
    <t>appellation</t>
  </si>
  <si>
    <t>denomination</t>
  </si>
  <si>
    <t>appellative</t>
  </si>
  <si>
    <t>napas</t>
  </si>
  <si>
    <t>n a p a s</t>
  </si>
  <si>
    <t>breath</t>
  </si>
  <si>
    <t>nayaka</t>
  </si>
  <si>
    <t>n a j a k a</t>
  </si>
  <si>
    <t>nilam</t>
  </si>
  <si>
    <t>n i l a m</t>
  </si>
  <si>
    <t>sapphire</t>
  </si>
  <si>
    <t>nipis</t>
  </si>
  <si>
    <t>n i p ɪ s</t>
  </si>
  <si>
    <t>lightweight</t>
  </si>
  <si>
    <t>diaphanous</t>
  </si>
  <si>
    <t>filmy</t>
  </si>
  <si>
    <t>gauzy</t>
  </si>
  <si>
    <t>gauze-like</t>
  </si>
  <si>
    <t>gossamer</t>
  </si>
  <si>
    <t>see-through</t>
  </si>
  <si>
    <t>sheer</t>
  </si>
  <si>
    <t>transparent</t>
  </si>
  <si>
    <t>vaporous</t>
  </si>
  <si>
    <t>vapourous</t>
  </si>
  <si>
    <t>cobwebby</t>
  </si>
  <si>
    <t>rare</t>
  </si>
  <si>
    <t>rarefied</t>
  </si>
  <si>
    <t>rarified</t>
  </si>
  <si>
    <t>nisan</t>
  </si>
  <si>
    <t>n i s a n</t>
  </si>
  <si>
    <t>gravestone</t>
  </si>
  <si>
    <t>tombstone</t>
  </si>
  <si>
    <t>Nisan</t>
  </si>
  <si>
    <t>Nissan</t>
  </si>
  <si>
    <t>nusa</t>
  </si>
  <si>
    <t>n u s a</t>
  </si>
  <si>
    <t>nyala</t>
  </si>
  <si>
    <t>ɲ a l a</t>
  </si>
  <si>
    <t>ñala</t>
  </si>
  <si>
    <t>lighted</t>
  </si>
  <si>
    <t>erupt</t>
  </si>
  <si>
    <t>catch_fire</t>
  </si>
  <si>
    <t>take_fire</t>
  </si>
  <si>
    <t>combust</t>
  </si>
  <si>
    <t>conflagrate</t>
  </si>
  <si>
    <t>Nyala</t>
  </si>
  <si>
    <t>flare</t>
  </si>
  <si>
    <t>nyata</t>
  </si>
  <si>
    <t>concrete</t>
  </si>
  <si>
    <t>obviously</t>
  </si>
  <si>
    <t>evidently</t>
  </si>
  <si>
    <t>manifestly</t>
  </si>
  <si>
    <t>patently</t>
  </si>
  <si>
    <t>apparently</t>
  </si>
  <si>
    <t>plainly</t>
  </si>
  <si>
    <t>visibly</t>
  </si>
  <si>
    <t>conspicuous</t>
  </si>
  <si>
    <t>outstanding</t>
  </si>
  <si>
    <t>salient</t>
  </si>
  <si>
    <t>spectacular</t>
  </si>
  <si>
    <t>striking</t>
  </si>
  <si>
    <t>well-defined</t>
  </si>
  <si>
    <t>definite</t>
  </si>
  <si>
    <t>distinct</t>
  </si>
  <si>
    <t>decided</t>
  </si>
  <si>
    <t>discernible</t>
  </si>
  <si>
    <t>evident</t>
  </si>
  <si>
    <t>observable</t>
  </si>
  <si>
    <t>obvious</t>
  </si>
  <si>
    <t>apparent</t>
  </si>
  <si>
    <t>manifest</t>
  </si>
  <si>
    <t>patent</t>
  </si>
  <si>
    <t>unmistakable</t>
  </si>
  <si>
    <t>overt</t>
  </si>
  <si>
    <t>open</t>
  </si>
  <si>
    <t>visible</t>
  </si>
  <si>
    <t>palpable</t>
  </si>
  <si>
    <t>tangible</t>
  </si>
  <si>
    <t>perceptible</t>
  </si>
  <si>
    <t>sensible</t>
  </si>
  <si>
    <t>positive</t>
  </si>
  <si>
    <t>confirming</t>
  </si>
  <si>
    <t>real</t>
  </si>
  <si>
    <t>existent</t>
  </si>
  <si>
    <t>sensitive</t>
  </si>
  <si>
    <t>significant</t>
  </si>
  <si>
    <t>important</t>
  </si>
  <si>
    <t>guileless</t>
  </si>
  <si>
    <t>touchable</t>
  </si>
  <si>
    <t>actual</t>
  </si>
  <si>
    <t>genuine</t>
  </si>
  <si>
    <t>real_number</t>
  </si>
  <si>
    <t>crate</t>
  </si>
  <si>
    <t>package</t>
  </si>
  <si>
    <t>parcel</t>
  </si>
  <si>
    <t>packet</t>
  </si>
  <si>
    <t>panutan</t>
  </si>
  <si>
    <t>p a n ʊ t a n</t>
  </si>
  <si>
    <t>article</t>
  </si>
  <si>
    <t>clause</t>
  </si>
  <si>
    <t>pasuk</t>
  </si>
  <si>
    <t>p a s ʊ k</t>
  </si>
  <si>
    <t>pataka</t>
  </si>
  <si>
    <t>p a t a k a</t>
  </si>
  <si>
    <t>excerpt</t>
  </si>
  <si>
    <t>excerption</t>
  </si>
  <si>
    <t>burden</t>
  </si>
  <si>
    <t>concentrate</t>
  </si>
  <si>
    <t>infusion</t>
  </si>
  <si>
    <t>starch</t>
  </si>
  <si>
    <t>pilihan</t>
  </si>
  <si>
    <t>p i l ɪ h a n</t>
  </si>
  <si>
    <t>optional</t>
  </si>
  <si>
    <t>elective</t>
  </si>
  <si>
    <t>selected</t>
  </si>
  <si>
    <t>seeded</t>
  </si>
  <si>
    <t>prize</t>
  </si>
  <si>
    <t>quality</t>
  </si>
  <si>
    <t>alternative</t>
  </si>
  <si>
    <t>chosen</t>
  </si>
  <si>
    <t>elect</t>
  </si>
  <si>
    <t>range</t>
  </si>
  <si>
    <t>discretion</t>
  </si>
  <si>
    <t>Pipa</t>
  </si>
  <si>
    <t>genus_Pipa</t>
  </si>
  <si>
    <t>p ʊ n</t>
  </si>
  <si>
    <t>in_any_case</t>
  </si>
  <si>
    <t>pupa</t>
  </si>
  <si>
    <t>p u p a</t>
  </si>
  <si>
    <t>pusaka</t>
  </si>
  <si>
    <t>p u s a k a</t>
  </si>
  <si>
    <t>inheritance</t>
  </si>
  <si>
    <t>heritage</t>
  </si>
  <si>
    <t>ancestral</t>
  </si>
  <si>
    <t>hereditary</t>
  </si>
  <si>
    <t>patrimonial</t>
  </si>
  <si>
    <t>transmissible</t>
  </si>
  <si>
    <t>hereditary_pattern</t>
  </si>
  <si>
    <t>bequest</t>
  </si>
  <si>
    <t>legacy</t>
  </si>
  <si>
    <t>heirloom</t>
  </si>
  <si>
    <t>saham</t>
  </si>
  <si>
    <t>s a h a m</t>
  </si>
  <si>
    <t>contribution</t>
  </si>
  <si>
    <t>share</t>
  </si>
  <si>
    <t>bunch</t>
  </si>
  <si>
    <t>caboodle</t>
  </si>
  <si>
    <t>belongings</t>
  </si>
  <si>
    <t>holding</t>
  </si>
  <si>
    <t>portion</t>
  </si>
  <si>
    <t>percentage</t>
  </si>
  <si>
    <t>rice_beer</t>
  </si>
  <si>
    <t>Munro</t>
  </si>
  <si>
    <t>H._H._Munro</t>
  </si>
  <si>
    <t>Hector_Hugh_Munro</t>
  </si>
  <si>
    <t>Saki</t>
  </si>
  <si>
    <t>s a k u</t>
  </si>
  <si>
    <t>salib</t>
  </si>
  <si>
    <t>s a l ɪ p</t>
  </si>
  <si>
    <t>salip</t>
  </si>
  <si>
    <t>crucifixion</t>
  </si>
  <si>
    <t>Cross</t>
  </si>
  <si>
    <t>cross</t>
  </si>
  <si>
    <t>crucifix</t>
  </si>
  <si>
    <t>rood</t>
  </si>
  <si>
    <t>rood-tree</t>
  </si>
  <si>
    <t>sasis</t>
  </si>
  <si>
    <t>s a s ɪ s</t>
  </si>
  <si>
    <t>sasyimi</t>
  </si>
  <si>
    <t>s a ʃ i m i</t>
  </si>
  <si>
    <t>sila</t>
  </si>
  <si>
    <t>s i l a</t>
  </si>
  <si>
    <t>please</t>
  </si>
  <si>
    <t>trigonometric_function</t>
  </si>
  <si>
    <t>circular_function</t>
  </si>
  <si>
    <t>sinyal</t>
  </si>
  <si>
    <t>sipahi</t>
  </si>
  <si>
    <t>s i p a h i</t>
  </si>
  <si>
    <t>sisa</t>
  </si>
  <si>
    <t>s i s a</t>
  </si>
  <si>
    <t>leftover</t>
  </si>
  <si>
    <t>left_over</t>
  </si>
  <si>
    <t>left</t>
  </si>
  <si>
    <t>odd</t>
  </si>
  <si>
    <t>remaining</t>
  </si>
  <si>
    <t>unexpended</t>
  </si>
  <si>
    <t>residual</t>
  </si>
  <si>
    <t>residuary</t>
  </si>
  <si>
    <t>remainder</t>
  </si>
  <si>
    <t>remnant</t>
  </si>
  <si>
    <t>oddment</t>
  </si>
  <si>
    <t>vestige</t>
  </si>
  <si>
    <t>tincture</t>
  </si>
  <si>
    <t>shadow</t>
  </si>
  <si>
    <t>leftovers</t>
  </si>
  <si>
    <t>remains</t>
  </si>
  <si>
    <t>balance</t>
  </si>
  <si>
    <t>residuum</t>
  </si>
  <si>
    <t>situs</t>
  </si>
  <si>
    <t>s i t ʊ s</t>
  </si>
  <si>
    <t>web_site</t>
  </si>
  <si>
    <t>website</t>
  </si>
  <si>
    <t>internet_site</t>
  </si>
  <si>
    <t>site</t>
  </si>
  <si>
    <t>temperature</t>
  </si>
  <si>
    <t>temperature_unit</t>
  </si>
  <si>
    <t>tribal</t>
  </si>
  <si>
    <t>federation_of_tribes</t>
  </si>
  <si>
    <t>one-fourth</t>
  </si>
  <si>
    <t>fourth</t>
  </si>
  <si>
    <t>one-quarter</t>
  </si>
  <si>
    <t>fourth_part</t>
  </si>
  <si>
    <t>twenty-five_percent</t>
  </si>
  <si>
    <t>quartern</t>
  </si>
  <si>
    <t>s ʊ n</t>
  </si>
  <si>
    <t>sunyi</t>
  </si>
  <si>
    <t>s u ɲ i</t>
  </si>
  <si>
    <t>suñi</t>
  </si>
  <si>
    <t>abandoned</t>
  </si>
  <si>
    <t>derelict</t>
  </si>
  <si>
    <t>deserted</t>
  </si>
  <si>
    <t>silent</t>
  </si>
  <si>
    <t>soundless</t>
  </si>
  <si>
    <t>detached</t>
  </si>
  <si>
    <t>isolated</t>
  </si>
  <si>
    <t>separated</t>
  </si>
  <si>
    <t>set-apart</t>
  </si>
  <si>
    <t>susila</t>
  </si>
  <si>
    <t>s u s i l a</t>
  </si>
  <si>
    <t>polite</t>
  </si>
  <si>
    <t>susu</t>
  </si>
  <si>
    <t>s u s u</t>
  </si>
  <si>
    <t>pumpkin_pie</t>
  </si>
  <si>
    <t>squash_pie</t>
  </si>
  <si>
    <t>susulan</t>
  </si>
  <si>
    <t>s u s ʊ l a n</t>
  </si>
  <si>
    <t>sequel</t>
  </si>
  <si>
    <t>continuation</t>
  </si>
  <si>
    <t>addendum</t>
  </si>
  <si>
    <t>supplement</t>
  </si>
  <si>
    <t>postscript</t>
  </si>
  <si>
    <t>syala</t>
  </si>
  <si>
    <t>ʃ a l a</t>
  </si>
  <si>
    <t>shala</t>
  </si>
  <si>
    <t>tahan</t>
  </si>
  <si>
    <t>t a h a n</t>
  </si>
  <si>
    <t>delay</t>
  </si>
  <si>
    <t>detain</t>
  </si>
  <si>
    <t>hold_up</t>
  </si>
  <si>
    <t>endure</t>
  </si>
  <si>
    <t>stick_out</t>
  </si>
  <si>
    <t>tolerate</t>
  </si>
  <si>
    <t>brook</t>
  </si>
  <si>
    <t>tolerance</t>
  </si>
  <si>
    <t>resist</t>
  </si>
  <si>
    <t>fend</t>
  </si>
  <si>
    <t>hold_out</t>
  </si>
  <si>
    <t>withstand</t>
  </si>
  <si>
    <t>stand_firm</t>
  </si>
  <si>
    <t>restraint</t>
  </si>
  <si>
    <t>encumber</t>
  </si>
  <si>
    <t>cumber</t>
  </si>
  <si>
    <t>constrain</t>
  </si>
  <si>
    <t>long-lasting</t>
  </si>
  <si>
    <t>long-lived</t>
  </si>
  <si>
    <t>resistant</t>
  </si>
  <si>
    <t>vibrant</t>
  </si>
  <si>
    <t>vivacious</t>
  </si>
  <si>
    <t>keep_back</t>
  </si>
  <si>
    <t>prevent</t>
  </si>
  <si>
    <t>forestall</t>
  </si>
  <si>
    <t>foreclose</t>
  </si>
  <si>
    <t>preclude</t>
  </si>
  <si>
    <t>forbid</t>
  </si>
  <si>
    <t>imprison</t>
  </si>
  <si>
    <t>incarcerate</t>
  </si>
  <si>
    <t>lag</t>
  </si>
  <si>
    <t>immure</t>
  </si>
  <si>
    <t>put_behind_bars</t>
  </si>
  <si>
    <t>jail</t>
  </si>
  <si>
    <t>jug</t>
  </si>
  <si>
    <t>gaol</t>
  </si>
  <si>
    <t>get_by</t>
  </si>
  <si>
    <t>make_do</t>
  </si>
  <si>
    <t>contend</t>
  </si>
  <si>
    <t>prevail</t>
  </si>
  <si>
    <t>persist</t>
  </si>
  <si>
    <t>die_hard</t>
  </si>
  <si>
    <t>stay_fresh</t>
  </si>
  <si>
    <t>t a l a s</t>
  </si>
  <si>
    <t>taro</t>
  </si>
  <si>
    <t>taro_root</t>
  </si>
  <si>
    <t>cocoyam</t>
  </si>
  <si>
    <t>dasheen</t>
  </si>
  <si>
    <t>edda</t>
  </si>
  <si>
    <t>taro_plant</t>
  </si>
  <si>
    <t>dalo</t>
  </si>
  <si>
    <t>Colocasia_esculenta</t>
  </si>
  <si>
    <t>Xanthosoma</t>
  </si>
  <si>
    <t>genus_Xanthosoma</t>
  </si>
  <si>
    <t>taman</t>
  </si>
  <si>
    <t>t a m a n</t>
  </si>
  <si>
    <t>ballpark</t>
  </si>
  <si>
    <t>park</t>
  </si>
  <si>
    <t>parkland</t>
  </si>
  <si>
    <t>commons</t>
  </si>
  <si>
    <t>green</t>
  </si>
  <si>
    <t>parts</t>
  </si>
  <si>
    <t>Park</t>
  </si>
  <si>
    <t>Mungo_Park</t>
  </si>
  <si>
    <t>tamasya</t>
  </si>
  <si>
    <t>t a m a ʃ a</t>
  </si>
  <si>
    <t>tamasha</t>
  </si>
  <si>
    <t>tamu</t>
  </si>
  <si>
    <t>t a m u</t>
  </si>
  <si>
    <t>caller</t>
  </si>
  <si>
    <t>caller-up</t>
  </si>
  <si>
    <t>phoner</t>
  </si>
  <si>
    <t>telephoner</t>
  </si>
  <si>
    <t>caller-out</t>
  </si>
  <si>
    <t>guest</t>
  </si>
  <si>
    <t>invitee</t>
  </si>
  <si>
    <t>visitor</t>
  </si>
  <si>
    <t>visitant</t>
  </si>
  <si>
    <t>tapal</t>
  </si>
  <si>
    <t>t a p a l</t>
  </si>
  <si>
    <t>rank</t>
  </si>
  <si>
    <t>tikus</t>
  </si>
  <si>
    <t>t i k ʊ s</t>
  </si>
  <si>
    <t>mouse</t>
  </si>
  <si>
    <t>Muridae</t>
  </si>
  <si>
    <t>family_Muridae</t>
  </si>
  <si>
    <t>team</t>
  </si>
  <si>
    <t>squad</t>
  </si>
  <si>
    <t>canned</t>
  </si>
  <si>
    <t>tinned</t>
  </si>
  <si>
    <t>fig</t>
  </si>
  <si>
    <t>common_fig</t>
  </si>
  <si>
    <t>common_fig_tree</t>
  </si>
  <si>
    <t>Ficus_carica</t>
  </si>
  <si>
    <t>tipi</t>
  </si>
  <si>
    <t>t i p i</t>
  </si>
  <si>
    <t>tipis</t>
  </si>
  <si>
    <t>t i p ɪ s</t>
  </si>
  <si>
    <t>airy</t>
  </si>
  <si>
    <t>fine</t>
  </si>
  <si>
    <t>tisu</t>
  </si>
  <si>
    <t>t i s u</t>
  </si>
  <si>
    <t>facial_tissue</t>
  </si>
  <si>
    <t>deaf</t>
  </si>
  <si>
    <t>deafness</t>
  </si>
  <si>
    <t>hearing_loss</t>
  </si>
  <si>
    <t>tulisan</t>
  </si>
  <si>
    <t>t u l ɪ s a n</t>
  </si>
  <si>
    <t>writing</t>
  </si>
  <si>
    <t>committal_to_writing</t>
  </si>
  <si>
    <t>authorship</t>
  </si>
  <si>
    <t>composition</t>
  </si>
  <si>
    <t>penning</t>
  </si>
  <si>
    <t>journalism</t>
  </si>
  <si>
    <t>news_media</t>
  </si>
  <si>
    <t>script</t>
  </si>
  <si>
    <t>written_material</t>
  </si>
  <si>
    <t>piece_of_writing</t>
  </si>
  <si>
    <t>printing</t>
  </si>
  <si>
    <t>inscription</t>
  </si>
  <si>
    <t>lettering</t>
  </si>
  <si>
    <t>printing_process</t>
  </si>
  <si>
    <t>tuna</t>
  </si>
  <si>
    <t>t u n a</t>
  </si>
  <si>
    <t>u m a m i</t>
  </si>
  <si>
    <t>ʊ m a n</t>
  </si>
  <si>
    <t>umum</t>
  </si>
  <si>
    <t>ʊ m ʊ m</t>
  </si>
  <si>
    <t>generally</t>
  </si>
  <si>
    <t>in_general</t>
  </si>
  <si>
    <t>in_the_main</t>
  </si>
  <si>
    <t>catholic</t>
  </si>
  <si>
    <t>comprehensive</t>
  </si>
  <si>
    <t>broad</t>
  </si>
  <si>
    <t>unspecific</t>
  </si>
  <si>
    <t>generic</t>
  </si>
  <si>
    <t>ordinary</t>
  </si>
  <si>
    <t>ʊ n i</t>
  </si>
  <si>
    <t>usaha</t>
  </si>
  <si>
    <t>u s a h a</t>
  </si>
  <si>
    <t>feat</t>
  </si>
  <si>
    <t>expedient</t>
  </si>
  <si>
    <t>operation</t>
  </si>
  <si>
    <t>toil</t>
  </si>
  <si>
    <t>elbow_grease</t>
  </si>
  <si>
    <t>exertion</t>
  </si>
  <si>
    <t>travail</t>
  </si>
  <si>
    <t>undertaking</t>
  </si>
  <si>
    <t>enterprise</t>
  </si>
  <si>
    <t>venture</t>
  </si>
  <si>
    <t>movement</t>
  </si>
  <si>
    <t>recourse</t>
  </si>
  <si>
    <t>resort</t>
  </si>
  <si>
    <t>refuge</t>
  </si>
  <si>
    <t>enterprisingness</t>
  </si>
  <si>
    <t>initiative</t>
  </si>
  <si>
    <t>go-ahead</t>
  </si>
  <si>
    <t>usus</t>
  </si>
  <si>
    <t>u s ʊ s</t>
  </si>
  <si>
    <t>intestinal</t>
  </si>
  <si>
    <t>enteric</t>
  </si>
  <si>
    <t>enteral</t>
  </si>
  <si>
    <t>viscera</t>
  </si>
  <si>
    <t>entrails</t>
  </si>
  <si>
    <t>innards</t>
  </si>
  <si>
    <t>intestine</t>
  </si>
  <si>
    <t>bowel</t>
  </si>
  <si>
    <t>gut</t>
  </si>
  <si>
    <t>yakiniku</t>
  </si>
  <si>
    <t>j a k i n i k u</t>
  </si>
  <si>
    <t>yayasan</t>
  </si>
  <si>
    <t>j a j a s a n</t>
  </si>
  <si>
    <t>initiation</t>
  </si>
  <si>
    <t>founding</t>
  </si>
  <si>
    <t>origination</t>
  </si>
  <si>
    <t>innovation</t>
  </si>
  <si>
    <t>introduction</t>
  </si>
  <si>
    <t>instauration</t>
  </si>
  <si>
    <t>establishment</t>
  </si>
  <si>
    <t>yunani</t>
  </si>
  <si>
    <t>j u n a n i</t>
  </si>
  <si>
    <t>Greece</t>
  </si>
  <si>
    <t>Hellenic_Republic</t>
  </si>
  <si>
    <t>Ellas</t>
  </si>
  <si>
    <t>yupa</t>
  </si>
  <si>
    <t>j u p a</t>
  </si>
  <si>
    <t>isl_latn_broad.tsv</t>
  </si>
  <si>
    <t>þú</t>
  </si>
  <si>
    <t>θ u</t>
  </si>
  <si>
    <t>thu</t>
  </si>
  <si>
    <t>ita_latn_broad.tsv</t>
  </si>
  <si>
    <t>aia</t>
  </si>
  <si>
    <t>farmyard</t>
  </si>
  <si>
    <t>threshing_floor</t>
  </si>
  <si>
    <t>The_Hague</t>
  </si>
  <si>
    <t>s_Gravenhage</t>
  </si>
  <si>
    <t>Den_Haag</t>
  </si>
  <si>
    <t>aiutati</t>
  </si>
  <si>
    <t>a j u t a t i</t>
  </si>
  <si>
    <t>ayutati</t>
  </si>
  <si>
    <t>alalà</t>
  </si>
  <si>
    <t>all'</t>
  </si>
  <si>
    <t>a l u l a</t>
  </si>
  <si>
    <t>alì</t>
  </si>
  <si>
    <t>amaca</t>
  </si>
  <si>
    <t>amanita</t>
  </si>
  <si>
    <t>a m a n i t a</t>
  </si>
  <si>
    <t>Amanita</t>
  </si>
  <si>
    <t>genus_Amanita</t>
  </si>
  <si>
    <t>amanitina</t>
  </si>
  <si>
    <t>a m a n i t i n a</t>
  </si>
  <si>
    <t>amata</t>
  </si>
  <si>
    <t>a m a t a</t>
  </si>
  <si>
    <t>amica</t>
  </si>
  <si>
    <t>a m i k a</t>
  </si>
  <si>
    <t>amika</t>
  </si>
  <si>
    <t>girlfriend</t>
  </si>
  <si>
    <t>animalità</t>
  </si>
  <si>
    <t>a n i m a l i t a</t>
  </si>
  <si>
    <t>animalita</t>
  </si>
  <si>
    <t>animality</t>
  </si>
  <si>
    <t>animal_nature</t>
  </si>
  <si>
    <t>animula</t>
  </si>
  <si>
    <t>a n i m u l a</t>
  </si>
  <si>
    <t>apula</t>
  </si>
  <si>
    <t>a p u l a</t>
  </si>
  <si>
    <t>atina</t>
  </si>
  <si>
    <t>a t i n a</t>
  </si>
  <si>
    <t>ca'</t>
  </si>
  <si>
    <t>cacata</t>
  </si>
  <si>
    <t>k a k a t a</t>
  </si>
  <si>
    <t>kakata</t>
  </si>
  <si>
    <t>damn</t>
  </si>
  <si>
    <t>darn</t>
  </si>
  <si>
    <t>red_cent</t>
  </si>
  <si>
    <t>shucks</t>
  </si>
  <si>
    <t>tinker's_damn</t>
  </si>
  <si>
    <t>tinker's_dam</t>
  </si>
  <si>
    <t>cachi</t>
  </si>
  <si>
    <t>embayment</t>
  </si>
  <si>
    <t>calamita</t>
  </si>
  <si>
    <t>k a l a m i t a</t>
  </si>
  <si>
    <t>kalamita</t>
  </si>
  <si>
    <t>calamità</t>
  </si>
  <si>
    <t>disaster</t>
  </si>
  <si>
    <t>calamity</t>
  </si>
  <si>
    <t>catastrophe</t>
  </si>
  <si>
    <t>tragedy</t>
  </si>
  <si>
    <t>cataclysm</t>
  </si>
  <si>
    <t>calata</t>
  </si>
  <si>
    <t>k a l a t a</t>
  </si>
  <si>
    <t>kalata</t>
  </si>
  <si>
    <t>camita</t>
  </si>
  <si>
    <t>k a m i t a</t>
  </si>
  <si>
    <t>kamita</t>
  </si>
  <si>
    <t>camiti</t>
  </si>
  <si>
    <t>k a m i t i</t>
  </si>
  <si>
    <t>kamiti</t>
  </si>
  <si>
    <t>camuna</t>
  </si>
  <si>
    <t>k a m u n a</t>
  </si>
  <si>
    <t>kamuna</t>
  </si>
  <si>
    <t>camuni</t>
  </si>
  <si>
    <t>k a m u n i</t>
  </si>
  <si>
    <t>kamuni</t>
  </si>
  <si>
    <t>canapa</t>
  </si>
  <si>
    <t>k a n a p a</t>
  </si>
  <si>
    <t>kanapa</t>
  </si>
  <si>
    <t>cannabis</t>
  </si>
  <si>
    <t>hemp</t>
  </si>
  <si>
    <t>marijuana</t>
  </si>
  <si>
    <t>marihuana</t>
  </si>
  <si>
    <t>ganja</t>
  </si>
  <si>
    <t>Cannabis_sativa</t>
  </si>
  <si>
    <t>casa</t>
  </si>
  <si>
    <t>square</t>
  </si>
  <si>
    <t>dynasty</t>
  </si>
  <si>
    <t>business_concern</t>
  </si>
  <si>
    <t>business_organization</t>
  </si>
  <si>
    <t>business_organisation</t>
  </si>
  <si>
    <t>casata</t>
  </si>
  <si>
    <t>k a s a t a</t>
  </si>
  <si>
    <t>kasata</t>
  </si>
  <si>
    <t>line_of_descent</t>
  </si>
  <si>
    <t>lineage</t>
  </si>
  <si>
    <t>filiation</t>
  </si>
  <si>
    <t>casini</t>
  </si>
  <si>
    <t>k a s i n i</t>
  </si>
  <si>
    <t>kasini</t>
  </si>
  <si>
    <t>catai</t>
  </si>
  <si>
    <t>k a t a j</t>
  </si>
  <si>
    <t>katay</t>
  </si>
  <si>
    <t>catalanità</t>
  </si>
  <si>
    <t>k a t a l a n i t a</t>
  </si>
  <si>
    <t>katalanita</t>
  </si>
  <si>
    <t>catana</t>
  </si>
  <si>
    <t>catilina</t>
  </si>
  <si>
    <t>k a t i l i n a</t>
  </si>
  <si>
    <t>katilina</t>
  </si>
  <si>
    <t>chimica</t>
  </si>
  <si>
    <t>chinchona</t>
  </si>
  <si>
    <t>chiti</t>
  </si>
  <si>
    <t>k i t i</t>
  </si>
  <si>
    <t>¿quién eres?</t>
  </si>
  <si>
    <t>Q letter</t>
  </si>
  <si>
    <t>cucù</t>
  </si>
  <si>
    <t>cui</t>
  </si>
  <si>
    <t>culachi</t>
  </si>
  <si>
    <t>k u l a k i</t>
  </si>
  <si>
    <t>kulaki</t>
  </si>
  <si>
    <t>cuna</t>
  </si>
  <si>
    <t>gli</t>
  </si>
  <si>
    <t>gna</t>
  </si>
  <si>
    <t>ɲ a</t>
  </si>
  <si>
    <t>ña</t>
  </si>
  <si>
    <t>hai</t>
  </si>
  <si>
    <t>huchi</t>
  </si>
  <si>
    <t>u k i</t>
  </si>
  <si>
    <t>uki</t>
  </si>
  <si>
    <t>i l i</t>
  </si>
  <si>
    <t>imiti</t>
  </si>
  <si>
    <t>i m i t i</t>
  </si>
  <si>
    <t>inacutiti</t>
  </si>
  <si>
    <t>i n a k u t i t i</t>
  </si>
  <si>
    <t>inakutiti</t>
  </si>
  <si>
    <t>inanità</t>
  </si>
  <si>
    <t>i n a n i t a</t>
  </si>
  <si>
    <t>inanita</t>
  </si>
  <si>
    <t>futility</t>
  </si>
  <si>
    <t>inimicati</t>
  </si>
  <si>
    <t>i n i m i k a t i</t>
  </si>
  <si>
    <t>inimikati</t>
  </si>
  <si>
    <t>inumanità</t>
  </si>
  <si>
    <t>i n u m a n i t a</t>
  </si>
  <si>
    <t>inumanita</t>
  </si>
  <si>
    <t>atrocity</t>
  </si>
  <si>
    <t>inhumanity</t>
  </si>
  <si>
    <t>inhumaneness</t>
  </si>
  <si>
    <t>cruelty</t>
  </si>
  <si>
    <t>mercilessness</t>
  </si>
  <si>
    <t>pitilessness</t>
  </si>
  <si>
    <t>ruthlessness</t>
  </si>
  <si>
    <t>inutilità</t>
  </si>
  <si>
    <t>i n u t i l i t a</t>
  </si>
  <si>
    <t>inutilita</t>
  </si>
  <si>
    <t>itala</t>
  </si>
  <si>
    <t>i t a l a</t>
  </si>
  <si>
    <t>khan</t>
  </si>
  <si>
    <t>khanati</t>
  </si>
  <si>
    <t>k a n a t i</t>
  </si>
  <si>
    <t>kanati</t>
  </si>
  <si>
    <t>kulan</t>
  </si>
  <si>
    <t>k u l a n</t>
  </si>
  <si>
    <t>lachi</t>
  </si>
  <si>
    <t>lacuna</t>
  </si>
  <si>
    <t>l a k u n a</t>
  </si>
  <si>
    <t>lakuna</t>
  </si>
  <si>
    <t>blank</t>
  </si>
  <si>
    <t>domestic_llama</t>
  </si>
  <si>
    <t>Lama_peruana</t>
  </si>
  <si>
    <t>sword</t>
  </si>
  <si>
    <t>steel</t>
  </si>
  <si>
    <t>swamp</t>
  </si>
  <si>
    <t>swampland</t>
  </si>
  <si>
    <t>fencer</t>
  </si>
  <si>
    <t>swordsman</t>
  </si>
  <si>
    <t>l a n a</t>
  </si>
  <si>
    <t>l a t i n a</t>
  </si>
  <si>
    <t>latinità</t>
  </si>
  <si>
    <t>l a t i n i t a</t>
  </si>
  <si>
    <t>latinita</t>
  </si>
  <si>
    <t>licata</t>
  </si>
  <si>
    <t>l i k a t a</t>
  </si>
  <si>
    <t>likata</t>
  </si>
  <si>
    <t>limata</t>
  </si>
  <si>
    <t>l i m a t a</t>
  </si>
  <si>
    <t>limitata</t>
  </si>
  <si>
    <t>l i m i t a t a</t>
  </si>
  <si>
    <t>limitati</t>
  </si>
  <si>
    <t>l i m i t a t i</t>
  </si>
  <si>
    <t>lina</t>
  </si>
  <si>
    <t>l i n a</t>
  </si>
  <si>
    <t>luca</t>
  </si>
  <si>
    <t>l u k a</t>
  </si>
  <si>
    <t>lui</t>
  </si>
  <si>
    <t>l u j</t>
  </si>
  <si>
    <t>luy</t>
  </si>
  <si>
    <t>lumaca</t>
  </si>
  <si>
    <t>l u m a k a</t>
  </si>
  <si>
    <t>lumaka</t>
  </si>
  <si>
    <t>edible_snail</t>
  </si>
  <si>
    <t>Helix_pomatia</t>
  </si>
  <si>
    <t>escargot</t>
  </si>
  <si>
    <t>snail</t>
  </si>
  <si>
    <t>plodder</t>
  </si>
  <si>
    <t>slowpoke</t>
  </si>
  <si>
    <t>stick-in-the-mud</t>
  </si>
  <si>
    <t>slowcoach</t>
  </si>
  <si>
    <t>moodiness</t>
  </si>
  <si>
    <t>cloud-cuckoo-land</t>
  </si>
  <si>
    <t>lunina</t>
  </si>
  <si>
    <t>l u n i n a</t>
  </si>
  <si>
    <t>lì</t>
  </si>
  <si>
    <t>mah</t>
  </si>
  <si>
    <t>never</t>
  </si>
  <si>
    <t>ne'er</t>
  </si>
  <si>
    <t>ever</t>
  </si>
  <si>
    <t>of_all_time</t>
  </si>
  <si>
    <t>maialata</t>
  </si>
  <si>
    <t>m a j a l a t a</t>
  </si>
  <si>
    <t>mayalata</t>
  </si>
  <si>
    <t>malata</t>
  </si>
  <si>
    <t>m a l a t a</t>
  </si>
  <si>
    <t>manata</t>
  </si>
  <si>
    <t>m a n a t a</t>
  </si>
  <si>
    <t>handful</t>
  </si>
  <si>
    <t>fistful</t>
  </si>
  <si>
    <t>smattering</t>
  </si>
  <si>
    <t>manica</t>
  </si>
  <si>
    <t>m a n i k a</t>
  </si>
  <si>
    <t>manika</t>
  </si>
  <si>
    <t>manina</t>
  </si>
  <si>
    <t>m a n i n a</t>
  </si>
  <si>
    <t>manitù</t>
  </si>
  <si>
    <t>manuca</t>
  </si>
  <si>
    <t>m a n u k a</t>
  </si>
  <si>
    <t>manuka</t>
  </si>
  <si>
    <t>manuchi</t>
  </si>
  <si>
    <t>m a n u k i</t>
  </si>
  <si>
    <t>manuki</t>
  </si>
  <si>
    <t>matachi</t>
  </si>
  <si>
    <t>m a t a k i</t>
  </si>
  <si>
    <t>mataki</t>
  </si>
  <si>
    <t>matita</t>
  </si>
  <si>
    <t>m a t i t a</t>
  </si>
  <si>
    <t>meeting</t>
  </si>
  <si>
    <t>m i t i n</t>
  </si>
  <si>
    <t>mitin</t>
  </si>
  <si>
    <t>coming_together</t>
  </si>
  <si>
    <t>group_meeting</t>
  </si>
  <si>
    <t>mili</t>
  </si>
  <si>
    <t>m i l i</t>
  </si>
  <si>
    <t>mimi</t>
  </si>
  <si>
    <t>m i m i</t>
  </si>
  <si>
    <t>mitica</t>
  </si>
  <si>
    <t>m i t i k a</t>
  </si>
  <si>
    <t>mitika</t>
  </si>
  <si>
    <t>muchi</t>
  </si>
  <si>
    <t>molt</t>
  </si>
  <si>
    <t>molting</t>
  </si>
  <si>
    <t>moulting</t>
  </si>
  <si>
    <t>ecdysis</t>
  </si>
  <si>
    <t>naca</t>
  </si>
  <si>
    <t>n a k a</t>
  </si>
  <si>
    <t>naka</t>
  </si>
  <si>
    <t>natalità</t>
  </si>
  <si>
    <t>n a t a l i t a</t>
  </si>
  <si>
    <t>natalita</t>
  </si>
  <si>
    <t>birthrate</t>
  </si>
  <si>
    <t>birth_rate</t>
  </si>
  <si>
    <t>fertility</t>
  </si>
  <si>
    <t>fertility_rate</t>
  </si>
  <si>
    <t>natality</t>
  </si>
  <si>
    <t>n a t i</t>
  </si>
  <si>
    <t>nuti</t>
  </si>
  <si>
    <t>n u t i</t>
  </si>
  <si>
    <t>nì</t>
  </si>
  <si>
    <t>p</t>
  </si>
  <si>
    <t>phosphorus</t>
  </si>
  <si>
    <t>P</t>
  </si>
  <si>
    <t>atomic_number_15</t>
  </si>
  <si>
    <t>pacata</t>
  </si>
  <si>
    <t>p a k a t a</t>
  </si>
  <si>
    <t>pakata</t>
  </si>
  <si>
    <t>pacati</t>
  </si>
  <si>
    <t>p a k a t i</t>
  </si>
  <si>
    <t>pakati</t>
  </si>
  <si>
    <t>pachi</t>
  </si>
  <si>
    <t>impala</t>
  </si>
  <si>
    <t>Aepyceros_melampus</t>
  </si>
  <si>
    <t>palata</t>
  </si>
  <si>
    <t>p a l a t a</t>
  </si>
  <si>
    <t>shovelful</t>
  </si>
  <si>
    <t>spadeful</t>
  </si>
  <si>
    <t>panata</t>
  </si>
  <si>
    <t>p a n a t a</t>
  </si>
  <si>
    <t>panica</t>
  </si>
  <si>
    <t>p a n i k a</t>
  </si>
  <si>
    <t>panika</t>
  </si>
  <si>
    <t>papalina</t>
  </si>
  <si>
    <t>p a p a l i n a</t>
  </si>
  <si>
    <t>papula</t>
  </si>
  <si>
    <t>p a p u l a</t>
  </si>
  <si>
    <t>papule</t>
  </si>
  <si>
    <t>papà</t>
  </si>
  <si>
    <t>p a t a</t>
  </si>
  <si>
    <t>patas</t>
  </si>
  <si>
    <t>hussar_monkey</t>
  </si>
  <si>
    <t>Erythrocebus_patas</t>
  </si>
  <si>
    <t>p a t a s</t>
  </si>
  <si>
    <t>patataia</t>
  </si>
  <si>
    <t>p a t a t a j a</t>
  </si>
  <si>
    <t>patataya</t>
  </si>
  <si>
    <t>patatina</t>
  </si>
  <si>
    <t>p a t a t i n a</t>
  </si>
  <si>
    <t>p a t i n a</t>
  </si>
  <si>
    <t>pc</t>
  </si>
  <si>
    <t>p i s i</t>
  </si>
  <si>
    <t>phi</t>
  </si>
  <si>
    <t>Pisa</t>
  </si>
  <si>
    <t>gross_domestic_product</t>
  </si>
  <si>
    <t>GDP</t>
  </si>
  <si>
    <t>flashlight</t>
  </si>
  <si>
    <t>torch</t>
  </si>
  <si>
    <t>pipeful</t>
  </si>
  <si>
    <t>pipita</t>
  </si>
  <si>
    <t>p i p i t a</t>
  </si>
  <si>
    <t>hangnail</t>
  </si>
  <si>
    <t>agnail</t>
  </si>
  <si>
    <t>pitimi</t>
  </si>
  <si>
    <t>p i t i m i</t>
  </si>
  <si>
    <t>pulì</t>
  </si>
  <si>
    <t>pupù</t>
  </si>
  <si>
    <t>dormitory</t>
  </si>
  <si>
    <t>dorm</t>
  </si>
  <si>
    <t>residence_hall</t>
  </si>
  <si>
    <t>student_residence</t>
  </si>
  <si>
    <t>salata</t>
  </si>
  <si>
    <t>s a l a t a</t>
  </si>
  <si>
    <t>salinità</t>
  </si>
  <si>
    <t>s a l i n i t a</t>
  </si>
  <si>
    <t>salinita</t>
  </si>
  <si>
    <t>brininess</t>
  </si>
  <si>
    <t>salita</t>
  </si>
  <si>
    <t>s a l i t a</t>
  </si>
  <si>
    <t>rise</t>
  </si>
  <si>
    <t>ascent</t>
  </si>
  <si>
    <t>ascension</t>
  </si>
  <si>
    <t>ascending</t>
  </si>
  <si>
    <t>climb</t>
  </si>
  <si>
    <t>mount</t>
  </si>
  <si>
    <t>soar</t>
  </si>
  <si>
    <t>zoom</t>
  </si>
  <si>
    <t>acclivity</t>
  </si>
  <si>
    <t>raise</t>
  </si>
  <si>
    <t>upgrade</t>
  </si>
  <si>
    <t>salì</t>
  </si>
  <si>
    <t>s a l i</t>
  </si>
  <si>
    <t>sanata</t>
  </si>
  <si>
    <t>s a n a t a</t>
  </si>
  <si>
    <t>sanati</t>
  </si>
  <si>
    <t>s a n a t i</t>
  </si>
  <si>
    <t>sanità</t>
  </si>
  <si>
    <t>s a n i t a</t>
  </si>
  <si>
    <t>sanita</t>
  </si>
  <si>
    <t>health</t>
  </si>
  <si>
    <t>wellness</t>
  </si>
  <si>
    <t>satana</t>
  </si>
  <si>
    <t>s a t a n a</t>
  </si>
  <si>
    <t>Satan</t>
  </si>
  <si>
    <t>Old_Nick</t>
  </si>
  <si>
    <t>Devil</t>
  </si>
  <si>
    <t>Lucifer</t>
  </si>
  <si>
    <t>Beelzebub</t>
  </si>
  <si>
    <t>the_Tempter</t>
  </si>
  <si>
    <t>Prince_of_Darkness</t>
  </si>
  <si>
    <t>satanica</t>
  </si>
  <si>
    <t>s a t a n i k a</t>
  </si>
  <si>
    <t>satanika</t>
  </si>
  <si>
    <t>sci</t>
  </si>
  <si>
    <t>skiing</t>
  </si>
  <si>
    <t>ski</t>
  </si>
  <si>
    <t>sciamanica</t>
  </si>
  <si>
    <t>ʃ a m a n i k a</t>
  </si>
  <si>
    <t>shamanika</t>
  </si>
  <si>
    <t>sciatica</t>
  </si>
  <si>
    <t>ʃ a t i k a</t>
  </si>
  <si>
    <t>shatika</t>
  </si>
  <si>
    <t>sciita</t>
  </si>
  <si>
    <t>ʃ i t a</t>
  </si>
  <si>
    <t>shita</t>
  </si>
  <si>
    <t>Shiite</t>
  </si>
  <si>
    <t>Shi'ite</t>
  </si>
  <si>
    <t>Shiite_Muslim</t>
  </si>
  <si>
    <t>Shi'ite_Muslim</t>
  </si>
  <si>
    <t>Shia_Muslim</t>
  </si>
  <si>
    <t>sciiti</t>
  </si>
  <si>
    <t>ʃ i t i</t>
  </si>
  <si>
    <t>scimi</t>
  </si>
  <si>
    <t>sciupati</t>
  </si>
  <si>
    <t>ʃ u p a t i</t>
  </si>
  <si>
    <t>shupati</t>
  </si>
  <si>
    <t>scià</t>
  </si>
  <si>
    <t>sica</t>
  </si>
  <si>
    <t>s i k a</t>
  </si>
  <si>
    <t>simuli</t>
  </si>
  <si>
    <t>s i m u l i</t>
  </si>
  <si>
    <t>s i p a</t>
  </si>
  <si>
    <t>situla</t>
  </si>
  <si>
    <t>s i t u l a</t>
  </si>
  <si>
    <t>upwards</t>
  </si>
  <si>
    <t>upward</t>
  </si>
  <si>
    <t>upwardly</t>
  </si>
  <si>
    <t>suchi</t>
  </si>
  <si>
    <t>s u k i</t>
  </si>
  <si>
    <t>suki</t>
  </si>
  <si>
    <t>susina</t>
  </si>
  <si>
    <t>s u s i n a</t>
  </si>
  <si>
    <t>sì</t>
  </si>
  <si>
    <t>t</t>
  </si>
  <si>
    <t>metric_ton</t>
  </si>
  <si>
    <t>MT</t>
  </si>
  <si>
    <t>tonne</t>
  </si>
  <si>
    <t>talità</t>
  </si>
  <si>
    <t>t a l i t a</t>
  </si>
  <si>
    <t>talita</t>
  </si>
  <si>
    <t>taluni</t>
  </si>
  <si>
    <t>t a l u n i</t>
  </si>
  <si>
    <t>tanica</t>
  </si>
  <si>
    <t>t a n i k a</t>
  </si>
  <si>
    <t>tanika</t>
  </si>
  <si>
    <t>tapina</t>
  </si>
  <si>
    <t>t a p i n a</t>
  </si>
  <si>
    <t>tapinità</t>
  </si>
  <si>
    <t>t a p i n i t a</t>
  </si>
  <si>
    <t>tapinita</t>
  </si>
  <si>
    <t>football_team</t>
  </si>
  <si>
    <t>eleven</t>
  </si>
  <si>
    <t>tipica</t>
  </si>
  <si>
    <t>titanica</t>
  </si>
  <si>
    <t>t i t a n i k a</t>
  </si>
  <si>
    <t>titanika</t>
  </si>
  <si>
    <t>tutù</t>
  </si>
  <si>
    <t>umanati</t>
  </si>
  <si>
    <t>u m a n a t i</t>
  </si>
  <si>
    <t>umanità</t>
  </si>
  <si>
    <t>u m a n i t a</t>
  </si>
  <si>
    <t>umanita</t>
  </si>
  <si>
    <t>umilità</t>
  </si>
  <si>
    <t>u m i l i t a</t>
  </si>
  <si>
    <t>umilita</t>
  </si>
  <si>
    <t>un'</t>
  </si>
  <si>
    <t>unanimità</t>
  </si>
  <si>
    <t>u n a n i m i t a</t>
  </si>
  <si>
    <t>unanimita</t>
  </si>
  <si>
    <t>unanimity</t>
  </si>
  <si>
    <t>unica</t>
  </si>
  <si>
    <t>u n i k a</t>
  </si>
  <si>
    <t>unika</t>
  </si>
  <si>
    <t>unità</t>
  </si>
  <si>
    <t>u n i t a</t>
  </si>
  <si>
    <t>unita</t>
  </si>
  <si>
    <t>social_unit</t>
  </si>
  <si>
    <t>unit_of_measurement</t>
  </si>
  <si>
    <t>unì</t>
  </si>
  <si>
    <t>utah</t>
  </si>
  <si>
    <t>j u t a</t>
  </si>
  <si>
    <t>yuta</t>
  </si>
  <si>
    <t>u t a</t>
  </si>
  <si>
    <t>uta</t>
  </si>
  <si>
    <t>utilità</t>
  </si>
  <si>
    <t>u t i l i t a</t>
  </si>
  <si>
    <t>utilita</t>
  </si>
  <si>
    <t>utility</t>
  </si>
  <si>
    <t>usefulness</t>
  </si>
  <si>
    <t>wuhan</t>
  </si>
  <si>
    <t>u x a n</t>
  </si>
  <si>
    <t>ukan</t>
  </si>
  <si>
    <t>ita_latn_broad_filtered.tsv</t>
  </si>
  <si>
    <t>ahia</t>
  </si>
  <si>
    <t>jpn_hira_narrow.tsv</t>
  </si>
  <si>
    <t>あに</t>
  </si>
  <si>
    <t>yo también</t>
  </si>
  <si>
    <t>lit_latn_broad.tsv</t>
  </si>
  <si>
    <t>jie</t>
  </si>
  <si>
    <t>j æ</t>
  </si>
  <si>
    <t>jis</t>
  </si>
  <si>
    <t>j ɪ s</t>
  </si>
  <si>
    <t>yis</t>
  </si>
  <si>
    <t>t ʊ</t>
  </si>
  <si>
    <t>lit_latn_narrow.tsv</t>
  </si>
  <si>
    <t>iš</t>
  </si>
  <si>
    <t>out_of</t>
  </si>
  <si>
    <t>jei</t>
  </si>
  <si>
    <t>j æ j</t>
  </si>
  <si>
    <t>ji</t>
  </si>
  <si>
    <t>j ɪ</t>
  </si>
  <si>
    <t>ką</t>
  </si>
  <si>
    <t>mumis</t>
  </si>
  <si>
    <t>m ʊ m ɪ s</t>
  </si>
  <si>
    <t>m ʊ s</t>
  </si>
  <si>
    <t>nld_latn_broad.tsv</t>
  </si>
  <si>
    <t>ach</t>
  </si>
  <si>
    <t>ɑ x</t>
  </si>
  <si>
    <t>ok</t>
  </si>
  <si>
    <t>acervo</t>
  </si>
  <si>
    <t>ɑ l</t>
  </si>
  <si>
    <t>axis</t>
  </si>
  <si>
    <t>axis_of_rotation</t>
  </si>
  <si>
    <t>axle</t>
  </si>
  <si>
    <t>axis_vertebra</t>
  </si>
  <si>
    <t>cinder</t>
  </si>
  <si>
    <t>clinker</t>
  </si>
  <si>
    <t>ɑ s ɑ m</t>
  </si>
  <si>
    <t>culo</t>
  </si>
  <si>
    <t>assisi</t>
  </si>
  <si>
    <t>ɑ s i s i</t>
  </si>
  <si>
    <t>asisi</t>
  </si>
  <si>
    <t>asistir</t>
  </si>
  <si>
    <t>attisch</t>
  </si>
  <si>
    <t>ɑ t i s</t>
  </si>
  <si>
    <t>atis</t>
  </si>
  <si>
    <t>maestra</t>
  </si>
  <si>
    <t>chili</t>
  </si>
  <si>
    <t>chili_pepper</t>
  </si>
  <si>
    <t>chilli</t>
  </si>
  <si>
    <t>chilly</t>
  </si>
  <si>
    <t>chile</t>
  </si>
  <si>
    <t>chili_con_carne</t>
  </si>
  <si>
    <t>Chile</t>
  </si>
  <si>
    <t>Republic_of_Chile</t>
  </si>
  <si>
    <t>coen</t>
  </si>
  <si>
    <t>cynisch</t>
  </si>
  <si>
    <t>s i n i s</t>
  </si>
  <si>
    <t>sinis</t>
  </si>
  <si>
    <t>gal</t>
  </si>
  <si>
    <t>ɣ ɑ l</t>
  </si>
  <si>
    <t>bile</t>
  </si>
  <si>
    <t>gall</t>
  </si>
  <si>
    <t>gallisch</t>
  </si>
  <si>
    <t>ɣ ɑ l i s</t>
  </si>
  <si>
    <t>ɣ ɑ s</t>
  </si>
  <si>
    <t>gaseous_state</t>
  </si>
  <si>
    <t>giek</t>
  </si>
  <si>
    <t>ɣ i k</t>
  </si>
  <si>
    <t>gil</t>
  </si>
  <si>
    <t>ɣ ɪ l</t>
  </si>
  <si>
    <t>goe</t>
  </si>
  <si>
    <t>ɣ u</t>
  </si>
  <si>
    <t>goei</t>
  </si>
  <si>
    <t>ɣ u j</t>
  </si>
  <si>
    <t>goelasj</t>
  </si>
  <si>
    <t>ɣ u l ɑ ʃ</t>
  </si>
  <si>
    <t>kulash</t>
  </si>
  <si>
    <t>goulash</t>
  </si>
  <si>
    <t>Hungarian_goulash</t>
  </si>
  <si>
    <t>gulyas</t>
  </si>
  <si>
    <t>goes</t>
  </si>
  <si>
    <t>ɣ u s</t>
  </si>
  <si>
    <t>iel</t>
  </si>
  <si>
    <t>iep</t>
  </si>
  <si>
    <t>elm</t>
  </si>
  <si>
    <t>elm_tree</t>
  </si>
  <si>
    <t>elmwood</t>
  </si>
  <si>
    <t>egotism</t>
  </si>
  <si>
    <t>self-importance</t>
  </si>
  <si>
    <t>ɪ s</t>
  </si>
  <si>
    <t>are</t>
  </si>
  <si>
    <t>jak</t>
  </si>
  <si>
    <t>j ɑ k</t>
  </si>
  <si>
    <t>jakkie</t>
  </si>
  <si>
    <t>j ɑ k i</t>
  </si>
  <si>
    <t>jap</t>
  </si>
  <si>
    <t>j ɑ p</t>
  </si>
  <si>
    <t>jas</t>
  </si>
  <si>
    <t>j ɑ s</t>
  </si>
  <si>
    <t>pelage</t>
  </si>
  <si>
    <t>sack_coat</t>
  </si>
  <si>
    <t>kakkie</t>
  </si>
  <si>
    <t>kakkies</t>
  </si>
  <si>
    <t>k ɑ k i s</t>
  </si>
  <si>
    <t>kakis</t>
  </si>
  <si>
    <t>combing</t>
  </si>
  <si>
    <t>cockscomb</t>
  </si>
  <si>
    <t>coxcomb</t>
  </si>
  <si>
    <t>bridge</t>
  </si>
  <si>
    <t>hairbrush</t>
  </si>
  <si>
    <t>pitcher</t>
  </si>
  <si>
    <t>ewer</t>
  </si>
  <si>
    <t>jugful</t>
  </si>
  <si>
    <t>abscission</t>
  </si>
  <si>
    <t>cornice</t>
  </si>
  <si>
    <t>valance</t>
  </si>
  <si>
    <t>valance_board</t>
  </si>
  <si>
    <t>pelmet</t>
  </si>
  <si>
    <t>bonnet</t>
  </si>
  <si>
    <t>cowl</t>
  </si>
  <si>
    <t>cowling</t>
  </si>
  <si>
    <t>exhaust_hood</t>
  </si>
  <si>
    <t>greenhouse</t>
  </si>
  <si>
    <t>nursery</t>
  </si>
  <si>
    <t>glasshouse</t>
  </si>
  <si>
    <t>socket</t>
  </si>
  <si>
    <t>kattin</t>
  </si>
  <si>
    <t>k ɑ t ɪ n</t>
  </si>
  <si>
    <t>katin</t>
  </si>
  <si>
    <t>k i p</t>
  </si>
  <si>
    <t>kiek</t>
  </si>
  <si>
    <t>k i k</t>
  </si>
  <si>
    <t>kiel</t>
  </si>
  <si>
    <t>duster</t>
  </si>
  <si>
    <t>gaberdine</t>
  </si>
  <si>
    <t>gabardine</t>
  </si>
  <si>
    <t>smock</t>
  </si>
  <si>
    <t>dust_coat</t>
  </si>
  <si>
    <t>Carina</t>
  </si>
  <si>
    <t>kiem</t>
  </si>
  <si>
    <t>origin</t>
  </si>
  <si>
    <t>rootage</t>
  </si>
  <si>
    <t>kies</t>
  </si>
  <si>
    <t>k i s</t>
  </si>
  <si>
    <t>molar</t>
  </si>
  <si>
    <t>koe</t>
  </si>
  <si>
    <t>overawe</t>
  </si>
  <si>
    <t>cow</t>
  </si>
  <si>
    <t>dork</t>
  </si>
  <si>
    <t>koek</t>
  </si>
  <si>
    <t>annulet</t>
  </si>
  <si>
    <t>roundel</t>
  </si>
  <si>
    <t>koekoek</t>
  </si>
  <si>
    <t>k u k u k</t>
  </si>
  <si>
    <t>kukuk</t>
  </si>
  <si>
    <t>koel</t>
  </si>
  <si>
    <t>koelie</t>
  </si>
  <si>
    <t>koen</t>
  </si>
  <si>
    <t>smile</t>
  </si>
  <si>
    <t>smiling</t>
  </si>
  <si>
    <t>grin</t>
  </si>
  <si>
    <t>grinning</t>
  </si>
  <si>
    <t>laughter</t>
  </si>
  <si>
    <t>lachgas</t>
  </si>
  <si>
    <t>l ɑ x ɑ s</t>
  </si>
  <si>
    <t>lakas</t>
  </si>
  <si>
    <t>nitrous_oxide</t>
  </si>
  <si>
    <t>laughing_gas</t>
  </si>
  <si>
    <t>sealing_wax</t>
  </si>
  <si>
    <t>seal</t>
  </si>
  <si>
    <t>l ɑ m</t>
  </si>
  <si>
    <t>l ɑ p</t>
  </si>
  <si>
    <t>rag</t>
  </si>
  <si>
    <t>tag</t>
  </si>
  <si>
    <t>tag_end</t>
  </si>
  <si>
    <t>tatter</t>
  </si>
  <si>
    <t>liek</t>
  </si>
  <si>
    <t>l i k</t>
  </si>
  <si>
    <t>liep</t>
  </si>
  <si>
    <t>lies</t>
  </si>
  <si>
    <t>groin</t>
  </si>
  <si>
    <t>inguen</t>
  </si>
  <si>
    <t>lig</t>
  </si>
  <si>
    <t>l ɪ x</t>
  </si>
  <si>
    <t>jailhouse</t>
  </si>
  <si>
    <t>slammer</t>
  </si>
  <si>
    <t>poky</t>
  </si>
  <si>
    <t>pokey</t>
  </si>
  <si>
    <t>limoen</t>
  </si>
  <si>
    <t>l i m u n</t>
  </si>
  <si>
    <t>limun</t>
  </si>
  <si>
    <t>linie</t>
  </si>
  <si>
    <t>equator</t>
  </si>
  <si>
    <t>loep</t>
  </si>
  <si>
    <t>loes</t>
  </si>
  <si>
    <t>loesoe</t>
  </si>
  <si>
    <t>l u s u</t>
  </si>
  <si>
    <t>lusu</t>
  </si>
  <si>
    <t>makkie</t>
  </si>
  <si>
    <t>m ɑ k i</t>
  </si>
  <si>
    <t>cinch</t>
  </si>
  <si>
    <t>breeze</t>
  </si>
  <si>
    <t>picnic</t>
  </si>
  <si>
    <t>duck_soup</t>
  </si>
  <si>
    <t>child's_play</t>
  </si>
  <si>
    <t>pushover</t>
  </si>
  <si>
    <t>walkover</t>
  </si>
  <si>
    <t>piece_of_cake</t>
  </si>
  <si>
    <t>template</t>
  </si>
  <si>
    <t>templet</t>
  </si>
  <si>
    <t>mammie</t>
  </si>
  <si>
    <t>m ɑ m i</t>
  </si>
  <si>
    <t>binder</t>
  </si>
  <si>
    <t>reaper_binder</t>
  </si>
  <si>
    <t>booklet</t>
  </si>
  <si>
    <t>brochure</t>
  </si>
  <si>
    <t>folder</t>
  </si>
  <si>
    <t>leaflet</t>
  </si>
  <si>
    <t>pamphlet</t>
  </si>
  <si>
    <t>directory</t>
  </si>
  <si>
    <t>michiel</t>
  </si>
  <si>
    <t>m ɪ x i l</t>
  </si>
  <si>
    <t>mikil</t>
  </si>
  <si>
    <t>Michael</t>
  </si>
  <si>
    <t>miep</t>
  </si>
  <si>
    <t>m i p</t>
  </si>
  <si>
    <t>mip</t>
  </si>
  <si>
    <t>mimiek</t>
  </si>
  <si>
    <t>disadvantage</t>
  </si>
  <si>
    <t>wet_nurse</t>
  </si>
  <si>
    <t>wet-nurse</t>
  </si>
  <si>
    <t>wetnurse</t>
  </si>
  <si>
    <t>amah</t>
  </si>
  <si>
    <t>mess_hall</t>
  </si>
  <si>
    <t>queen_mole_rat</t>
  </si>
  <si>
    <t>missie</t>
  </si>
  <si>
    <t>classic</t>
  </si>
  <si>
    <t>moe</t>
  </si>
  <si>
    <t>moeial</t>
  </si>
  <si>
    <t>m u j ɑ l</t>
  </si>
  <si>
    <t>muyal</t>
  </si>
  <si>
    <t>busybody</t>
  </si>
  <si>
    <t>nosy-parker</t>
  </si>
  <si>
    <t>nosey-parker</t>
  </si>
  <si>
    <t>quidnunc</t>
  </si>
  <si>
    <t>meddler</t>
  </si>
  <si>
    <t>moes</t>
  </si>
  <si>
    <t>mythisch</t>
  </si>
  <si>
    <t>m i t i s</t>
  </si>
  <si>
    <t>mitis</t>
  </si>
  <si>
    <t>nakkie</t>
  </si>
  <si>
    <t>n ɑ k i</t>
  </si>
  <si>
    <t>n ɑ p</t>
  </si>
  <si>
    <t>n ɑ s i</t>
  </si>
  <si>
    <t>n ɪ</t>
  </si>
  <si>
    <t>niet</t>
  </si>
  <si>
    <t>n ɪ s</t>
  </si>
  <si>
    <t>noen</t>
  </si>
  <si>
    <t>noon</t>
  </si>
  <si>
    <t>twelve_noon</t>
  </si>
  <si>
    <t>high_noon</t>
  </si>
  <si>
    <t>midday</t>
  </si>
  <si>
    <t>noonday</t>
  </si>
  <si>
    <t>noontide</t>
  </si>
  <si>
    <t>oek</t>
  </si>
  <si>
    <t>oen</t>
  </si>
  <si>
    <t>dimwit</t>
  </si>
  <si>
    <t>nitwit</t>
  </si>
  <si>
    <t>doofus</t>
  </si>
  <si>
    <t>stupid</t>
  </si>
  <si>
    <t>stupid_person</t>
  </si>
  <si>
    <t>stupe</t>
  </si>
  <si>
    <t>dullard</t>
  </si>
  <si>
    <t>dolt</t>
  </si>
  <si>
    <t>pudding_head</t>
  </si>
  <si>
    <t>pudden-head</t>
  </si>
  <si>
    <t>poor_fish</t>
  </si>
  <si>
    <t>pillock</t>
  </si>
  <si>
    <t>p ɑ n</t>
  </si>
  <si>
    <t>tile</t>
  </si>
  <si>
    <t>hollow</t>
  </si>
  <si>
    <t>roofing_tile</t>
  </si>
  <si>
    <t>gruel</t>
  </si>
  <si>
    <t>porridge</t>
  </si>
  <si>
    <t>pappie</t>
  </si>
  <si>
    <t>passie</t>
  </si>
  <si>
    <t>passionateness</t>
  </si>
  <si>
    <t>patta</t>
  </si>
  <si>
    <t>piek</t>
  </si>
  <si>
    <t>cusp</t>
  </si>
  <si>
    <t>wisp</t>
  </si>
  <si>
    <t>guilder</t>
  </si>
  <si>
    <t>gulden</t>
  </si>
  <si>
    <t>florin</t>
  </si>
  <si>
    <t>Dutch_florin</t>
  </si>
  <si>
    <t>piel</t>
  </si>
  <si>
    <t>piep</t>
  </si>
  <si>
    <t>pies</t>
  </si>
  <si>
    <t>pricking</t>
  </si>
  <si>
    <t>tome</t>
  </si>
  <si>
    <t>doctor</t>
  </si>
  <si>
    <t>doc</t>
  </si>
  <si>
    <t>physician</t>
  </si>
  <si>
    <t>MD</t>
  </si>
  <si>
    <t>Dr.</t>
  </si>
  <si>
    <t>medico</t>
  </si>
  <si>
    <t>medical_practitioner</t>
  </si>
  <si>
    <t>medical_man</t>
  </si>
  <si>
    <t>seed_corn</t>
  </si>
  <si>
    <t>seed_grain</t>
  </si>
  <si>
    <t>pim</t>
  </si>
  <si>
    <t>p ɪ m</t>
  </si>
  <si>
    <t>clothespin</t>
  </si>
  <si>
    <t>clothes_pin</t>
  </si>
  <si>
    <t>clothes_peg</t>
  </si>
  <si>
    <t>poel</t>
  </si>
  <si>
    <t>poen</t>
  </si>
  <si>
    <t>money</t>
  </si>
  <si>
    <t>boodle</t>
  </si>
  <si>
    <t>clams</t>
  </si>
  <si>
    <t>dinero</t>
  </si>
  <si>
    <t>gelt</t>
  </si>
  <si>
    <t>lettuce</t>
  </si>
  <si>
    <t>lucre</t>
  </si>
  <si>
    <t>loot</t>
  </si>
  <si>
    <t>moolah</t>
  </si>
  <si>
    <t>pelf</t>
  </si>
  <si>
    <t>shekels</t>
  </si>
  <si>
    <t>simoleons</t>
  </si>
  <si>
    <t>wampum</t>
  </si>
  <si>
    <t>poep</t>
  </si>
  <si>
    <t>cabin_car</t>
  </si>
  <si>
    <t>caboose</t>
  </si>
  <si>
    <t>vagina</t>
  </si>
  <si>
    <t>s ɑ p</t>
  </si>
  <si>
    <t>sassisch</t>
  </si>
  <si>
    <t>s ɑ s i s</t>
  </si>
  <si>
    <t>goatee</t>
  </si>
  <si>
    <t>sinas</t>
  </si>
  <si>
    <t>s i n ɑ s</t>
  </si>
  <si>
    <t>orange_soda</t>
  </si>
  <si>
    <t>sjappie</t>
  </si>
  <si>
    <t>ʃ ɑ p i</t>
  </si>
  <si>
    <t>shapi</t>
  </si>
  <si>
    <t>sjoe</t>
  </si>
  <si>
    <t>sjoel</t>
  </si>
  <si>
    <t>ʃ u l</t>
  </si>
  <si>
    <t>synagogue</t>
  </si>
  <si>
    <t>temple</t>
  </si>
  <si>
    <t>tabernacle</t>
  </si>
  <si>
    <t>soennitisch</t>
  </si>
  <si>
    <t>s u n i t i s</t>
  </si>
  <si>
    <t>sunitis</t>
  </si>
  <si>
    <t>soep</t>
  </si>
  <si>
    <t>subdivision</t>
  </si>
  <si>
    <t>bough</t>
  </si>
  <si>
    <t>ramification</t>
  </si>
  <si>
    <t>carryall</t>
  </si>
  <si>
    <t>holdall</t>
  </si>
  <si>
    <t>tote</t>
  </si>
  <si>
    <t>tote_bag</t>
  </si>
  <si>
    <t>tiel</t>
  </si>
  <si>
    <t>t i l</t>
  </si>
  <si>
    <t>tien</t>
  </si>
  <si>
    <t>t i n</t>
  </si>
  <si>
    <t>telephone_unit</t>
  </si>
  <si>
    <t>toe</t>
  </si>
  <si>
    <t>toekan</t>
  </si>
  <si>
    <t>t u k ɑ n</t>
  </si>
  <si>
    <t>toen</t>
  </si>
  <si>
    <t>typisch</t>
  </si>
  <si>
    <t>t i p i s</t>
  </si>
  <si>
    <t>j ɑ m</t>
  </si>
  <si>
    <t>nld_latn_broad_filtered.tsv</t>
  </si>
  <si>
    <t>nld_latn_narrow.tsv</t>
  </si>
  <si>
    <t>n ɑ m</t>
  </si>
  <si>
    <t>niel</t>
  </si>
  <si>
    <t>ninguno</t>
  </si>
  <si>
    <t>nno_latn_broad.tsv</t>
  </si>
  <si>
    <t>hann</t>
  </si>
  <si>
    <t>innom</t>
  </si>
  <si>
    <t>i n u m</t>
  </si>
  <si>
    <t>inum</t>
  </si>
  <si>
    <t>washbasin</t>
  </si>
  <si>
    <t>basin</t>
  </si>
  <si>
    <t>washbowl</t>
  </si>
  <si>
    <t>washstand</t>
  </si>
  <si>
    <t>om</t>
  </si>
  <si>
    <t>skila</t>
  </si>
  <si>
    <t>ʃ ɪ l ɑ</t>
  </si>
  <si>
    <t>shila</t>
  </si>
  <si>
    <t>nno_latn_narrow.tsv</t>
  </si>
  <si>
    <t>lapp</t>
  </si>
  <si>
    <t>nob_latn_broad.tsv</t>
  </si>
  <si>
    <t>er</t>
  </si>
  <si>
    <t>æ ɾ</t>
  </si>
  <si>
    <t>hva</t>
  </si>
  <si>
    <t>cuenca</t>
  </si>
  <si>
    <t>s ɑ n</t>
  </si>
  <si>
    <t>takk</t>
  </si>
  <si>
    <t>tæsj</t>
  </si>
  <si>
    <t>nob_latn_narrow.tsv</t>
  </si>
  <si>
    <t>pol_latn_broad.tsv</t>
  </si>
  <si>
    <t>alanina</t>
  </si>
  <si>
    <t>a l a ɲ i n a</t>
  </si>
  <si>
    <t>alañina</t>
  </si>
  <si>
    <t>alanine</t>
  </si>
  <si>
    <t>alija</t>
  </si>
  <si>
    <t>a l i j a</t>
  </si>
  <si>
    <t>aliya</t>
  </si>
  <si>
    <t>aliyah</t>
  </si>
  <si>
    <t>a l u m i ɲ u m</t>
  </si>
  <si>
    <t>alumiñum</t>
  </si>
  <si>
    <t>imp</t>
  </si>
  <si>
    <t>scamp</t>
  </si>
  <si>
    <t>a n a ɲ i m</t>
  </si>
  <si>
    <t>anañim</t>
  </si>
  <si>
    <t>anataz</t>
  </si>
  <si>
    <t>a n a t a s</t>
  </si>
  <si>
    <t>anatas</t>
  </si>
  <si>
    <t>a ɲ i</t>
  </si>
  <si>
    <t>añi</t>
  </si>
  <si>
    <t>ania</t>
  </si>
  <si>
    <t>a ɲ a</t>
  </si>
  <si>
    <t>aña</t>
  </si>
  <si>
    <t>anilina</t>
  </si>
  <si>
    <t>a ɲ i l i n a</t>
  </si>
  <si>
    <t>añilina</t>
  </si>
  <si>
    <t>aniline</t>
  </si>
  <si>
    <t>aniline_oil</t>
  </si>
  <si>
    <t>aminobenzine</t>
  </si>
  <si>
    <t>phenylamine</t>
  </si>
  <si>
    <t>paroxysm</t>
  </si>
  <si>
    <t>convulsion</t>
  </si>
  <si>
    <t>tantrum</t>
  </si>
  <si>
    <t>conniption</t>
  </si>
  <si>
    <t>atakach</t>
  </si>
  <si>
    <t>a t a k a x</t>
  </si>
  <si>
    <t>atakak</t>
  </si>
  <si>
    <t>atakami</t>
  </si>
  <si>
    <t>a t a k a m i</t>
  </si>
  <si>
    <t>ataki</t>
  </si>
  <si>
    <t>a t a k i</t>
  </si>
  <si>
    <t>ataku</t>
  </si>
  <si>
    <t>a t a k u</t>
  </si>
  <si>
    <t>chachaj</t>
  </si>
  <si>
    <t>x a x a j</t>
  </si>
  <si>
    <t>kakay</t>
  </si>
  <si>
    <t>x a m</t>
  </si>
  <si>
    <t>chan</t>
  </si>
  <si>
    <t>caravansary</t>
  </si>
  <si>
    <t>caravanserai</t>
  </si>
  <si>
    <t>caravan_inn</t>
  </si>
  <si>
    <t>chanuka</t>
  </si>
  <si>
    <t>x a n u k a</t>
  </si>
  <si>
    <t>kanuka</t>
  </si>
  <si>
    <t>x a p</t>
  </si>
  <si>
    <t>chata</t>
  </si>
  <si>
    <t>x a t a</t>
  </si>
  <si>
    <t>cabin</t>
  </si>
  <si>
    <t>chatach</t>
  </si>
  <si>
    <t>x a t a x</t>
  </si>
  <si>
    <t>katak</t>
  </si>
  <si>
    <t>chatami</t>
  </si>
  <si>
    <t>x a t a m i</t>
  </si>
  <si>
    <t>katami</t>
  </si>
  <si>
    <t>x i</t>
  </si>
  <si>
    <t>chinina</t>
  </si>
  <si>
    <t>x i ɲ i n a</t>
  </si>
  <si>
    <t>kiñina</t>
  </si>
  <si>
    <t>chucha</t>
  </si>
  <si>
    <t>x u x a</t>
  </si>
  <si>
    <t>chucham</t>
  </si>
  <si>
    <t>x u x a m</t>
  </si>
  <si>
    <t>kukam</t>
  </si>
  <si>
    <t>chuj</t>
  </si>
  <si>
    <t>asshole</t>
  </si>
  <si>
    <t>bastard</t>
  </si>
  <si>
    <t>cocksucker</t>
  </si>
  <si>
    <t>dickhead</t>
  </si>
  <si>
    <t>mother_fucker</t>
  </si>
  <si>
    <t>motherfucker</t>
  </si>
  <si>
    <t>whoreson</t>
  </si>
  <si>
    <t>son_of_a_bitch</t>
  </si>
  <si>
    <t>SOB</t>
  </si>
  <si>
    <t>chuja</t>
  </si>
  <si>
    <t>x u j a</t>
  </si>
  <si>
    <t>chula</t>
  </si>
  <si>
    <t>x u l a</t>
  </si>
  <si>
    <t>x a</t>
  </si>
  <si>
    <t>henry</t>
  </si>
  <si>
    <t>hacham</t>
  </si>
  <si>
    <t>x a x a m</t>
  </si>
  <si>
    <t>kakam</t>
  </si>
  <si>
    <t>haj</t>
  </si>
  <si>
    <t>x a j</t>
  </si>
  <si>
    <t>x a k</t>
  </si>
  <si>
    <t>piton</t>
  </si>
  <si>
    <t>haki</t>
  </si>
  <si>
    <t>x a k i</t>
  </si>
  <si>
    <t>x a l</t>
  </si>
  <si>
    <t>x a l a</t>
  </si>
  <si>
    <t>halama</t>
  </si>
  <si>
    <t>x a l a m a</t>
  </si>
  <si>
    <t>kalama</t>
  </si>
  <si>
    <t>x a l i n a</t>
  </si>
  <si>
    <t>kalina</t>
  </si>
  <si>
    <t>haluch</t>
  </si>
  <si>
    <t>x a l u x</t>
  </si>
  <si>
    <t>kaluk</t>
  </si>
  <si>
    <t>hamak</t>
  </si>
  <si>
    <t>x a m a k</t>
  </si>
  <si>
    <t>kamak</t>
  </si>
  <si>
    <t>hania</t>
  </si>
  <si>
    <t>hasa</t>
  </si>
  <si>
    <t>x a s a</t>
  </si>
  <si>
    <t>hasaj</t>
  </si>
  <si>
    <t>x a s a j</t>
  </si>
  <si>
    <t>kasay</t>
  </si>
  <si>
    <t>hasam</t>
  </si>
  <si>
    <t>x a s a m</t>
  </si>
  <si>
    <t>kasam</t>
  </si>
  <si>
    <t>x i l</t>
  </si>
  <si>
    <t>hipis</t>
  </si>
  <si>
    <t>x i p i s</t>
  </si>
  <si>
    <t>kipis</t>
  </si>
  <si>
    <t>huj</t>
  </si>
  <si>
    <t>x u k</t>
  </si>
  <si>
    <t>roar</t>
  </si>
  <si>
    <t>roaring</t>
  </si>
  <si>
    <t>thunder</t>
  </si>
  <si>
    <t>x u k i</t>
  </si>
  <si>
    <t>huku</t>
  </si>
  <si>
    <t>x u k u</t>
  </si>
  <si>
    <t>hula</t>
  </si>
  <si>
    <t>hula-hula</t>
  </si>
  <si>
    <t>Hawaiian_dancing</t>
  </si>
  <si>
    <t>hulaj</t>
  </si>
  <si>
    <t>x u l a j</t>
  </si>
  <si>
    <t>kulay</t>
  </si>
  <si>
    <t>hulaka</t>
  </si>
  <si>
    <t>x u l a k a</t>
  </si>
  <si>
    <t>kulaka</t>
  </si>
  <si>
    <t>hulali</t>
  </si>
  <si>
    <t>x u l a l i</t>
  </si>
  <si>
    <t>kulali</t>
  </si>
  <si>
    <t>hulam</t>
  </si>
  <si>
    <t>x u l a m</t>
  </si>
  <si>
    <t>x u s</t>
  </si>
  <si>
    <t>huta</t>
  </si>
  <si>
    <t>x u t a</t>
  </si>
  <si>
    <t>smelter</t>
  </si>
  <si>
    <t>smeltery</t>
  </si>
  <si>
    <t>i x</t>
  </si>
  <si>
    <t>ig</t>
  </si>
  <si>
    <t>ilu</t>
  </si>
  <si>
    <t>i l u</t>
  </si>
  <si>
    <t>inak</t>
  </si>
  <si>
    <t>i n a k</t>
  </si>
  <si>
    <t>personality</t>
  </si>
  <si>
    <t>jach</t>
  </si>
  <si>
    <t>j a x</t>
  </si>
  <si>
    <t>jaj</t>
  </si>
  <si>
    <t>j a j</t>
  </si>
  <si>
    <t>jaja</t>
  </si>
  <si>
    <t>jajach</t>
  </si>
  <si>
    <t>j a j a x</t>
  </si>
  <si>
    <t>yayak</t>
  </si>
  <si>
    <t>jajami</t>
  </si>
  <si>
    <t>j a j a m i</t>
  </si>
  <si>
    <t>yayami</t>
  </si>
  <si>
    <t>jaju</t>
  </si>
  <si>
    <t>jajus</t>
  </si>
  <si>
    <t>j a j u s</t>
  </si>
  <si>
    <t>yayus</t>
  </si>
  <si>
    <t>jaki</t>
  </si>
  <si>
    <t>j a k i</t>
  </si>
  <si>
    <t>jakich</t>
  </si>
  <si>
    <t>j a k i x</t>
  </si>
  <si>
    <t>jakim</t>
  </si>
  <si>
    <t>j a k i m</t>
  </si>
  <si>
    <t>yakim</t>
  </si>
  <si>
    <t>jakimi</t>
  </si>
  <si>
    <t>j a k i m i</t>
  </si>
  <si>
    <t>yakimi</t>
  </si>
  <si>
    <t>jakub</t>
  </si>
  <si>
    <t>j a k u p</t>
  </si>
  <si>
    <t>yakup</t>
  </si>
  <si>
    <t>jakus</t>
  </si>
  <si>
    <t>j a k u s</t>
  </si>
  <si>
    <t>yakus</t>
  </si>
  <si>
    <t>j a m a</t>
  </si>
  <si>
    <t>jamach</t>
  </si>
  <si>
    <t>j a m a x</t>
  </si>
  <si>
    <t>yamak</t>
  </si>
  <si>
    <t>jamami</t>
  </si>
  <si>
    <t>j a m a m i</t>
  </si>
  <si>
    <t>yamami</t>
  </si>
  <si>
    <t>janas</t>
  </si>
  <si>
    <t>j a n a s</t>
  </si>
  <si>
    <t>yanas</t>
  </si>
  <si>
    <t>jania</t>
  </si>
  <si>
    <t>j a ɲ a</t>
  </si>
  <si>
    <t>yaña</t>
  </si>
  <si>
    <t>janiak</t>
  </si>
  <si>
    <t>j a ɲ a k</t>
  </si>
  <si>
    <t>yañak</t>
  </si>
  <si>
    <t>janik</t>
  </si>
  <si>
    <t>j a ɲ i k</t>
  </si>
  <si>
    <t>yañik</t>
  </si>
  <si>
    <t>j a ɲ i n a</t>
  </si>
  <si>
    <t>yañina</t>
  </si>
  <si>
    <t>janus</t>
  </si>
  <si>
    <t>j a n u s</t>
  </si>
  <si>
    <t>yanus</t>
  </si>
  <si>
    <t>Janus</t>
  </si>
  <si>
    <t>japa</t>
  </si>
  <si>
    <t>j a p a</t>
  </si>
  <si>
    <t>yapa</t>
  </si>
  <si>
    <t>jaz</t>
  </si>
  <si>
    <t>juch</t>
  </si>
  <si>
    <t>j u x</t>
  </si>
  <si>
    <t>yuk</t>
  </si>
  <si>
    <t>jucha</t>
  </si>
  <si>
    <t>j u x a</t>
  </si>
  <si>
    <t>juchach</t>
  </si>
  <si>
    <t>j u x a x</t>
  </si>
  <si>
    <t>yukak</t>
  </si>
  <si>
    <t>juchami</t>
  </si>
  <si>
    <t>j u x a m i</t>
  </si>
  <si>
    <t>yukami</t>
  </si>
  <si>
    <t>juhas</t>
  </si>
  <si>
    <t>j u x a s</t>
  </si>
  <si>
    <t>yukas</t>
  </si>
  <si>
    <t>j u k a</t>
  </si>
  <si>
    <t>genus_Yucca</t>
  </si>
  <si>
    <t>julita</t>
  </si>
  <si>
    <t>j u l i t a</t>
  </si>
  <si>
    <t>yulita</t>
  </si>
  <si>
    <t>juma</t>
  </si>
  <si>
    <t>j u m a</t>
  </si>
  <si>
    <t>yuma</t>
  </si>
  <si>
    <t>junak</t>
  </si>
  <si>
    <t>j u n a k</t>
  </si>
  <si>
    <t>yunak</t>
  </si>
  <si>
    <t>juta</t>
  </si>
  <si>
    <t>Corchorus</t>
  </si>
  <si>
    <t>genus_Corchorus</t>
  </si>
  <si>
    <t>jute</t>
  </si>
  <si>
    <t>kelvin</t>
  </si>
  <si>
    <t>kaja</t>
  </si>
  <si>
    <t>kajak</t>
  </si>
  <si>
    <t>kajaku</t>
  </si>
  <si>
    <t>k a j a k u</t>
  </si>
  <si>
    <t>kayaku</t>
  </si>
  <si>
    <t>kajali</t>
  </si>
  <si>
    <t>k a j a l i</t>
  </si>
  <si>
    <t>kayali</t>
  </si>
  <si>
    <t>kajam</t>
  </si>
  <si>
    <t>k a j a m</t>
  </si>
  <si>
    <t>kayam</t>
  </si>
  <si>
    <t>kajuta</t>
  </si>
  <si>
    <t>k a j u t a</t>
  </si>
  <si>
    <t>kayuta</t>
  </si>
  <si>
    <t>kalaj</t>
  </si>
  <si>
    <t>kalali</t>
  </si>
  <si>
    <t>k a l a l i</t>
  </si>
  <si>
    <t>kalana</t>
  </si>
  <si>
    <t>k a l a n a</t>
  </si>
  <si>
    <t>kalani</t>
  </si>
  <si>
    <t>k a l a ɲ i</t>
  </si>
  <si>
    <t>kalañi</t>
  </si>
  <si>
    <t>k a l i n</t>
  </si>
  <si>
    <t>k a l i n a</t>
  </si>
  <si>
    <t>kaliniak</t>
  </si>
  <si>
    <t>k a l i ɲ a k</t>
  </si>
  <si>
    <t>kaliñak</t>
  </si>
  <si>
    <t>tench</t>
  </si>
  <si>
    <t>Tinca_tinca</t>
  </si>
  <si>
    <t>kalita</t>
  </si>
  <si>
    <t>k a l i t a</t>
  </si>
  <si>
    <t>kalupa</t>
  </si>
  <si>
    <t>k a l u p a</t>
  </si>
  <si>
    <t>kalus</t>
  </si>
  <si>
    <t>k a l u s</t>
  </si>
  <si>
    <t>kaluta</t>
  </si>
  <si>
    <t>k a l u t a</t>
  </si>
  <si>
    <t>kamil</t>
  </si>
  <si>
    <t>k a m i l</t>
  </si>
  <si>
    <t>kanach</t>
  </si>
  <si>
    <t>k a n a x</t>
  </si>
  <si>
    <t>sofa</t>
  </si>
  <si>
    <t>lounge</t>
  </si>
  <si>
    <t>k a ɲ i</t>
  </si>
  <si>
    <t>kañi</t>
  </si>
  <si>
    <t>kania</t>
  </si>
  <si>
    <t>kaniach</t>
  </si>
  <si>
    <t>k a ɲ a x</t>
  </si>
  <si>
    <t>kañak</t>
  </si>
  <si>
    <t>kaniami</t>
  </si>
  <si>
    <t>k a ɲ a m i</t>
  </si>
  <si>
    <t>kañami</t>
  </si>
  <si>
    <t>kanich</t>
  </si>
  <si>
    <t>k a ɲ i x</t>
  </si>
  <si>
    <t>kañik</t>
  </si>
  <si>
    <t>k a ɲ i k</t>
  </si>
  <si>
    <t>kanim</t>
  </si>
  <si>
    <t>k a ɲ i m</t>
  </si>
  <si>
    <t>kañim</t>
  </si>
  <si>
    <t>kanimi</t>
  </si>
  <si>
    <t>k a ɲ i m i</t>
  </si>
  <si>
    <t>kañimi</t>
  </si>
  <si>
    <t>kaniuch</t>
  </si>
  <si>
    <t>k a ɲ u x</t>
  </si>
  <si>
    <t>kañuk</t>
  </si>
  <si>
    <t>kaniuk</t>
  </si>
  <si>
    <t>k a ɲ u k</t>
  </si>
  <si>
    <t>kaniula</t>
  </si>
  <si>
    <t>k a ɲ u l a</t>
  </si>
  <si>
    <t>kañula</t>
  </si>
  <si>
    <t>cannula</t>
  </si>
  <si>
    <t>coverlet</t>
  </si>
  <si>
    <t>saddle_blanket</t>
  </si>
  <si>
    <t>saddlecloth</t>
  </si>
  <si>
    <t>horse_blanket</t>
  </si>
  <si>
    <t>kapali</t>
  </si>
  <si>
    <t>k a p a l i</t>
  </si>
  <si>
    <t>kapis</t>
  </si>
  <si>
    <t>k a p i s</t>
  </si>
  <si>
    <t>kapuch</t>
  </si>
  <si>
    <t>k a p u x</t>
  </si>
  <si>
    <t>kapuk</t>
  </si>
  <si>
    <t>kapucha</t>
  </si>
  <si>
    <t>k a p u x a</t>
  </si>
  <si>
    <t>kapuka</t>
  </si>
  <si>
    <t>kasach</t>
  </si>
  <si>
    <t>k a s a x</t>
  </si>
  <si>
    <t>kasami</t>
  </si>
  <si>
    <t>k a s a m i</t>
  </si>
  <si>
    <t>secularization</t>
  </si>
  <si>
    <t>secularisation</t>
  </si>
  <si>
    <t>katach</t>
  </si>
  <si>
    <t>k a t a x</t>
  </si>
  <si>
    <t>katakana</t>
  </si>
  <si>
    <t>k a t a k a n a</t>
  </si>
  <si>
    <t>k a t a m i</t>
  </si>
  <si>
    <t>kań</t>
  </si>
  <si>
    <t>kich</t>
  </si>
  <si>
    <t>k i x</t>
  </si>
  <si>
    <t>kicha</t>
  </si>
  <si>
    <t>k i x a</t>
  </si>
  <si>
    <t>kika</t>
  </si>
  <si>
    <t>kichach</t>
  </si>
  <si>
    <t>k i x a x</t>
  </si>
  <si>
    <t>kikak</t>
  </si>
  <si>
    <t>kichaj</t>
  </si>
  <si>
    <t>k i x a j</t>
  </si>
  <si>
    <t>kikay</t>
  </si>
  <si>
    <t>kichali</t>
  </si>
  <si>
    <t>k i x a l i</t>
  </si>
  <si>
    <t>kikali</t>
  </si>
  <si>
    <t>kicham</t>
  </si>
  <si>
    <t>k i x a m</t>
  </si>
  <si>
    <t>kikam</t>
  </si>
  <si>
    <t>kichami</t>
  </si>
  <si>
    <t>k i x a m i</t>
  </si>
  <si>
    <t>kikami</t>
  </si>
  <si>
    <t>kij</t>
  </si>
  <si>
    <t>kija</t>
  </si>
  <si>
    <t>k i j a</t>
  </si>
  <si>
    <t>kiya</t>
  </si>
  <si>
    <t>kijach</t>
  </si>
  <si>
    <t>k i j a x</t>
  </si>
  <si>
    <t>kiyak</t>
  </si>
  <si>
    <t>kijami</t>
  </si>
  <si>
    <t>k i j a m i</t>
  </si>
  <si>
    <t>kiyami</t>
  </si>
  <si>
    <t>kijas</t>
  </si>
  <si>
    <t>k i j a s</t>
  </si>
  <si>
    <t>kiyas</t>
  </si>
  <si>
    <t>kiju</t>
  </si>
  <si>
    <t>k i j u</t>
  </si>
  <si>
    <t>kiyu</t>
  </si>
  <si>
    <t>kima</t>
  </si>
  <si>
    <t>k i m a</t>
  </si>
  <si>
    <t>shuteye</t>
  </si>
  <si>
    <t>kitach</t>
  </si>
  <si>
    <t>k i t a x</t>
  </si>
  <si>
    <t>kitak</t>
  </si>
  <si>
    <t>kitaj</t>
  </si>
  <si>
    <t>k i t a j</t>
  </si>
  <si>
    <t>kitay</t>
  </si>
  <si>
    <t>kitala</t>
  </si>
  <si>
    <t>k i t a l a</t>
  </si>
  <si>
    <t>kitami</t>
  </si>
  <si>
    <t>k i t a m i</t>
  </si>
  <si>
    <t>kuj</t>
  </si>
  <si>
    <t>kujach</t>
  </si>
  <si>
    <t>k u j a x</t>
  </si>
  <si>
    <t>kuyak</t>
  </si>
  <si>
    <t>k u k a</t>
  </si>
  <si>
    <t>kukaj</t>
  </si>
  <si>
    <t>k u k a j</t>
  </si>
  <si>
    <t>kukay</t>
  </si>
  <si>
    <t>k u k a m</t>
  </si>
  <si>
    <t>kukiz</t>
  </si>
  <si>
    <t>k u k i s</t>
  </si>
  <si>
    <t>kukis</t>
  </si>
  <si>
    <t>cartridge</t>
  </si>
  <si>
    <t>crutch</t>
  </si>
  <si>
    <t>fishbowl</t>
  </si>
  <si>
    <t>fish_bowl</t>
  </si>
  <si>
    <t>goldfish_bowl</t>
  </si>
  <si>
    <t>kulach</t>
  </si>
  <si>
    <t>k u l a x</t>
  </si>
  <si>
    <t>kulami</t>
  </si>
  <si>
    <t>k u l a m i</t>
  </si>
  <si>
    <t>kulas</t>
  </si>
  <si>
    <t>k u l a s</t>
  </si>
  <si>
    <t>kulasa</t>
  </si>
  <si>
    <t>k u l a s a</t>
  </si>
  <si>
    <t>kulig</t>
  </si>
  <si>
    <t>k u l i k</t>
  </si>
  <si>
    <t>kulik</t>
  </si>
  <si>
    <t>curlew</t>
  </si>
  <si>
    <t>kulisa</t>
  </si>
  <si>
    <t>k u l i s a</t>
  </si>
  <si>
    <t>offstage</t>
  </si>
  <si>
    <t>backstage</t>
  </si>
  <si>
    <t>kuma</t>
  </si>
  <si>
    <t>k u m a</t>
  </si>
  <si>
    <t>kumach</t>
  </si>
  <si>
    <t>k u m a x</t>
  </si>
  <si>
    <t>kumak</t>
  </si>
  <si>
    <t>kumaj</t>
  </si>
  <si>
    <t>k u m a j</t>
  </si>
  <si>
    <t>kumay</t>
  </si>
  <si>
    <t>k u m a k</t>
  </si>
  <si>
    <t>Bombina</t>
  </si>
  <si>
    <t>genus_Bombina</t>
  </si>
  <si>
    <t>kumali</t>
  </si>
  <si>
    <t>k u m a l i</t>
  </si>
  <si>
    <t>kumam</t>
  </si>
  <si>
    <t>k u m a m</t>
  </si>
  <si>
    <t>kumami</t>
  </si>
  <si>
    <t>k u m a m i</t>
  </si>
  <si>
    <t>kumata</t>
  </si>
  <si>
    <t>k u m a t a</t>
  </si>
  <si>
    <t>marten</t>
  </si>
  <si>
    <t>marten_cat</t>
  </si>
  <si>
    <t>kunach</t>
  </si>
  <si>
    <t>k u n a x</t>
  </si>
  <si>
    <t>kunak</t>
  </si>
  <si>
    <t>kunami</t>
  </si>
  <si>
    <t>k u n a m i</t>
  </si>
  <si>
    <t>kuni</t>
  </si>
  <si>
    <t>k u ɲ i</t>
  </si>
  <si>
    <t>kuñi</t>
  </si>
  <si>
    <t>kunia</t>
  </si>
  <si>
    <t>kunich</t>
  </si>
  <si>
    <t>k u ɲ i x</t>
  </si>
  <si>
    <t>kuñik</t>
  </si>
  <si>
    <t>kunim</t>
  </si>
  <si>
    <t>k u ɲ i m</t>
  </si>
  <si>
    <t>kuñim</t>
  </si>
  <si>
    <t>kunimi</t>
  </si>
  <si>
    <t>k u ɲ i m i</t>
  </si>
  <si>
    <t>kuñimi</t>
  </si>
  <si>
    <t>kupach</t>
  </si>
  <si>
    <t>k u p a x</t>
  </si>
  <si>
    <t>kupak</t>
  </si>
  <si>
    <t>kupaj</t>
  </si>
  <si>
    <t>k u p a j</t>
  </si>
  <si>
    <t>kupay</t>
  </si>
  <si>
    <t>kupami</t>
  </si>
  <si>
    <t>k u p a m i</t>
  </si>
  <si>
    <t>kupich</t>
  </si>
  <si>
    <t>kupicha</t>
  </si>
  <si>
    <t>k u p i x a</t>
  </si>
  <si>
    <t>kupika</t>
  </si>
  <si>
    <t>kupijaj</t>
  </si>
  <si>
    <t>k u p i j a j</t>
  </si>
  <si>
    <t>kupiyay</t>
  </si>
  <si>
    <t>kupilas</t>
  </si>
  <si>
    <t>k u p i l a s</t>
  </si>
  <si>
    <t>kupis</t>
  </si>
  <si>
    <t>k u p i s</t>
  </si>
  <si>
    <t>kupuj</t>
  </si>
  <si>
    <t>k u p u j</t>
  </si>
  <si>
    <t>kupuy</t>
  </si>
  <si>
    <t>kusa</t>
  </si>
  <si>
    <t>k u s a</t>
  </si>
  <si>
    <t>kusaj</t>
  </si>
  <si>
    <t>k u s a j</t>
  </si>
  <si>
    <t>kusay</t>
  </si>
  <si>
    <t>kusak</t>
  </si>
  <si>
    <t>k u s a k</t>
  </si>
  <si>
    <t>kusal</t>
  </si>
  <si>
    <t>k u s a l</t>
  </si>
  <si>
    <t>k u t a</t>
  </si>
  <si>
    <t>kutaj</t>
  </si>
  <si>
    <t>k u t a j</t>
  </si>
  <si>
    <t>kutay</t>
  </si>
  <si>
    <t>kutas</t>
  </si>
  <si>
    <t>k u t a s</t>
  </si>
  <si>
    <t>kój</t>
  </si>
  <si>
    <t>kóp</t>
  </si>
  <si>
    <t>kóz</t>
  </si>
  <si>
    <t>l a x</t>
  </si>
  <si>
    <t>lacha</t>
  </si>
  <si>
    <t>l a x a</t>
  </si>
  <si>
    <t>laka</t>
  </si>
  <si>
    <t>lachach</t>
  </si>
  <si>
    <t>l a x a x</t>
  </si>
  <si>
    <t>lakak</t>
  </si>
  <si>
    <t>lachami</t>
  </si>
  <si>
    <t>l a x a m i</t>
  </si>
  <si>
    <t>lakami</t>
  </si>
  <si>
    <t>lachu</t>
  </si>
  <si>
    <t>l a x u</t>
  </si>
  <si>
    <t>Cheiranthus</t>
  </si>
  <si>
    <t>genus_Cheiranthus</t>
  </si>
  <si>
    <t>l a k a</t>
  </si>
  <si>
    <t>lakach</t>
  </si>
  <si>
    <t>l a k a x</t>
  </si>
  <si>
    <t>l a k a m i</t>
  </si>
  <si>
    <t>l a l</t>
  </si>
  <si>
    <t>lala</t>
  </si>
  <si>
    <t>l a l a</t>
  </si>
  <si>
    <t>lalach</t>
  </si>
  <si>
    <t>l a l a x</t>
  </si>
  <si>
    <t>lalak</t>
  </si>
  <si>
    <t>lalami</t>
  </si>
  <si>
    <t>l a l a m i</t>
  </si>
  <si>
    <t>lali</t>
  </si>
  <si>
    <t>l a l i</t>
  </si>
  <si>
    <t>lalu</t>
  </si>
  <si>
    <t>l a l u</t>
  </si>
  <si>
    <t>lalunia</t>
  </si>
  <si>
    <t>l a l u ɲ a</t>
  </si>
  <si>
    <t>laluña</t>
  </si>
  <si>
    <t>lamach</t>
  </si>
  <si>
    <t>l a m a x</t>
  </si>
  <si>
    <t>lamak</t>
  </si>
  <si>
    <t>lamami</t>
  </si>
  <si>
    <t>l a m a m i</t>
  </si>
  <si>
    <t>lamus</t>
  </si>
  <si>
    <t>l a m u s</t>
  </si>
  <si>
    <t>lumber_room</t>
  </si>
  <si>
    <t>lani</t>
  </si>
  <si>
    <t>l a ɲ i</t>
  </si>
  <si>
    <t>lañi</t>
  </si>
  <si>
    <t>lania</t>
  </si>
  <si>
    <t>l a ɲ a</t>
  </si>
  <si>
    <t>laña</t>
  </si>
  <si>
    <t>laniu</t>
  </si>
  <si>
    <t>l a ɲ u</t>
  </si>
  <si>
    <t>lañu</t>
  </si>
  <si>
    <t>lasach</t>
  </si>
  <si>
    <t>l a s a x</t>
  </si>
  <si>
    <t>lasak</t>
  </si>
  <si>
    <t>lasami</t>
  </si>
  <si>
    <t>l a s a m i</t>
  </si>
  <si>
    <t>l a s u</t>
  </si>
  <si>
    <t>long_time</t>
  </si>
  <si>
    <t>years</t>
  </si>
  <si>
    <t>latach</t>
  </si>
  <si>
    <t>l a t a x</t>
  </si>
  <si>
    <t>latak</t>
  </si>
  <si>
    <t>lataj</t>
  </si>
  <si>
    <t>l a t a j</t>
  </si>
  <si>
    <t>latay</t>
  </si>
  <si>
    <t>latali</t>
  </si>
  <si>
    <t>l a t a l i</t>
  </si>
  <si>
    <t>latam</t>
  </si>
  <si>
    <t>l a t a m</t>
  </si>
  <si>
    <t>latami</t>
  </si>
  <si>
    <t>l a t a m i</t>
  </si>
  <si>
    <t>latanina</t>
  </si>
  <si>
    <t>l a t a ɲ i n a</t>
  </si>
  <si>
    <t>latañina</t>
  </si>
  <si>
    <t>l a t u</t>
  </si>
  <si>
    <t>lhasa</t>
  </si>
  <si>
    <t>Lhasa</t>
  </si>
  <si>
    <t>Lassa</t>
  </si>
  <si>
    <t>capital_of_Tibet</t>
  </si>
  <si>
    <t>Forbidden_City</t>
  </si>
  <si>
    <t>lich</t>
  </si>
  <si>
    <t>l i x</t>
  </si>
  <si>
    <t>licha</t>
  </si>
  <si>
    <t>l i x a</t>
  </si>
  <si>
    <t>lichach</t>
  </si>
  <si>
    <t>l i x a x</t>
  </si>
  <si>
    <t>likak</t>
  </si>
  <si>
    <t>lichaj</t>
  </si>
  <si>
    <t>l i x a j</t>
  </si>
  <si>
    <t>likay</t>
  </si>
  <si>
    <t>lichami</t>
  </si>
  <si>
    <t>l i x a m i</t>
  </si>
  <si>
    <t>likami</t>
  </si>
  <si>
    <t>lichu</t>
  </si>
  <si>
    <t>l i x u</t>
  </si>
  <si>
    <t>lime_tree</t>
  </si>
  <si>
    <t>Citrus_aurantifolia</t>
  </si>
  <si>
    <t>l i n</t>
  </si>
  <si>
    <t>linach</t>
  </si>
  <si>
    <t>l i n a x</t>
  </si>
  <si>
    <t>linami</t>
  </si>
  <si>
    <t>l i n a m i</t>
  </si>
  <si>
    <t>lipa</t>
  </si>
  <si>
    <t>l i p a</t>
  </si>
  <si>
    <t>linden</t>
  </si>
  <si>
    <t>linden_tree</t>
  </si>
  <si>
    <t>basswood</t>
  </si>
  <si>
    <t>lipach</t>
  </si>
  <si>
    <t>l i p a x</t>
  </si>
  <si>
    <t>lipak</t>
  </si>
  <si>
    <t>lipami</t>
  </si>
  <si>
    <t>l i p a m i</t>
  </si>
  <si>
    <t>lipus</t>
  </si>
  <si>
    <t>l i p u s</t>
  </si>
  <si>
    <t>red_fox</t>
  </si>
  <si>
    <t>Vulpes_vulpes</t>
  </si>
  <si>
    <t>lisach</t>
  </si>
  <si>
    <t>l i s a x</t>
  </si>
  <si>
    <t>lisak</t>
  </si>
  <si>
    <t>l i s a k</t>
  </si>
  <si>
    <t>lisami</t>
  </si>
  <si>
    <t>l i s a m i</t>
  </si>
  <si>
    <t>lita</t>
  </si>
  <si>
    <t>l i t a</t>
  </si>
  <si>
    <t>litach</t>
  </si>
  <si>
    <t>l i t a x</t>
  </si>
  <si>
    <t>litak</t>
  </si>
  <si>
    <t>litami</t>
  </si>
  <si>
    <t>l i t a m i</t>
  </si>
  <si>
    <t>lub</t>
  </si>
  <si>
    <t>spread</t>
  </si>
  <si>
    <t>lukach</t>
  </si>
  <si>
    <t>l u k a x</t>
  </si>
  <si>
    <t>lukami</t>
  </si>
  <si>
    <t>l u k a m i</t>
  </si>
  <si>
    <t>luki</t>
  </si>
  <si>
    <t>l u k i</t>
  </si>
  <si>
    <t>lula</t>
  </si>
  <si>
    <t>l u l a</t>
  </si>
  <si>
    <t>lulaj</t>
  </si>
  <si>
    <t>l u l a j</t>
  </si>
  <si>
    <t>lulay</t>
  </si>
  <si>
    <t>lulali</t>
  </si>
  <si>
    <t>l u l a l i</t>
  </si>
  <si>
    <t>lulam</t>
  </si>
  <si>
    <t>l u l a m</t>
  </si>
  <si>
    <t>lulana</t>
  </si>
  <si>
    <t>l u l a n a</t>
  </si>
  <si>
    <t>lulani</t>
  </si>
  <si>
    <t>l u l a ɲ i</t>
  </si>
  <si>
    <t>lulañi</t>
  </si>
  <si>
    <t>lunach</t>
  </si>
  <si>
    <t>l u n a x</t>
  </si>
  <si>
    <t>lunak</t>
  </si>
  <si>
    <t>lunami</t>
  </si>
  <si>
    <t>l u n a m i</t>
  </si>
  <si>
    <t>lupach</t>
  </si>
  <si>
    <t>l u p a x</t>
  </si>
  <si>
    <t>lupak</t>
  </si>
  <si>
    <t>lupami</t>
  </si>
  <si>
    <t>l u p a m i</t>
  </si>
  <si>
    <t>luta</t>
  </si>
  <si>
    <t>l u t a</t>
  </si>
  <si>
    <t>lutach</t>
  </si>
  <si>
    <t>l u t a x</t>
  </si>
  <si>
    <t>lutak</t>
  </si>
  <si>
    <t>lutami</t>
  </si>
  <si>
    <t>l u t a m i</t>
  </si>
  <si>
    <t>lutu</t>
  </si>
  <si>
    <t>l u t u</t>
  </si>
  <si>
    <t>ease</t>
  </si>
  <si>
    <t>informality</t>
  </si>
  <si>
    <t>breathing_room</t>
  </si>
  <si>
    <t>breathing_space</t>
  </si>
  <si>
    <t>luń</t>
  </si>
  <si>
    <t>l u ɲ</t>
  </si>
  <si>
    <t>luñ</t>
  </si>
  <si>
    <t>Mach_number</t>
  </si>
  <si>
    <t>m a x</t>
  </si>
  <si>
    <t>macha</t>
  </si>
  <si>
    <t>m a x a</t>
  </si>
  <si>
    <t>machaj</t>
  </si>
  <si>
    <t>m a x a j</t>
  </si>
  <si>
    <t>makay</t>
  </si>
  <si>
    <t>machali</t>
  </si>
  <si>
    <t>m a x a l i</t>
  </si>
  <si>
    <t>makali</t>
  </si>
  <si>
    <t>macham</t>
  </si>
  <si>
    <t>m a x a m</t>
  </si>
  <si>
    <t>machana</t>
  </si>
  <si>
    <t>m a x a n a</t>
  </si>
  <si>
    <t>makana</t>
  </si>
  <si>
    <t>machin</t>
  </si>
  <si>
    <t>m a x i n</t>
  </si>
  <si>
    <t>makin</t>
  </si>
  <si>
    <t>m a x i n a</t>
  </si>
  <si>
    <t>machul</t>
  </si>
  <si>
    <t>m a x u l</t>
  </si>
  <si>
    <t>makul</t>
  </si>
  <si>
    <t>machula</t>
  </si>
  <si>
    <t>m a x u l a</t>
  </si>
  <si>
    <t>machulak</t>
  </si>
  <si>
    <t>m a x u l a k</t>
  </si>
  <si>
    <t>makulak</t>
  </si>
  <si>
    <t>May</t>
  </si>
  <si>
    <t>majach</t>
  </si>
  <si>
    <t>m a j a x</t>
  </si>
  <si>
    <t>mayak</t>
  </si>
  <si>
    <t>majak</t>
  </si>
  <si>
    <t>m a j a k</t>
  </si>
  <si>
    <t>majami</t>
  </si>
  <si>
    <t>maju</t>
  </si>
  <si>
    <t>m a j u</t>
  </si>
  <si>
    <t>mayu</t>
  </si>
  <si>
    <t>poppy_seed</t>
  </si>
  <si>
    <t>makach</t>
  </si>
  <si>
    <t>m a k a x</t>
  </si>
  <si>
    <t>Macaca</t>
  </si>
  <si>
    <t>genus_Macaca</t>
  </si>
  <si>
    <t>makami</t>
  </si>
  <si>
    <t>m a k a m i</t>
  </si>
  <si>
    <t>makuch</t>
  </si>
  <si>
    <t>m a k u x</t>
  </si>
  <si>
    <t>makuk</t>
  </si>
  <si>
    <t>oil_cake</t>
  </si>
  <si>
    <t>malach</t>
  </si>
  <si>
    <t>m a l a x</t>
  </si>
  <si>
    <t>malak</t>
  </si>
  <si>
    <t>malajalam</t>
  </si>
  <si>
    <t>malich</t>
  </si>
  <si>
    <t>m a l i x</t>
  </si>
  <si>
    <t>malicha</t>
  </si>
  <si>
    <t>m a l i x a</t>
  </si>
  <si>
    <t>malika</t>
  </si>
  <si>
    <t>m a l i k</t>
  </si>
  <si>
    <t>malina</t>
  </si>
  <si>
    <t>m a l i n a</t>
  </si>
  <si>
    <t>raspberry_bush</t>
  </si>
  <si>
    <t>malinami</t>
  </si>
  <si>
    <t>m a l i n a m i</t>
  </si>
  <si>
    <t>maluch</t>
  </si>
  <si>
    <t>m a l u x</t>
  </si>
  <si>
    <t>malucha</t>
  </si>
  <si>
    <t>m a l u x a</t>
  </si>
  <si>
    <t>maluka</t>
  </si>
  <si>
    <t>maluchach</t>
  </si>
  <si>
    <t>m a l u x a x</t>
  </si>
  <si>
    <t>malukak</t>
  </si>
  <si>
    <t>maluchami</t>
  </si>
  <si>
    <t>m a l u x a m i</t>
  </si>
  <si>
    <t>malukami</t>
  </si>
  <si>
    <t>maluchu</t>
  </si>
  <si>
    <t>m a l u x u</t>
  </si>
  <si>
    <t>maluku</t>
  </si>
  <si>
    <t>malus</t>
  </si>
  <si>
    <t>m a l u s</t>
  </si>
  <si>
    <t>mater</t>
  </si>
  <si>
    <t>mamach</t>
  </si>
  <si>
    <t>m a m a x</t>
  </si>
  <si>
    <t>mamak</t>
  </si>
  <si>
    <t>mamami</t>
  </si>
  <si>
    <t>m a m a m i</t>
  </si>
  <si>
    <t>mamili</t>
  </si>
  <si>
    <t>m a m i l i</t>
  </si>
  <si>
    <t>mamunia</t>
  </si>
  <si>
    <t>m a m u ɲ a</t>
  </si>
  <si>
    <t>mamuña</t>
  </si>
  <si>
    <t>manaj</t>
  </si>
  <si>
    <t>m a n a j</t>
  </si>
  <si>
    <t>manay</t>
  </si>
  <si>
    <t>manil</t>
  </si>
  <si>
    <t>m a ɲ i l</t>
  </si>
  <si>
    <t>mañil</t>
  </si>
  <si>
    <t>m a ɲ i l a</t>
  </si>
  <si>
    <t>mañila</t>
  </si>
  <si>
    <t>manilach</t>
  </si>
  <si>
    <t>m a ɲ i l a x</t>
  </si>
  <si>
    <t>mañilak</t>
  </si>
  <si>
    <t>manilami</t>
  </si>
  <si>
    <t>m a ɲ i l a m i</t>
  </si>
  <si>
    <t>mañilami</t>
  </si>
  <si>
    <t>manili</t>
  </si>
  <si>
    <t>m a ɲ i l i</t>
  </si>
  <si>
    <t>mañili</t>
  </si>
  <si>
    <t>m a p</t>
  </si>
  <si>
    <t>mapach</t>
  </si>
  <si>
    <t>m a p a x</t>
  </si>
  <si>
    <t>mapak</t>
  </si>
  <si>
    <t>mapami</t>
  </si>
  <si>
    <t>m a p a m i</t>
  </si>
  <si>
    <t>masach</t>
  </si>
  <si>
    <t>m a s a x</t>
  </si>
  <si>
    <t>masak</t>
  </si>
  <si>
    <t>masami</t>
  </si>
  <si>
    <t>m a s a m i</t>
  </si>
  <si>
    <t>gym_mat</t>
  </si>
  <si>
    <t>matach</t>
  </si>
  <si>
    <t>m a t a x</t>
  </si>
  <si>
    <t>matak</t>
  </si>
  <si>
    <t>mataj</t>
  </si>
  <si>
    <t>matami</t>
  </si>
  <si>
    <t>m a t a m i</t>
  </si>
  <si>
    <t>matula</t>
  </si>
  <si>
    <t>m a t u l a</t>
  </si>
  <si>
    <t>mich</t>
  </si>
  <si>
    <t>m i x</t>
  </si>
  <si>
    <t>micha</t>
  </si>
  <si>
    <t>michach</t>
  </si>
  <si>
    <t>m i x a x</t>
  </si>
  <si>
    <t>mikak</t>
  </si>
  <si>
    <t>michalak</t>
  </si>
  <si>
    <t>m i x a l a k</t>
  </si>
  <si>
    <t>mikalak</t>
  </si>
  <si>
    <t>michalik</t>
  </si>
  <si>
    <t>m i x a l i k</t>
  </si>
  <si>
    <t>mikalik</t>
  </si>
  <si>
    <t>michalina</t>
  </si>
  <si>
    <t>m i x a l i n a</t>
  </si>
  <si>
    <t>mikalina</t>
  </si>
  <si>
    <t>michami</t>
  </si>
  <si>
    <t>m i x a m i</t>
  </si>
  <si>
    <t>mikami</t>
  </si>
  <si>
    <t>mija</t>
  </si>
  <si>
    <t>m i j a</t>
  </si>
  <si>
    <t>miya</t>
  </si>
  <si>
    <t>mijam</t>
  </si>
  <si>
    <t>m i j a m</t>
  </si>
  <si>
    <t>miyam</t>
  </si>
  <si>
    <t>mijas</t>
  </si>
  <si>
    <t>m i j a s</t>
  </si>
  <si>
    <t>miyas</t>
  </si>
  <si>
    <t>m i k u l a</t>
  </si>
  <si>
    <t>mikulak</t>
  </si>
  <si>
    <t>m i k u l a k</t>
  </si>
  <si>
    <t>m i l a n</t>
  </si>
  <si>
    <t>milik</t>
  </si>
  <si>
    <t>m i l i k</t>
  </si>
  <si>
    <t>miluch</t>
  </si>
  <si>
    <t>m i l u x</t>
  </si>
  <si>
    <t>miluk</t>
  </si>
  <si>
    <t>minach</t>
  </si>
  <si>
    <t>m i n a x</t>
  </si>
  <si>
    <t>minak</t>
  </si>
  <si>
    <t>minami</t>
  </si>
  <si>
    <t>m i n a m i</t>
  </si>
  <si>
    <t>miniach</t>
  </si>
  <si>
    <t>m i ɲ a x</t>
  </si>
  <si>
    <t>m i ɲ i m u m</t>
  </si>
  <si>
    <t>miñimum</t>
  </si>
  <si>
    <t>minuj</t>
  </si>
  <si>
    <t>m i n u j</t>
  </si>
  <si>
    <t>minuy</t>
  </si>
  <si>
    <t>m i n u s</t>
  </si>
  <si>
    <t>minus_sign</t>
  </si>
  <si>
    <t>minusuj</t>
  </si>
  <si>
    <t>m i n u s u j</t>
  </si>
  <si>
    <t>minusuy</t>
  </si>
  <si>
    <t>minuta</t>
  </si>
  <si>
    <t>m i n u t a</t>
  </si>
  <si>
    <t>concept</t>
  </si>
  <si>
    <t>conception</t>
  </si>
  <si>
    <t>construct</t>
  </si>
  <si>
    <t>arcminute</t>
  </si>
  <si>
    <t>minute_of_arc</t>
  </si>
  <si>
    <t>minóg</t>
  </si>
  <si>
    <t>m i n u k</t>
  </si>
  <si>
    <t>minuk</t>
  </si>
  <si>
    <t>lamprey</t>
  </si>
  <si>
    <t>lamprey_eel</t>
  </si>
  <si>
    <t>lamper_eel</t>
  </si>
  <si>
    <t>misach</t>
  </si>
  <si>
    <t>m i s a x</t>
  </si>
  <si>
    <t>misak</t>
  </si>
  <si>
    <t>misami</t>
  </si>
  <si>
    <t>m i s a m i</t>
  </si>
  <si>
    <t>missisipi</t>
  </si>
  <si>
    <t>mitu</t>
  </si>
  <si>
    <t>m i t u</t>
  </si>
  <si>
    <t>miń</t>
  </si>
  <si>
    <t>m i ɲ</t>
  </si>
  <si>
    <t>miñ</t>
  </si>
  <si>
    <t>much</t>
  </si>
  <si>
    <t>m u x</t>
  </si>
  <si>
    <t>mucha</t>
  </si>
  <si>
    <t>muchach</t>
  </si>
  <si>
    <t>m u x a x</t>
  </si>
  <si>
    <t>mukak</t>
  </si>
  <si>
    <t>muchami</t>
  </si>
  <si>
    <t>m u x a m i</t>
  </si>
  <si>
    <t>mukami</t>
  </si>
  <si>
    <t>mulach</t>
  </si>
  <si>
    <t>m u l a x</t>
  </si>
  <si>
    <t>mulak</t>
  </si>
  <si>
    <t>mulami</t>
  </si>
  <si>
    <t>m u l a m i</t>
  </si>
  <si>
    <t>mulich</t>
  </si>
  <si>
    <t>m u l i x</t>
  </si>
  <si>
    <t>mulik</t>
  </si>
  <si>
    <t>mulim</t>
  </si>
  <si>
    <t>m u l i m</t>
  </si>
  <si>
    <t>m u l i m i</t>
  </si>
  <si>
    <t>mulu</t>
  </si>
  <si>
    <t>m u l u</t>
  </si>
  <si>
    <t>mógł</t>
  </si>
  <si>
    <t>m u k</t>
  </si>
  <si>
    <t>mój</t>
  </si>
  <si>
    <t>mól</t>
  </si>
  <si>
    <t>tineid</t>
  </si>
  <si>
    <t>tineid_moth</t>
  </si>
  <si>
    <t>nahaj</t>
  </si>
  <si>
    <t>n a x a j</t>
  </si>
  <si>
    <t>nakay</t>
  </si>
  <si>
    <t>nahuma</t>
  </si>
  <si>
    <t>n a x u m a</t>
  </si>
  <si>
    <t>nakuma</t>
  </si>
  <si>
    <t>nakaz</t>
  </si>
  <si>
    <t>n a k a s</t>
  </si>
  <si>
    <t>nakas</t>
  </si>
  <si>
    <t>nalana</t>
  </si>
  <si>
    <t>n a l a n a</t>
  </si>
  <si>
    <t>n a m i</t>
  </si>
  <si>
    <t>namul</t>
  </si>
  <si>
    <t>n a m u l</t>
  </si>
  <si>
    <t>napal</t>
  </si>
  <si>
    <t>n a p a l</t>
  </si>
  <si>
    <t>napasa</t>
  </si>
  <si>
    <t>n a p a s a</t>
  </si>
  <si>
    <t>napis</t>
  </si>
  <si>
    <t>n a p i s</t>
  </si>
  <si>
    <t>napój</t>
  </si>
  <si>
    <t>n a p u j</t>
  </si>
  <si>
    <t>napuy</t>
  </si>
  <si>
    <t>beverage</t>
  </si>
  <si>
    <t>drinkable</t>
  </si>
  <si>
    <t>potable</t>
  </si>
  <si>
    <t>nasuń</t>
  </si>
  <si>
    <t>n a s u ɲ</t>
  </si>
  <si>
    <t>nasuñ</t>
  </si>
  <si>
    <t>natul</t>
  </si>
  <si>
    <t>n a t u l</t>
  </si>
  <si>
    <t>natuli</t>
  </si>
  <si>
    <t>n a t u l i</t>
  </si>
  <si>
    <t>nań</t>
  </si>
  <si>
    <t>n a ɲ</t>
  </si>
  <si>
    <t>nañ</t>
  </si>
  <si>
    <t>news</t>
  </si>
  <si>
    <t>ɲ u s</t>
  </si>
  <si>
    <t>ñus</t>
  </si>
  <si>
    <t>ɲ i</t>
  </si>
  <si>
    <t>ñi</t>
  </si>
  <si>
    <t>N</t>
  </si>
  <si>
    <t>n</t>
  </si>
  <si>
    <t>niani</t>
  </si>
  <si>
    <t>niania</t>
  </si>
  <si>
    <t>ɲ a ɲ a</t>
  </si>
  <si>
    <t>ñaña</t>
  </si>
  <si>
    <t>nianiach</t>
  </si>
  <si>
    <t>ɲ a ɲ a x</t>
  </si>
  <si>
    <t>ñañak</t>
  </si>
  <si>
    <t>nianiami</t>
  </si>
  <si>
    <t>ɲ a ɲ a m i</t>
  </si>
  <si>
    <t>ñañami</t>
  </si>
  <si>
    <t>nianiu</t>
  </si>
  <si>
    <t>ɲ a ɲ u</t>
  </si>
  <si>
    <t>ñañu</t>
  </si>
  <si>
    <t>niań</t>
  </si>
  <si>
    <t>ɲ a ɲ</t>
  </si>
  <si>
    <t>ñañ</t>
  </si>
  <si>
    <t>nich</t>
  </si>
  <si>
    <t>ɲ i x</t>
  </si>
  <si>
    <t>ñik</t>
  </si>
  <si>
    <t>ɲ i k</t>
  </si>
  <si>
    <t>nijak</t>
  </si>
  <si>
    <t>ɲ i j a k</t>
  </si>
  <si>
    <t>ñiyak</t>
  </si>
  <si>
    <t>nijaka</t>
  </si>
  <si>
    <t>ɲ i j a k a</t>
  </si>
  <si>
    <t>ñiyaka</t>
  </si>
  <si>
    <t>nijaki</t>
  </si>
  <si>
    <t>ɲ i j a k i</t>
  </si>
  <si>
    <t>ñiyaki</t>
  </si>
  <si>
    <t>nijakich</t>
  </si>
  <si>
    <t>ɲ i j a k i x</t>
  </si>
  <si>
    <t>ñiyakik</t>
  </si>
  <si>
    <t>nijakim</t>
  </si>
  <si>
    <t>ɲ i j a k i m</t>
  </si>
  <si>
    <t>ñiyakim</t>
  </si>
  <si>
    <t>nijakimi</t>
  </si>
  <si>
    <t>ɲ i j a k i m i</t>
  </si>
  <si>
    <t>ñiyakimi</t>
  </si>
  <si>
    <t>nikim</t>
  </si>
  <si>
    <t>ɲ i k i m</t>
  </si>
  <si>
    <t>ñikim</t>
  </si>
  <si>
    <t>ɲ i l</t>
  </si>
  <si>
    <t>ñil</t>
  </si>
  <si>
    <t>ɲ i m</t>
  </si>
  <si>
    <t>ñim</t>
  </si>
  <si>
    <t>ɲ i m i</t>
  </si>
  <si>
    <t>ñimi</t>
  </si>
  <si>
    <t>niuch</t>
  </si>
  <si>
    <t>ɲ u x</t>
  </si>
  <si>
    <t>ñuk</t>
  </si>
  <si>
    <t>niucha</t>
  </si>
  <si>
    <t>ɲ u x a</t>
  </si>
  <si>
    <t>ñuka</t>
  </si>
  <si>
    <t>niunia</t>
  </si>
  <si>
    <t>ɲ u ɲ a</t>
  </si>
  <si>
    <t>ñuña</t>
  </si>
  <si>
    <t>niuń</t>
  </si>
  <si>
    <t>ɲ u ɲ</t>
  </si>
  <si>
    <t>ñuñ</t>
  </si>
  <si>
    <t>tint</t>
  </si>
  <si>
    <t>nóg</t>
  </si>
  <si>
    <t>pach</t>
  </si>
  <si>
    <t>p a x</t>
  </si>
  <si>
    <t>pacha</t>
  </si>
  <si>
    <t>p a x a</t>
  </si>
  <si>
    <t>armhole</t>
  </si>
  <si>
    <t>armpit</t>
  </si>
  <si>
    <t>axilla</t>
  </si>
  <si>
    <t>axillary_cavity</t>
  </si>
  <si>
    <t>axillary_fossa</t>
  </si>
  <si>
    <t>pachach</t>
  </si>
  <si>
    <t>p a x a x</t>
  </si>
  <si>
    <t>pakak</t>
  </si>
  <si>
    <t>pachami</t>
  </si>
  <si>
    <t>p a x a m i</t>
  </si>
  <si>
    <t>pakami</t>
  </si>
  <si>
    <t>pachuta</t>
  </si>
  <si>
    <t>p a x u t a</t>
  </si>
  <si>
    <t>pakuta</t>
  </si>
  <si>
    <t>pack_ice</t>
  </si>
  <si>
    <t>ice_pack</t>
  </si>
  <si>
    <t>pakach</t>
  </si>
  <si>
    <t>p a k a x</t>
  </si>
  <si>
    <t>p a k a m i</t>
  </si>
  <si>
    <t>picket</t>
  </si>
  <si>
    <t>palach</t>
  </si>
  <si>
    <t>p a l a x</t>
  </si>
  <si>
    <t>palak</t>
  </si>
  <si>
    <t>palami</t>
  </si>
  <si>
    <t>p a l a m i</t>
  </si>
  <si>
    <t>palili</t>
  </si>
  <si>
    <t>p a l i l i</t>
  </si>
  <si>
    <t>paluch</t>
  </si>
  <si>
    <t>p a l u x</t>
  </si>
  <si>
    <t>paluk</t>
  </si>
  <si>
    <t>palucha</t>
  </si>
  <si>
    <t>p a l u x a</t>
  </si>
  <si>
    <t>paluka</t>
  </si>
  <si>
    <t>paluchu</t>
  </si>
  <si>
    <t>p a l u x u</t>
  </si>
  <si>
    <t>paluku</t>
  </si>
  <si>
    <t>palus</t>
  </si>
  <si>
    <t>p a l u s</t>
  </si>
  <si>
    <t>Mister</t>
  </si>
  <si>
    <t>Mr</t>
  </si>
  <si>
    <t>Mr.</t>
  </si>
  <si>
    <t>ruler</t>
  </si>
  <si>
    <t>swayer</t>
  </si>
  <si>
    <t>panach</t>
  </si>
  <si>
    <t>p a n a x</t>
  </si>
  <si>
    <t>panak</t>
  </si>
  <si>
    <t>panami</t>
  </si>
  <si>
    <t>p a n a m i</t>
  </si>
  <si>
    <t>pani</t>
  </si>
  <si>
    <t>p a ɲ i</t>
  </si>
  <si>
    <t>pañi</t>
  </si>
  <si>
    <t>madame</t>
  </si>
  <si>
    <t>paniach</t>
  </si>
  <si>
    <t>p a ɲ a x</t>
  </si>
  <si>
    <t>pañak</t>
  </si>
  <si>
    <t>paniami</t>
  </si>
  <si>
    <t>p a ɲ a m i</t>
  </si>
  <si>
    <t>pañami</t>
  </si>
  <si>
    <t>p a ɲ i k a</t>
  </si>
  <si>
    <t>pañika</t>
  </si>
  <si>
    <t>p a n u</t>
  </si>
  <si>
    <t>roofing_paper</t>
  </si>
  <si>
    <t>tar_paper</t>
  </si>
  <si>
    <t>papaja</t>
  </si>
  <si>
    <t>pasach</t>
  </si>
  <si>
    <t>p a s a x</t>
  </si>
  <si>
    <t>pasak</t>
  </si>
  <si>
    <t>pasaj</t>
  </si>
  <si>
    <t>p a s a j</t>
  </si>
  <si>
    <t>pasay</t>
  </si>
  <si>
    <t>pasali</t>
  </si>
  <si>
    <t>p a s a l i</t>
  </si>
  <si>
    <t>pasam</t>
  </si>
  <si>
    <t>p a s a m</t>
  </si>
  <si>
    <t>pasami</t>
  </si>
  <si>
    <t>p a s a m i</t>
  </si>
  <si>
    <t>pasana</t>
  </si>
  <si>
    <t>p a s a n a</t>
  </si>
  <si>
    <t>pasani</t>
  </si>
  <si>
    <t>p a s a ɲ i</t>
  </si>
  <si>
    <t>pasañi</t>
  </si>
  <si>
    <t>patus</t>
  </si>
  <si>
    <t>p a t u s</t>
  </si>
  <si>
    <t>pań</t>
  </si>
  <si>
    <t>pich</t>
  </si>
  <si>
    <t>pij</t>
  </si>
  <si>
    <t>pija</t>
  </si>
  <si>
    <t>p i j a</t>
  </si>
  <si>
    <t>piya</t>
  </si>
  <si>
    <t>pijak</t>
  </si>
  <si>
    <t>p i j a k</t>
  </si>
  <si>
    <t>piyak</t>
  </si>
  <si>
    <t>alcoholic</t>
  </si>
  <si>
    <t>alky</t>
  </si>
  <si>
    <t>dipsomaniac</t>
  </si>
  <si>
    <t>boozer</t>
  </si>
  <si>
    <t>soaker</t>
  </si>
  <si>
    <t>drunkard</t>
  </si>
  <si>
    <t>drunk</t>
  </si>
  <si>
    <t>rummy</t>
  </si>
  <si>
    <t>sot</t>
  </si>
  <si>
    <t>inebriate</t>
  </si>
  <si>
    <t>wino</t>
  </si>
  <si>
    <t>pijam</t>
  </si>
  <si>
    <t>p i j a m</t>
  </si>
  <si>
    <t>piyam</t>
  </si>
  <si>
    <t>pijana</t>
  </si>
  <si>
    <t>p i j a n a</t>
  </si>
  <si>
    <t>piyana</t>
  </si>
  <si>
    <t>pijani</t>
  </si>
  <si>
    <t>p i j a ɲ i</t>
  </si>
  <si>
    <t>piyañi</t>
  </si>
  <si>
    <t>pijas</t>
  </si>
  <si>
    <t>p i j a s</t>
  </si>
  <si>
    <t>piyas</t>
  </si>
  <si>
    <t>pijus</t>
  </si>
  <si>
    <t>p i j u s</t>
  </si>
  <si>
    <t>piyus</t>
  </si>
  <si>
    <t>pikul</t>
  </si>
  <si>
    <t>p i k u l</t>
  </si>
  <si>
    <t>pikula</t>
  </si>
  <si>
    <t>p i k u l a</t>
  </si>
  <si>
    <t>pikulik</t>
  </si>
  <si>
    <t>p i k u l i k</t>
  </si>
  <si>
    <t>pikus</t>
  </si>
  <si>
    <t>p i k u s</t>
  </si>
  <si>
    <t>pikuta</t>
  </si>
  <si>
    <t>p i k u t a</t>
  </si>
  <si>
    <t>pilas</t>
  </si>
  <si>
    <t>p i l a s</t>
  </si>
  <si>
    <t>pilich</t>
  </si>
  <si>
    <t>p i l i x</t>
  </si>
  <si>
    <t>pilik</t>
  </si>
  <si>
    <t>pilili</t>
  </si>
  <si>
    <t>p i l i l i</t>
  </si>
  <si>
    <t>piluch</t>
  </si>
  <si>
    <t>p i l u x</t>
  </si>
  <si>
    <t>piluk</t>
  </si>
  <si>
    <t>p i s a k</t>
  </si>
  <si>
    <t>felt-tip_pen</t>
  </si>
  <si>
    <t>felt-tipped_pen</t>
  </si>
  <si>
    <t>felt_tip</t>
  </si>
  <si>
    <t>Magic_Marker</t>
  </si>
  <si>
    <t>pisanina</t>
  </si>
  <si>
    <t>p i s a ɲ i n a</t>
  </si>
  <si>
    <t>pisañina</t>
  </si>
  <si>
    <t>gyro</t>
  </si>
  <si>
    <t>pitach</t>
  </si>
  <si>
    <t>p i t a x</t>
  </si>
  <si>
    <t>pitak</t>
  </si>
  <si>
    <t>pitaja</t>
  </si>
  <si>
    <t>pitahaya</t>
  </si>
  <si>
    <t>pitami</t>
  </si>
  <si>
    <t>p i t a m i</t>
  </si>
  <si>
    <t>pitucha</t>
  </si>
  <si>
    <t>p i t u x a</t>
  </si>
  <si>
    <t>pituka</t>
  </si>
  <si>
    <t>pitula</t>
  </si>
  <si>
    <t>p i t u l a</t>
  </si>
  <si>
    <t>pub</t>
  </si>
  <si>
    <t>public_house</t>
  </si>
  <si>
    <t>saloon</t>
  </si>
  <si>
    <t>pothouse</t>
  </si>
  <si>
    <t>gin_mill</t>
  </si>
  <si>
    <t>taphouse</t>
  </si>
  <si>
    <t>puch</t>
  </si>
  <si>
    <t>p u x</t>
  </si>
  <si>
    <t>pucha</t>
  </si>
  <si>
    <t>p u x a</t>
  </si>
  <si>
    <t>puka</t>
  </si>
  <si>
    <t>emptiness</t>
  </si>
  <si>
    <t>puchala</t>
  </si>
  <si>
    <t>p u x a l a</t>
  </si>
  <si>
    <t>pukala</t>
  </si>
  <si>
    <t>puchu</t>
  </si>
  <si>
    <t>p u x u</t>
  </si>
  <si>
    <t>p u k a</t>
  </si>
  <si>
    <t>pukaj</t>
  </si>
  <si>
    <t>p u k a j</t>
  </si>
  <si>
    <t>pukay</t>
  </si>
  <si>
    <t>pukal</t>
  </si>
  <si>
    <t>p u k a l</t>
  </si>
  <si>
    <t>pukali</t>
  </si>
  <si>
    <t>p u k a l i</t>
  </si>
  <si>
    <t>pukam</t>
  </si>
  <si>
    <t>p u k a m</t>
  </si>
  <si>
    <t>pukana</t>
  </si>
  <si>
    <t>p u k a n a</t>
  </si>
  <si>
    <t>pukas</t>
  </si>
  <si>
    <t>p u k a s</t>
  </si>
  <si>
    <t>pusan</t>
  </si>
  <si>
    <t>p u s a n</t>
  </si>
  <si>
    <t>pój</t>
  </si>
  <si>
    <t>póki</t>
  </si>
  <si>
    <t>p u k i</t>
  </si>
  <si>
    <t>puki</t>
  </si>
  <si>
    <t>pól</t>
  </si>
  <si>
    <t>s a x a</t>
  </si>
  <si>
    <t>sachaj</t>
  </si>
  <si>
    <t>s a x a j</t>
  </si>
  <si>
    <t>sakay</t>
  </si>
  <si>
    <t>sachalin</t>
  </si>
  <si>
    <t>s a x a l i n</t>
  </si>
  <si>
    <t>sakalin</t>
  </si>
  <si>
    <t>saj</t>
  </si>
  <si>
    <t>sakuta</t>
  </si>
  <si>
    <t>s a k u t a</t>
  </si>
  <si>
    <t>salach</t>
  </si>
  <si>
    <t>s a l a x</t>
  </si>
  <si>
    <t>salak</t>
  </si>
  <si>
    <t>salacha</t>
  </si>
  <si>
    <t>s a l a x a</t>
  </si>
  <si>
    <t>salaka</t>
  </si>
  <si>
    <t>salij</t>
  </si>
  <si>
    <t>s a l i j</t>
  </si>
  <si>
    <t>saliy</t>
  </si>
  <si>
    <t>mere</t>
  </si>
  <si>
    <t>simple</t>
  </si>
  <si>
    <t>s a m i</t>
  </si>
  <si>
    <t>samul</t>
  </si>
  <si>
    <t>s a m u l</t>
  </si>
  <si>
    <t>samum</t>
  </si>
  <si>
    <t>s a m u m</t>
  </si>
  <si>
    <t>samól</t>
  </si>
  <si>
    <t>s a ɲ i</t>
  </si>
  <si>
    <t>sañi</t>
  </si>
  <si>
    <t>saniach</t>
  </si>
  <si>
    <t>s a ɲ a x</t>
  </si>
  <si>
    <t>sañak</t>
  </si>
  <si>
    <t>saniami</t>
  </si>
  <si>
    <t>s a ɲ a m i</t>
  </si>
  <si>
    <t>sañami</t>
  </si>
  <si>
    <t>sapali</t>
  </si>
  <si>
    <t>s a p a l i</t>
  </si>
  <si>
    <t>sapich</t>
  </si>
  <si>
    <t>s a p i x</t>
  </si>
  <si>
    <t>sapik</t>
  </si>
  <si>
    <t>sań</t>
  </si>
  <si>
    <t>s a ɲ</t>
  </si>
  <si>
    <t>sañ</t>
  </si>
  <si>
    <t>sucha</t>
  </si>
  <si>
    <t>s u x a</t>
  </si>
  <si>
    <t>suchan</t>
  </si>
  <si>
    <t>s u x a n</t>
  </si>
  <si>
    <t>sukan</t>
  </si>
  <si>
    <t>suchumi</t>
  </si>
  <si>
    <t>s u x u m i</t>
  </si>
  <si>
    <t>sukumi</t>
  </si>
  <si>
    <t>suhak</t>
  </si>
  <si>
    <t>s u x a k</t>
  </si>
  <si>
    <t>sukak</t>
  </si>
  <si>
    <t>sukach</t>
  </si>
  <si>
    <t>s u k a x</t>
  </si>
  <si>
    <t>sukami</t>
  </si>
  <si>
    <t>s u k a m i</t>
  </si>
  <si>
    <t>sulich</t>
  </si>
  <si>
    <t>s u l i x</t>
  </si>
  <si>
    <t>sulik</t>
  </si>
  <si>
    <t>sulima</t>
  </si>
  <si>
    <t>s u l i m a</t>
  </si>
  <si>
    <t>s u m</t>
  </si>
  <si>
    <t>silurid</t>
  </si>
  <si>
    <t>silurid_fish</t>
  </si>
  <si>
    <t>European_catfish</t>
  </si>
  <si>
    <t>sheatfish</t>
  </si>
  <si>
    <t>Silurus_glanis</t>
  </si>
  <si>
    <t>som</t>
  </si>
  <si>
    <t>entirety</t>
  </si>
  <si>
    <t>entireness</t>
  </si>
  <si>
    <t>integrality</t>
  </si>
  <si>
    <t>s u m a x</t>
  </si>
  <si>
    <t>sumami</t>
  </si>
  <si>
    <t>s u m a m i</t>
  </si>
  <si>
    <t>sumita</t>
  </si>
  <si>
    <t>s u m i t a</t>
  </si>
  <si>
    <t>sumo_wrestler</t>
  </si>
  <si>
    <t>sunia</t>
  </si>
  <si>
    <t>s u ɲ a</t>
  </si>
  <si>
    <t>suña</t>
  </si>
  <si>
    <t>suniu</t>
  </si>
  <si>
    <t>s u ɲ u</t>
  </si>
  <si>
    <t>suñu</t>
  </si>
  <si>
    <t>suta</t>
  </si>
  <si>
    <t>s u t a</t>
  </si>
  <si>
    <t>suń</t>
  </si>
  <si>
    <t>s u ɲ</t>
  </si>
  <si>
    <t>suñ</t>
  </si>
  <si>
    <t>sól</t>
  </si>
  <si>
    <t>tacha</t>
  </si>
  <si>
    <t>tacham</t>
  </si>
  <si>
    <t>t a x a m</t>
  </si>
  <si>
    <t>takam</t>
  </si>
  <si>
    <t>taj</t>
  </si>
  <si>
    <t>tajali</t>
  </si>
  <si>
    <t>t a j a l i</t>
  </si>
  <si>
    <t>tayali</t>
  </si>
  <si>
    <t>t a k i</t>
  </si>
  <si>
    <t>takich</t>
  </si>
  <si>
    <t>t a k i x</t>
  </si>
  <si>
    <t>takik</t>
  </si>
  <si>
    <t>takim</t>
  </si>
  <si>
    <t>t a k i m</t>
  </si>
  <si>
    <t>takimi</t>
  </si>
  <si>
    <t>t a k i m i</t>
  </si>
  <si>
    <t>thallium</t>
  </si>
  <si>
    <t>Tl</t>
  </si>
  <si>
    <t>atomic_number_81</t>
  </si>
  <si>
    <t>talib</t>
  </si>
  <si>
    <t>t a l i p</t>
  </si>
  <si>
    <t>talip</t>
  </si>
  <si>
    <t>t a m</t>
  </si>
  <si>
    <t>dike</t>
  </si>
  <si>
    <t>dyke</t>
  </si>
  <si>
    <t>obstacle</t>
  </si>
  <si>
    <t>obstruction</t>
  </si>
  <si>
    <t>t a ɲ i</t>
  </si>
  <si>
    <t>tañi</t>
  </si>
  <si>
    <t>inexpensive</t>
  </si>
  <si>
    <t>tania</t>
  </si>
  <si>
    <t>tanich</t>
  </si>
  <si>
    <t>t a ɲ i x</t>
  </si>
  <si>
    <t>tañik</t>
  </si>
  <si>
    <t>tanim</t>
  </si>
  <si>
    <t>t a ɲ i m</t>
  </si>
  <si>
    <t>tañim</t>
  </si>
  <si>
    <t>tanimi</t>
  </si>
  <si>
    <t>t a ɲ i m i</t>
  </si>
  <si>
    <t>tañimi</t>
  </si>
  <si>
    <t>tanina</t>
  </si>
  <si>
    <t>t a ɲ i n a</t>
  </si>
  <si>
    <t>tañina</t>
  </si>
  <si>
    <t>tasak</t>
  </si>
  <si>
    <t>t a s a k</t>
  </si>
  <si>
    <t>cleaver</t>
  </si>
  <si>
    <t>meat_cleaver</t>
  </si>
  <si>
    <t>chopper</t>
  </si>
  <si>
    <t>falchion</t>
  </si>
  <si>
    <t>pater</t>
  </si>
  <si>
    <t>tatach</t>
  </si>
  <si>
    <t>t a t a x</t>
  </si>
  <si>
    <t>tatak</t>
  </si>
  <si>
    <t>tataj</t>
  </si>
  <si>
    <t>t a t a j</t>
  </si>
  <si>
    <t>tatay</t>
  </si>
  <si>
    <t>tatuch</t>
  </si>
  <si>
    <t>t a t u x</t>
  </si>
  <si>
    <t>tatuk</t>
  </si>
  <si>
    <t>twitching</t>
  </si>
  <si>
    <t>vellication</t>
  </si>
  <si>
    <t>tilaka</t>
  </si>
  <si>
    <t>t i l a k a</t>
  </si>
  <si>
    <t>tuchaj</t>
  </si>
  <si>
    <t>t u x a j</t>
  </si>
  <si>
    <t>tukay</t>
  </si>
  <si>
    <t>tuja</t>
  </si>
  <si>
    <t>t u j a</t>
  </si>
  <si>
    <t>tuya</t>
  </si>
  <si>
    <t>Thuja</t>
  </si>
  <si>
    <t>genus_Thuja</t>
  </si>
  <si>
    <t>tukach</t>
  </si>
  <si>
    <t>t u k a x</t>
  </si>
  <si>
    <t>tukak</t>
  </si>
  <si>
    <t>tukami</t>
  </si>
  <si>
    <t>t u k a m i</t>
  </si>
  <si>
    <t>tuku</t>
  </si>
  <si>
    <t>t u k u</t>
  </si>
  <si>
    <t>tulipan</t>
  </si>
  <si>
    <t>t u l i p a n</t>
  </si>
  <si>
    <t>Tulipa</t>
  </si>
  <si>
    <t>genus_Tulipa</t>
  </si>
  <si>
    <t>tulu</t>
  </si>
  <si>
    <t>t u l u</t>
  </si>
  <si>
    <t>tuman</t>
  </si>
  <si>
    <t>t u m a n</t>
  </si>
  <si>
    <t>t u ɲ i k a</t>
  </si>
  <si>
    <t>tuñika</t>
  </si>
  <si>
    <t>t u ɲ i s</t>
  </si>
  <si>
    <t>tuñis</t>
  </si>
  <si>
    <t>Tunis</t>
  </si>
  <si>
    <t>capital_of_Tunisia</t>
  </si>
  <si>
    <t>tupaj</t>
  </si>
  <si>
    <t>t u p a j</t>
  </si>
  <si>
    <t>tupay</t>
  </si>
  <si>
    <t>tupali</t>
  </si>
  <si>
    <t>t u p a l i</t>
  </si>
  <si>
    <t>tutaj</t>
  </si>
  <si>
    <t>t u t a j</t>
  </si>
  <si>
    <t>tutay</t>
  </si>
  <si>
    <t>tuz</t>
  </si>
  <si>
    <t>important_person</t>
  </si>
  <si>
    <t>influential_person</t>
  </si>
  <si>
    <t>personage</t>
  </si>
  <si>
    <t>tóg</t>
  </si>
  <si>
    <t>uch</t>
  </si>
  <si>
    <t>u x</t>
  </si>
  <si>
    <t>ucha</t>
  </si>
  <si>
    <t>u x a</t>
  </si>
  <si>
    <t>uchach</t>
  </si>
  <si>
    <t>u x a x</t>
  </si>
  <si>
    <t>ukak</t>
  </si>
  <si>
    <t>uchami</t>
  </si>
  <si>
    <t>u x a m i</t>
  </si>
  <si>
    <t>ukami</t>
  </si>
  <si>
    <t>uchu</t>
  </si>
  <si>
    <t>u x u</t>
  </si>
  <si>
    <t>uku</t>
  </si>
  <si>
    <t>ukuta</t>
  </si>
  <si>
    <t>u k u t a</t>
  </si>
  <si>
    <t>beehive</t>
  </si>
  <si>
    <t>hive</t>
  </si>
  <si>
    <t>ula</t>
  </si>
  <si>
    <t>u l a</t>
  </si>
  <si>
    <t>ulach</t>
  </si>
  <si>
    <t>u l a x</t>
  </si>
  <si>
    <t>ulak</t>
  </si>
  <si>
    <t>ulami</t>
  </si>
  <si>
    <t>u l a m i</t>
  </si>
  <si>
    <t>ulas</t>
  </si>
  <si>
    <t>u l a s</t>
  </si>
  <si>
    <t>ulu</t>
  </si>
  <si>
    <t>u l u</t>
  </si>
  <si>
    <t>ulula</t>
  </si>
  <si>
    <t>u l u l a</t>
  </si>
  <si>
    <t>ululaj</t>
  </si>
  <si>
    <t>u l u l a j</t>
  </si>
  <si>
    <t>ululay</t>
  </si>
  <si>
    <t>ululam</t>
  </si>
  <si>
    <t>u l u l a m</t>
  </si>
  <si>
    <t>ululana</t>
  </si>
  <si>
    <t>u l u l a n a</t>
  </si>
  <si>
    <t>ululani</t>
  </si>
  <si>
    <t>u l u l a ɲ i</t>
  </si>
  <si>
    <t>ululañi</t>
  </si>
  <si>
    <t>umila</t>
  </si>
  <si>
    <t>u m i l a</t>
  </si>
  <si>
    <t>umilaj</t>
  </si>
  <si>
    <t>u m i l a j</t>
  </si>
  <si>
    <t>umilay</t>
  </si>
  <si>
    <t>umili</t>
  </si>
  <si>
    <t>u m i l i</t>
  </si>
  <si>
    <t>u ɲ i k</t>
  </si>
  <si>
    <t>uñik</t>
  </si>
  <si>
    <t>dodge</t>
  </si>
  <si>
    <t>u ɲ i k a</t>
  </si>
  <si>
    <t>uñika</t>
  </si>
  <si>
    <t>unikaj</t>
  </si>
  <si>
    <t>u ɲ i k a j</t>
  </si>
  <si>
    <t>uñikay</t>
  </si>
  <si>
    <t>unikali</t>
  </si>
  <si>
    <t>u ɲ i k a l i</t>
  </si>
  <si>
    <t>uñikali</t>
  </si>
  <si>
    <t>unikam</t>
  </si>
  <si>
    <t>u ɲ i k a m</t>
  </si>
  <si>
    <t>uñikam</t>
  </si>
  <si>
    <t>upal</t>
  </si>
  <si>
    <t>u p a l</t>
  </si>
  <si>
    <t>upali</t>
  </si>
  <si>
    <t>u p a l i</t>
  </si>
  <si>
    <t>usuń</t>
  </si>
  <si>
    <t>u s u ɲ</t>
  </si>
  <si>
    <t>usuñ</t>
  </si>
  <si>
    <t>utul</t>
  </si>
  <si>
    <t>u t u l</t>
  </si>
  <si>
    <t>utula</t>
  </si>
  <si>
    <t>u t u l a</t>
  </si>
  <si>
    <t>utuli</t>
  </si>
  <si>
    <t>u t u l i</t>
  </si>
  <si>
    <t>uń</t>
  </si>
  <si>
    <t>u ɲ</t>
  </si>
  <si>
    <t>uñ</t>
  </si>
  <si>
    <t>youtube</t>
  </si>
  <si>
    <t>j u t u p</t>
  </si>
  <si>
    <t>yutup</t>
  </si>
  <si>
    <t>ós</t>
  </si>
  <si>
    <t>por_latn_bz_broad.tsv</t>
  </si>
  <si>
    <t>achaque</t>
  </si>
  <si>
    <t>a ʃ a k i</t>
  </si>
  <si>
    <t>ashaki</t>
  </si>
  <si>
    <t>acho</t>
  </si>
  <si>
    <t>a ʃ u</t>
  </si>
  <si>
    <t>ashu</t>
  </si>
  <si>
    <t>alho</t>
  </si>
  <si>
    <t>a ʎ u</t>
  </si>
  <si>
    <t>wild_leek</t>
  </si>
  <si>
    <t>Levant_garlic</t>
  </si>
  <si>
    <t>kurrat</t>
  </si>
  <si>
    <t>Allium_ampeloprasum</t>
  </si>
  <si>
    <t>leek</t>
  </si>
  <si>
    <t>scallion</t>
  </si>
  <si>
    <t>Allium_porrum</t>
  </si>
  <si>
    <t>a l i s i</t>
  </si>
  <si>
    <t>alisi</t>
  </si>
  <si>
    <t>a l i n i</t>
  </si>
  <si>
    <t>alini</t>
  </si>
  <si>
    <t>alá</t>
  </si>
  <si>
    <t>Allah</t>
  </si>
  <si>
    <t>a n i l i n a</t>
  </si>
  <si>
    <t>a n i m i</t>
  </si>
  <si>
    <t>animi</t>
  </si>
  <si>
    <t>apalaches</t>
  </si>
  <si>
    <t>a p a l a ʃ i s</t>
  </si>
  <si>
    <t>apalashis</t>
  </si>
  <si>
    <t>aparato</t>
  </si>
  <si>
    <t>a p a ɾ a t u</t>
  </si>
  <si>
    <t>aparatu</t>
  </si>
  <si>
    <t>apparatus</t>
  </si>
  <si>
    <t>setup</t>
  </si>
  <si>
    <t>purify</t>
  </si>
  <si>
    <t>sublimate</t>
  </si>
  <si>
    <t>make_pure</t>
  </si>
  <si>
    <t>distill</t>
  </si>
  <si>
    <t>apuro</t>
  </si>
  <si>
    <t>a p u ɾ u</t>
  </si>
  <si>
    <t>apuru</t>
  </si>
  <si>
    <t>predicament</t>
  </si>
  <si>
    <t>quandary</t>
  </si>
  <si>
    <t>plight</t>
  </si>
  <si>
    <t>aquino</t>
  </si>
  <si>
    <t>a k i n u</t>
  </si>
  <si>
    <t>akinu</t>
  </si>
  <si>
    <t>aro</t>
  </si>
  <si>
    <t>a ɾ u</t>
  </si>
  <si>
    <t>aru</t>
  </si>
  <si>
    <t>basket</t>
  </si>
  <si>
    <t>basketball_hoop</t>
  </si>
  <si>
    <t>assassinato</t>
  </si>
  <si>
    <t>a s a s i n a t u</t>
  </si>
  <si>
    <t>asasinatu</t>
  </si>
  <si>
    <t>gunman</t>
  </si>
  <si>
    <t>gunslinger</t>
  </si>
  <si>
    <t>hired_gun</t>
  </si>
  <si>
    <t>gun_for_hire</t>
  </si>
  <si>
    <t>triggerman</t>
  </si>
  <si>
    <t>hit_man</t>
  </si>
  <si>
    <t>hitman</t>
  </si>
  <si>
    <t>torpedo</t>
  </si>
  <si>
    <t>asso</t>
  </si>
  <si>
    <t>assur</t>
  </si>
  <si>
    <t>a s u ɾ</t>
  </si>
  <si>
    <t>asur</t>
  </si>
  <si>
    <t>Assur</t>
  </si>
  <si>
    <t>Asur</t>
  </si>
  <si>
    <t>Ashur</t>
  </si>
  <si>
    <t>ato</t>
  </si>
  <si>
    <t>action</t>
  </si>
  <si>
    <t>stage_business</t>
  </si>
  <si>
    <t>byplay</t>
  </si>
  <si>
    <t>deed_of_conveyance</t>
  </si>
  <si>
    <t>aturo</t>
  </si>
  <si>
    <t>a t u ɾ u</t>
  </si>
  <si>
    <t>aturu</t>
  </si>
  <si>
    <t>aço</t>
  </si>
  <si>
    <t>baitar</t>
  </si>
  <si>
    <t>cachaça</t>
  </si>
  <si>
    <t>k a ʃ a s a</t>
  </si>
  <si>
    <t>kashasa</t>
  </si>
  <si>
    <t>brandy</t>
  </si>
  <si>
    <t>k a ʃ i</t>
  </si>
  <si>
    <t>kashi</t>
  </si>
  <si>
    <t>cacho</t>
  </si>
  <si>
    <t>k a ʃ u</t>
  </si>
  <si>
    <t>kashu</t>
  </si>
  <si>
    <t>raceme</t>
  </si>
  <si>
    <t>kink</t>
  </si>
  <si>
    <t>twirl</t>
  </si>
  <si>
    <t>caco</t>
  </si>
  <si>
    <t>k a k u</t>
  </si>
  <si>
    <t>kaku</t>
  </si>
  <si>
    <t>shard</t>
  </si>
  <si>
    <t>sherd</t>
  </si>
  <si>
    <t>fragment</t>
  </si>
  <si>
    <t>caio</t>
  </si>
  <si>
    <t>Caligula</t>
  </si>
  <si>
    <t>Gaius</t>
  </si>
  <si>
    <t>Gaius_Caesar</t>
  </si>
  <si>
    <t>k a n a k i</t>
  </si>
  <si>
    <t>kanaki</t>
  </si>
  <si>
    <t>capachinho</t>
  </si>
  <si>
    <t>k a p a ʃ i ɲ u</t>
  </si>
  <si>
    <t>kapashiñu</t>
  </si>
  <si>
    <t>capuz</t>
  </si>
  <si>
    <t>k a p u s</t>
  </si>
  <si>
    <t>kapus</t>
  </si>
  <si>
    <t>k a ɾ u</t>
  </si>
  <si>
    <t>cará</t>
  </si>
  <si>
    <t>cassino</t>
  </si>
  <si>
    <t>k a s i n u</t>
  </si>
  <si>
    <t>kasinu</t>
  </si>
  <si>
    <t>casino</t>
  </si>
  <si>
    <t>gambling_casino</t>
  </si>
  <si>
    <t>cato</t>
  </si>
  <si>
    <t>chacina</t>
  </si>
  <si>
    <t>ʃ a s i n a</t>
  </si>
  <si>
    <t>shasina</t>
  </si>
  <si>
    <t>chato</t>
  </si>
  <si>
    <t>boring</t>
  </si>
  <si>
    <t>deadening</t>
  </si>
  <si>
    <t>ho-hum</t>
  </si>
  <si>
    <t>irksome</t>
  </si>
  <si>
    <t>tedious</t>
  </si>
  <si>
    <t>tiresome</t>
  </si>
  <si>
    <t>wearisome</t>
  </si>
  <si>
    <t>pain_in_the_neck</t>
  </si>
  <si>
    <t>nuisance</t>
  </si>
  <si>
    <t>chicho</t>
  </si>
  <si>
    <t>ʃ i ʃ u</t>
  </si>
  <si>
    <t>shishu</t>
  </si>
  <si>
    <t>chico</t>
  </si>
  <si>
    <t>ʃ i k u</t>
  </si>
  <si>
    <t>shiku</t>
  </si>
  <si>
    <t>chuca</t>
  </si>
  <si>
    <t>ʃ u k a</t>
  </si>
  <si>
    <t>chulo</t>
  </si>
  <si>
    <t>ʃ u l u</t>
  </si>
  <si>
    <t>shulu</t>
  </si>
  <si>
    <t>pimp</t>
  </si>
  <si>
    <t>procurer</t>
  </si>
  <si>
    <t>panderer</t>
  </si>
  <si>
    <t>pander</t>
  </si>
  <si>
    <t>pandar</t>
  </si>
  <si>
    <t>fancy_man</t>
  </si>
  <si>
    <t>ponce</t>
  </si>
  <si>
    <t>chumaço</t>
  </si>
  <si>
    <t>ʃ u m a s u</t>
  </si>
  <si>
    <t>shumasu</t>
  </si>
  <si>
    <t>sanitary_napkin</t>
  </si>
  <si>
    <t>sanitary_towel</t>
  </si>
  <si>
    <t>Kotex</t>
  </si>
  <si>
    <t>chuto</t>
  </si>
  <si>
    <t>ʃ u t u</t>
  </si>
  <si>
    <t>shutu</t>
  </si>
  <si>
    <t>chuço</t>
  </si>
  <si>
    <t>ʃ u s u</t>
  </si>
  <si>
    <t>shusu</t>
  </si>
  <si>
    <t>chá</t>
  </si>
  <si>
    <t>cuppa</t>
  </si>
  <si>
    <t>cupper</t>
  </si>
  <si>
    <t>herb_tea</t>
  </si>
  <si>
    <t>herbal_tea</t>
  </si>
  <si>
    <t>herbal</t>
  </si>
  <si>
    <t>tisane</t>
  </si>
  <si>
    <t>cirilo</t>
  </si>
  <si>
    <t>s i ɾ i l u</t>
  </si>
  <si>
    <t>sirilu</t>
  </si>
  <si>
    <t>cochicho</t>
  </si>
  <si>
    <t>k u ʃ i ʃ u</t>
  </si>
  <si>
    <t>kushishu</t>
  </si>
  <si>
    <t>susurration</t>
  </si>
  <si>
    <t>voicelessness</t>
  </si>
  <si>
    <t>curo</t>
  </si>
  <si>
    <t>k u ɾ u</t>
  </si>
  <si>
    <t>kuru</t>
  </si>
  <si>
    <t>cá</t>
  </si>
  <si>
    <t>cáqui</t>
  </si>
  <si>
    <t>cárie</t>
  </si>
  <si>
    <t>k a ɾ i</t>
  </si>
  <si>
    <t>kari</t>
  </si>
  <si>
    <t>cavity</t>
  </si>
  <si>
    <t>caries</t>
  </si>
  <si>
    <t>dental_caries</t>
  </si>
  <si>
    <t>tooth_decay</t>
  </si>
  <si>
    <t>hino</t>
  </si>
  <si>
    <t>i n u</t>
  </si>
  <si>
    <t>humo</t>
  </si>
  <si>
    <t>u m u</t>
  </si>
  <si>
    <t>umu</t>
  </si>
  <si>
    <t>húmus</t>
  </si>
  <si>
    <t>u m u ʃ</t>
  </si>
  <si>
    <t>umush</t>
  </si>
  <si>
    <t>irá</t>
  </si>
  <si>
    <t>isso</t>
  </si>
  <si>
    <t>i s u</t>
  </si>
  <si>
    <t>iço</t>
  </si>
  <si>
    <t>limpet</t>
  </si>
  <si>
    <t>lax</t>
  </si>
  <si>
    <t>lato</t>
  </si>
  <si>
    <t>laço</t>
  </si>
  <si>
    <t>bow_tie</t>
  </si>
  <si>
    <t>bow-tie</t>
  </si>
  <si>
    <t>bowtie</t>
  </si>
  <si>
    <t>cockade</t>
  </si>
  <si>
    <t>noose</t>
  </si>
  <si>
    <t>running_noose</t>
  </si>
  <si>
    <t>slip_noose</t>
  </si>
  <si>
    <t>lhes</t>
  </si>
  <si>
    <t>linho</t>
  </si>
  <si>
    <t>l i ɲ u</t>
  </si>
  <si>
    <t>liñu</t>
  </si>
  <si>
    <t>lixo</t>
  </si>
  <si>
    <t>l i ʃ u</t>
  </si>
  <si>
    <t>lishu</t>
  </si>
  <si>
    <t>garbage</t>
  </si>
  <si>
    <t>refuse</t>
  </si>
  <si>
    <t>food_waste</t>
  </si>
  <si>
    <t>scraps</t>
  </si>
  <si>
    <t>los</t>
  </si>
  <si>
    <t>reddish_brown</t>
  </si>
  <si>
    <t>sepia</t>
  </si>
  <si>
    <t>burnt_sienna</t>
  </si>
  <si>
    <t>Venetian_red</t>
  </si>
  <si>
    <t>mahogany</t>
  </si>
  <si>
    <t>luto</t>
  </si>
  <si>
    <t>lamentation</t>
  </si>
  <si>
    <t>mourning</t>
  </si>
  <si>
    <t>solder</t>
  </si>
  <si>
    <t>luxo</t>
  </si>
  <si>
    <t>l u ʃ u</t>
  </si>
  <si>
    <t>lushu</t>
  </si>
  <si>
    <t>luxury</t>
  </si>
  <si>
    <t>lavishness</t>
  </si>
  <si>
    <t>sumptuosity</t>
  </si>
  <si>
    <t>sumptuousness</t>
  </si>
  <si>
    <t>luxuriousness</t>
  </si>
  <si>
    <t>opulence</t>
  </si>
  <si>
    <t>lá</t>
  </si>
  <si>
    <t>lápis</t>
  </si>
  <si>
    <t>lead_pencil</t>
  </si>
  <si>
    <t>lírico</t>
  </si>
  <si>
    <t>l i ɾ i k u</t>
  </si>
  <si>
    <t>liriku</t>
  </si>
  <si>
    <t>lyric</t>
  </si>
  <si>
    <t>lyrical</t>
  </si>
  <si>
    <t>lúpulo</t>
  </si>
  <si>
    <t>l u p u l u</t>
  </si>
  <si>
    <t>lupulu</t>
  </si>
  <si>
    <t>macho</t>
  </si>
  <si>
    <t>feller</t>
  </si>
  <si>
    <t>fella</t>
  </si>
  <si>
    <t>lad</t>
  </si>
  <si>
    <t>gent</t>
  </si>
  <si>
    <t>blighter</t>
  </si>
  <si>
    <t>cuss</t>
  </si>
  <si>
    <t>bloke</t>
  </si>
  <si>
    <t>stud</t>
  </si>
  <si>
    <t>he-man</t>
  </si>
  <si>
    <t>macho-man</t>
  </si>
  <si>
    <t>maio</t>
  </si>
  <si>
    <t>malho</t>
  </si>
  <si>
    <t>m a ʎ u</t>
  </si>
  <si>
    <t>mallu</t>
  </si>
  <si>
    <t>beetle</t>
  </si>
  <si>
    <t>marinho</t>
  </si>
  <si>
    <t>m a ɾ i ɲ u</t>
  </si>
  <si>
    <t>matamatá</t>
  </si>
  <si>
    <t>m a t a m a t a</t>
  </si>
  <si>
    <t>matamata</t>
  </si>
  <si>
    <t>mato</t>
  </si>
  <si>
    <t>maço</t>
  </si>
  <si>
    <t>m a s u</t>
  </si>
  <si>
    <t>menino</t>
  </si>
  <si>
    <t>m i n i n u</t>
  </si>
  <si>
    <t>mininu</t>
  </si>
  <si>
    <t>infant</t>
  </si>
  <si>
    <t>laddie</t>
  </si>
  <si>
    <t>sonny</t>
  </si>
  <si>
    <t>sonny_boy</t>
  </si>
  <si>
    <t>male_offspring</t>
  </si>
  <si>
    <t>man-child</t>
  </si>
  <si>
    <t>son</t>
  </si>
  <si>
    <t>micho</t>
  </si>
  <si>
    <t>mikiko</t>
  </si>
  <si>
    <t>m i k i k u</t>
  </si>
  <si>
    <t>mikiku</t>
  </si>
  <si>
    <t>milhares</t>
  </si>
  <si>
    <t>m i ʎ a ɾ i s</t>
  </si>
  <si>
    <t>millaris</t>
  </si>
  <si>
    <t>milho</t>
  </si>
  <si>
    <t>m i ʎ u</t>
  </si>
  <si>
    <t>edible_corn</t>
  </si>
  <si>
    <t>mimimi</t>
  </si>
  <si>
    <t>m i m i m i</t>
  </si>
  <si>
    <t>mimo</t>
  </si>
  <si>
    <t>m i m u</t>
  </si>
  <si>
    <t>mimu</t>
  </si>
  <si>
    <t>minako</t>
  </si>
  <si>
    <t>m i n a k u</t>
  </si>
  <si>
    <t>minaku</t>
  </si>
  <si>
    <t>minuto</t>
  </si>
  <si>
    <t>m i n u t u</t>
  </si>
  <si>
    <t>minutu</t>
  </si>
  <si>
    <t>miráculo</t>
  </si>
  <si>
    <t>m i ɾ a k u l u</t>
  </si>
  <si>
    <t>mirakulu</t>
  </si>
  <si>
    <t>mito</t>
  </si>
  <si>
    <t>mixuruca</t>
  </si>
  <si>
    <t>m i ʃ u ɾ u k a</t>
  </si>
  <si>
    <t>mishuruka</t>
  </si>
  <si>
    <t>mui</t>
  </si>
  <si>
    <t>a_lot</t>
  </si>
  <si>
    <t>a_good_deal</t>
  </si>
  <si>
    <t>a_great_deal</t>
  </si>
  <si>
    <t>very_much</t>
  </si>
  <si>
    <t>mulato</t>
  </si>
  <si>
    <t>m u l a t u</t>
  </si>
  <si>
    <t>mulatu</t>
  </si>
  <si>
    <t>mulatto</t>
  </si>
  <si>
    <t>munir</t>
  </si>
  <si>
    <t>m u n i ɾ</t>
  </si>
  <si>
    <t>muro</t>
  </si>
  <si>
    <t>m u ɾ u</t>
  </si>
  <si>
    <t>muru</t>
  </si>
  <si>
    <t>má</t>
  </si>
  <si>
    <t>máquina</t>
  </si>
  <si>
    <t>auto</t>
  </si>
  <si>
    <t>automobile</t>
  </si>
  <si>
    <t>motorcar</t>
  </si>
  <si>
    <t>engine</t>
  </si>
  <si>
    <t>locomotive</t>
  </si>
  <si>
    <t>locomotive_engine</t>
  </si>
  <si>
    <t>railway_locomotive</t>
  </si>
  <si>
    <t>mechanism</t>
  </si>
  <si>
    <t>máximo</t>
  </si>
  <si>
    <t>m a s i m u</t>
  </si>
  <si>
    <t>masimu</t>
  </si>
  <si>
    <t>utmost</t>
  </si>
  <si>
    <t>uttermost</t>
  </si>
  <si>
    <t>maximum</t>
  </si>
  <si>
    <t>level_best</t>
  </si>
  <si>
    <t>extremum</t>
  </si>
  <si>
    <t>upper_limit</t>
  </si>
  <si>
    <t>naco</t>
  </si>
  <si>
    <t>n a k u</t>
  </si>
  <si>
    <t>naquilo</t>
  </si>
  <si>
    <t>n a k i l u</t>
  </si>
  <si>
    <t>nakilu</t>
  </si>
  <si>
    <t>narina</t>
  </si>
  <si>
    <t>n a ɾ i n a</t>
  </si>
  <si>
    <t>nostril</t>
  </si>
  <si>
    <t>anterior_naris</t>
  </si>
  <si>
    <t>nascituro</t>
  </si>
  <si>
    <t>n a s i t u ɾ u</t>
  </si>
  <si>
    <t>nasituru</t>
  </si>
  <si>
    <t>unborn</t>
  </si>
  <si>
    <t>nasço</t>
  </si>
  <si>
    <t>n a s u</t>
  </si>
  <si>
    <t>natalino</t>
  </si>
  <si>
    <t>n a t a l i n u</t>
  </si>
  <si>
    <t>natalinu</t>
  </si>
  <si>
    <t>nicho</t>
  </si>
  <si>
    <t>n i ʃ u</t>
  </si>
  <si>
    <t>nishu</t>
  </si>
  <si>
    <t>alcove</t>
  </si>
  <si>
    <t>nilo</t>
  </si>
  <si>
    <t>n i l u</t>
  </si>
  <si>
    <t>nilu</t>
  </si>
  <si>
    <t>ninho</t>
  </si>
  <si>
    <t>n i ɲ u</t>
  </si>
  <si>
    <t>niñu</t>
  </si>
  <si>
    <t>nisso</t>
  </si>
  <si>
    <t>abroad</t>
  </si>
  <si>
    <t>in_the_nick_of_time</t>
  </si>
  <si>
    <t>just_in_time</t>
  </si>
  <si>
    <t>United_Nations</t>
  </si>
  <si>
    <t>UN</t>
  </si>
  <si>
    <t>foundress</t>
  </si>
  <si>
    <t>palato</t>
  </si>
  <si>
    <t>p a l a t u</t>
  </si>
  <si>
    <t>palatu</t>
  </si>
  <si>
    <t>palate</t>
  </si>
  <si>
    <t>roof_of_the_mouth</t>
  </si>
  <si>
    <t>palito</t>
  </si>
  <si>
    <t>p a l i t u</t>
  </si>
  <si>
    <t>palitu</t>
  </si>
  <si>
    <t>toothpick</t>
  </si>
  <si>
    <t>papai</t>
  </si>
  <si>
    <t>paparicho</t>
  </si>
  <si>
    <t>p a p a ɾ i ʃ u</t>
  </si>
  <si>
    <t>paparishu</t>
  </si>
  <si>
    <t>papo</t>
  </si>
  <si>
    <t>pare</t>
  </si>
  <si>
    <t>p a ɾ i</t>
  </si>
  <si>
    <t>pari</t>
  </si>
  <si>
    <t>p a t u</t>
  </si>
  <si>
    <t>drake</t>
  </si>
  <si>
    <t>paço</t>
  </si>
  <si>
    <t>pelo</t>
  </si>
  <si>
    <t>p i l u</t>
  </si>
  <si>
    <t>pilu</t>
  </si>
  <si>
    <t>p i n i k u</t>
  </si>
  <si>
    <t>chamberpot</t>
  </si>
  <si>
    <t>thunder_mug</t>
  </si>
  <si>
    <t>urinal</t>
  </si>
  <si>
    <t>peru</t>
  </si>
  <si>
    <t>p i ɾ u</t>
  </si>
  <si>
    <t>piru</t>
  </si>
  <si>
    <t>turkey</t>
  </si>
  <si>
    <t>Meleagris_gallopavo</t>
  </si>
  <si>
    <t>Peru</t>
  </si>
  <si>
    <t>Republic_of_Peru</t>
  </si>
  <si>
    <t>piche</t>
  </si>
  <si>
    <t>picho</t>
  </si>
  <si>
    <t>p i ʃ u</t>
  </si>
  <si>
    <t>pilo</t>
  </si>
  <si>
    <t>pires</t>
  </si>
  <si>
    <t>p i ɾ i s</t>
  </si>
  <si>
    <t>piris</t>
  </si>
  <si>
    <t>piriri</t>
  </si>
  <si>
    <t>p i ɾ i ɾ i</t>
  </si>
  <si>
    <t>pirulito</t>
  </si>
  <si>
    <t>p i ɾ u l i t u</t>
  </si>
  <si>
    <t>pirulitu</t>
  </si>
  <si>
    <t>pitaco</t>
  </si>
  <si>
    <t>p i t a k u</t>
  </si>
  <si>
    <t>pitaku</t>
  </si>
  <si>
    <t>pito</t>
  </si>
  <si>
    <t>psíquico</t>
  </si>
  <si>
    <t>p i s i k i k u</t>
  </si>
  <si>
    <t>pisikiku</t>
  </si>
  <si>
    <t>psychic</t>
  </si>
  <si>
    <t>psychical</t>
  </si>
  <si>
    <t>puro</t>
  </si>
  <si>
    <t>p u ɾ u</t>
  </si>
  <si>
    <t>puru</t>
  </si>
  <si>
    <t>saturated</t>
  </si>
  <si>
    <t>unmingled</t>
  </si>
  <si>
    <t>unmixed</t>
  </si>
  <si>
    <t>puto</t>
  </si>
  <si>
    <t>bally</t>
  </si>
  <si>
    <t>blinking</t>
  </si>
  <si>
    <t>bloody</t>
  </si>
  <si>
    <t>blooming</t>
  </si>
  <si>
    <t>crashing</t>
  </si>
  <si>
    <t>objectionable</t>
  </si>
  <si>
    <t>obnoxious</t>
  </si>
  <si>
    <t>pá</t>
  </si>
  <si>
    <t>hand_shovel</t>
  </si>
  <si>
    <t>oar</t>
  </si>
  <si>
    <t>boat_paddle</t>
  </si>
  <si>
    <t>páli</t>
  </si>
  <si>
    <t>Pali</t>
  </si>
  <si>
    <t>púcaro</t>
  </si>
  <si>
    <t>p u k a ɾ u</t>
  </si>
  <si>
    <t>pukaru</t>
  </si>
  <si>
    <t>quipá</t>
  </si>
  <si>
    <t>quiçá</t>
  </si>
  <si>
    <t>possibly</t>
  </si>
  <si>
    <t>perchance</t>
  </si>
  <si>
    <t>perhaps</t>
  </si>
  <si>
    <t>maybe</t>
  </si>
  <si>
    <t>mayhap</t>
  </si>
  <si>
    <t>peradventure</t>
  </si>
  <si>
    <t>químico</t>
  </si>
  <si>
    <t>k i m i k u</t>
  </si>
  <si>
    <t>kimiku</t>
  </si>
  <si>
    <t>sacho</t>
  </si>
  <si>
    <t>s a ʃ u</t>
  </si>
  <si>
    <t>sashu</t>
  </si>
  <si>
    <t>saco</t>
  </si>
  <si>
    <t>sai</t>
  </si>
  <si>
    <t>s a j u</t>
  </si>
  <si>
    <t>samo</t>
  </si>
  <si>
    <t>s a m u</t>
  </si>
  <si>
    <t>samurai</t>
  </si>
  <si>
    <t>s a m u ɾ a j</t>
  </si>
  <si>
    <t>samuray</t>
  </si>
  <si>
    <t>sapata</t>
  </si>
  <si>
    <t>s a p a t a</t>
  </si>
  <si>
    <t>brake_shoe</t>
  </si>
  <si>
    <t>shoe</t>
  </si>
  <si>
    <t>skid</t>
  </si>
  <si>
    <t>sapato</t>
  </si>
  <si>
    <t>s a p a t u</t>
  </si>
  <si>
    <t>sapatu</t>
  </si>
  <si>
    <t>footwear</t>
  </si>
  <si>
    <t>sapo</t>
  </si>
  <si>
    <t>s a p u</t>
  </si>
  <si>
    <t>sapu</t>
  </si>
  <si>
    <t>frog</t>
  </si>
  <si>
    <t>toad</t>
  </si>
  <si>
    <t>toad_frog</t>
  </si>
  <si>
    <t>anuran</t>
  </si>
  <si>
    <t>batrachian</t>
  </si>
  <si>
    <t>salientian</t>
  </si>
  <si>
    <t>Bufonidae</t>
  </si>
  <si>
    <t>family_Bufonidae</t>
  </si>
  <si>
    <t>true_toad</t>
  </si>
  <si>
    <t>sarilho</t>
  </si>
  <si>
    <t>s a ɾ i ʎ u</t>
  </si>
  <si>
    <t>sarillu</t>
  </si>
  <si>
    <t>ʃ i t a k i</t>
  </si>
  <si>
    <t>sipaio</t>
  </si>
  <si>
    <t>s i p a j u</t>
  </si>
  <si>
    <t>sipayu</t>
  </si>
  <si>
    <t>siririca</t>
  </si>
  <si>
    <t>s i ɾ i ɾ i k a</t>
  </si>
  <si>
    <t>siririka</t>
  </si>
  <si>
    <t>suco</t>
  </si>
  <si>
    <t>sumiko</t>
  </si>
  <si>
    <t>s u m i k u</t>
  </si>
  <si>
    <t>sumiku</t>
  </si>
  <si>
    <t>sumiço</t>
  </si>
  <si>
    <t>s u m i s u</t>
  </si>
  <si>
    <t>sumisu</t>
  </si>
  <si>
    <t>suricato</t>
  </si>
  <si>
    <t>s u ɾ i k a t u</t>
  </si>
  <si>
    <t>surikatu</t>
  </si>
  <si>
    <t>tacho</t>
  </si>
  <si>
    <t>t a ʃ u</t>
  </si>
  <si>
    <t>tashu</t>
  </si>
  <si>
    <t>cooker</t>
  </si>
  <si>
    <t>cue</t>
  </si>
  <si>
    <t>cue_stick</t>
  </si>
  <si>
    <t>pool_cue</t>
  </si>
  <si>
    <t>pool_stick</t>
  </si>
  <si>
    <t>tahine</t>
  </si>
  <si>
    <t>t a h i n i</t>
  </si>
  <si>
    <t>tahini</t>
  </si>
  <si>
    <t>talhe</t>
  </si>
  <si>
    <t>t a ʎ i</t>
  </si>
  <si>
    <t>talli</t>
  </si>
  <si>
    <t>talho</t>
  </si>
  <si>
    <t>t a ʎ u</t>
  </si>
  <si>
    <t>tallu</t>
  </si>
  <si>
    <t>butcher_shop</t>
  </si>
  <si>
    <t>meat_market</t>
  </si>
  <si>
    <t>talo</t>
  </si>
  <si>
    <t>t a l u</t>
  </si>
  <si>
    <t>talu</t>
  </si>
  <si>
    <t>thallus</t>
  </si>
  <si>
    <t>tato</t>
  </si>
  <si>
    <t>tact</t>
  </si>
  <si>
    <t>tactfulness</t>
  </si>
  <si>
    <t>taxo</t>
  </si>
  <si>
    <t>t ɪ</t>
  </si>
  <si>
    <t>tucuxi</t>
  </si>
  <si>
    <t>t u k u ʃ i</t>
  </si>
  <si>
    <t>tukushi</t>
  </si>
  <si>
    <t>tui</t>
  </si>
  <si>
    <t>tuiuiú</t>
  </si>
  <si>
    <t>t u j u j u</t>
  </si>
  <si>
    <t>tuyuyu</t>
  </si>
  <si>
    <t>jabiru</t>
  </si>
  <si>
    <t>Jabiru_mycteria</t>
  </si>
  <si>
    <t>turu</t>
  </si>
  <si>
    <t>t u ɾ u</t>
  </si>
  <si>
    <t>tá</t>
  </si>
  <si>
    <t>tácito</t>
  </si>
  <si>
    <t>t a s i t u</t>
  </si>
  <si>
    <t>tasitu</t>
  </si>
  <si>
    <t>tacit</t>
  </si>
  <si>
    <t>understood</t>
  </si>
  <si>
    <t>tálus</t>
  </si>
  <si>
    <t>t a l u s</t>
  </si>
  <si>
    <t>talus</t>
  </si>
  <si>
    <t>anklebone</t>
  </si>
  <si>
    <t>astragal</t>
  </si>
  <si>
    <t>astragalus</t>
  </si>
  <si>
    <t>túmulo</t>
  </si>
  <si>
    <t>t u m u l u</t>
  </si>
  <si>
    <t>tumulu</t>
  </si>
  <si>
    <t>burial_chamber</t>
  </si>
  <si>
    <t>sepulcher</t>
  </si>
  <si>
    <t>sepulchre</t>
  </si>
  <si>
    <t>sepulture</t>
  </si>
  <si>
    <t>unhar</t>
  </si>
  <si>
    <t>u ɲ a ɾ</t>
  </si>
  <si>
    <t>uñar</t>
  </si>
  <si>
    <t>uro</t>
  </si>
  <si>
    <t>u ɾ u</t>
  </si>
  <si>
    <t>uru</t>
  </si>
  <si>
    <t>usso</t>
  </si>
  <si>
    <t>Utah</t>
  </si>
  <si>
    <t>Beehive_State</t>
  </si>
  <si>
    <t>Mormon_State</t>
  </si>
  <si>
    <t>UT</t>
  </si>
  <si>
    <t>xá</t>
  </si>
  <si>
    <t>xícara</t>
  </si>
  <si>
    <t>ʃ i k a ɾ a</t>
  </si>
  <si>
    <t>shikara</t>
  </si>
  <si>
    <t>yukiko</t>
  </si>
  <si>
    <t>j u k i k u</t>
  </si>
  <si>
    <t>yukiku</t>
  </si>
  <si>
    <t>yuko</t>
  </si>
  <si>
    <t>j u k u</t>
  </si>
  <si>
    <t>yuku</t>
  </si>
  <si>
    <t>yuri</t>
  </si>
  <si>
    <t>j u ɾ i</t>
  </si>
  <si>
    <t>yuriko</t>
  </si>
  <si>
    <t>j u ɾ i k u</t>
  </si>
  <si>
    <t>yuriku</t>
  </si>
  <si>
    <t>àquilo</t>
  </si>
  <si>
    <t>a k i l u</t>
  </si>
  <si>
    <t>akilu</t>
  </si>
  <si>
    <t>álamo</t>
  </si>
  <si>
    <t>a l a m u</t>
  </si>
  <si>
    <t>alamu</t>
  </si>
  <si>
    <t>poplar</t>
  </si>
  <si>
    <t>único</t>
  </si>
  <si>
    <t>u n i k u</t>
  </si>
  <si>
    <t>uniku</t>
  </si>
  <si>
    <t>far-out</t>
  </si>
  <si>
    <t>offbeat</t>
  </si>
  <si>
    <t>quirky</t>
  </si>
  <si>
    <t>way-out</t>
  </si>
  <si>
    <t>curious</t>
  </si>
  <si>
    <t>rum</t>
  </si>
  <si>
    <t>por_latn_bz_broad_filtered.tsv</t>
  </si>
  <si>
    <t>por_latn_bz_narrow.tsv</t>
  </si>
  <si>
    <t>ata</t>
  </si>
  <si>
    <t>a t a</t>
  </si>
  <si>
    <t>minutes</t>
  </si>
  <si>
    <t>proceedings</t>
  </si>
  <si>
    <t>transactions</t>
  </si>
  <si>
    <t>atalho</t>
  </si>
  <si>
    <t>a t a ʎ ʊ</t>
  </si>
  <si>
    <t>atallu</t>
  </si>
  <si>
    <t>shortcut</t>
  </si>
  <si>
    <t>cutoff</t>
  </si>
  <si>
    <t>crosscut</t>
  </si>
  <si>
    <t>murcho</t>
  </si>
  <si>
    <t>m u ʃ u</t>
  </si>
  <si>
    <t>mushu</t>
  </si>
  <si>
    <t>por</t>
  </si>
  <si>
    <t>lay_down</t>
  </si>
  <si>
    <t>por_latn_po_broad.tsv</t>
  </si>
  <si>
    <t>acúmulo</t>
  </si>
  <si>
    <t>a k u m u l u</t>
  </si>
  <si>
    <t>akumulu</t>
  </si>
  <si>
    <t>accrual</t>
  </si>
  <si>
    <t>accruement</t>
  </si>
  <si>
    <t>buildup</t>
  </si>
  <si>
    <t>reserve</t>
  </si>
  <si>
    <t>stockpile</t>
  </si>
  <si>
    <t>chocalho</t>
  </si>
  <si>
    <t>ʃ u k a ʎ u</t>
  </si>
  <si>
    <t>shukallu</t>
  </si>
  <si>
    <t>rattle</t>
  </si>
  <si>
    <t>shaker</t>
  </si>
  <si>
    <t>chocar</t>
  </si>
  <si>
    <t>ʃ u k a ɾ</t>
  </si>
  <si>
    <t>shukar</t>
  </si>
  <si>
    <t>chorar</t>
  </si>
  <si>
    <t>weep</t>
  </si>
  <si>
    <t>chupar</t>
  </si>
  <si>
    <t>ʃ u p a ɾ</t>
  </si>
  <si>
    <t>shupar</t>
  </si>
  <si>
    <t>suck</t>
  </si>
  <si>
    <t>suck_in</t>
  </si>
  <si>
    <t>chutar</t>
  </si>
  <si>
    <t>ʃ u t a ɾ</t>
  </si>
  <si>
    <t>shutar</t>
  </si>
  <si>
    <t>k u l a ɾ</t>
  </si>
  <si>
    <t>cling</t>
  </si>
  <si>
    <t>adhere</t>
  </si>
  <si>
    <t>cohere</t>
  </si>
  <si>
    <t>glue</t>
  </si>
  <si>
    <t>affix</t>
  </si>
  <si>
    <t>stick_on</t>
  </si>
  <si>
    <t>chain</t>
  </si>
  <si>
    <t>string</t>
  </si>
  <si>
    <t>strand</t>
  </si>
  <si>
    <t>choker</t>
  </si>
  <si>
    <t>dog_collar</t>
  </si>
  <si>
    <t>neckband</t>
  </si>
  <si>
    <t>colorir</t>
  </si>
  <si>
    <t>k u l u ɾ i ɾ</t>
  </si>
  <si>
    <t>kulurir</t>
  </si>
  <si>
    <t>discolor</t>
  </si>
  <si>
    <t>discolour</t>
  </si>
  <si>
    <t>emblazon</t>
  </si>
  <si>
    <t>k u m u n i k a ɾ</t>
  </si>
  <si>
    <t>kumunikar</t>
  </si>
  <si>
    <t>advise</t>
  </si>
  <si>
    <t>notify</t>
  </si>
  <si>
    <t>send_word</t>
  </si>
  <si>
    <t>apprise</t>
  </si>
  <si>
    <t>apprize</t>
  </si>
  <si>
    <t>coçar</t>
  </si>
  <si>
    <t>k u s a ɾ</t>
  </si>
  <si>
    <t>kusar</t>
  </si>
  <si>
    <t>scrape</t>
  </si>
  <si>
    <t>scratch_up</t>
  </si>
  <si>
    <t>emular</t>
  </si>
  <si>
    <t>i m u l a ɾ</t>
  </si>
  <si>
    <t>imular</t>
  </si>
  <si>
    <t>emulate</t>
  </si>
  <si>
    <t>equipar</t>
  </si>
  <si>
    <t>i k i p a ɾ</t>
  </si>
  <si>
    <t>ikipar</t>
  </si>
  <si>
    <t>equip</t>
  </si>
  <si>
    <t>fit_out</t>
  </si>
  <si>
    <t>iluminar</t>
  </si>
  <si>
    <t>i l u m i n a ɾ</t>
  </si>
  <si>
    <t>illume</t>
  </si>
  <si>
    <t>illumine</t>
  </si>
  <si>
    <t>illuminate</t>
  </si>
  <si>
    <t>iá</t>
  </si>
  <si>
    <t>içar</t>
  </si>
  <si>
    <t>lagos</t>
  </si>
  <si>
    <t>l a ɣ u ʃ</t>
  </si>
  <si>
    <t>lakush</t>
  </si>
  <si>
    <t>Lagos</t>
  </si>
  <si>
    <t>lho</t>
  </si>
  <si>
    <t>ʎ u</t>
  </si>
  <si>
    <t>llu</t>
  </si>
  <si>
    <t>lhos</t>
  </si>
  <si>
    <t>ʎ u ʃ</t>
  </si>
  <si>
    <t>llush</t>
  </si>
  <si>
    <t>ligar</t>
  </si>
  <si>
    <t>l i ɣ a ɾ</t>
  </si>
  <si>
    <t>likar</t>
  </si>
  <si>
    <t>bind</t>
  </si>
  <si>
    <t>bridge_over</t>
  </si>
  <si>
    <t>lotar</t>
  </si>
  <si>
    <t>l u t a ɾ</t>
  </si>
  <si>
    <t>lutar</t>
  </si>
  <si>
    <t>lunático</t>
  </si>
  <si>
    <t>l u n a t i k u</t>
  </si>
  <si>
    <t>lunatiku</t>
  </si>
  <si>
    <t>oppose</t>
  </si>
  <si>
    <t>fight_back</t>
  </si>
  <si>
    <t>fight_down</t>
  </si>
  <si>
    <t>defend</t>
  </si>
  <si>
    <t>battle</t>
  </si>
  <si>
    <t>combat</t>
  </si>
  <si>
    <t>scuffle</t>
  </si>
  <si>
    <t>tussle</t>
  </si>
  <si>
    <t>exert</t>
  </si>
  <si>
    <t>l a p i ʃ</t>
  </si>
  <si>
    <t>lapish</t>
  </si>
  <si>
    <t>armed_forces</t>
  </si>
  <si>
    <t>armed_services</t>
  </si>
  <si>
    <t>military_machine</t>
  </si>
  <si>
    <t>war_machine</t>
  </si>
  <si>
    <t>take_a_look</t>
  </si>
  <si>
    <t>have_a_look</t>
  </si>
  <si>
    <t>get_a_load</t>
  </si>
  <si>
    <t>eyeball</t>
  </si>
  <si>
    <t>watch_over</t>
  </si>
  <si>
    <t>keep_an_eye_on</t>
  </si>
  <si>
    <t>muros</t>
  </si>
  <si>
    <t>m u ɾ u ʃ</t>
  </si>
  <si>
    <t>murush</t>
  </si>
  <si>
    <t>passos</t>
  </si>
  <si>
    <t>p a s u ʃ</t>
  </si>
  <si>
    <t>pasush</t>
  </si>
  <si>
    <t>p u l i ɾ</t>
  </si>
  <si>
    <t>pulir</t>
  </si>
  <si>
    <t>político</t>
  </si>
  <si>
    <t>p u l i t i k u</t>
  </si>
  <si>
    <t>pulitiku</t>
  </si>
  <si>
    <t>punhos</t>
  </si>
  <si>
    <t>p u ɲ u ʃ</t>
  </si>
  <si>
    <t>puñush</t>
  </si>
  <si>
    <t>soluçar</t>
  </si>
  <si>
    <t>s u l u s a ɾ</t>
  </si>
  <si>
    <t>sulusar</t>
  </si>
  <si>
    <t>hiccup</t>
  </si>
  <si>
    <t>hiccough</t>
  </si>
  <si>
    <t>soluço</t>
  </si>
  <si>
    <t>s u l u s u</t>
  </si>
  <si>
    <t>sulusu</t>
  </si>
  <si>
    <t>singultus</t>
  </si>
  <si>
    <t>sonhar</t>
  </si>
  <si>
    <t>s u ɲ a ɾ</t>
  </si>
  <si>
    <t>suñar</t>
  </si>
  <si>
    <t>fantasize</t>
  </si>
  <si>
    <t>fantasise</t>
  </si>
  <si>
    <t>woolgather</t>
  </si>
  <si>
    <t>stargaze</t>
  </si>
  <si>
    <t>t a ɾ</t>
  </si>
  <si>
    <t>tinir</t>
  </si>
  <si>
    <t>t i n i ɾ</t>
  </si>
  <si>
    <t>jingle-jangle</t>
  </si>
  <si>
    <t>shooting</t>
  </si>
  <si>
    <t>Sur</t>
  </si>
  <si>
    <t>Tyre</t>
  </si>
  <si>
    <t>tiros</t>
  </si>
  <si>
    <t>t i ɾ u ʃ</t>
  </si>
  <si>
    <t>tirush</t>
  </si>
  <si>
    <t>tomar</t>
  </si>
  <si>
    <t>t u m a ɾ</t>
  </si>
  <si>
    <t>tumar</t>
  </si>
  <si>
    <t>gulp</t>
  </si>
  <si>
    <t>quaff</t>
  </si>
  <si>
    <t>convene</t>
  </si>
  <si>
    <t>uníssono</t>
  </si>
  <si>
    <t>u n i s u n u</t>
  </si>
  <si>
    <t>unisunu</t>
  </si>
  <si>
    <t>unison</t>
  </si>
  <si>
    <t>urinar</t>
  </si>
  <si>
    <t>u ɾ i n a ɾ</t>
  </si>
  <si>
    <t>xixi</t>
  </si>
  <si>
    <t>por_latn_po_broad_filtered.tsv</t>
  </si>
  <si>
    <t>por_latn_po_narrow.tsv</t>
  </si>
  <si>
    <t>usar</t>
  </si>
  <si>
    <t>ron_latn_broad.tsv</t>
  </si>
  <si>
    <t>acuma</t>
  </si>
  <si>
    <t>a k u m a</t>
  </si>
  <si>
    <t>akuma</t>
  </si>
  <si>
    <t>acumula</t>
  </si>
  <si>
    <t>a k u m u l a</t>
  </si>
  <si>
    <t>akumula</t>
  </si>
  <si>
    <t>a l i n a</t>
  </si>
  <si>
    <t>relieve</t>
  </si>
  <si>
    <t>alleviate</t>
  </si>
  <si>
    <t>palliate</t>
  </si>
  <si>
    <t>assuage</t>
  </si>
  <si>
    <t>ante_meridiem</t>
  </si>
  <si>
    <t>A.M.</t>
  </si>
  <si>
    <t>amigo</t>
  </si>
  <si>
    <t>buster</t>
  </si>
  <si>
    <t>amicably</t>
  </si>
  <si>
    <t>spirit_up</t>
  </si>
  <si>
    <t>inspirit</t>
  </si>
  <si>
    <t>inspire</t>
  </si>
  <si>
    <t>exalt</t>
  </si>
  <si>
    <t>apus</t>
  </si>
  <si>
    <t>a p u s</t>
  </si>
  <si>
    <t>aș</t>
  </si>
  <si>
    <t>horse</t>
  </si>
  <si>
    <t>Equus_caballus</t>
  </si>
  <si>
    <t>male_horse</t>
  </si>
  <si>
    <t>gelding</t>
  </si>
  <si>
    <t>gymnastic_horse</t>
  </si>
  <si>
    <t>knight</t>
  </si>
  <si>
    <t>horsepower</t>
  </si>
  <si>
    <t>HP</t>
  </si>
  <si>
    <t>H.P.</t>
  </si>
  <si>
    <t>television_channel</t>
  </si>
  <si>
    <t>TV_channel</t>
  </si>
  <si>
    <t>flue</t>
  </si>
  <si>
    <t>raceway</t>
  </si>
  <si>
    <t>race</t>
  </si>
  <si>
    <t>waterway</t>
  </si>
  <si>
    <t>channels</t>
  </si>
  <si>
    <t>headshot</t>
  </si>
  <si>
    <t>clinch</t>
  </si>
  <si>
    <t>obverse</t>
  </si>
  <si>
    <t>poll</t>
  </si>
  <si>
    <t>noddle</t>
  </si>
  <si>
    <t>brainpower</t>
  </si>
  <si>
    <t>learning_ability</t>
  </si>
  <si>
    <t>mental_capacity</t>
  </si>
  <si>
    <t>mentality</t>
  </si>
  <si>
    <t>wit</t>
  </si>
  <si>
    <t>head_word</t>
  </si>
  <si>
    <t>capo</t>
  </si>
  <si>
    <t>capac</t>
  </si>
  <si>
    <t>k a p a k</t>
  </si>
  <si>
    <t>kapak</t>
  </si>
  <si>
    <t>lid</t>
  </si>
  <si>
    <t>all-important</t>
  </si>
  <si>
    <t>all_important</t>
  </si>
  <si>
    <t>crucial</t>
  </si>
  <si>
    <t>of_the_essence</t>
  </si>
  <si>
    <t>caș</t>
  </si>
  <si>
    <t>potato_chip</t>
  </si>
  <si>
    <t>Saratoga_chip</t>
  </si>
  <si>
    <t>ea</t>
  </si>
  <si>
    <t>Ea</t>
  </si>
  <si>
    <t>harness</t>
  </si>
  <si>
    <t>ia</t>
  </si>
  <si>
    <t>artificial_intelligence</t>
  </si>
  <si>
    <t>AI</t>
  </si>
  <si>
    <t>inuman</t>
  </si>
  <si>
    <t>i n u m a n</t>
  </si>
  <si>
    <t>inhumanely</t>
  </si>
  <si>
    <t>inhumane</t>
  </si>
  <si>
    <t>uselessly</t>
  </si>
  <si>
    <t>worthlessly</t>
  </si>
  <si>
    <t>gratuitous</t>
  </si>
  <si>
    <t>needless</t>
  </si>
  <si>
    <t>uncalled-for</t>
  </si>
  <si>
    <t>inutile</t>
  </si>
  <si>
    <t>olive_drab</t>
  </si>
  <si>
    <t>olive-drab_uniform</t>
  </si>
  <si>
    <t>lai</t>
  </si>
  <si>
    <t>laș</t>
  </si>
  <si>
    <t>l a ʃ</t>
  </si>
  <si>
    <t>sneakingly</t>
  </si>
  <si>
    <t>slowly</t>
  </si>
  <si>
    <t>tardily</t>
  </si>
  <si>
    <t>lilting</t>
  </si>
  <si>
    <t>swingy</t>
  </si>
  <si>
    <t>tripping</t>
  </si>
  <si>
    <t>l u n a t i k</t>
  </si>
  <si>
    <t>lunatik</t>
  </si>
  <si>
    <t>kook</t>
  </si>
  <si>
    <t>odd_fellow</t>
  </si>
  <si>
    <t>odd_fish</t>
  </si>
  <si>
    <t>queer_bird</t>
  </si>
  <si>
    <t>queer_duck</t>
  </si>
  <si>
    <t>odd_man_out</t>
  </si>
  <si>
    <t>quack</t>
  </si>
  <si>
    <t>opium_poppy</t>
  </si>
  <si>
    <t>Papaver_somniferum</t>
  </si>
  <si>
    <t>anymore</t>
  </si>
  <si>
    <t>any_longer</t>
  </si>
  <si>
    <t>more</t>
  </si>
  <si>
    <t>to_a_greater_extent</t>
  </si>
  <si>
    <t>mia</t>
  </si>
  <si>
    <t>hogget</t>
  </si>
  <si>
    <t>hogg</t>
  </si>
  <si>
    <t>nisip</t>
  </si>
  <si>
    <t>n i s i p</t>
  </si>
  <si>
    <t>nuc</t>
  </si>
  <si>
    <t>walnut</t>
  </si>
  <si>
    <t>walnut_tree</t>
  </si>
  <si>
    <t>measure</t>
  </si>
  <si>
    <t>manner_of_walking</t>
  </si>
  <si>
    <t>pisic</t>
  </si>
  <si>
    <t>p i s i k</t>
  </si>
  <si>
    <t>pisik</t>
  </si>
  <si>
    <t>salam</t>
  </si>
  <si>
    <t>s a l a m</t>
  </si>
  <si>
    <t>saluta</t>
  </si>
  <si>
    <t>s a l u t a</t>
  </si>
  <si>
    <t>salute</t>
  </si>
  <si>
    <t>greet</t>
  </si>
  <si>
    <t>satanic</t>
  </si>
  <si>
    <t>go_through_the_motions</t>
  </si>
  <si>
    <t>feint</t>
  </si>
  <si>
    <t>hundredth</t>
  </si>
  <si>
    <t>tatouay</t>
  </si>
  <si>
    <t>cabassous</t>
  </si>
  <si>
    <t>Cabassous_unicinctus</t>
  </si>
  <si>
    <t>giant_armadillo</t>
  </si>
  <si>
    <t>Priodontes_giganteus</t>
  </si>
  <si>
    <t>mock-up</t>
  </si>
  <si>
    <t>stiff</t>
  </si>
  <si>
    <t>tipa</t>
  </si>
  <si>
    <t>t i p a</t>
  </si>
  <si>
    <t>tucan</t>
  </si>
  <si>
    <t>tuși</t>
  </si>
  <si>
    <t>t u ʃ i</t>
  </si>
  <si>
    <t>humanly</t>
  </si>
  <si>
    <t>humbly</t>
  </si>
  <si>
    <t>meekly</t>
  </si>
  <si>
    <t>meanly</t>
  </si>
  <si>
    <t>baseborn</t>
  </si>
  <si>
    <t>unu</t>
  </si>
  <si>
    <t>u n u</t>
  </si>
  <si>
    <t>unui</t>
  </si>
  <si>
    <t>u n u j</t>
  </si>
  <si>
    <t>unuy</t>
  </si>
  <si>
    <t>util</t>
  </si>
  <si>
    <t>u t i l</t>
  </si>
  <si>
    <t>implemental</t>
  </si>
  <si>
    <t>instrumental</t>
  </si>
  <si>
    <t>subservient</t>
  </si>
  <si>
    <t>useful</t>
  </si>
  <si>
    <t>utile</t>
  </si>
  <si>
    <t>utila</t>
  </si>
  <si>
    <t>u t i l a</t>
  </si>
  <si>
    <t>kit_out</t>
  </si>
  <si>
    <t>kit_up</t>
  </si>
  <si>
    <t>kit</t>
  </si>
  <si>
    <t>șa</t>
  </si>
  <si>
    <t>ron_latn_narrow.tsv</t>
  </si>
  <si>
    <t>acas'</t>
  </si>
  <si>
    <t>a k a s</t>
  </si>
  <si>
    <t>akas</t>
  </si>
  <si>
    <t>acum</t>
  </si>
  <si>
    <t>a k u m</t>
  </si>
  <si>
    <t>akum</t>
  </si>
  <si>
    <t>presently</t>
  </si>
  <si>
    <t>currently</t>
  </si>
  <si>
    <t>immediately</t>
  </si>
  <si>
    <t>instantly</t>
  </si>
  <si>
    <t>straightaway</t>
  </si>
  <si>
    <t>straight_off</t>
  </si>
  <si>
    <t>directly</t>
  </si>
  <si>
    <t>right_away</t>
  </si>
  <si>
    <t>at_once</t>
  </si>
  <si>
    <t>forthwith</t>
  </si>
  <si>
    <t>like_a_shot</t>
  </si>
  <si>
    <t>at_present</t>
  </si>
  <si>
    <t>actually</t>
  </si>
  <si>
    <t>time_being</t>
  </si>
  <si>
    <t>nonce</t>
  </si>
  <si>
    <t>acumulai</t>
  </si>
  <si>
    <t>a k u m u l a j</t>
  </si>
  <si>
    <t>akumulay</t>
  </si>
  <si>
    <t>acumulam</t>
  </si>
  <si>
    <t>a k u m u l a m</t>
  </si>
  <si>
    <t>akumulam</t>
  </si>
  <si>
    <t>alinam</t>
  </si>
  <si>
    <t>a l i n a m</t>
  </si>
  <si>
    <t>days</t>
  </si>
  <si>
    <t>New_Year's_Day</t>
  </si>
  <si>
    <t>New_Year's</t>
  </si>
  <si>
    <t>January_1</t>
  </si>
  <si>
    <t>solar_year</t>
  </si>
  <si>
    <t>tropical_year</t>
  </si>
  <si>
    <t>astronomical_year</t>
  </si>
  <si>
    <t>equinoctial_year</t>
  </si>
  <si>
    <t>anihila</t>
  </si>
  <si>
    <t>a n i h i l a</t>
  </si>
  <si>
    <t>invalidate</t>
  </si>
  <si>
    <t>annul</t>
  </si>
  <si>
    <t>quash</t>
  </si>
  <si>
    <t>avoid</t>
  </si>
  <si>
    <t>nullify</t>
  </si>
  <si>
    <t>counteract</t>
  </si>
  <si>
    <t>countervail</t>
  </si>
  <si>
    <t>counterbalance</t>
  </si>
  <si>
    <t>anii</t>
  </si>
  <si>
    <t>animai</t>
  </si>
  <si>
    <t>a n i m a j</t>
  </si>
  <si>
    <t>animay</t>
  </si>
  <si>
    <t>animam</t>
  </si>
  <si>
    <t>a n i m a m</t>
  </si>
  <si>
    <t>anulai</t>
  </si>
  <si>
    <t>a n u l a j</t>
  </si>
  <si>
    <t>anulay</t>
  </si>
  <si>
    <t>anulam</t>
  </si>
  <si>
    <t>a n u l a m</t>
  </si>
  <si>
    <t>anusul</t>
  </si>
  <si>
    <t>a n u s u</t>
  </si>
  <si>
    <t>anusu</t>
  </si>
  <si>
    <t>a n u s u l</t>
  </si>
  <si>
    <t>anusului</t>
  </si>
  <si>
    <t>a n u s u l u j</t>
  </si>
  <si>
    <t>anusuluy</t>
  </si>
  <si>
    <t>apui</t>
  </si>
  <si>
    <t>a p u j</t>
  </si>
  <si>
    <t>apuy</t>
  </si>
  <si>
    <t>apun</t>
  </si>
  <si>
    <t>a p u n</t>
  </si>
  <si>
    <t>football_play</t>
  </si>
  <si>
    <t>aggression</t>
  </si>
  <si>
    <t>hostility</t>
  </si>
  <si>
    <t>apoplexy</t>
  </si>
  <si>
    <t>cerebrovascular_accident</t>
  </si>
  <si>
    <t>CVA</t>
  </si>
  <si>
    <t>ataca</t>
  </si>
  <si>
    <t>a t a k a</t>
  </si>
  <si>
    <t>ataka</t>
  </si>
  <si>
    <t>injure</t>
  </si>
  <si>
    <t>lash_out</t>
  </si>
  <si>
    <t>snipe</t>
  </si>
  <si>
    <t>aggress</t>
  </si>
  <si>
    <t>strike_up</t>
  </si>
  <si>
    <t>atacai</t>
  </si>
  <si>
    <t>a t a k a j</t>
  </si>
  <si>
    <t>atakay</t>
  </si>
  <si>
    <t>atacam</t>
  </si>
  <si>
    <t>a t a k a m</t>
  </si>
  <si>
    <t>atakam</t>
  </si>
  <si>
    <t>așa</t>
  </si>
  <si>
    <t>thus</t>
  </si>
  <si>
    <t>thusly</t>
  </si>
  <si>
    <t>right_on</t>
  </si>
  <si>
    <t>truthful</t>
  </si>
  <si>
    <t>O.K.</t>
  </si>
  <si>
    <t>OK</t>
  </si>
  <si>
    <t>okay</t>
  </si>
  <si>
    <t>okey</t>
  </si>
  <si>
    <t>okeh</t>
  </si>
  <si>
    <t>canicula</t>
  </si>
  <si>
    <t>k a n i k u l a</t>
  </si>
  <si>
    <t>kanikula</t>
  </si>
  <si>
    <t>capitala</t>
  </si>
  <si>
    <t>k a p i t a l a</t>
  </si>
  <si>
    <t>kapitala</t>
  </si>
  <si>
    <t>capitula</t>
  </si>
  <si>
    <t>capitulate</t>
  </si>
  <si>
    <t>capitulai</t>
  </si>
  <si>
    <t>k a p i t u l a j</t>
  </si>
  <si>
    <t>kapitulay</t>
  </si>
  <si>
    <t>capitulam</t>
  </si>
  <si>
    <t>k a p i t u l a m</t>
  </si>
  <si>
    <t>kapitulam</t>
  </si>
  <si>
    <t>capul</t>
  </si>
  <si>
    <t>k a p u l</t>
  </si>
  <si>
    <t>kapul</t>
  </si>
  <si>
    <t>catalan</t>
  </si>
  <si>
    <t>once</t>
  </si>
  <si>
    <t>cusu</t>
  </si>
  <si>
    <t>h a j</t>
  </si>
  <si>
    <t>halim</t>
  </si>
  <si>
    <t>h a l i m</t>
  </si>
  <si>
    <t>h a m a k</t>
  </si>
  <si>
    <t>huma</t>
  </si>
  <si>
    <t>h u m a</t>
  </si>
  <si>
    <t>husa</t>
  </si>
  <si>
    <t>h u s a</t>
  </si>
  <si>
    <t>iluminai</t>
  </si>
  <si>
    <t>i l u m i n a j</t>
  </si>
  <si>
    <t>iluminay</t>
  </si>
  <si>
    <t>iluminam</t>
  </si>
  <si>
    <t>i l u m i n a m</t>
  </si>
  <si>
    <t>imai</t>
  </si>
  <si>
    <t>i m a j</t>
  </si>
  <si>
    <t>imay</t>
  </si>
  <si>
    <t>isus</t>
  </si>
  <si>
    <t>i s u s</t>
  </si>
  <si>
    <t>demarcate</t>
  </si>
  <si>
    <t>limitai</t>
  </si>
  <si>
    <t>l i m i t a j</t>
  </si>
  <si>
    <t>limitay</t>
  </si>
  <si>
    <t>limitam</t>
  </si>
  <si>
    <t>l i m i t a m</t>
  </si>
  <si>
    <t>mic</t>
  </si>
  <si>
    <t>minuscular</t>
  </si>
  <si>
    <t>pint-size</t>
  </si>
  <si>
    <t>pint-sized</t>
  </si>
  <si>
    <t>runty</t>
  </si>
  <si>
    <t>sawed-off</t>
  </si>
  <si>
    <t>sawn-off</t>
  </si>
  <si>
    <t>narrow</t>
  </si>
  <si>
    <t>mihai</t>
  </si>
  <si>
    <t>m i h a j</t>
  </si>
  <si>
    <t>mihay</t>
  </si>
  <si>
    <t>mumu</t>
  </si>
  <si>
    <t>m u m u</t>
  </si>
  <si>
    <t>mutai</t>
  </si>
  <si>
    <t>m u t a j</t>
  </si>
  <si>
    <t>mutay</t>
  </si>
  <si>
    <t>mutam</t>
  </si>
  <si>
    <t>m u t a m</t>
  </si>
  <si>
    <t>nuia</t>
  </si>
  <si>
    <t>n u j a</t>
  </si>
  <si>
    <t>nuya</t>
  </si>
  <si>
    <t>rod</t>
  </si>
  <si>
    <t>wicker</t>
  </si>
  <si>
    <t>numai</t>
  </si>
  <si>
    <t>n u m a j</t>
  </si>
  <si>
    <t>numay</t>
  </si>
  <si>
    <t>numi</t>
  </si>
  <si>
    <t>n u m i</t>
  </si>
  <si>
    <t>designate</t>
  </si>
  <si>
    <t>denominate</t>
  </si>
  <si>
    <t>delegate</t>
  </si>
  <si>
    <t>depute</t>
  </si>
  <si>
    <t>assign</t>
  </si>
  <si>
    <t>numim</t>
  </si>
  <si>
    <t>n u m i m</t>
  </si>
  <si>
    <t>numita</t>
  </si>
  <si>
    <t>n u m i t a</t>
  </si>
  <si>
    <t>numitul</t>
  </si>
  <si>
    <t>n u m i t u</t>
  </si>
  <si>
    <t>numitu</t>
  </si>
  <si>
    <t>n u m i t u l</t>
  </si>
  <si>
    <t>numitului</t>
  </si>
  <si>
    <t>n u m i t u l u j</t>
  </si>
  <si>
    <t>numituluy</t>
  </si>
  <si>
    <t>nup</t>
  </si>
  <si>
    <t>n u p</t>
  </si>
  <si>
    <t>adieu</t>
  </si>
  <si>
    <t>adios</t>
  </si>
  <si>
    <t>arrivederci</t>
  </si>
  <si>
    <t>auf_wiedersehen</t>
  </si>
  <si>
    <t>au_revoir</t>
  </si>
  <si>
    <t>bye-bye</t>
  </si>
  <si>
    <t>cheerio</t>
  </si>
  <si>
    <t>good-by</t>
  </si>
  <si>
    <t>goodby</t>
  </si>
  <si>
    <t>good-bye</t>
  </si>
  <si>
    <t>goodbye</t>
  </si>
  <si>
    <t>good_day</t>
  </si>
  <si>
    <t>sayonara</t>
  </si>
  <si>
    <t>so_long</t>
  </si>
  <si>
    <t>aloha</t>
  </si>
  <si>
    <t>ciao</t>
  </si>
  <si>
    <t>library_paste</t>
  </si>
  <si>
    <t>pasai</t>
  </si>
  <si>
    <t>picai</t>
  </si>
  <si>
    <t>picam</t>
  </si>
  <si>
    <t>p i k a m</t>
  </si>
  <si>
    <t>pikam</t>
  </si>
  <si>
    <t>wetting</t>
  </si>
  <si>
    <t>making_water</t>
  </si>
  <si>
    <t>passing_water</t>
  </si>
  <si>
    <t>pisai</t>
  </si>
  <si>
    <t>p i s a j</t>
  </si>
  <si>
    <t>pisay</t>
  </si>
  <si>
    <t>pisam</t>
  </si>
  <si>
    <t>p i s a m</t>
  </si>
  <si>
    <t>pitic</t>
  </si>
  <si>
    <t>p i t i k</t>
  </si>
  <si>
    <t>pitik</t>
  </si>
  <si>
    <t>dwarfish</t>
  </si>
  <si>
    <t>pișa</t>
  </si>
  <si>
    <t>pui</t>
  </si>
  <si>
    <t>litter</t>
  </si>
  <si>
    <t>young_bird</t>
  </si>
  <si>
    <t>calf</t>
  </si>
  <si>
    <t>Carthaginian</t>
  </si>
  <si>
    <t>pupai</t>
  </si>
  <si>
    <t>p u p a j</t>
  </si>
  <si>
    <t>pupay</t>
  </si>
  <si>
    <t>pupam</t>
  </si>
  <si>
    <t>p u p a m</t>
  </si>
  <si>
    <t>planting</t>
  </si>
  <si>
    <t>salutai</t>
  </si>
  <si>
    <t>s a l u t a j</t>
  </si>
  <si>
    <t>salutay</t>
  </si>
  <si>
    <t>simulai</t>
  </si>
  <si>
    <t>s i m u l a j</t>
  </si>
  <si>
    <t>simulay</t>
  </si>
  <si>
    <t>simulam</t>
  </si>
  <si>
    <t>s i m u l a m</t>
  </si>
  <si>
    <t>digestive_juice</t>
  </si>
  <si>
    <t>digestive_fluid</t>
  </si>
  <si>
    <t>fruit_drink</t>
  </si>
  <si>
    <t>ade</t>
  </si>
  <si>
    <t>soft_drink</t>
  </si>
  <si>
    <t>supun</t>
  </si>
  <si>
    <t>s u p u n</t>
  </si>
  <si>
    <t>tai</t>
  </si>
  <si>
    <t>tunai</t>
  </si>
  <si>
    <t>t u n a j</t>
  </si>
  <si>
    <t>tunay</t>
  </si>
  <si>
    <t>tunam</t>
  </si>
  <si>
    <t>t u n a m</t>
  </si>
  <si>
    <t>unic</t>
  </si>
  <si>
    <t>uniquely</t>
  </si>
  <si>
    <t>unambiguously</t>
  </si>
  <si>
    <t>unul</t>
  </si>
  <si>
    <t>u n u l</t>
  </si>
  <si>
    <t>everyman</t>
  </si>
  <si>
    <t>ușa</t>
  </si>
  <si>
    <t>u ʃ a</t>
  </si>
  <si>
    <t>usha</t>
  </si>
  <si>
    <t>șacal</t>
  </si>
  <si>
    <t>shark</t>
  </si>
  <si>
    <t>șal</t>
  </si>
  <si>
    <t>și</t>
  </si>
  <si>
    <t>ron_latn_narrow_filtered.tsv</t>
  </si>
  <si>
    <t>slk_latn_broad.tsv</t>
  </si>
  <si>
    <t>mierda</t>
  </si>
  <si>
    <t>juh</t>
  </si>
  <si>
    <t>south</t>
  </si>
  <si>
    <t>South</t>
  </si>
  <si>
    <t>kaša</t>
  </si>
  <si>
    <t>k a ʃ a</t>
  </si>
  <si>
    <t>kasha</t>
  </si>
  <si>
    <t>kuchyňa</t>
  </si>
  <si>
    <t>k u x i ɲ a</t>
  </si>
  <si>
    <t>kukiña</t>
  </si>
  <si>
    <t>kitchen</t>
  </si>
  <si>
    <t>cuisine</t>
  </si>
  <si>
    <t>culinary_art</t>
  </si>
  <si>
    <t>bryophyte</t>
  </si>
  <si>
    <t>nonvascular_plant</t>
  </si>
  <si>
    <t>machuľa</t>
  </si>
  <si>
    <t>m a x u ʎ a</t>
  </si>
  <si>
    <t>makulla</t>
  </si>
  <si>
    <t>mašina</t>
  </si>
  <si>
    <t>my</t>
  </si>
  <si>
    <t>myš</t>
  </si>
  <si>
    <t>mäta</t>
  </si>
  <si>
    <t>m æ t a</t>
  </si>
  <si>
    <t>nika</t>
  </si>
  <si>
    <t>n i k a</t>
  </si>
  <si>
    <t>ɲ i n a</t>
  </si>
  <si>
    <t>ñina</t>
  </si>
  <si>
    <t>Mrs</t>
  </si>
  <si>
    <t>Mrs.</t>
  </si>
  <si>
    <t>Lady</t>
  </si>
  <si>
    <t>noblewoman</t>
  </si>
  <si>
    <t>peeress</t>
  </si>
  <si>
    <t>mistress</t>
  </si>
  <si>
    <t>pijan</t>
  </si>
  <si>
    <t>p i j a n</t>
  </si>
  <si>
    <t>piyan</t>
  </si>
  <si>
    <t>päta</t>
  </si>
  <si>
    <t>p æ t a</t>
  </si>
  <si>
    <t>saša</t>
  </si>
  <si>
    <t>lipid</t>
  </si>
  <si>
    <t>lipide</t>
  </si>
  <si>
    <t>lipoid</t>
  </si>
  <si>
    <t>ty</t>
  </si>
  <si>
    <t>šach</t>
  </si>
  <si>
    <t>ʃ a x</t>
  </si>
  <si>
    <t>chess</t>
  </si>
  <si>
    <t>chess_game</t>
  </si>
  <si>
    <t>chess_set</t>
  </si>
  <si>
    <t>šaty</t>
  </si>
  <si>
    <t>ʃ a t i</t>
  </si>
  <si>
    <t>shati</t>
  </si>
  <si>
    <t>frock</t>
  </si>
  <si>
    <t>gown</t>
  </si>
  <si>
    <t>outerwear</t>
  </si>
  <si>
    <t>overclothes</t>
  </si>
  <si>
    <t>woman's_clothing</t>
  </si>
  <si>
    <t>šija</t>
  </si>
  <si>
    <t>ʃ i j a</t>
  </si>
  <si>
    <t>shiya</t>
  </si>
  <si>
    <t>slk_latn_narrow.tsv</t>
  </si>
  <si>
    <t>aj</t>
  </si>
  <si>
    <t>furthermore</t>
  </si>
  <si>
    <t>moreover</t>
  </si>
  <si>
    <t>what_is_more</t>
  </si>
  <si>
    <t>ditch</t>
  </si>
  <si>
    <t>j a n a</t>
  </si>
  <si>
    <t>ju</t>
  </si>
  <si>
    <t>kaňa</t>
  </si>
  <si>
    <t>kilami</t>
  </si>
  <si>
    <t>k i l a m i</t>
  </si>
  <si>
    <t>kuša</t>
  </si>
  <si>
    <t>k u ʃ a</t>
  </si>
  <si>
    <t>kusha</t>
  </si>
  <si>
    <t>luky</t>
  </si>
  <si>
    <t>lunu</t>
  </si>
  <si>
    <t>l u n u</t>
  </si>
  <si>
    <t>luny</t>
  </si>
  <si>
    <t>l u n i</t>
  </si>
  <si>
    <t>luni</t>
  </si>
  <si>
    <t>lupina</t>
  </si>
  <si>
    <t>l u p i n a</t>
  </si>
  <si>
    <t>lusaka</t>
  </si>
  <si>
    <t>l u s a k a</t>
  </si>
  <si>
    <t>machu</t>
  </si>
  <si>
    <t>m a x u</t>
  </si>
  <si>
    <t>m a n i l a</t>
  </si>
  <si>
    <t>matus</t>
  </si>
  <si>
    <t>m a t u s</t>
  </si>
  <si>
    <t>michal</t>
  </si>
  <si>
    <t>m i x a l</t>
  </si>
  <si>
    <t>mikal</t>
  </si>
  <si>
    <t>mih</t>
  </si>
  <si>
    <t>muchu</t>
  </si>
  <si>
    <t>m u x u</t>
  </si>
  <si>
    <t>muku</t>
  </si>
  <si>
    <t>muchy</t>
  </si>
  <si>
    <t>m u x i</t>
  </si>
  <si>
    <t>muž</t>
  </si>
  <si>
    <t>nataša</t>
  </si>
  <si>
    <t>palina</t>
  </si>
  <si>
    <t>p a l i n a</t>
  </si>
  <si>
    <t>satan</t>
  </si>
  <si>
    <t>s a t a n</t>
  </si>
  <si>
    <t>sih</t>
  </si>
  <si>
    <t>s i x</t>
  </si>
  <si>
    <t>sitina</t>
  </si>
  <si>
    <t>s i t i n a</t>
  </si>
  <si>
    <t>syn</t>
  </si>
  <si>
    <t>tyla</t>
  </si>
  <si>
    <t>t i l a</t>
  </si>
  <si>
    <t>tylami</t>
  </si>
  <si>
    <t>t i l a m i</t>
  </si>
  <si>
    <t>tilami</t>
  </si>
  <si>
    <t>tylu</t>
  </si>
  <si>
    <t>t i l u</t>
  </si>
  <si>
    <t>tilu</t>
  </si>
  <si>
    <t>uja</t>
  </si>
  <si>
    <t>ušami</t>
  </si>
  <si>
    <t>u ʃ a m i</t>
  </si>
  <si>
    <t>ushami</t>
  </si>
  <si>
    <t>uši</t>
  </si>
  <si>
    <t>ľan</t>
  </si>
  <si>
    <t>ʎ a n</t>
  </si>
  <si>
    <t>llan</t>
  </si>
  <si>
    <t>ňu</t>
  </si>
  <si>
    <t>šum</t>
  </si>
  <si>
    <t>ʃ u m</t>
  </si>
  <si>
    <t>shum</t>
  </si>
  <si>
    <t>hum</t>
  </si>
  <si>
    <t>humming</t>
  </si>
  <si>
    <t>whir</t>
  </si>
  <si>
    <t>whirr</t>
  </si>
  <si>
    <t>whirring</t>
  </si>
  <si>
    <t>birr</t>
  </si>
  <si>
    <t>interference</t>
  </si>
  <si>
    <t>slv_latn_broad.tsv</t>
  </si>
  <si>
    <t>esloveno</t>
  </si>
  <si>
    <t>ampersand</t>
  </si>
  <si>
    <t>iz</t>
  </si>
  <si>
    <t>bien</t>
  </si>
  <si>
    <t>spa_latn_ca_broad.tsv</t>
  </si>
  <si>
    <t>castellano</t>
  </si>
  <si>
    <t>acal</t>
  </si>
  <si>
    <t>a k a l</t>
  </si>
  <si>
    <t>akal</t>
  </si>
  <si>
    <t>acanalar</t>
  </si>
  <si>
    <t>a k a n a l a ɾ</t>
  </si>
  <si>
    <t>akanalar</t>
  </si>
  <si>
    <t>gutter</t>
  </si>
  <si>
    <t>acaparar</t>
  </si>
  <si>
    <t>a k a p a ɾ a ɾ</t>
  </si>
  <si>
    <t>akaparar</t>
  </si>
  <si>
    <t>acatar</t>
  </si>
  <si>
    <t>a k a t a ɾ</t>
  </si>
  <si>
    <t>akatar</t>
  </si>
  <si>
    <t>acular</t>
  </si>
  <si>
    <t>a k u l a ɾ</t>
  </si>
  <si>
    <t>akular</t>
  </si>
  <si>
    <t>roll_up</t>
  </si>
  <si>
    <t>accumulate</t>
  </si>
  <si>
    <t>pile_up</t>
  </si>
  <si>
    <t>amass</t>
  </si>
  <si>
    <t>compile</t>
  </si>
  <si>
    <t>acunar</t>
  </si>
  <si>
    <t>a k u n a ɾ</t>
  </si>
  <si>
    <t>akunar</t>
  </si>
  <si>
    <t>acusa</t>
  </si>
  <si>
    <t>acusar</t>
  </si>
  <si>
    <t>a k u s a ɾ</t>
  </si>
  <si>
    <t>akusar</t>
  </si>
  <si>
    <t>accuse</t>
  </si>
  <si>
    <t>indict</t>
  </si>
  <si>
    <t>acusara</t>
  </si>
  <si>
    <t>a k u s a ɾ a</t>
  </si>
  <si>
    <t>akusara</t>
  </si>
  <si>
    <t>acusaras</t>
  </si>
  <si>
    <t>a k u s a ɾ a s</t>
  </si>
  <si>
    <t>akusaras</t>
  </si>
  <si>
    <t>acusará</t>
  </si>
  <si>
    <t>acusarás</t>
  </si>
  <si>
    <t>acusas</t>
  </si>
  <si>
    <t>a k u s a s</t>
  </si>
  <si>
    <t>akusas</t>
  </si>
  <si>
    <t>acuña</t>
  </si>
  <si>
    <t>a k u ɲ a</t>
  </si>
  <si>
    <t>akuña</t>
  </si>
  <si>
    <t>acuñar</t>
  </si>
  <si>
    <t>a k u ɲ a ɾ</t>
  </si>
  <si>
    <t>akuñar</t>
  </si>
  <si>
    <t>coin</t>
  </si>
  <si>
    <t>cleat</t>
  </si>
  <si>
    <t>agitanar</t>
  </si>
  <si>
    <t>a x i t a n a ɾ</t>
  </si>
  <si>
    <t>akitanar</t>
  </si>
  <si>
    <t>agitar</t>
  </si>
  <si>
    <t>a x i t a ɾ</t>
  </si>
  <si>
    <t>akitar</t>
  </si>
  <si>
    <t>fluff_up</t>
  </si>
  <si>
    <t>plump_up</t>
  </si>
  <si>
    <t>churn</t>
  </si>
  <si>
    <t>disturb</t>
  </si>
  <si>
    <t>commove</t>
  </si>
  <si>
    <t>stir_up</t>
  </si>
  <si>
    <t>raise_up</t>
  </si>
  <si>
    <t>conjure</t>
  </si>
  <si>
    <t>conjure_up</t>
  </si>
  <si>
    <t>invoke</t>
  </si>
  <si>
    <t>evoke</t>
  </si>
  <si>
    <t>call_down</t>
  </si>
  <si>
    <t>call_forth</t>
  </si>
  <si>
    <t>dither</t>
  </si>
  <si>
    <t>flap</t>
  </si>
  <si>
    <t>pother</t>
  </si>
  <si>
    <t>roil</t>
  </si>
  <si>
    <t>convulse</t>
  </si>
  <si>
    <t>thresh_about</t>
  </si>
  <si>
    <t>thrash_about</t>
  </si>
  <si>
    <t>jactitate</t>
  </si>
  <si>
    <t>foment</t>
  </si>
  <si>
    <t>aja</t>
  </si>
  <si>
    <t>a x a</t>
  </si>
  <si>
    <t>a x a n</t>
  </si>
  <si>
    <t>ajar</t>
  </si>
  <si>
    <t>a x a ɾ</t>
  </si>
  <si>
    <t>akar</t>
  </si>
  <si>
    <t>ajas</t>
  </si>
  <si>
    <t>a x a s</t>
  </si>
  <si>
    <t>ajá</t>
  </si>
  <si>
    <t>ají</t>
  </si>
  <si>
    <t>a x i</t>
  </si>
  <si>
    <t>akásicas</t>
  </si>
  <si>
    <t>a k a s i k a s</t>
  </si>
  <si>
    <t>akasikas</t>
  </si>
  <si>
    <t>alajú</t>
  </si>
  <si>
    <t>a l a x u</t>
  </si>
  <si>
    <t>alaku</t>
  </si>
  <si>
    <t>alamana</t>
  </si>
  <si>
    <t>a l a m a n a</t>
  </si>
  <si>
    <t>alamar</t>
  </si>
  <si>
    <t>a l a m a ɾ</t>
  </si>
  <si>
    <t>alamán</t>
  </si>
  <si>
    <t>a l a m a n</t>
  </si>
  <si>
    <t>alaman</t>
  </si>
  <si>
    <t>alanas</t>
  </si>
  <si>
    <t>a l a n a s</t>
  </si>
  <si>
    <t>a l a n i n a</t>
  </si>
  <si>
    <t>axillary</t>
  </si>
  <si>
    <t>alaraca</t>
  </si>
  <si>
    <t>a l a ɾ a k a</t>
  </si>
  <si>
    <t>alaraka</t>
  </si>
  <si>
    <t>alhaja</t>
  </si>
  <si>
    <t>a l a x a</t>
  </si>
  <si>
    <t>alaka</t>
  </si>
  <si>
    <t>alhajar</t>
  </si>
  <si>
    <t>a l a x a ɾ</t>
  </si>
  <si>
    <t>alhajas</t>
  </si>
  <si>
    <t>a l a x a s</t>
  </si>
  <si>
    <t>alakas</t>
  </si>
  <si>
    <t>alhamí</t>
  </si>
  <si>
    <t>a l a m i</t>
  </si>
  <si>
    <t>alami</t>
  </si>
  <si>
    <t>alharaca</t>
  </si>
  <si>
    <t>alicatar</t>
  </si>
  <si>
    <t>a l i k a t a ɾ</t>
  </si>
  <si>
    <t>alikatar</t>
  </si>
  <si>
    <t>a l i x a</t>
  </si>
  <si>
    <t>alika</t>
  </si>
  <si>
    <t>alijar</t>
  </si>
  <si>
    <t>a l i x a ɾ</t>
  </si>
  <si>
    <t>alikar</t>
  </si>
  <si>
    <t>alijara</t>
  </si>
  <si>
    <t>a l i x a ɾ a</t>
  </si>
  <si>
    <t>alikara</t>
  </si>
  <si>
    <t>alijarar</t>
  </si>
  <si>
    <t>a l i x a ɾ a ɾ</t>
  </si>
  <si>
    <t>alikarar</t>
  </si>
  <si>
    <t>alijaras</t>
  </si>
  <si>
    <t>a l i x a ɾ a s</t>
  </si>
  <si>
    <t>alikaras</t>
  </si>
  <si>
    <t>alijará</t>
  </si>
  <si>
    <t>alijarás</t>
  </si>
  <si>
    <t>alijas</t>
  </si>
  <si>
    <t>a l i x a s</t>
  </si>
  <si>
    <t>alikas</t>
  </si>
  <si>
    <t>alimaña</t>
  </si>
  <si>
    <t>a l i m a ɲ a</t>
  </si>
  <si>
    <t>alinasa</t>
  </si>
  <si>
    <t>a l i n a s a</t>
  </si>
  <si>
    <t>alipús</t>
  </si>
  <si>
    <t>a l i p u s</t>
  </si>
  <si>
    <t>alipus</t>
  </si>
  <si>
    <t>alisal</t>
  </si>
  <si>
    <t>a l i s a l</t>
  </si>
  <si>
    <t>alisar</t>
  </si>
  <si>
    <t>a l i s a ɾ</t>
  </si>
  <si>
    <t>Brownie</t>
  </si>
  <si>
    <t>alitán</t>
  </si>
  <si>
    <t>a l i t a n</t>
  </si>
  <si>
    <t>alitan</t>
  </si>
  <si>
    <t>aliñar</t>
  </si>
  <si>
    <t>a l i ɲ a ɾ</t>
  </si>
  <si>
    <t>aluminita</t>
  </si>
  <si>
    <t>a l u m i n i t a</t>
  </si>
  <si>
    <t>alán</t>
  </si>
  <si>
    <t>a l a n</t>
  </si>
  <si>
    <t>alan</t>
  </si>
  <si>
    <t>alúmina</t>
  </si>
  <si>
    <t>a l u m i n a</t>
  </si>
  <si>
    <t>alumina</t>
  </si>
  <si>
    <t>maid</t>
  </si>
  <si>
    <t>maidservant</t>
  </si>
  <si>
    <t>housemaid</t>
  </si>
  <si>
    <t>amama</t>
  </si>
  <si>
    <t>a m a m a</t>
  </si>
  <si>
    <t>amaní</t>
  </si>
  <si>
    <t>a m a n i</t>
  </si>
  <si>
    <t>amani</t>
  </si>
  <si>
    <t>amarilis</t>
  </si>
  <si>
    <t>a m a ɾ i l i s</t>
  </si>
  <si>
    <t>knead</t>
  </si>
  <si>
    <t>amasijar</t>
  </si>
  <si>
    <t>a m a s i x a ɾ</t>
  </si>
  <si>
    <t>amasikar</t>
  </si>
  <si>
    <t>amilanar</t>
  </si>
  <si>
    <t>a m i l a n a ɾ</t>
  </si>
  <si>
    <t>amilasa</t>
  </si>
  <si>
    <t>a m i l a s a</t>
  </si>
  <si>
    <t>amir</t>
  </si>
  <si>
    <t>a m i ɾ</t>
  </si>
  <si>
    <t>a m i ʃ</t>
  </si>
  <si>
    <t>ammaní</t>
  </si>
  <si>
    <t>ammán</t>
  </si>
  <si>
    <t>amán</t>
  </si>
  <si>
    <t>amílica</t>
  </si>
  <si>
    <t>a m i l i k a</t>
  </si>
  <si>
    <t>amilika</t>
  </si>
  <si>
    <t>amílicas</t>
  </si>
  <si>
    <t>a m i l i k a s</t>
  </si>
  <si>
    <t>amilikas</t>
  </si>
  <si>
    <t>anamita</t>
  </si>
  <si>
    <t>a n a m i t a</t>
  </si>
  <si>
    <t>ananá</t>
  </si>
  <si>
    <t>ananás</t>
  </si>
  <si>
    <t>anapa</t>
  </si>
  <si>
    <t>a n a p a</t>
  </si>
  <si>
    <t>anatasa</t>
  </si>
  <si>
    <t>a n a t a s a</t>
  </si>
  <si>
    <t>root_on</t>
  </si>
  <si>
    <t>barrack</t>
  </si>
  <si>
    <t>urge_on</t>
  </si>
  <si>
    <t>exhort</t>
  </si>
  <si>
    <t>hearten</t>
  </si>
  <si>
    <t>recreate</t>
  </si>
  <si>
    <t>embolden</t>
  </si>
  <si>
    <t>animara</t>
  </si>
  <si>
    <t>a n i m a ɾ a</t>
  </si>
  <si>
    <t>animaras</t>
  </si>
  <si>
    <t>a n i m a ɾ a s</t>
  </si>
  <si>
    <t>animará</t>
  </si>
  <si>
    <t>animarás</t>
  </si>
  <si>
    <t>aniquilar</t>
  </si>
  <si>
    <t>a n i k i l a ɾ</t>
  </si>
  <si>
    <t>anikilar</t>
  </si>
  <si>
    <t>nuke</t>
  </si>
  <si>
    <t>atomize</t>
  </si>
  <si>
    <t>atomise</t>
  </si>
  <si>
    <t>zap</t>
  </si>
  <si>
    <t>anisar</t>
  </si>
  <si>
    <t>a n i s a ɾ</t>
  </si>
  <si>
    <t>aniñar</t>
  </si>
  <si>
    <t>a n i ɲ a ɾ</t>
  </si>
  <si>
    <t>anular</t>
  </si>
  <si>
    <t>a n u l a ɾ</t>
  </si>
  <si>
    <t>negate</t>
  </si>
  <si>
    <t>cancel_out</t>
  </si>
  <si>
    <t>write_off</t>
  </si>
  <si>
    <t>overrule</t>
  </si>
  <si>
    <t>overturn</t>
  </si>
  <si>
    <t>override</t>
  </si>
  <si>
    <t>overthrow</t>
  </si>
  <si>
    <t>reverse</t>
  </si>
  <si>
    <t>revoke</t>
  </si>
  <si>
    <t>countermand</t>
  </si>
  <si>
    <t>repeal</t>
  </si>
  <si>
    <t>rescind</t>
  </si>
  <si>
    <t>vacate</t>
  </si>
  <si>
    <t>cancel</t>
  </si>
  <si>
    <t>set_off</t>
  </si>
  <si>
    <t>black_out</t>
  </si>
  <si>
    <t>análisis</t>
  </si>
  <si>
    <t>a n a l i s i s</t>
  </si>
  <si>
    <t>examination</t>
  </si>
  <si>
    <t>scrutiny</t>
  </si>
  <si>
    <t>apanar</t>
  </si>
  <si>
    <t>a p a n a ɾ</t>
  </si>
  <si>
    <t>apara</t>
  </si>
  <si>
    <t>a p a ɾ a</t>
  </si>
  <si>
    <t>apar</t>
  </si>
  <si>
    <t>three-banded_armadillo</t>
  </si>
  <si>
    <t>Tolypeutes_tricinctus</t>
  </si>
  <si>
    <t>aparar</t>
  </si>
  <si>
    <t>a p a ɾ a ɾ</t>
  </si>
  <si>
    <t>aparara</t>
  </si>
  <si>
    <t>a p a ɾ a ɾ a</t>
  </si>
  <si>
    <t>apararas</t>
  </si>
  <si>
    <t>a p a ɾ a ɾ a s</t>
  </si>
  <si>
    <t>aparará</t>
  </si>
  <si>
    <t>apararás</t>
  </si>
  <si>
    <t>aparas</t>
  </si>
  <si>
    <t>a p a ɾ a s</t>
  </si>
  <si>
    <t>apatita</t>
  </si>
  <si>
    <t>a p a t i t a</t>
  </si>
  <si>
    <t>apical</t>
  </si>
  <si>
    <t>a p i k a l</t>
  </si>
  <si>
    <t>apikal</t>
  </si>
  <si>
    <t>apilar</t>
  </si>
  <si>
    <t>a p i l a ɾ</t>
  </si>
  <si>
    <t>apurara</t>
  </si>
  <si>
    <t>a p u ɾ a ɾ a</t>
  </si>
  <si>
    <t>apuraras</t>
  </si>
  <si>
    <t>a p u ɾ a ɾ a s</t>
  </si>
  <si>
    <t>apurará</t>
  </si>
  <si>
    <t>apurarás</t>
  </si>
  <si>
    <t>apuras</t>
  </si>
  <si>
    <t>a p u ɾ a s</t>
  </si>
  <si>
    <t>aquiral</t>
  </si>
  <si>
    <t>a k i ɾ a l</t>
  </si>
  <si>
    <t>akiral</t>
  </si>
  <si>
    <t>Ara</t>
  </si>
  <si>
    <t>genus_Ara</t>
  </si>
  <si>
    <t>arana</t>
  </si>
  <si>
    <t>a ɾ a n a</t>
  </si>
  <si>
    <t>arar</t>
  </si>
  <si>
    <t>a ɾ a ɾ</t>
  </si>
  <si>
    <t>arasarí</t>
  </si>
  <si>
    <t>a ɾ a s a ɾ i</t>
  </si>
  <si>
    <t>arasari</t>
  </si>
  <si>
    <t>arañar</t>
  </si>
  <si>
    <t>a ɾ a ɲ a ɾ</t>
  </si>
  <si>
    <t>graze</t>
  </si>
  <si>
    <t>rake</t>
  </si>
  <si>
    <t>grate</t>
  </si>
  <si>
    <t>arañita</t>
  </si>
  <si>
    <t>a ɾ a ɲ i t a</t>
  </si>
  <si>
    <t>arica</t>
  </si>
  <si>
    <t>a ɾ i k a</t>
  </si>
  <si>
    <t>arika</t>
  </si>
  <si>
    <t>aruñar</t>
  </si>
  <si>
    <t>a ɾ u ɲ a ɾ</t>
  </si>
  <si>
    <t>arás</t>
  </si>
  <si>
    <t>a ɾ a s</t>
  </si>
  <si>
    <t>aras</t>
  </si>
  <si>
    <t>asara</t>
  </si>
  <si>
    <t>a s a ɾ a</t>
  </si>
  <si>
    <t>asaras</t>
  </si>
  <si>
    <t>a s a ɾ a s</t>
  </si>
  <si>
    <t>asará</t>
  </si>
  <si>
    <t>asarás</t>
  </si>
  <si>
    <t>asilar</t>
  </si>
  <si>
    <t>a s i l a ɾ</t>
  </si>
  <si>
    <t>asinina</t>
  </si>
  <si>
    <t>a s i n i n a</t>
  </si>
  <si>
    <t>asininas</t>
  </si>
  <si>
    <t>a s i n i n a s</t>
  </si>
  <si>
    <t>asir</t>
  </si>
  <si>
    <t>a s i ɾ</t>
  </si>
  <si>
    <t>seize</t>
  </si>
  <si>
    <t>prehend</t>
  </si>
  <si>
    <t>clutch</t>
  </si>
  <si>
    <t>hold_on</t>
  </si>
  <si>
    <t>clasp</t>
  </si>
  <si>
    <t>asá</t>
  </si>
  <si>
    <t>así</t>
  </si>
  <si>
    <t>asís</t>
  </si>
  <si>
    <t>atacama</t>
  </si>
  <si>
    <t>a t a k a m a</t>
  </si>
  <si>
    <t>atakama</t>
  </si>
  <si>
    <t>atajar</t>
  </si>
  <si>
    <t>a t a x a ɾ</t>
  </si>
  <si>
    <t>bypass</t>
  </si>
  <si>
    <t>go_around</t>
  </si>
  <si>
    <t>get_around</t>
  </si>
  <si>
    <t>debar</t>
  </si>
  <si>
    <t>forefend</t>
  </si>
  <si>
    <t>forfend</t>
  </si>
  <si>
    <t>obviate</t>
  </si>
  <si>
    <t>deflect</t>
  </si>
  <si>
    <t>avert</t>
  </si>
  <si>
    <t>head_off</t>
  </si>
  <si>
    <t>stave_off</t>
  </si>
  <si>
    <t>fend_off</t>
  </si>
  <si>
    <t>ward_off</t>
  </si>
  <si>
    <t>atamán</t>
  </si>
  <si>
    <t>a t a m a n</t>
  </si>
  <si>
    <t>ataman</t>
  </si>
  <si>
    <t>tighten</t>
  </si>
  <si>
    <t>fasten</t>
  </si>
  <si>
    <t>tie_down</t>
  </si>
  <si>
    <t>tie_up</t>
  </si>
  <si>
    <t>truss</t>
  </si>
  <si>
    <t>hold_fast</t>
  </si>
  <si>
    <t>stick_to</t>
  </si>
  <si>
    <t>atara</t>
  </si>
  <si>
    <t>a t a ɾ a</t>
  </si>
  <si>
    <t>ataras</t>
  </si>
  <si>
    <t>a t a ɾ a s</t>
  </si>
  <si>
    <t>atará</t>
  </si>
  <si>
    <t>atarás</t>
  </si>
  <si>
    <t>atas</t>
  </si>
  <si>
    <t>a t a s</t>
  </si>
  <si>
    <t>atinar</t>
  </si>
  <si>
    <t>a t i n a ɾ</t>
  </si>
  <si>
    <t>infer</t>
  </si>
  <si>
    <t>atusar</t>
  </si>
  <si>
    <t>a t u s a ɾ</t>
  </si>
  <si>
    <t>arrange</t>
  </si>
  <si>
    <t>do</t>
  </si>
  <si>
    <t>coif</t>
  </si>
  <si>
    <t>coiffe</t>
  </si>
  <si>
    <t>coiffure</t>
  </si>
  <si>
    <t>atá</t>
  </si>
  <si>
    <t>atún</t>
  </si>
  <si>
    <t>añal</t>
  </si>
  <si>
    <t>a ɲ a l</t>
  </si>
  <si>
    <t>añil</t>
  </si>
  <si>
    <t>a ɲ i l</t>
  </si>
  <si>
    <t>caja</t>
  </si>
  <si>
    <t>k a x a</t>
  </si>
  <si>
    <t>box</t>
  </si>
  <si>
    <t>elevator_car</t>
  </si>
  <si>
    <t>checkout</t>
  </si>
  <si>
    <t>checkout_counter</t>
  </si>
  <si>
    <t>coffin</t>
  </si>
  <si>
    <t>sounding_board</t>
  </si>
  <si>
    <t>soundboard</t>
  </si>
  <si>
    <t>cajita</t>
  </si>
  <si>
    <t>k a x i t a</t>
  </si>
  <si>
    <t>kakita</t>
  </si>
  <si>
    <t>cajún</t>
  </si>
  <si>
    <t>k a x u n</t>
  </si>
  <si>
    <t>kakun</t>
  </si>
  <si>
    <t>Cajun</t>
  </si>
  <si>
    <t>Calla</t>
  </si>
  <si>
    <t>genus_Calla</t>
  </si>
  <si>
    <t>calaca</t>
  </si>
  <si>
    <t>k a l a k a</t>
  </si>
  <si>
    <t>kalaka</t>
  </si>
  <si>
    <t>calala</t>
  </si>
  <si>
    <t>k a l a l a</t>
  </si>
  <si>
    <t>kalala</t>
  </si>
  <si>
    <t>soak_through</t>
  </si>
  <si>
    <t>calara</t>
  </si>
  <si>
    <t>calaras</t>
  </si>
  <si>
    <t>calará</t>
  </si>
  <si>
    <t>calarás</t>
  </si>
  <si>
    <t>camarita</t>
  </si>
  <si>
    <t>k a m a ɾ i t a</t>
  </si>
  <si>
    <t>kamarita</t>
  </si>
  <si>
    <t>take_the_air</t>
  </si>
  <si>
    <t>caminata</t>
  </si>
  <si>
    <t>k a m i n a t a</t>
  </si>
  <si>
    <t>kaminata</t>
  </si>
  <si>
    <t>hiking</t>
  </si>
  <si>
    <t>walkabout</t>
  </si>
  <si>
    <t>camisa</t>
  </si>
  <si>
    <t>shirt</t>
  </si>
  <si>
    <t>camisita</t>
  </si>
  <si>
    <t>k a m i s i t a</t>
  </si>
  <si>
    <t>kamisita</t>
  </si>
  <si>
    <t>hoosegow</t>
  </si>
  <si>
    <t>hoosgow</t>
  </si>
  <si>
    <t>spout</t>
  </si>
  <si>
    <t>bandoleer</t>
  </si>
  <si>
    <t>bandolier</t>
  </si>
  <si>
    <t>canas</t>
  </si>
  <si>
    <t>k a n a s</t>
  </si>
  <si>
    <t>kanas</t>
  </si>
  <si>
    <t>cani</t>
  </si>
  <si>
    <t>canica</t>
  </si>
  <si>
    <t>k a n i k a</t>
  </si>
  <si>
    <t>kanika</t>
  </si>
  <si>
    <t>marbles</t>
  </si>
  <si>
    <t>marble</t>
  </si>
  <si>
    <t>caninas</t>
  </si>
  <si>
    <t>k a n i n a s</t>
  </si>
  <si>
    <t>kaninas</t>
  </si>
  <si>
    <t>canita</t>
  </si>
  <si>
    <t>k a n i t a</t>
  </si>
  <si>
    <t>kanita</t>
  </si>
  <si>
    <t>canícula</t>
  </si>
  <si>
    <t>Sirius</t>
  </si>
  <si>
    <t>Dog_Star</t>
  </si>
  <si>
    <t>Canicula</t>
  </si>
  <si>
    <t>Sothis</t>
  </si>
  <si>
    <t>envelope</t>
  </si>
  <si>
    <t>sterilize</t>
  </si>
  <si>
    <t>sterilise</t>
  </si>
  <si>
    <t>desex</t>
  </si>
  <si>
    <t>unsex</t>
  </si>
  <si>
    <t>desexualize</t>
  </si>
  <si>
    <t>desexualise</t>
  </si>
  <si>
    <t>capilar</t>
  </si>
  <si>
    <t>k a p i l a ɾ</t>
  </si>
  <si>
    <t>kapilar</t>
  </si>
  <si>
    <t>capilaritis</t>
  </si>
  <si>
    <t>k a p i l a ɾ i t i s</t>
  </si>
  <si>
    <t>kapilaritis</t>
  </si>
  <si>
    <t>Washington</t>
  </si>
  <si>
    <t>capitán</t>
  </si>
  <si>
    <t>police_captain</t>
  </si>
  <si>
    <t>police_chief</t>
  </si>
  <si>
    <t>guvnor</t>
  </si>
  <si>
    <t>cappa</t>
  </si>
  <si>
    <t>khakis</t>
  </si>
  <si>
    <t>caquita</t>
  </si>
  <si>
    <t>k a k i t a</t>
  </si>
  <si>
    <t>grimace</t>
  </si>
  <si>
    <t>caracas</t>
  </si>
  <si>
    <t>k a ɾ a k a s</t>
  </si>
  <si>
    <t>karakas</t>
  </si>
  <si>
    <t>caras</t>
  </si>
  <si>
    <t>k a ɾ a s</t>
  </si>
  <si>
    <t>karas</t>
  </si>
  <si>
    <t>caratular</t>
  </si>
  <si>
    <t>k a ɾ a t u l a ɾ</t>
  </si>
  <si>
    <t>karatular</t>
  </si>
  <si>
    <t>caricari</t>
  </si>
  <si>
    <t>k a ɾ i k a ɾ i</t>
  </si>
  <si>
    <t>karikari</t>
  </si>
  <si>
    <t>grotesqueness</t>
  </si>
  <si>
    <t>grotesquery</t>
  </si>
  <si>
    <t>grotesquerie</t>
  </si>
  <si>
    <t>carina</t>
  </si>
  <si>
    <t>k a ɾ i n a</t>
  </si>
  <si>
    <t>karina</t>
  </si>
  <si>
    <t>carátula</t>
  </si>
  <si>
    <t>k a ɾ a t u l a</t>
  </si>
  <si>
    <t>karatula</t>
  </si>
  <si>
    <t>diggings</t>
  </si>
  <si>
    <t>digs</t>
  </si>
  <si>
    <t>domiciliation</t>
  </si>
  <si>
    <t>lodgings</t>
  </si>
  <si>
    <t>pad</t>
  </si>
  <si>
    <t>business_firm</t>
  </si>
  <si>
    <t>manufacturer</t>
  </si>
  <si>
    <t>maker</t>
  </si>
  <si>
    <t>manufacturing_business</t>
  </si>
  <si>
    <t>casaca</t>
  </si>
  <si>
    <t>k a s a k a</t>
  </si>
  <si>
    <t>kasaka</t>
  </si>
  <si>
    <t>casan</t>
  </si>
  <si>
    <t>k a s a n</t>
  </si>
  <si>
    <t>kasan</t>
  </si>
  <si>
    <t>couple</t>
  </si>
  <si>
    <t>pair</t>
  </si>
  <si>
    <t>twin</t>
  </si>
  <si>
    <t>marry</t>
  </si>
  <si>
    <t>wed</t>
  </si>
  <si>
    <t>splice</t>
  </si>
  <si>
    <t>casara</t>
  </si>
  <si>
    <t>k a s a ɾ a</t>
  </si>
  <si>
    <t>kasara</t>
  </si>
  <si>
    <t>casaras</t>
  </si>
  <si>
    <t>k a s a ɾ a s</t>
  </si>
  <si>
    <t>kasaras</t>
  </si>
  <si>
    <t>casará</t>
  </si>
  <si>
    <t>casarás</t>
  </si>
  <si>
    <t>casas</t>
  </si>
  <si>
    <t>k a s a s</t>
  </si>
  <si>
    <t>kasas</t>
  </si>
  <si>
    <t>casi</t>
  </si>
  <si>
    <t>cassata</t>
  </si>
  <si>
    <t>catalina</t>
  </si>
  <si>
    <t>k a t a l i n a</t>
  </si>
  <si>
    <t>katalina</t>
  </si>
  <si>
    <t>cataluña</t>
  </si>
  <si>
    <t>catalán</t>
  </si>
  <si>
    <t>catalíticas</t>
  </si>
  <si>
    <t>k a t a l i t i k a s</t>
  </si>
  <si>
    <t>katalitikas</t>
  </si>
  <si>
    <t>catapum</t>
  </si>
  <si>
    <t>k a t a p u m</t>
  </si>
  <si>
    <t>katapum</t>
  </si>
  <si>
    <t>catapán</t>
  </si>
  <si>
    <t>k a t a p a n</t>
  </si>
  <si>
    <t>katapan</t>
  </si>
  <si>
    <t>sample</t>
  </si>
  <si>
    <t>try_out</t>
  </si>
  <si>
    <t>catara</t>
  </si>
  <si>
    <t>k a t a ɾ a</t>
  </si>
  <si>
    <t>katara</t>
  </si>
  <si>
    <t>cataras</t>
  </si>
  <si>
    <t>k a t a ɾ a s</t>
  </si>
  <si>
    <t>kataras</t>
  </si>
  <si>
    <t>catarata</t>
  </si>
  <si>
    <t>k a t a ɾ a t a</t>
  </si>
  <si>
    <t>katarata</t>
  </si>
  <si>
    <t>catará</t>
  </si>
  <si>
    <t>catarás</t>
  </si>
  <si>
    <t>catarí</t>
  </si>
  <si>
    <t>k a t a ɾ i</t>
  </si>
  <si>
    <t>katari</t>
  </si>
  <si>
    <t>k a t a s</t>
  </si>
  <si>
    <t>katas</t>
  </si>
  <si>
    <t>catita</t>
  </si>
  <si>
    <t>k a t i t a</t>
  </si>
  <si>
    <t>katita</t>
  </si>
  <si>
    <t>catálisis</t>
  </si>
  <si>
    <t>k a t a l i s i s</t>
  </si>
  <si>
    <t>katalisis</t>
  </si>
  <si>
    <t>caña</t>
  </si>
  <si>
    <t>cañal</t>
  </si>
  <si>
    <t>k a ɲ a l</t>
  </si>
  <si>
    <t>kañal</t>
  </si>
  <si>
    <t>cañari</t>
  </si>
  <si>
    <t>k a ɲ a ɾ i</t>
  </si>
  <si>
    <t>kañari</t>
  </si>
  <si>
    <t>cañaris</t>
  </si>
  <si>
    <t>k a ɲ a ɾ i s</t>
  </si>
  <si>
    <t>kañaris</t>
  </si>
  <si>
    <t>cañita</t>
  </si>
  <si>
    <t>k a ɲ i t a</t>
  </si>
  <si>
    <t>kañita</t>
  </si>
  <si>
    <t>cañí</t>
  </si>
  <si>
    <t>cuca</t>
  </si>
  <si>
    <t>cucapá</t>
  </si>
  <si>
    <t>k u k a p a</t>
  </si>
  <si>
    <t>kukapa</t>
  </si>
  <si>
    <t>cucuruca</t>
  </si>
  <si>
    <t>k u k u ɾ u k a</t>
  </si>
  <si>
    <t>kukuruka</t>
  </si>
  <si>
    <t>culín</t>
  </si>
  <si>
    <t>k u l i n</t>
  </si>
  <si>
    <t>kulin</t>
  </si>
  <si>
    <t>cuma</t>
  </si>
  <si>
    <t>cumarina</t>
  </si>
  <si>
    <t>k u m a ɾ i n a</t>
  </si>
  <si>
    <t>kumarina</t>
  </si>
  <si>
    <t>cumular</t>
  </si>
  <si>
    <t>k u m u l a ɾ</t>
  </si>
  <si>
    <t>kumular</t>
  </si>
  <si>
    <t>cradle</t>
  </si>
  <si>
    <t>crib</t>
  </si>
  <si>
    <t>cot</t>
  </si>
  <si>
    <t>extraction</t>
  </si>
  <si>
    <t>birthplace</t>
  </si>
  <si>
    <t>place_of_origin</t>
  </si>
  <si>
    <t>provenance</t>
  </si>
  <si>
    <t>provenience</t>
  </si>
  <si>
    <t>priest</t>
  </si>
  <si>
    <t>mend</t>
  </si>
  <si>
    <t>curita</t>
  </si>
  <si>
    <t>k u ɾ i t a</t>
  </si>
  <si>
    <t>kurita</t>
  </si>
  <si>
    <t>cusita</t>
  </si>
  <si>
    <t>k u s i t a</t>
  </si>
  <si>
    <t>kusita</t>
  </si>
  <si>
    <t>cuticular</t>
  </si>
  <si>
    <t>k u t i k u l a ɾ</t>
  </si>
  <si>
    <t>kutikular</t>
  </si>
  <si>
    <t>epidermal</t>
  </si>
  <si>
    <t>epidermic</t>
  </si>
  <si>
    <t>cutis</t>
  </si>
  <si>
    <t>k u t i s</t>
  </si>
  <si>
    <t>kutis</t>
  </si>
  <si>
    <t>dermis</t>
  </si>
  <si>
    <t>corium</t>
  </si>
  <si>
    <t>derma</t>
  </si>
  <si>
    <t>cuña</t>
  </si>
  <si>
    <t>quoin</t>
  </si>
  <si>
    <t>coign</t>
  </si>
  <si>
    <t>coigne</t>
  </si>
  <si>
    <t>cuñar</t>
  </si>
  <si>
    <t>k u ɲ a ɾ</t>
  </si>
  <si>
    <t>kuñar</t>
  </si>
  <si>
    <t>cámara</t>
  </si>
  <si>
    <t>k a m a ɾ a</t>
  </si>
  <si>
    <t>kamara</t>
  </si>
  <si>
    <t>camera</t>
  </si>
  <si>
    <t>photographic_camera</t>
  </si>
  <si>
    <t>inner_tube</t>
  </si>
  <si>
    <t>television_camera</t>
  </si>
  <si>
    <t>tv_camera</t>
  </si>
  <si>
    <t>cameraman</t>
  </si>
  <si>
    <t>camera_operator</t>
  </si>
  <si>
    <t>cinematographer</t>
  </si>
  <si>
    <t>cúcuta</t>
  </si>
  <si>
    <t>k u k u t a</t>
  </si>
  <si>
    <t>kukuta</t>
  </si>
  <si>
    <t>cúpula</t>
  </si>
  <si>
    <t>cupola</t>
  </si>
  <si>
    <t>domed_stadium</t>
  </si>
  <si>
    <t>covered_stadium</t>
  </si>
  <si>
    <t>gilí</t>
  </si>
  <si>
    <t>x i l i</t>
  </si>
  <si>
    <t>gira</t>
  </si>
  <si>
    <t>x i ɾ a</t>
  </si>
  <si>
    <t>kira</t>
  </si>
  <si>
    <t>girar</t>
  </si>
  <si>
    <t>x i ɾ a ɾ</t>
  </si>
  <si>
    <t>kirar</t>
  </si>
  <si>
    <t>move_around</t>
  </si>
  <si>
    <t>revolve</t>
  </si>
  <si>
    <t>circulate</t>
  </si>
  <si>
    <t>wheel</t>
  </si>
  <si>
    <t>wheel_around</t>
  </si>
  <si>
    <t>swivel</t>
  </si>
  <si>
    <t>spin</t>
  </si>
  <si>
    <t>spin_around</t>
  </si>
  <si>
    <t>gyrate</t>
  </si>
  <si>
    <t>whirl_around</t>
  </si>
  <si>
    <t>cheque</t>
  </si>
  <si>
    <t>check_out</t>
  </si>
  <si>
    <t>giras</t>
  </si>
  <si>
    <t>x i ɾ a s</t>
  </si>
  <si>
    <t>kiras</t>
  </si>
  <si>
    <t>gis</t>
  </si>
  <si>
    <t>x i s</t>
  </si>
  <si>
    <t>gitana</t>
  </si>
  <si>
    <t>x i t a n a</t>
  </si>
  <si>
    <t>kitana</t>
  </si>
  <si>
    <t>halita</t>
  </si>
  <si>
    <t>halite</t>
  </si>
  <si>
    <t>rock_salt</t>
  </si>
  <si>
    <t>halájica</t>
  </si>
  <si>
    <t>a l a x i k a</t>
  </si>
  <si>
    <t>alakika</t>
  </si>
  <si>
    <t>halájicas</t>
  </si>
  <si>
    <t>a l a x i k a s</t>
  </si>
  <si>
    <t>alakikas</t>
  </si>
  <si>
    <t>haraquiri</t>
  </si>
  <si>
    <t>a ɾ a k i ɾ i</t>
  </si>
  <si>
    <t>arakiri</t>
  </si>
  <si>
    <t>x a ɾ a k i ɾ i</t>
  </si>
  <si>
    <t>karakiri</t>
  </si>
  <si>
    <t>haratin</t>
  </si>
  <si>
    <t>a ɾ a t i n</t>
  </si>
  <si>
    <t>aratin</t>
  </si>
  <si>
    <t>harina</t>
  </si>
  <si>
    <t>a ɾ i n a</t>
  </si>
  <si>
    <t>arina</t>
  </si>
  <si>
    <t>oil_meal</t>
  </si>
  <si>
    <t>harissa</t>
  </si>
  <si>
    <t>x a ɾ i s a</t>
  </si>
  <si>
    <t>karisa</t>
  </si>
  <si>
    <t>hará</t>
  </si>
  <si>
    <t>harán</t>
  </si>
  <si>
    <t>harás</t>
  </si>
  <si>
    <t>hija</t>
  </si>
  <si>
    <t>hijita</t>
  </si>
  <si>
    <t>i x i t a</t>
  </si>
  <si>
    <t>ikita</t>
  </si>
  <si>
    <t>hilar</t>
  </si>
  <si>
    <t>i l a ɾ</t>
  </si>
  <si>
    <t>ilar</t>
  </si>
  <si>
    <t>hilatura</t>
  </si>
  <si>
    <t>i l a t u ɾ a</t>
  </si>
  <si>
    <t>ilatura</t>
  </si>
  <si>
    <t>x i p i</t>
  </si>
  <si>
    <t>humanas</t>
  </si>
  <si>
    <t>u m a n a s</t>
  </si>
  <si>
    <t>umanas</t>
  </si>
  <si>
    <t>humar</t>
  </si>
  <si>
    <t>u m a ɾ</t>
  </si>
  <si>
    <t>umar</t>
  </si>
  <si>
    <t>humita</t>
  </si>
  <si>
    <t>u m i t a</t>
  </si>
  <si>
    <t>umita</t>
  </si>
  <si>
    <t>hunas</t>
  </si>
  <si>
    <t>u n a s</t>
  </si>
  <si>
    <t>unas</t>
  </si>
  <si>
    <t>huracán</t>
  </si>
  <si>
    <t>u ɾ a k a n</t>
  </si>
  <si>
    <t>urakan</t>
  </si>
  <si>
    <t>huraña</t>
  </si>
  <si>
    <t>u ɾ a ɲ a</t>
  </si>
  <si>
    <t>uraña</t>
  </si>
  <si>
    <t>hurañas</t>
  </si>
  <si>
    <t>u ɾ a ɲ a s</t>
  </si>
  <si>
    <t>urañas</t>
  </si>
  <si>
    <t>hurí</t>
  </si>
  <si>
    <t>u ɾ i</t>
  </si>
  <si>
    <t>uri</t>
  </si>
  <si>
    <t>húsar</t>
  </si>
  <si>
    <t>u s a ɾ</t>
  </si>
  <si>
    <t>hussar</t>
  </si>
  <si>
    <t>ijar</t>
  </si>
  <si>
    <t>i x a ɾ</t>
  </si>
  <si>
    <t>ilita</t>
  </si>
  <si>
    <t>i l i t a</t>
  </si>
  <si>
    <t>enlighten</t>
  </si>
  <si>
    <t>edify</t>
  </si>
  <si>
    <t>imagina</t>
  </si>
  <si>
    <t>i m a x i n a</t>
  </si>
  <si>
    <t>imakina</t>
  </si>
  <si>
    <t>imaginar</t>
  </si>
  <si>
    <t>i m a x i n a ɾ</t>
  </si>
  <si>
    <t>imakinar</t>
  </si>
  <si>
    <t>think</t>
  </si>
  <si>
    <t>opine</t>
  </si>
  <si>
    <t>suppose</t>
  </si>
  <si>
    <t>imagine</t>
  </si>
  <si>
    <t>conceive_of</t>
  </si>
  <si>
    <t>ideate</t>
  </si>
  <si>
    <t>envisage</t>
  </si>
  <si>
    <t>imaginara</t>
  </si>
  <si>
    <t>i m a x i n a ɾ a</t>
  </si>
  <si>
    <t>imakinara</t>
  </si>
  <si>
    <t>imaginaras</t>
  </si>
  <si>
    <t>i m a x i n a ɾ a s</t>
  </si>
  <si>
    <t>imakinaras</t>
  </si>
  <si>
    <t>imaginará</t>
  </si>
  <si>
    <t>imaginarás</t>
  </si>
  <si>
    <t>imaginas</t>
  </si>
  <si>
    <t>i m a x i n a s</t>
  </si>
  <si>
    <t>imakinas</t>
  </si>
  <si>
    <t>imanar</t>
  </si>
  <si>
    <t>i m a n a ɾ</t>
  </si>
  <si>
    <t>spoof</t>
  </si>
  <si>
    <t>burlesque</t>
  </si>
  <si>
    <t>parody</t>
  </si>
  <si>
    <t>imán</t>
  </si>
  <si>
    <t>huff</t>
  </si>
  <si>
    <t>inhumanas</t>
  </si>
  <si>
    <t>i n u m a n a s</t>
  </si>
  <si>
    <t>inumanas</t>
  </si>
  <si>
    <t>inning</t>
  </si>
  <si>
    <t>i n i n</t>
  </si>
  <si>
    <t>inin</t>
  </si>
  <si>
    <t>ir</t>
  </si>
  <si>
    <t>i ɾ</t>
  </si>
  <si>
    <t>go_to</t>
  </si>
  <si>
    <t>get_along</t>
  </si>
  <si>
    <t>become</t>
  </si>
  <si>
    <t>iraki</t>
  </si>
  <si>
    <t>i ɾ a k i</t>
  </si>
  <si>
    <t>iraní</t>
  </si>
  <si>
    <t>i ɾ a n i</t>
  </si>
  <si>
    <t>irani</t>
  </si>
  <si>
    <t>iraqui</t>
  </si>
  <si>
    <t>iraquí</t>
  </si>
  <si>
    <t>iras</t>
  </si>
  <si>
    <t>i ɾ a s</t>
  </si>
  <si>
    <t>irán</t>
  </si>
  <si>
    <t>isaac</t>
  </si>
  <si>
    <t>i s a k</t>
  </si>
  <si>
    <t>isak</t>
  </si>
  <si>
    <t>Isis</t>
  </si>
  <si>
    <t>iñaki</t>
  </si>
  <si>
    <t>i ɲ a k i</t>
  </si>
  <si>
    <t>jaca</t>
  </si>
  <si>
    <t>jacal</t>
  </si>
  <si>
    <t>x a k a l</t>
  </si>
  <si>
    <t>kakal</t>
  </si>
  <si>
    <t>jacamará</t>
  </si>
  <si>
    <t>x a k a m a ɾ a</t>
  </si>
  <si>
    <t>kakamara</t>
  </si>
  <si>
    <t>x a x a</t>
  </si>
  <si>
    <t>jajaja</t>
  </si>
  <si>
    <t>x a x a x a</t>
  </si>
  <si>
    <t>kakaka</t>
  </si>
  <si>
    <t>jajajá</t>
  </si>
  <si>
    <t>jajá</t>
  </si>
  <si>
    <t>jalapa</t>
  </si>
  <si>
    <t>x a l a p a</t>
  </si>
  <si>
    <t>kalapa</t>
  </si>
  <si>
    <t>jalar</t>
  </si>
  <si>
    <t>x a l a ɾ</t>
  </si>
  <si>
    <t>tweak</t>
  </si>
  <si>
    <t>pull_off</t>
  </si>
  <si>
    <t>pick_off</t>
  </si>
  <si>
    <t>jalá</t>
  </si>
  <si>
    <t>jamás</t>
  </si>
  <si>
    <t>x a m a s</t>
  </si>
  <si>
    <t>kamas</t>
  </si>
  <si>
    <t>x a n i n a</t>
  </si>
  <si>
    <t>japi</t>
  </si>
  <si>
    <t>jaquir</t>
  </si>
  <si>
    <t>x a k i ɾ</t>
  </si>
  <si>
    <t>kakir</t>
  </si>
  <si>
    <t>jaquita</t>
  </si>
  <si>
    <t>x a k i t a</t>
  </si>
  <si>
    <t>jara</t>
  </si>
  <si>
    <t>x a ɾ a</t>
  </si>
  <si>
    <t>jarana</t>
  </si>
  <si>
    <t>x a ɾ a n a</t>
  </si>
  <si>
    <t>karana</t>
  </si>
  <si>
    <t>jinks</t>
  </si>
  <si>
    <t>high_jinks</t>
  </si>
  <si>
    <t>hijinks</t>
  </si>
  <si>
    <t>high_jinx</t>
  </si>
  <si>
    <t>jimar</t>
  </si>
  <si>
    <t>x i m a ɾ</t>
  </si>
  <si>
    <t>kimar</t>
  </si>
  <si>
    <t>jipijapa</t>
  </si>
  <si>
    <t>x i p i x a p a</t>
  </si>
  <si>
    <t>kipikapa</t>
  </si>
  <si>
    <t>jiñar</t>
  </si>
  <si>
    <t>x i ɲ a ɾ</t>
  </si>
  <si>
    <t>kiñar</t>
  </si>
  <si>
    <t>x u m a</t>
  </si>
  <si>
    <t>jumas</t>
  </si>
  <si>
    <t>x u m a s</t>
  </si>
  <si>
    <t>kumas</t>
  </si>
  <si>
    <t>jura</t>
  </si>
  <si>
    <t>x u ɾ a</t>
  </si>
  <si>
    <t>jurar</t>
  </si>
  <si>
    <t>x u ɾ a ɾ</t>
  </si>
  <si>
    <t>curse</t>
  </si>
  <si>
    <t>blaspheme</t>
  </si>
  <si>
    <t>swear</t>
  </si>
  <si>
    <t>imprecate</t>
  </si>
  <si>
    <t>pledge</t>
  </si>
  <si>
    <t>vow</t>
  </si>
  <si>
    <t>jáquima</t>
  </si>
  <si>
    <t>x a k i m a</t>
  </si>
  <si>
    <t>kakima</t>
  </si>
  <si>
    <t>jícama</t>
  </si>
  <si>
    <t>x i k a m a</t>
  </si>
  <si>
    <t>kikama</t>
  </si>
  <si>
    <t>jícara</t>
  </si>
  <si>
    <t>x i k a ɾ a</t>
  </si>
  <si>
    <t>kikara</t>
  </si>
  <si>
    <t>júcar</t>
  </si>
  <si>
    <t>x u k a ɾ</t>
  </si>
  <si>
    <t>kukar</t>
  </si>
  <si>
    <t>kinasa</t>
  </si>
  <si>
    <t>k i n a s a</t>
  </si>
  <si>
    <t>kunas</t>
  </si>
  <si>
    <t>k u n a s</t>
  </si>
  <si>
    <t>lacar</t>
  </si>
  <si>
    <t>l a k a ɾ</t>
  </si>
  <si>
    <t>lajas</t>
  </si>
  <si>
    <t>l a x a s</t>
  </si>
  <si>
    <t>lalar</t>
  </si>
  <si>
    <t>l a l a ɾ</t>
  </si>
  <si>
    <t>laminara</t>
  </si>
  <si>
    <t>l a m i n a ɾ a</t>
  </si>
  <si>
    <t>laminaras</t>
  </si>
  <si>
    <t>l a m i n a ɾ a s</t>
  </si>
  <si>
    <t>laminará</t>
  </si>
  <si>
    <t>laminarás</t>
  </si>
  <si>
    <t>laminas</t>
  </si>
  <si>
    <t>l a m i n a s</t>
  </si>
  <si>
    <t>lapita</t>
  </si>
  <si>
    <t>l a p i t a</t>
  </si>
  <si>
    <t>lara</t>
  </si>
  <si>
    <t>l a ɾ a</t>
  </si>
  <si>
    <t>lasaña</t>
  </si>
  <si>
    <t>l a s a ɲ a</t>
  </si>
  <si>
    <t>lasagna</t>
  </si>
  <si>
    <t>lasagne</t>
  </si>
  <si>
    <t>fuddy-duddy</t>
  </si>
  <si>
    <t>latinar</t>
  </si>
  <si>
    <t>l a t i n a ɾ</t>
  </si>
  <si>
    <t>latinara</t>
  </si>
  <si>
    <t>l a t i n a ɾ a</t>
  </si>
  <si>
    <t>latinaras</t>
  </si>
  <si>
    <t>l a t i n a ɾ a s</t>
  </si>
  <si>
    <t>latinará</t>
  </si>
  <si>
    <t>latinarás</t>
  </si>
  <si>
    <t>latinas</t>
  </si>
  <si>
    <t>l a t i n a s</t>
  </si>
  <si>
    <t>pound</t>
  </si>
  <si>
    <t>latita</t>
  </si>
  <si>
    <t>l a t i t a</t>
  </si>
  <si>
    <t>latín</t>
  </si>
  <si>
    <t>leasing</t>
  </si>
  <si>
    <t>l i s i n</t>
  </si>
  <si>
    <t>lisin</t>
  </si>
  <si>
    <t>lija</t>
  </si>
  <si>
    <t>lijar</t>
  </si>
  <si>
    <t>l i x a ɾ</t>
  </si>
  <si>
    <t>sandpaper</t>
  </si>
  <si>
    <t>limar</t>
  </si>
  <si>
    <t>l i m a ɾ</t>
  </si>
  <si>
    <t>liminar</t>
  </si>
  <si>
    <t>l i m i n a ɾ</t>
  </si>
  <si>
    <t>limusina</t>
  </si>
  <si>
    <t>l i m u s i n a</t>
  </si>
  <si>
    <t>lipasa</t>
  </si>
  <si>
    <t>l i p a s a</t>
  </si>
  <si>
    <t>lipase</t>
  </si>
  <si>
    <t>lipá</t>
  </si>
  <si>
    <t>rabies</t>
  </si>
  <si>
    <t>hydrophobia</t>
  </si>
  <si>
    <t>lyssa</t>
  </si>
  <si>
    <t>madness</t>
  </si>
  <si>
    <t>lisar</t>
  </si>
  <si>
    <t>l i s a ɾ</t>
  </si>
  <si>
    <t>lisura</t>
  </si>
  <si>
    <t>l i s u ɾ a</t>
  </si>
  <si>
    <t>lucas</t>
  </si>
  <si>
    <t>l u k a s</t>
  </si>
  <si>
    <t>lukas</t>
  </si>
  <si>
    <t>luminar</t>
  </si>
  <si>
    <t>l u m i n a ɾ</t>
  </si>
  <si>
    <t>Luna</t>
  </si>
  <si>
    <t>lupita</t>
  </si>
  <si>
    <t>l u p i t a</t>
  </si>
  <si>
    <t>lusitana</t>
  </si>
  <si>
    <t>l u s i t a n a</t>
  </si>
  <si>
    <t>lámina</t>
  </si>
  <si>
    <t>lápita</t>
  </si>
  <si>
    <t>líticas</t>
  </si>
  <si>
    <t>l i t i k a s</t>
  </si>
  <si>
    <t>litikas</t>
  </si>
  <si>
    <t>lúcuma</t>
  </si>
  <si>
    <t>l u k u m a</t>
  </si>
  <si>
    <t>lukuma</t>
  </si>
  <si>
    <t>m'ija</t>
  </si>
  <si>
    <t>macaca</t>
  </si>
  <si>
    <t>m a k a k a</t>
  </si>
  <si>
    <t>makaka</t>
  </si>
  <si>
    <t>macal</t>
  </si>
  <si>
    <t>m a k a l</t>
  </si>
  <si>
    <t>makal</t>
  </si>
  <si>
    <t>macana</t>
  </si>
  <si>
    <t>m a k a n a</t>
  </si>
  <si>
    <t>macas</t>
  </si>
  <si>
    <t>m a k a s</t>
  </si>
  <si>
    <t>makas</t>
  </si>
  <si>
    <t>macati</t>
  </si>
  <si>
    <t>m a k a t i</t>
  </si>
  <si>
    <t>makati</t>
  </si>
  <si>
    <t>macá</t>
  </si>
  <si>
    <t>Maja</t>
  </si>
  <si>
    <t>genus_Maja</t>
  </si>
  <si>
    <t>Maia</t>
  </si>
  <si>
    <t>genus_Maia</t>
  </si>
  <si>
    <t>majar</t>
  </si>
  <si>
    <t>m a x a ɾ</t>
  </si>
  <si>
    <t>makar</t>
  </si>
  <si>
    <t>majas</t>
  </si>
  <si>
    <t>m a x a s</t>
  </si>
  <si>
    <t>imperfectly</t>
  </si>
  <si>
    <t>amiss</t>
  </si>
  <si>
    <t>malacara</t>
  </si>
  <si>
    <t>m a l a k a ɾ a</t>
  </si>
  <si>
    <t>malakara</t>
  </si>
  <si>
    <t>malasaña</t>
  </si>
  <si>
    <t>m a l a s a ɲ a</t>
  </si>
  <si>
    <t>malí</t>
  </si>
  <si>
    <t>suckle</t>
  </si>
  <si>
    <t>mamas</t>
  </si>
  <si>
    <t>m a m a s</t>
  </si>
  <si>
    <t>mamila</t>
  </si>
  <si>
    <t>m a m i l a</t>
  </si>
  <si>
    <t>mamilar</t>
  </si>
  <si>
    <t>m a m i l a ɾ</t>
  </si>
  <si>
    <t>manatí</t>
  </si>
  <si>
    <t>m a n a t i</t>
  </si>
  <si>
    <t>manati</t>
  </si>
  <si>
    <t>keep_in_line</t>
  </si>
  <si>
    <t>finagle</t>
  </si>
  <si>
    <t>manipulara</t>
  </si>
  <si>
    <t>m a n i p u l a ɾ a</t>
  </si>
  <si>
    <t>manipularas</t>
  </si>
  <si>
    <t>m a n i p u l a ɾ a s</t>
  </si>
  <si>
    <t>manipulará</t>
  </si>
  <si>
    <t>manipularás</t>
  </si>
  <si>
    <t>manipulas</t>
  </si>
  <si>
    <t>m a n i p u l a s</t>
  </si>
  <si>
    <t>manita</t>
  </si>
  <si>
    <t>m a n i t a</t>
  </si>
  <si>
    <t>maná</t>
  </si>
  <si>
    <t>maní</t>
  </si>
  <si>
    <t>maquila</t>
  </si>
  <si>
    <t>m a k i l a</t>
  </si>
  <si>
    <t>maquilar</t>
  </si>
  <si>
    <t>m a k i l a ɾ</t>
  </si>
  <si>
    <t>makilar</t>
  </si>
  <si>
    <t>maquinal</t>
  </si>
  <si>
    <t>m a k i n a l</t>
  </si>
  <si>
    <t>makinal</t>
  </si>
  <si>
    <t>maquinar</t>
  </si>
  <si>
    <t>m a k i n a ɾ</t>
  </si>
  <si>
    <t>makinar</t>
  </si>
  <si>
    <t>trump_up</t>
  </si>
  <si>
    <t>concoct</t>
  </si>
  <si>
    <t>maquinita</t>
  </si>
  <si>
    <t>m a k i n i t a</t>
  </si>
  <si>
    <t>makinita</t>
  </si>
  <si>
    <t>maraña</t>
  </si>
  <si>
    <t>m a ɾ a ɲ a</t>
  </si>
  <si>
    <t>tangle</t>
  </si>
  <si>
    <t>maze</t>
  </si>
  <si>
    <t>marañas</t>
  </si>
  <si>
    <t>m a ɾ a ɲ a s</t>
  </si>
  <si>
    <t>maricas</t>
  </si>
  <si>
    <t>m a ɾ i k a s</t>
  </si>
  <si>
    <t>marikas</t>
  </si>
  <si>
    <t>marinas</t>
  </si>
  <si>
    <t>m a ɾ i n a s</t>
  </si>
  <si>
    <t>mariquita</t>
  </si>
  <si>
    <t>m a ɾ i k i t a</t>
  </si>
  <si>
    <t>marikita</t>
  </si>
  <si>
    <t>marín</t>
  </si>
  <si>
    <t>m a ɾ i n</t>
  </si>
  <si>
    <t>marin</t>
  </si>
  <si>
    <t>masas</t>
  </si>
  <si>
    <t>m a s a s</t>
  </si>
  <si>
    <t>matacán</t>
  </si>
  <si>
    <t>m a t a k a n</t>
  </si>
  <si>
    <t>matakan</t>
  </si>
  <si>
    <t>matan</t>
  </si>
  <si>
    <t>m a t a n</t>
  </si>
  <si>
    <t>m a t a s</t>
  </si>
  <si>
    <t>matutinas</t>
  </si>
  <si>
    <t>m a t u t i n a s</t>
  </si>
  <si>
    <t>mañana</t>
  </si>
  <si>
    <t>m a ɲ a n a</t>
  </si>
  <si>
    <t>tomorrow</t>
  </si>
  <si>
    <t>mañas</t>
  </si>
  <si>
    <t>m a ɲ a s</t>
  </si>
  <si>
    <t>army_officer</t>
  </si>
  <si>
    <t>militara</t>
  </si>
  <si>
    <t>m i l i t a ɾ a</t>
  </si>
  <si>
    <t>militaras</t>
  </si>
  <si>
    <t>m i l i t a ɾ a s</t>
  </si>
  <si>
    <t>militará</t>
  </si>
  <si>
    <t>militarás</t>
  </si>
  <si>
    <t>militas</t>
  </si>
  <si>
    <t>m i l i t a s</t>
  </si>
  <si>
    <t>mimar</t>
  </si>
  <si>
    <t>m i m a ɾ</t>
  </si>
  <si>
    <t>dandle</t>
  </si>
  <si>
    <t>canoodle</t>
  </si>
  <si>
    <t>overprotect</t>
  </si>
  <si>
    <t>treasure_house</t>
  </si>
  <si>
    <t>cavern</t>
  </si>
  <si>
    <t>cavern_out</t>
  </si>
  <si>
    <t>miniluna</t>
  </si>
  <si>
    <t>m i n i l u n a</t>
  </si>
  <si>
    <t>minita</t>
  </si>
  <si>
    <t>m i n i t a</t>
  </si>
  <si>
    <t>misisipí</t>
  </si>
  <si>
    <t>misita</t>
  </si>
  <si>
    <t>m i s i t a</t>
  </si>
  <si>
    <t>misuri</t>
  </si>
  <si>
    <t>m i s u ɾ i</t>
  </si>
  <si>
    <t>mitín</t>
  </si>
  <si>
    <t>mugir</t>
  </si>
  <si>
    <t>m u x i ɾ</t>
  </si>
  <si>
    <t>mukir</t>
  </si>
  <si>
    <t>mulata</t>
  </si>
  <si>
    <t>m u l a t a</t>
  </si>
  <si>
    <t>mulatas</t>
  </si>
  <si>
    <t>m u l a t a s</t>
  </si>
  <si>
    <t>mulita</t>
  </si>
  <si>
    <t>m u l i t a</t>
  </si>
  <si>
    <t>mulá</t>
  </si>
  <si>
    <t>Musa</t>
  </si>
  <si>
    <t>genus_Musa</t>
  </si>
  <si>
    <t>musaraña</t>
  </si>
  <si>
    <t>m u s a ɾ a ɲ a</t>
  </si>
  <si>
    <t>musical</t>
  </si>
  <si>
    <t>m u s i k a l</t>
  </si>
  <si>
    <t>musikal</t>
  </si>
  <si>
    <t>mutilar</t>
  </si>
  <si>
    <t>m u t i l a ɾ</t>
  </si>
  <si>
    <t>mutis</t>
  </si>
  <si>
    <t>m u t i s</t>
  </si>
  <si>
    <t>muña</t>
  </si>
  <si>
    <t>m u ɲ a</t>
  </si>
  <si>
    <t>mácula</t>
  </si>
  <si>
    <t>mágica</t>
  </si>
  <si>
    <t>m a x i k a</t>
  </si>
  <si>
    <t>makika</t>
  </si>
  <si>
    <t>más</t>
  </si>
  <si>
    <t>mí</t>
  </si>
  <si>
    <t>mímicas</t>
  </si>
  <si>
    <t>m i m i k a s</t>
  </si>
  <si>
    <t>mimikas</t>
  </si>
  <si>
    <t>mínimas</t>
  </si>
  <si>
    <t>m i n i m a s</t>
  </si>
  <si>
    <t>minimas</t>
  </si>
  <si>
    <t>mínimum</t>
  </si>
  <si>
    <t>m i n i m u m</t>
  </si>
  <si>
    <t>múnich</t>
  </si>
  <si>
    <t>música</t>
  </si>
  <si>
    <t>m u s i k a</t>
  </si>
  <si>
    <t>musika</t>
  </si>
  <si>
    <t>euphony</t>
  </si>
  <si>
    <t>nacas</t>
  </si>
  <si>
    <t>nacatamal</t>
  </si>
  <si>
    <t>n a k a t a m a l</t>
  </si>
  <si>
    <t>nakatamal</t>
  </si>
  <si>
    <t>najasa</t>
  </si>
  <si>
    <t>n a x a s a</t>
  </si>
  <si>
    <t>nakasa</t>
  </si>
  <si>
    <t>narinas</t>
  </si>
  <si>
    <t>n a ɾ i n a s</t>
  </si>
  <si>
    <t>nasal</t>
  </si>
  <si>
    <t>n a s a l</t>
  </si>
  <si>
    <t>rhinal</t>
  </si>
  <si>
    <t>narial</t>
  </si>
  <si>
    <t>natan</t>
  </si>
  <si>
    <t>n a t a n</t>
  </si>
  <si>
    <t>natán</t>
  </si>
  <si>
    <t>niña</t>
  </si>
  <si>
    <t>n i ɲ a</t>
  </si>
  <si>
    <t>female_child</t>
  </si>
  <si>
    <t>little_girl</t>
  </si>
  <si>
    <t>ny</t>
  </si>
  <si>
    <t>New_York</t>
  </si>
  <si>
    <t>New_York_State</t>
  </si>
  <si>
    <t>Empire_State</t>
  </si>
  <si>
    <t>NY</t>
  </si>
  <si>
    <t>ná</t>
  </si>
  <si>
    <t>nácar</t>
  </si>
  <si>
    <t>n a k a ɾ</t>
  </si>
  <si>
    <t>nakar</t>
  </si>
  <si>
    <t>mother-of-pearl</t>
  </si>
  <si>
    <t>nacre</t>
  </si>
  <si>
    <t>nácara</t>
  </si>
  <si>
    <t>n a k a ɾ a</t>
  </si>
  <si>
    <t>nakara</t>
  </si>
  <si>
    <t>núcula</t>
  </si>
  <si>
    <t>n u k u l a</t>
  </si>
  <si>
    <t>nukula</t>
  </si>
  <si>
    <t>Pennsylvania</t>
  </si>
  <si>
    <t>Keystone_State</t>
  </si>
  <si>
    <t>PA</t>
  </si>
  <si>
    <t>pa'l</t>
  </si>
  <si>
    <t>pagina</t>
  </si>
  <si>
    <t>p a x i n a</t>
  </si>
  <si>
    <t>jacking_off</t>
  </si>
  <si>
    <t>jerking_off</t>
  </si>
  <si>
    <t>hand_job</t>
  </si>
  <si>
    <t>wank</t>
  </si>
  <si>
    <t>pajarita</t>
  </si>
  <si>
    <t>p a x a ɾ i t a</t>
  </si>
  <si>
    <t>pakarita</t>
  </si>
  <si>
    <t>shoulder_flash</t>
  </si>
  <si>
    <t>palín</t>
  </si>
  <si>
    <t>p a l i n</t>
  </si>
  <si>
    <t>palin</t>
  </si>
  <si>
    <t>pamir</t>
  </si>
  <si>
    <t>p a m i ɾ</t>
  </si>
  <si>
    <t>chimpanzee</t>
  </si>
  <si>
    <t>chimp</t>
  </si>
  <si>
    <t>Pan_troglodytes</t>
  </si>
  <si>
    <t>paniculitis</t>
  </si>
  <si>
    <t>p a n i k u l i t i s</t>
  </si>
  <si>
    <t>panikulitis</t>
  </si>
  <si>
    <t>panícula</t>
  </si>
  <si>
    <t>p a n i k u l a</t>
  </si>
  <si>
    <t>panikula</t>
  </si>
  <si>
    <t>panicle</t>
  </si>
  <si>
    <t>papalisa</t>
  </si>
  <si>
    <t>p a p a l i s a</t>
  </si>
  <si>
    <t>papas</t>
  </si>
  <si>
    <t>p a p a s</t>
  </si>
  <si>
    <t>papila</t>
  </si>
  <si>
    <t>p a p i l a</t>
  </si>
  <si>
    <t>papilar</t>
  </si>
  <si>
    <t>p a p i l a ɾ</t>
  </si>
  <si>
    <t>papillary</t>
  </si>
  <si>
    <t>papillose</t>
  </si>
  <si>
    <t>papisa</t>
  </si>
  <si>
    <t>p a p i s a</t>
  </si>
  <si>
    <t>papá</t>
  </si>
  <si>
    <t>p a ɾ</t>
  </si>
  <si>
    <t>twosome</t>
  </si>
  <si>
    <t>twain</t>
  </si>
  <si>
    <t>span</t>
  </si>
  <si>
    <t>couplet</t>
  </si>
  <si>
    <t>distich</t>
  </si>
  <si>
    <t>duo</t>
  </si>
  <si>
    <t>duet</t>
  </si>
  <si>
    <t>dyad</t>
  </si>
  <si>
    <t>duad</t>
  </si>
  <si>
    <t>para</t>
  </si>
  <si>
    <t>p a ɾ a</t>
  </si>
  <si>
    <t>paralíticas</t>
  </si>
  <si>
    <t>p a ɾ a l i t i k a s</t>
  </si>
  <si>
    <t>paralitikas</t>
  </si>
  <si>
    <t>paramara</t>
  </si>
  <si>
    <t>p a ɾ a m a ɾ a</t>
  </si>
  <si>
    <t>paramilitar</t>
  </si>
  <si>
    <t>p a ɾ a m i l i t a ɾ</t>
  </si>
  <si>
    <t>paramilitary</t>
  </si>
  <si>
    <t>paramilitary_force</t>
  </si>
  <si>
    <t>paramilitary_unit</t>
  </si>
  <si>
    <t>paramilitary_organization</t>
  </si>
  <si>
    <t>paramilitary_organisation</t>
  </si>
  <si>
    <t>paranasal</t>
  </si>
  <si>
    <t>p a ɾ a n a s a l</t>
  </si>
  <si>
    <t>paraná</t>
  </si>
  <si>
    <t>p a ɾ a n a</t>
  </si>
  <si>
    <t>parana</t>
  </si>
  <si>
    <t>Parana</t>
  </si>
  <si>
    <t>Parana_River</t>
  </si>
  <si>
    <t>parry</t>
  </si>
  <si>
    <t>parara</t>
  </si>
  <si>
    <t>p a ɾ a ɾ a</t>
  </si>
  <si>
    <t>pararas</t>
  </si>
  <si>
    <t>p a ɾ a ɾ a s</t>
  </si>
  <si>
    <t>parará</t>
  </si>
  <si>
    <t>pararás</t>
  </si>
  <si>
    <t>parasita</t>
  </si>
  <si>
    <t>p a ɾ a s i t a</t>
  </si>
  <si>
    <t>parasitar</t>
  </si>
  <si>
    <t>p a ɾ a s i t a ɾ</t>
  </si>
  <si>
    <t>parasitas</t>
  </si>
  <si>
    <t>p a ɾ a s i t a s</t>
  </si>
  <si>
    <t>parasitás</t>
  </si>
  <si>
    <t>parásita</t>
  </si>
  <si>
    <t>parásitas</t>
  </si>
  <si>
    <t>pasanaku</t>
  </si>
  <si>
    <t>p a s a n a k u</t>
  </si>
  <si>
    <t>recrudesce</t>
  </si>
  <si>
    <t>distribute</t>
  </si>
  <si>
    <t>give_out</t>
  </si>
  <si>
    <t>hand_out</t>
  </si>
  <si>
    <t>pass_out</t>
  </si>
  <si>
    <t>drop_by</t>
  </si>
  <si>
    <t>drop_in</t>
  </si>
  <si>
    <t>come_by</t>
  </si>
  <si>
    <t>pasita</t>
  </si>
  <si>
    <t>p a s i t a</t>
  </si>
  <si>
    <t>animal_leg</t>
  </si>
  <si>
    <t>patana</t>
  </si>
  <si>
    <t>p a t a n a</t>
  </si>
  <si>
    <t>patatús</t>
  </si>
  <si>
    <t>p a t a t u s</t>
  </si>
  <si>
    <t>patatus</t>
  </si>
  <si>
    <t>patinar</t>
  </si>
  <si>
    <t>p a t i n a ɾ</t>
  </si>
  <si>
    <t>patí</t>
  </si>
  <si>
    <t>patín</t>
  </si>
  <si>
    <t>pañal</t>
  </si>
  <si>
    <t>p a ɲ a l</t>
  </si>
  <si>
    <t>pañil</t>
  </si>
  <si>
    <t>p a ɲ i l</t>
  </si>
  <si>
    <t>pañí</t>
  </si>
  <si>
    <t>clock_in</t>
  </si>
  <si>
    <t>punch_in</t>
  </si>
  <si>
    <t>clock_on</t>
  </si>
  <si>
    <t>chip_off</t>
  </si>
  <si>
    <t>hype_up</t>
  </si>
  <si>
    <t>psych_up</t>
  </si>
  <si>
    <t>tickle</t>
  </si>
  <si>
    <t>vibrate</t>
  </si>
  <si>
    <t>picara</t>
  </si>
  <si>
    <t>p i k a ɾ a</t>
  </si>
  <si>
    <t>pikara</t>
  </si>
  <si>
    <t>picaras</t>
  </si>
  <si>
    <t>p i k a ɾ a s</t>
  </si>
  <si>
    <t>pikaras</t>
  </si>
  <si>
    <t>picará</t>
  </si>
  <si>
    <t>picarás</t>
  </si>
  <si>
    <t>picas</t>
  </si>
  <si>
    <t>p i k a s</t>
  </si>
  <si>
    <t>pikas</t>
  </si>
  <si>
    <t>p i x a</t>
  </si>
  <si>
    <t>pijama</t>
  </si>
  <si>
    <t>p i x a m a</t>
  </si>
  <si>
    <t>pikama</t>
  </si>
  <si>
    <t>pilila</t>
  </si>
  <si>
    <t>p i l i l a</t>
  </si>
  <si>
    <t>pimas</t>
  </si>
  <si>
    <t>p i m a s</t>
  </si>
  <si>
    <t>pipis</t>
  </si>
  <si>
    <t>p i p i s</t>
  </si>
  <si>
    <t>pipí</t>
  </si>
  <si>
    <t>corsair</t>
  </si>
  <si>
    <t>Barbary_pirate</t>
  </si>
  <si>
    <t>piratas</t>
  </si>
  <si>
    <t>p i ɾ a t a s</t>
  </si>
  <si>
    <t>piripi</t>
  </si>
  <si>
    <t>p i ɾ i p i</t>
  </si>
  <si>
    <t>pirita</t>
  </si>
  <si>
    <t>p i ɾ i t a</t>
  </si>
  <si>
    <t>piruja</t>
  </si>
  <si>
    <t>p i ɾ u x a</t>
  </si>
  <si>
    <t>piruka</t>
  </si>
  <si>
    <t>pirulí</t>
  </si>
  <si>
    <t>p i ɾ u l i</t>
  </si>
  <si>
    <t>piruli</t>
  </si>
  <si>
    <t>trample</t>
  </si>
  <si>
    <t>tramp_down</t>
  </si>
  <si>
    <t>tread_down</t>
  </si>
  <si>
    <t>pisara</t>
  </si>
  <si>
    <t>p i s a ɾ a</t>
  </si>
  <si>
    <t>pisaras</t>
  </si>
  <si>
    <t>p i s a ɾ a s</t>
  </si>
  <si>
    <t>pisará</t>
  </si>
  <si>
    <t>pisarás</t>
  </si>
  <si>
    <t>pisas</t>
  </si>
  <si>
    <t>p i s a s</t>
  </si>
  <si>
    <t>psi</t>
  </si>
  <si>
    <t>psiquis</t>
  </si>
  <si>
    <t>s i k i s</t>
  </si>
  <si>
    <t>sikis</t>
  </si>
  <si>
    <t>pujar</t>
  </si>
  <si>
    <t>p u x a ɾ</t>
  </si>
  <si>
    <t>pukar</t>
  </si>
  <si>
    <t>overbear</t>
  </si>
  <si>
    <t>pum</t>
  </si>
  <si>
    <t>p u m</t>
  </si>
  <si>
    <t>p u n a</t>
  </si>
  <si>
    <t>pupilar</t>
  </si>
  <si>
    <t>p u p i l a ɾ</t>
  </si>
  <si>
    <t>pupusa</t>
  </si>
  <si>
    <t>p u p u s a</t>
  </si>
  <si>
    <t>purina</t>
  </si>
  <si>
    <t>p u ɾ i n a</t>
  </si>
  <si>
    <t>puritanas</t>
  </si>
  <si>
    <t>p u ɾ i t a n a s</t>
  </si>
  <si>
    <t>putún</t>
  </si>
  <si>
    <t>p u t u n</t>
  </si>
  <si>
    <t>putun</t>
  </si>
  <si>
    <t>knife_fight</t>
  </si>
  <si>
    <t>snickersnee</t>
  </si>
  <si>
    <t>cut-and-thrust</t>
  </si>
  <si>
    <t>página</t>
  </si>
  <si>
    <t>pájara</t>
  </si>
  <si>
    <t>p a x a ɾ a</t>
  </si>
  <si>
    <t>pakara</t>
  </si>
  <si>
    <t>pátina</t>
  </si>
  <si>
    <t>pínula</t>
  </si>
  <si>
    <t>p i n u l a</t>
  </si>
  <si>
    <t>pinula</t>
  </si>
  <si>
    <t>pítima</t>
  </si>
  <si>
    <t>p i t i m a</t>
  </si>
  <si>
    <t>pitima</t>
  </si>
  <si>
    <t>quija</t>
  </si>
  <si>
    <t>quilatar</t>
  </si>
  <si>
    <t>k i l a t a ɾ</t>
  </si>
  <si>
    <t>kilatar</t>
  </si>
  <si>
    <t>quinasa</t>
  </si>
  <si>
    <t>kinase</t>
  </si>
  <si>
    <t>quinimil</t>
  </si>
  <si>
    <t>k i n i m i l</t>
  </si>
  <si>
    <t>kinimil</t>
  </si>
  <si>
    <t>quiquiriquí</t>
  </si>
  <si>
    <t>k i k i ɾ i k i</t>
  </si>
  <si>
    <t>kikiriki</t>
  </si>
  <si>
    <t>quiral</t>
  </si>
  <si>
    <t>k i ɾ a l</t>
  </si>
  <si>
    <t>kiral</t>
  </si>
  <si>
    <t>detract</t>
  </si>
  <si>
    <t>wash_away</t>
  </si>
  <si>
    <t>subtract</t>
  </si>
  <si>
    <t>deduct</t>
  </si>
  <si>
    <t>take_off</t>
  </si>
  <si>
    <t>wipe</t>
  </si>
  <si>
    <t>pass_over</t>
  </si>
  <si>
    <t>expropriate</t>
  </si>
  <si>
    <t>draw_off</t>
  </si>
  <si>
    <t>saca</t>
  </si>
  <si>
    <t>expectorate</t>
  </si>
  <si>
    <t>clear_out</t>
  </si>
  <si>
    <t>drive_out</t>
  </si>
  <si>
    <t>serve</t>
  </si>
  <si>
    <t>face_off</t>
  </si>
  <si>
    <t>bully_off</t>
  </si>
  <si>
    <t>quarry</t>
  </si>
  <si>
    <t>scoop_out</t>
  </si>
  <si>
    <t>dig_out</t>
  </si>
  <si>
    <t>let_out</t>
  </si>
  <si>
    <t>dislodge</t>
  </si>
  <si>
    <t>uproot</t>
  </si>
  <si>
    <t>extirpate</t>
  </si>
  <si>
    <t>deracinate</t>
  </si>
  <si>
    <t>root_out</t>
  </si>
  <si>
    <t>educe</t>
  </si>
  <si>
    <t>elicit</t>
  </si>
  <si>
    <t>extort</t>
  </si>
  <si>
    <t>wring_from</t>
  </si>
  <si>
    <t>extrude</t>
  </si>
  <si>
    <t>squeeze_out</t>
  </si>
  <si>
    <t>push_out</t>
  </si>
  <si>
    <t>obtrude</t>
  </si>
  <si>
    <t>thrust_out</t>
  </si>
  <si>
    <t>push_aside</t>
  </si>
  <si>
    <t>push_away</t>
  </si>
  <si>
    <t>derive</t>
  </si>
  <si>
    <t>sagital</t>
  </si>
  <si>
    <t>s a x i t a l</t>
  </si>
  <si>
    <t>sakital</t>
  </si>
  <si>
    <t>saja</t>
  </si>
  <si>
    <t>sajar</t>
  </si>
  <si>
    <t>s a x a ɾ</t>
  </si>
  <si>
    <t>incise</t>
  </si>
  <si>
    <t>s a l a s</t>
  </si>
  <si>
    <t>salir</t>
  </si>
  <si>
    <t>s a l i ɾ</t>
  </si>
  <si>
    <t>go_off</t>
  </si>
  <si>
    <t>go_over</t>
  </si>
  <si>
    <t>strike_out</t>
  </si>
  <si>
    <t>come_on</t>
  </si>
  <si>
    <t>turn_up</t>
  </si>
  <si>
    <t>show_up</t>
  </si>
  <si>
    <t>emerge</t>
  </si>
  <si>
    <t>come_forth</t>
  </si>
  <si>
    <t>egress</t>
  </si>
  <si>
    <t>break_through</t>
  </si>
  <si>
    <t>push_through</t>
  </si>
  <si>
    <t>out</t>
  </si>
  <si>
    <t>gush</t>
  </si>
  <si>
    <t>go_out</t>
  </si>
  <si>
    <t>come_up</t>
  </si>
  <si>
    <t>uprise</t>
  </si>
  <si>
    <t>ascend</t>
  </si>
  <si>
    <t>sidetrack</t>
  </si>
  <si>
    <t>depart</t>
  </si>
  <si>
    <t>digress</t>
  </si>
  <si>
    <t>straggle</t>
  </si>
  <si>
    <t>log_out</t>
  </si>
  <si>
    <t>log_off</t>
  </si>
  <si>
    <t>go_steady</t>
  </si>
  <si>
    <t>s a l u n</t>
  </si>
  <si>
    <t>salun</t>
  </si>
  <si>
    <t>salú</t>
  </si>
  <si>
    <t>samaní</t>
  </si>
  <si>
    <t>s a m a n i</t>
  </si>
  <si>
    <t>samani</t>
  </si>
  <si>
    <t>sanas</t>
  </si>
  <si>
    <t>s a n a s</t>
  </si>
  <si>
    <t>sara</t>
  </si>
  <si>
    <t>s a ɾ a</t>
  </si>
  <si>
    <t>Sarah</t>
  </si>
  <si>
    <t>sari</t>
  </si>
  <si>
    <t>s a ɾ i</t>
  </si>
  <si>
    <t>satanás</t>
  </si>
  <si>
    <t>saturara</t>
  </si>
  <si>
    <t>s a t u ɾ a ɾ a</t>
  </si>
  <si>
    <t>saturaras</t>
  </si>
  <si>
    <t>s a t u ɾ a ɾ a s</t>
  </si>
  <si>
    <t>saturará</t>
  </si>
  <si>
    <t>saturarás</t>
  </si>
  <si>
    <t>saturas</t>
  </si>
  <si>
    <t>s a t u ɾ a s</t>
  </si>
  <si>
    <t>satán</t>
  </si>
  <si>
    <t>saña</t>
  </si>
  <si>
    <t>s a ɲ a</t>
  </si>
  <si>
    <t>schumann</t>
  </si>
  <si>
    <t>sigilar</t>
  </si>
  <si>
    <t>s i x i l a ɾ</t>
  </si>
  <si>
    <t>sikilar</t>
  </si>
  <si>
    <t>sij</t>
  </si>
  <si>
    <t>simas</t>
  </si>
  <si>
    <t>s i m a s</t>
  </si>
  <si>
    <t>reenact</t>
  </si>
  <si>
    <t>simún</t>
  </si>
  <si>
    <t>sinusitis</t>
  </si>
  <si>
    <t>s i n u s i t i s</t>
  </si>
  <si>
    <t>sipi</t>
  </si>
  <si>
    <t>s i p i</t>
  </si>
  <si>
    <t>sirimiri</t>
  </si>
  <si>
    <t>s i ɾ i m i ɾ i</t>
  </si>
  <si>
    <t>sisas</t>
  </si>
  <si>
    <t>s i s a s</t>
  </si>
  <si>
    <t>sumas</t>
  </si>
  <si>
    <t>s u m a s</t>
  </si>
  <si>
    <t>sunamita</t>
  </si>
  <si>
    <t>s u n a m i t a</t>
  </si>
  <si>
    <t>sunita</t>
  </si>
  <si>
    <t>s u n i t a</t>
  </si>
  <si>
    <t>suní</t>
  </si>
  <si>
    <t>supurar</t>
  </si>
  <si>
    <t>s u p u ɾ a ɾ</t>
  </si>
  <si>
    <t>fester</t>
  </si>
  <si>
    <t>maturate</t>
  </si>
  <si>
    <t>suppurate</t>
  </si>
  <si>
    <t>eat_into</t>
  </si>
  <si>
    <t>rankle</t>
  </si>
  <si>
    <t>sur</t>
  </si>
  <si>
    <t>s u ɾ</t>
  </si>
  <si>
    <t>southland</t>
  </si>
  <si>
    <t>due_south</t>
  </si>
  <si>
    <t>southward</t>
  </si>
  <si>
    <t>S</t>
  </si>
  <si>
    <t>sural</t>
  </si>
  <si>
    <t>s u ɾ a l</t>
  </si>
  <si>
    <t>Sus</t>
  </si>
  <si>
    <t>genus_Sus</t>
  </si>
  <si>
    <t>susana</t>
  </si>
  <si>
    <t>s u s a n a</t>
  </si>
  <si>
    <t>insidious</t>
  </si>
  <si>
    <t>pernicious</t>
  </si>
  <si>
    <t>subtle</t>
  </si>
  <si>
    <t>elusive</t>
  </si>
  <si>
    <t>sutural</t>
  </si>
  <si>
    <t>s u t u ɾ a l</t>
  </si>
  <si>
    <t>suturas</t>
  </si>
  <si>
    <t>s u t u ɾ a s</t>
  </si>
  <si>
    <t>síp</t>
  </si>
  <si>
    <t>tacaña</t>
  </si>
  <si>
    <t>t a k a ɲ a</t>
  </si>
  <si>
    <t>takaña</t>
  </si>
  <si>
    <t>tajar</t>
  </si>
  <si>
    <t>t a x a ɾ</t>
  </si>
  <si>
    <t>tajita</t>
  </si>
  <si>
    <t>t a x i t a</t>
  </si>
  <si>
    <t>takita</t>
  </si>
  <si>
    <t>tajín</t>
  </si>
  <si>
    <t>t a x i n</t>
  </si>
  <si>
    <t>talaq</t>
  </si>
  <si>
    <t>t a l a k</t>
  </si>
  <si>
    <t>talak</t>
  </si>
  <si>
    <t>chop_down</t>
  </si>
  <si>
    <t>talámica</t>
  </si>
  <si>
    <t>t a l a m i k a</t>
  </si>
  <si>
    <t>talamika</t>
  </si>
  <si>
    <t>talámicas</t>
  </si>
  <si>
    <t>t a l a m i k a s</t>
  </si>
  <si>
    <t>talamikas</t>
  </si>
  <si>
    <t>tamal</t>
  </si>
  <si>
    <t>t a m a l</t>
  </si>
  <si>
    <t>t a m i l</t>
  </si>
  <si>
    <t>tanaj</t>
  </si>
  <si>
    <t>t a n a x</t>
  </si>
  <si>
    <t>screen_off</t>
  </si>
  <si>
    <t>separate_off</t>
  </si>
  <si>
    <t>lug</t>
  </si>
  <si>
    <t>choke_up</t>
  </si>
  <si>
    <t>whitewash</t>
  </si>
  <si>
    <t>gloss_over</t>
  </si>
  <si>
    <t>sleek_over</t>
  </si>
  <si>
    <t>tapita</t>
  </si>
  <si>
    <t>t a p i t a</t>
  </si>
  <si>
    <t>lameness</t>
  </si>
  <si>
    <t>tarar</t>
  </si>
  <si>
    <t>t a ɾ a ɾ</t>
  </si>
  <si>
    <t>tararira</t>
  </si>
  <si>
    <t>t a ɾ a ɾ i ɾ a</t>
  </si>
  <si>
    <t>taras</t>
  </si>
  <si>
    <t>t a ɾ a s</t>
  </si>
  <si>
    <t>bandstand</t>
  </si>
  <si>
    <t>outdoor_stage</t>
  </si>
  <si>
    <t>evaluation</t>
  </si>
  <si>
    <t>valuation</t>
  </si>
  <si>
    <t>rating</t>
  </si>
  <si>
    <t>appraisal</t>
  </si>
  <si>
    <t>estimation</t>
  </si>
  <si>
    <t>tasar</t>
  </si>
  <si>
    <t>t a s a ɾ</t>
  </si>
  <si>
    <t>valuate</t>
  </si>
  <si>
    <t>assess</t>
  </si>
  <si>
    <t>appraise</t>
  </si>
  <si>
    <t>value</t>
  </si>
  <si>
    <t>reappraise</t>
  </si>
  <si>
    <t>theta</t>
  </si>
  <si>
    <t>ticuna</t>
  </si>
  <si>
    <t>t i k u n a</t>
  </si>
  <si>
    <t>tikuna</t>
  </si>
  <si>
    <t>timar</t>
  </si>
  <si>
    <t>t i m a ɾ</t>
  </si>
  <si>
    <t>dupe</t>
  </si>
  <si>
    <t>slang</t>
  </si>
  <si>
    <t>befool</t>
  </si>
  <si>
    <t>cod</t>
  </si>
  <si>
    <t>put_one_over</t>
  </si>
  <si>
    <t>put_one_across</t>
  </si>
  <si>
    <t>timina</t>
  </si>
  <si>
    <t>t i m i n a</t>
  </si>
  <si>
    <t>thymine</t>
  </si>
  <si>
    <t>T</t>
  </si>
  <si>
    <t>tinaja</t>
  </si>
  <si>
    <t>t i n a x a</t>
  </si>
  <si>
    <t>tinaka</t>
  </si>
  <si>
    <t>tipar</t>
  </si>
  <si>
    <t>t i p a ɾ</t>
  </si>
  <si>
    <t>tirala</t>
  </si>
  <si>
    <t>t i ɾ a l a</t>
  </si>
  <si>
    <t>tiramisú</t>
  </si>
  <si>
    <t>t i ɾ a m i s u</t>
  </si>
  <si>
    <t>tiramisu</t>
  </si>
  <si>
    <t>tirana</t>
  </si>
  <si>
    <t>t i ɾ a n a</t>
  </si>
  <si>
    <t>tiranas</t>
  </si>
  <si>
    <t>t i ɾ a n a s</t>
  </si>
  <si>
    <t>pull_back</t>
  </si>
  <si>
    <t>slap_on</t>
  </si>
  <si>
    <t>clap_on</t>
  </si>
  <si>
    <t>slam_on</t>
  </si>
  <si>
    <t>bin</t>
  </si>
  <si>
    <t>shed</t>
  </si>
  <si>
    <t>cast_off</t>
  </si>
  <si>
    <t>throw_away</t>
  </si>
  <si>
    <t>pluck_at</t>
  </si>
  <si>
    <t>pull_at</t>
  </si>
  <si>
    <t>discard</t>
  </si>
  <si>
    <t>toss_out</t>
  </si>
  <si>
    <t>toss_away</t>
  </si>
  <si>
    <t>cast_aside</t>
  </si>
  <si>
    <t>dispose</t>
  </si>
  <si>
    <t>throw_out</t>
  </si>
  <si>
    <t>cast_out</t>
  </si>
  <si>
    <t>cast_away</t>
  </si>
  <si>
    <t>deep-six</t>
  </si>
  <si>
    <t>give_it_the_deep_six</t>
  </si>
  <si>
    <t>tirara</t>
  </si>
  <si>
    <t>t i ɾ a ɾ a</t>
  </si>
  <si>
    <t>tiraras</t>
  </si>
  <si>
    <t>t i ɾ a ɾ a s</t>
  </si>
  <si>
    <t>tirará</t>
  </si>
  <si>
    <t>tirarás</t>
  </si>
  <si>
    <t>tiras</t>
  </si>
  <si>
    <t>t i ɾ a s</t>
  </si>
  <si>
    <t>tirita</t>
  </si>
  <si>
    <t>t i ɾ i t a</t>
  </si>
  <si>
    <t>tisana</t>
  </si>
  <si>
    <t>t i s a n a</t>
  </si>
  <si>
    <t>tisú</t>
  </si>
  <si>
    <t>titilar</t>
  </si>
  <si>
    <t>t i t i l a ɾ</t>
  </si>
  <si>
    <t>blink</t>
  </si>
  <si>
    <t>twinkle</t>
  </si>
  <si>
    <t>winkle</t>
  </si>
  <si>
    <t>titis</t>
  </si>
  <si>
    <t>t i t i s</t>
  </si>
  <si>
    <t>titulara</t>
  </si>
  <si>
    <t>t i t u l a ɾ a</t>
  </si>
  <si>
    <t>titularas</t>
  </si>
  <si>
    <t>t i t u l a ɾ a s</t>
  </si>
  <si>
    <t>titulará</t>
  </si>
  <si>
    <t>titularás</t>
  </si>
  <si>
    <t>titulas</t>
  </si>
  <si>
    <t>t i t u l a s</t>
  </si>
  <si>
    <t>titulitis</t>
  </si>
  <si>
    <t>t i t u l i t i s</t>
  </si>
  <si>
    <t>titán</t>
  </si>
  <si>
    <t>toulouse</t>
  </si>
  <si>
    <t>t u l u s</t>
  </si>
  <si>
    <t>tulus</t>
  </si>
  <si>
    <t>tour</t>
  </si>
  <si>
    <t>t u ɾ</t>
  </si>
  <si>
    <t>tur</t>
  </si>
  <si>
    <t>tucura</t>
  </si>
  <si>
    <t>t u k u ɾ a</t>
  </si>
  <si>
    <t>tukura</t>
  </si>
  <si>
    <t>tucán</t>
  </si>
  <si>
    <t>tula</t>
  </si>
  <si>
    <t>t u l a</t>
  </si>
  <si>
    <t>tulipán</t>
  </si>
  <si>
    <t>Anguilla_sucklandii</t>
  </si>
  <si>
    <t>tunar</t>
  </si>
  <si>
    <t>t u n a ɾ</t>
  </si>
  <si>
    <t>tunas</t>
  </si>
  <si>
    <t>t u n a s</t>
  </si>
  <si>
    <t>tuning</t>
  </si>
  <si>
    <t>t u n i n</t>
  </si>
  <si>
    <t>tunin</t>
  </si>
  <si>
    <t>tupir</t>
  </si>
  <si>
    <t>t u p i ɾ</t>
  </si>
  <si>
    <t>turín</t>
  </si>
  <si>
    <t>t u ɾ i n</t>
  </si>
  <si>
    <t>turin</t>
  </si>
  <si>
    <t>típicas</t>
  </si>
  <si>
    <t>t i p i k a s</t>
  </si>
  <si>
    <t>tipikas</t>
  </si>
  <si>
    <t>tísica</t>
  </si>
  <si>
    <t>t i s i k a</t>
  </si>
  <si>
    <t>tisika</t>
  </si>
  <si>
    <t>tú</t>
  </si>
  <si>
    <t>associate</t>
  </si>
  <si>
    <t>tie_in</t>
  </si>
  <si>
    <t>relate</t>
  </si>
  <si>
    <t>colligate</t>
  </si>
  <si>
    <t>muster</t>
  </si>
  <si>
    <t>rally</t>
  </si>
  <si>
    <t>summon</t>
  </si>
  <si>
    <t>muster_up</t>
  </si>
  <si>
    <t>unirá</t>
  </si>
  <si>
    <t>u n i ɾ a</t>
  </si>
  <si>
    <t>unira</t>
  </si>
  <si>
    <t>unirás</t>
  </si>
  <si>
    <t>u n i ɾ a s</t>
  </si>
  <si>
    <t>uniras</t>
  </si>
  <si>
    <t>uralita</t>
  </si>
  <si>
    <t>u ɾ a l i t a</t>
  </si>
  <si>
    <t>uraninita</t>
  </si>
  <si>
    <t>u ɾ a n i n i t a</t>
  </si>
  <si>
    <t>urucum</t>
  </si>
  <si>
    <t>u ɾ u k u m</t>
  </si>
  <si>
    <t>urukum</t>
  </si>
  <si>
    <t>urucú</t>
  </si>
  <si>
    <t>u ɾ u k u</t>
  </si>
  <si>
    <t>uruku</t>
  </si>
  <si>
    <t>usa</t>
  </si>
  <si>
    <t>u s a</t>
  </si>
  <si>
    <t>expend</t>
  </si>
  <si>
    <t>utilize</t>
  </si>
  <si>
    <t>utilise</t>
  </si>
  <si>
    <t>apply</t>
  </si>
  <si>
    <t>habituate</t>
  </si>
  <si>
    <t>usara</t>
  </si>
  <si>
    <t>u s a ɾ a</t>
  </si>
  <si>
    <t>usaras</t>
  </si>
  <si>
    <t>u s a ɾ a s</t>
  </si>
  <si>
    <t>usará</t>
  </si>
  <si>
    <t>usarás</t>
  </si>
  <si>
    <t>usas</t>
  </si>
  <si>
    <t>u s a s</t>
  </si>
  <si>
    <t>usucapir</t>
  </si>
  <si>
    <t>u s u k a p i ɾ</t>
  </si>
  <si>
    <t>usukapir</t>
  </si>
  <si>
    <t>usulután</t>
  </si>
  <si>
    <t>u s u l u t a n</t>
  </si>
  <si>
    <t>usulutan</t>
  </si>
  <si>
    <t>usura</t>
  </si>
  <si>
    <t>u s u ɾ a</t>
  </si>
  <si>
    <t>usury</t>
  </si>
  <si>
    <t>vigorish</t>
  </si>
  <si>
    <t>uña</t>
  </si>
  <si>
    <t>u ɲ a</t>
  </si>
  <si>
    <t>fluke</t>
  </si>
  <si>
    <t>xalapa</t>
  </si>
  <si>
    <t>xaminí</t>
  </si>
  <si>
    <t>s a m i n i</t>
  </si>
  <si>
    <t>samini</t>
  </si>
  <si>
    <t>ʃ a m i n i</t>
  </si>
  <si>
    <t>shamini</t>
  </si>
  <si>
    <t>xi</t>
  </si>
  <si>
    <t>ácana</t>
  </si>
  <si>
    <t>a k a n a</t>
  </si>
  <si>
    <t>ágil</t>
  </si>
  <si>
    <t>a x i l</t>
  </si>
  <si>
    <t>agile</t>
  </si>
  <si>
    <t>nimble</t>
  </si>
  <si>
    <t>quick</t>
  </si>
  <si>
    <t>spry</t>
  </si>
  <si>
    <t>limber</t>
  </si>
  <si>
    <t>supple</t>
  </si>
  <si>
    <t>lightsome</t>
  </si>
  <si>
    <t>rangy</t>
  </si>
  <si>
    <t>ánima</t>
  </si>
  <si>
    <t>ática</t>
  </si>
  <si>
    <t>ñapa</t>
  </si>
  <si>
    <t>ɲ a p a</t>
  </si>
  <si>
    <t>ñañas</t>
  </si>
  <si>
    <t>ɲ a ɲ a s</t>
  </si>
  <si>
    <t>ñañita</t>
  </si>
  <si>
    <t>ɲ a ɲ i t a</t>
  </si>
  <si>
    <t>útica</t>
  </si>
  <si>
    <t>u t i k a</t>
  </si>
  <si>
    <t>utika</t>
  </si>
  <si>
    <t>útil</t>
  </si>
  <si>
    <t>handy</t>
  </si>
  <si>
    <t>ready_to_hand</t>
  </si>
  <si>
    <t>utilitarian</t>
  </si>
  <si>
    <t>helpful</t>
  </si>
  <si>
    <t>spa_latn_ca_broad_filtered.tsv</t>
  </si>
  <si>
    <t>spa_latn_ca_narrow.tsv</t>
  </si>
  <si>
    <t>spa_latn_la_broad.tsv</t>
  </si>
  <si>
    <t>spa_latn_la_broad_filtered.tsv</t>
  </si>
  <si>
    <t>hakal</t>
  </si>
  <si>
    <t>hakamara</t>
  </si>
  <si>
    <t>halapa</t>
  </si>
  <si>
    <t>hamas</t>
  </si>
  <si>
    <t>hanina</t>
  </si>
  <si>
    <t>hakir</t>
  </si>
  <si>
    <t>hakita</t>
  </si>
  <si>
    <t>hara</t>
  </si>
  <si>
    <t>harana</t>
  </si>
  <si>
    <t>himar</t>
  </si>
  <si>
    <t>hipihapa</t>
  </si>
  <si>
    <t>hiñar</t>
  </si>
  <si>
    <t>humas</t>
  </si>
  <si>
    <t>hurar</t>
  </si>
  <si>
    <t>hakima</t>
  </si>
  <si>
    <t>hikama</t>
  </si>
  <si>
    <t>hikara</t>
  </si>
  <si>
    <t>hukar</t>
  </si>
  <si>
    <t>spa_latn_la_narrow.tsv</t>
  </si>
  <si>
    <t>swe_latn_broad.tsv</t>
  </si>
  <si>
    <t>gick</t>
  </si>
  <si>
    <t>j ɪ k</t>
  </si>
  <si>
    <t>yik</t>
  </si>
  <si>
    <t>gin</t>
  </si>
  <si>
    <t>hallway</t>
  </si>
  <si>
    <t>hitta</t>
  </si>
  <si>
    <t>h ɪ t a</t>
  </si>
  <si>
    <t>hita</t>
  </si>
  <si>
    <t>retrieve</t>
  </si>
  <si>
    <t>find</t>
  </si>
  <si>
    <t>regain</t>
  </si>
  <si>
    <t>hon</t>
  </si>
  <si>
    <t>h ʊ n</t>
  </si>
  <si>
    <t>hos</t>
  </si>
  <si>
    <t>h ʊ s</t>
  </si>
  <si>
    <t>jacka</t>
  </si>
  <si>
    <t>jojo</t>
  </si>
  <si>
    <t>j ʊ j ʊ</t>
  </si>
  <si>
    <t>kissa</t>
  </si>
  <si>
    <t>k ɪ s a</t>
  </si>
  <si>
    <t>l a n</t>
  </si>
  <si>
    <t>nation</t>
  </si>
  <si>
    <t>commonwealth</t>
  </si>
  <si>
    <t>res_publica</t>
  </si>
  <si>
    <t>body_politic</t>
  </si>
  <si>
    <t>plot</t>
  </si>
  <si>
    <t>plot_of_land</t>
  </si>
  <si>
    <t>plot_of_ground</t>
  </si>
  <si>
    <t>lom</t>
  </si>
  <si>
    <t>l ʊ m</t>
  </si>
  <si>
    <t>manick</t>
  </si>
  <si>
    <t>paj</t>
  </si>
  <si>
    <t>tills</t>
  </si>
  <si>
    <t>t ɪ s</t>
  </si>
  <si>
    <t>empty</t>
  </si>
  <si>
    <t>tha_thai_broad.tsv</t>
  </si>
  <si>
    <t>กัก</t>
  </si>
  <si>
    <t>retain</t>
  </si>
  <si>
    <t>กา</t>
  </si>
  <si>
    <t>crow</t>
  </si>
  <si>
    <t>teapot</t>
  </si>
  <si>
    <t>kettleful</t>
  </si>
  <si>
    <t>กากี</t>
  </si>
  <si>
    <t>กู</t>
  </si>
  <si>
    <t>ซัก</t>
  </si>
  <si>
    <t>launder</t>
  </si>
  <si>
    <t>ซา</t>
  </si>
  <si>
    <t>ซี</t>
  </si>
  <si>
    <t>photocopy</t>
  </si>
  <si>
    <t>run_off</t>
  </si>
  <si>
    <t>xerox</t>
  </si>
  <si>
    <t>c</t>
  </si>
  <si>
    <t>cytosine</t>
  </si>
  <si>
    <t>speed_of_light</t>
  </si>
  <si>
    <t>light_speed</t>
  </si>
  <si>
    <t>ซีตา</t>
  </si>
  <si>
    <t>Zeta</t>
  </si>
  <si>
    <t>ตัก</t>
  </si>
  <si>
    <t>bail</t>
  </si>
  <si>
    <t>ตาปี</t>
  </si>
  <si>
    <t>annually</t>
  </si>
  <si>
    <t>ตู</t>
  </si>
  <si>
    <t>นาซี</t>
  </si>
  <si>
    <t>Nazi</t>
  </si>
  <si>
    <t>German_Nazi</t>
  </si>
  <si>
    <t>nazi</t>
  </si>
  <si>
    <t>ปัน</t>
  </si>
  <si>
    <t>ปี</t>
  </si>
  <si>
    <t>calendar_year</t>
  </si>
  <si>
    <t>civil_year</t>
  </si>
  <si>
    <t>ปู</t>
  </si>
  <si>
    <t>crab</t>
  </si>
  <si>
    <t>crabmeat</t>
  </si>
  <si>
    <t>ยับ</t>
  </si>
  <si>
    <t>j a p</t>
  </si>
  <si>
    <t>rumple</t>
  </si>
  <si>
    <t>crumple</t>
  </si>
  <si>
    <t>abruptly</t>
  </si>
  <si>
    <t>ยิบ</t>
  </si>
  <si>
    <t>j i p</t>
  </si>
  <si>
    <t>thoroughly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</si>
</sst>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8.0"/>
    <col customWidth="1" min="3" max="3" width="9.75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3"/>
      <c r="HF1" s="3"/>
    </row>
    <row r="2">
      <c r="A2" s="4">
        <v>1.0</v>
      </c>
      <c r="B2" s="4" t="s">
        <v>212</v>
      </c>
      <c r="C2" s="4"/>
      <c r="D2" s="4" t="s">
        <v>213</v>
      </c>
      <c r="E2" s="4" t="s">
        <v>214</v>
      </c>
      <c r="F2" s="4" t="s">
        <v>215</v>
      </c>
      <c r="G2" s="5" t="str">
        <f>IFERROR(__xludf.DUMMYFUNCTION("GOOGLETRANSLATE(D2,""bg"",""es"")"),"compraste")</f>
        <v>compraste</v>
      </c>
    </row>
    <row r="3">
      <c r="A3" s="4">
        <v>2.0</v>
      </c>
      <c r="B3" s="4" t="s">
        <v>212</v>
      </c>
      <c r="C3" s="4"/>
      <c r="D3" s="4" t="s">
        <v>216</v>
      </c>
      <c r="E3" s="4" t="s">
        <v>217</v>
      </c>
      <c r="F3" s="4" t="s">
        <v>218</v>
      </c>
      <c r="G3" s="5" t="str">
        <f>IFERROR(__xludf.DUMMYFUNCTION("GOOGLETRANSLATE(D3,""bg"",""es"")"),"comprar")</f>
        <v>comprar</v>
      </c>
    </row>
    <row r="4">
      <c r="A4" s="4">
        <v>3.0</v>
      </c>
      <c r="B4" s="4" t="s">
        <v>212</v>
      </c>
      <c r="C4" s="4"/>
      <c r="D4" s="4" t="s">
        <v>219</v>
      </c>
      <c r="E4" s="4" t="s">
        <v>220</v>
      </c>
      <c r="F4" s="4" t="s">
        <v>221</v>
      </c>
      <c r="G4" s="5" t="str">
        <f>IFERROR(__xludf.DUMMYFUNCTION("GOOGLETRANSLATE(D4,""bg"",""es"")"),"yo compré")</f>
        <v>yo compré</v>
      </c>
    </row>
    <row r="5">
      <c r="A5" s="4">
        <v>4.0</v>
      </c>
      <c r="B5" s="4" t="s">
        <v>212</v>
      </c>
      <c r="C5" s="4"/>
      <c r="D5" s="4" t="s">
        <v>222</v>
      </c>
      <c r="E5" s="4" t="s">
        <v>223</v>
      </c>
      <c r="F5" s="4" t="s">
        <v>224</v>
      </c>
      <c r="G5" s="5" t="str">
        <f>IFERROR(__xludf.DUMMYFUNCTION("GOOGLETRANSLATE(D5,""bg"",""es"")"),"tu compras")</f>
        <v>tu compras</v>
      </c>
    </row>
    <row r="6">
      <c r="A6" s="4">
        <v>5.0</v>
      </c>
      <c r="B6" s="4" t="s">
        <v>212</v>
      </c>
      <c r="C6" s="4"/>
      <c r="D6" s="4" t="s">
        <v>225</v>
      </c>
      <c r="E6" s="4" t="s">
        <v>226</v>
      </c>
      <c r="F6" s="4" t="s">
        <v>227</v>
      </c>
      <c r="G6" s="5" t="str">
        <f>IFERROR(__xludf.DUMMYFUNCTION("GOOGLETRANSLATE(D6,""bg"",""es"")"),"ladrido")</f>
        <v>ladrido</v>
      </c>
    </row>
    <row r="7">
      <c r="A7" s="4">
        <v>6.0</v>
      </c>
      <c r="B7" s="4" t="s">
        <v>212</v>
      </c>
      <c r="C7" s="4"/>
      <c r="D7" s="4" t="s">
        <v>228</v>
      </c>
      <c r="E7" s="4" t="s">
        <v>229</v>
      </c>
      <c r="F7" s="4" t="s">
        <v>230</v>
      </c>
      <c r="G7" s="5" t="str">
        <f>IFERROR(__xludf.DUMMYFUNCTION("GOOGLETRANSLATE(D7,""bg"",""es"")"),"Pi")</f>
        <v>Pi</v>
      </c>
    </row>
    <row r="8">
      <c r="A8" s="4">
        <v>7.0</v>
      </c>
      <c r="B8" s="4" t="s">
        <v>212</v>
      </c>
      <c r="C8" s="4"/>
      <c r="D8" s="4" t="s">
        <v>231</v>
      </c>
      <c r="E8" s="4" t="s">
        <v>232</v>
      </c>
      <c r="F8" s="4" t="s">
        <v>233</v>
      </c>
      <c r="G8" s="5" t="str">
        <f>IFERROR(__xludf.DUMMYFUNCTION("GOOGLETRANSLATE(D8,""bg"",""es"")"),"beber")</f>
        <v>beber</v>
      </c>
    </row>
    <row r="9">
      <c r="A9" s="4">
        <v>8.0</v>
      </c>
      <c r="B9" s="4" t="s">
        <v>212</v>
      </c>
      <c r="C9" s="4"/>
      <c r="D9" s="4" t="s">
        <v>234</v>
      </c>
      <c r="E9" s="4" t="s">
        <v>235</v>
      </c>
      <c r="F9" s="4" t="s">
        <v>236</v>
      </c>
      <c r="G9" s="5" t="str">
        <f>IFERROR(__xludf.DUMMYFUNCTION("GOOGLETRANSLATE(D9,""bg"",""es"")"),"cima")</f>
        <v>cima</v>
      </c>
    </row>
    <row r="10">
      <c r="A10" s="4">
        <v>9.0</v>
      </c>
      <c r="B10" s="4" t="s">
        <v>212</v>
      </c>
      <c r="C10" s="4"/>
      <c r="D10" s="4" t="s">
        <v>237</v>
      </c>
      <c r="E10" s="4" t="s">
        <v>238</v>
      </c>
      <c r="F10" s="4" t="s">
        <v>239</v>
      </c>
      <c r="G10" s="5" t="str">
        <f>IFERROR(__xludf.DUMMYFUNCTION("GOOGLETRANSLATE(D10,""bg"",""es"")"),"cima")</f>
        <v>cima</v>
      </c>
    </row>
    <row r="11">
      <c r="A11" s="4">
        <v>10.0</v>
      </c>
      <c r="B11" s="4" t="s">
        <v>212</v>
      </c>
      <c r="C11" s="4"/>
      <c r="D11" s="4" t="s">
        <v>240</v>
      </c>
      <c r="E11" s="4" t="s">
        <v>241</v>
      </c>
      <c r="F11" s="4" t="s">
        <v>242</v>
      </c>
      <c r="G11" s="5" t="str">
        <f>IFERROR(__xludf.DUMMYFUNCTION("GOOGLETRANSLATE(D11,""bg"",""es"")"),"Pálico")</f>
        <v>Pálico</v>
      </c>
    </row>
    <row r="12">
      <c r="A12" s="4">
        <v>11.0</v>
      </c>
      <c r="B12" s="4" t="s">
        <v>212</v>
      </c>
      <c r="C12" s="4"/>
      <c r="D12" s="4" t="s">
        <v>243</v>
      </c>
      <c r="E12" s="4" t="s">
        <v>244</v>
      </c>
      <c r="F12" s="4" t="s">
        <v>245</v>
      </c>
      <c r="G12" s="5" t="str">
        <f>IFERROR(__xludf.DUMMYFUNCTION("GOOGLETRANSLATE(D12,""bg"",""es"")"),"cima")</f>
        <v>cima</v>
      </c>
    </row>
    <row r="13">
      <c r="A13" s="4">
        <v>12.0</v>
      </c>
      <c r="B13" s="4" t="s">
        <v>212</v>
      </c>
      <c r="C13" s="4"/>
      <c r="D13" s="4" t="s">
        <v>246</v>
      </c>
      <c r="E13" s="4" t="s">
        <v>247</v>
      </c>
      <c r="F13" s="4" t="s">
        <v>248</v>
      </c>
      <c r="G13" s="5" t="str">
        <f>IFERROR(__xludf.DUMMYFUNCTION("GOOGLETRANSLATE(D13,""bg"",""es"")"),"picos")</f>
        <v>picos</v>
      </c>
    </row>
    <row r="14">
      <c r="A14" s="4">
        <v>13.0</v>
      </c>
      <c r="B14" s="4" t="s">
        <v>212</v>
      </c>
      <c r="C14" s="4"/>
      <c r="D14" s="4" t="s">
        <v>249</v>
      </c>
      <c r="E14" s="4" t="s">
        <v>250</v>
      </c>
      <c r="F14" s="4" t="s">
        <v>251</v>
      </c>
      <c r="G14" s="5" t="str">
        <f>IFERROR(__xludf.DUMMYFUNCTION("GOOGLETRANSLATE(D14,""bg"",""es"")"),"Me orino")</f>
        <v>Me orino</v>
      </c>
    </row>
    <row r="15">
      <c r="A15" s="4">
        <v>14.0</v>
      </c>
      <c r="B15" s="4" t="s">
        <v>212</v>
      </c>
      <c r="C15" s="4"/>
      <c r="D15" s="4" t="s">
        <v>252</v>
      </c>
      <c r="E15" s="4" t="s">
        <v>253</v>
      </c>
      <c r="F15" s="4" t="s">
        <v>254</v>
      </c>
      <c r="G15" s="5" t="str">
        <f>IFERROR(__xludf.DUMMYFUNCTION("GOOGLETRANSLATE(D15,""bg"",""es"")"),"montón")</f>
        <v>montón</v>
      </c>
    </row>
    <row r="16">
      <c r="A16" s="4">
        <v>15.0</v>
      </c>
      <c r="B16" s="4" t="s">
        <v>212</v>
      </c>
      <c r="C16" s="4"/>
      <c r="D16" s="4" t="s">
        <v>255</v>
      </c>
      <c r="E16" s="4" t="s">
        <v>256</v>
      </c>
      <c r="F16" s="4" t="s">
        <v>257</v>
      </c>
      <c r="G16" s="5" t="str">
        <f>IFERROR(__xludf.DUMMYFUNCTION("GOOGLETRANSLATE(D16,""bg"",""es"")"),"escribió")</f>
        <v>escribió</v>
      </c>
    </row>
    <row r="17">
      <c r="A17" s="4">
        <v>16.0</v>
      </c>
      <c r="B17" s="4" t="s">
        <v>212</v>
      </c>
      <c r="C17" s="4"/>
      <c r="D17" s="4" t="s">
        <v>258</v>
      </c>
      <c r="E17" s="4" t="s">
        <v>259</v>
      </c>
      <c r="F17" s="4" t="s">
        <v>260</v>
      </c>
      <c r="G17" s="5" t="str">
        <f>IFERROR(__xludf.DUMMYFUNCTION("GOOGLETRANSLATE(D17,""bg"",""es"")"),"escribió")</f>
        <v>escribió</v>
      </c>
    </row>
    <row r="18">
      <c r="A18" s="4">
        <v>17.0</v>
      </c>
      <c r="B18" s="4" t="s">
        <v>212</v>
      </c>
      <c r="C18" s="4"/>
      <c r="D18" s="4" t="s">
        <v>261</v>
      </c>
      <c r="E18" s="4" t="s">
        <v>262</v>
      </c>
      <c r="F18" s="4" t="s">
        <v>263</v>
      </c>
      <c r="G18" s="5" t="str">
        <f>IFERROR(__xludf.DUMMYFUNCTION("GOOGLETRANSLATE(D18,""bg"",""es"")"),"escribí")</f>
        <v>escribí</v>
      </c>
    </row>
    <row r="19">
      <c r="A19" s="4">
        <v>18.0</v>
      </c>
      <c r="B19" s="4" t="s">
        <v>212</v>
      </c>
      <c r="C19" s="4"/>
      <c r="D19" s="4" t="s">
        <v>264</v>
      </c>
      <c r="E19" s="4" t="s">
        <v>265</v>
      </c>
      <c r="F19" s="4" t="s">
        <v>266</v>
      </c>
      <c r="G19" s="5" t="str">
        <f>IFERROR(__xludf.DUMMYFUNCTION("GOOGLETRANSLATE(D19,""bg"",""es"")"),"bebí")</f>
        <v>bebí</v>
      </c>
    </row>
    <row r="20">
      <c r="A20" s="4">
        <v>19.0</v>
      </c>
      <c r="B20" s="4" t="s">
        <v>212</v>
      </c>
      <c r="C20" s="4"/>
      <c r="D20" s="4" t="s">
        <v>267</v>
      </c>
      <c r="E20" s="4" t="s">
        <v>268</v>
      </c>
      <c r="F20" s="4" t="s">
        <v>269</v>
      </c>
      <c r="G20" s="5" t="str">
        <f>IFERROR(__xludf.DUMMYFUNCTION("GOOGLETRANSLATE(D20,""bg"",""es"")"),"escribe")</f>
        <v>escribe</v>
      </c>
    </row>
    <row r="21">
      <c r="A21" s="4">
        <v>20.0</v>
      </c>
      <c r="B21" s="4" t="s">
        <v>212</v>
      </c>
      <c r="C21" s="4"/>
      <c r="D21" s="4" t="s">
        <v>270</v>
      </c>
      <c r="E21" s="4" t="s">
        <v>271</v>
      </c>
      <c r="F21" s="4" t="s">
        <v>272</v>
      </c>
      <c r="G21" s="5" t="str">
        <f>IFERROR(__xludf.DUMMYFUNCTION("GOOGLETRANSLATE(D21,""bg"",""es"")"),"resplandor")</f>
        <v>resplandor</v>
      </c>
    </row>
    <row r="22">
      <c r="A22" s="4">
        <v>21.0</v>
      </c>
      <c r="B22" s="4" t="s">
        <v>212</v>
      </c>
      <c r="C22" s="4"/>
      <c r="D22" s="4" t="s">
        <v>273</v>
      </c>
      <c r="E22" s="4" t="s">
        <v>274</v>
      </c>
      <c r="F22" s="4" t="s">
        <v>275</v>
      </c>
      <c r="G22" s="5" t="str">
        <f>IFERROR(__xludf.DUMMYFUNCTION("GOOGLETRANSLATE(D22,""bg"",""es"")"),"mente")</f>
        <v>mente</v>
      </c>
    </row>
    <row r="23">
      <c r="A23" s="4">
        <v>22.0</v>
      </c>
      <c r="B23" s="4" t="s">
        <v>212</v>
      </c>
      <c r="C23" s="4"/>
      <c r="D23" s="4" t="s">
        <v>276</v>
      </c>
      <c r="E23" s="4" t="s">
        <v>277</v>
      </c>
      <c r="F23" s="4" t="s">
        <v>278</v>
      </c>
      <c r="G23" s="5" t="str">
        <f>IFERROR(__xludf.DUMMYFUNCTION("GOOGLETRANSLATE(D23,""bg"",""es"")"),"mierda")</f>
        <v>mierda</v>
      </c>
    </row>
    <row r="24">
      <c r="A24" s="4">
        <v>23.0</v>
      </c>
      <c r="B24" s="4" t="s">
        <v>212</v>
      </c>
      <c r="C24" s="4"/>
      <c r="D24" s="4" t="s">
        <v>279</v>
      </c>
      <c r="E24" s="4" t="s">
        <v>280</v>
      </c>
      <c r="F24" s="4" t="s">
        <v>281</v>
      </c>
      <c r="G24" s="5" t="str">
        <f>IFERROR(__xludf.DUMMYFUNCTION("GOOGLETRANSLATE(D24,""bg"",""es"")"),"Ella a")</f>
        <v>Ella a</v>
      </c>
    </row>
    <row r="25">
      <c r="A25" s="4">
        <v>24.0</v>
      </c>
      <c r="B25" s="4" t="s">
        <v>212</v>
      </c>
      <c r="C25" s="4"/>
      <c r="D25" s="4" t="s">
        <v>282</v>
      </c>
      <c r="E25" s="4" t="s">
        <v>283</v>
      </c>
      <c r="F25" s="4" t="s">
        <v>284</v>
      </c>
      <c r="G25" s="5" t="str">
        <f>IFERROR(__xludf.DUMMYFUNCTION("GOOGLETRANSLATE(D25,""bg"",""es"")"),"shille")</f>
        <v>shille</v>
      </c>
    </row>
    <row r="26">
      <c r="A26" s="4">
        <v>25.0</v>
      </c>
      <c r="B26" s="4" t="s">
        <v>212</v>
      </c>
      <c r="C26" s="4"/>
      <c r="D26" s="4" t="s">
        <v>285</v>
      </c>
      <c r="E26" s="4" t="s">
        <v>286</v>
      </c>
      <c r="F26" s="4" t="s">
        <v>287</v>
      </c>
      <c r="G26" s="5" t="str">
        <f>IFERROR(__xludf.DUMMYFUNCTION("GOOGLETRANSLATE(D26,""bg"",""es"")"),"escupir")</f>
        <v>escupir</v>
      </c>
    </row>
    <row r="27">
      <c r="A27" s="4">
        <v>26.0</v>
      </c>
      <c r="B27" s="4" t="s">
        <v>212</v>
      </c>
      <c r="C27" s="4"/>
      <c r="D27" s="4" t="s">
        <v>288</v>
      </c>
      <c r="E27" s="4" t="s">
        <v>289</v>
      </c>
      <c r="F27" s="4" t="s">
        <v>290</v>
      </c>
      <c r="G27" s="5" t="str">
        <f>IFERROR(__xludf.DUMMYFUNCTION("GOOGLETRANSLATE(D27,""bg"",""es"")"),"Yu")</f>
        <v>Yu</v>
      </c>
    </row>
    <row r="28">
      <c r="A28" s="4">
        <v>1.0</v>
      </c>
      <c r="B28" s="4" t="s">
        <v>291</v>
      </c>
      <c r="C28" s="4"/>
      <c r="D28" s="4" t="s">
        <v>213</v>
      </c>
      <c r="E28" s="4" t="s">
        <v>214</v>
      </c>
      <c r="F28" s="4" t="s">
        <v>215</v>
      </c>
      <c r="G28" s="5" t="str">
        <f>IFERROR(__xludf.DUMMYFUNCTION("GOOGLETRANSLATE(D28,""bg"",""es"")"),"compraste")</f>
        <v>compraste</v>
      </c>
    </row>
    <row r="29">
      <c r="A29" s="4">
        <v>2.0</v>
      </c>
      <c r="B29" s="4" t="s">
        <v>291</v>
      </c>
      <c r="C29" s="4"/>
      <c r="D29" s="4" t="s">
        <v>216</v>
      </c>
      <c r="E29" s="4" t="s">
        <v>217</v>
      </c>
      <c r="F29" s="4" t="s">
        <v>218</v>
      </c>
      <c r="G29" s="5" t="str">
        <f>IFERROR(__xludf.DUMMYFUNCTION("GOOGLETRANSLATE(D29,""bg"",""es"")"),"comprar")</f>
        <v>comprar</v>
      </c>
    </row>
    <row r="30">
      <c r="A30" s="4">
        <v>3.0</v>
      </c>
      <c r="B30" s="4" t="s">
        <v>291</v>
      </c>
      <c r="C30" s="4"/>
      <c r="D30" s="4" t="s">
        <v>219</v>
      </c>
      <c r="E30" s="4" t="s">
        <v>220</v>
      </c>
      <c r="F30" s="4" t="s">
        <v>221</v>
      </c>
      <c r="G30" s="5" t="str">
        <f>IFERROR(__xludf.DUMMYFUNCTION("GOOGLETRANSLATE(D30,""bg"",""es"")"),"yo compré")</f>
        <v>yo compré</v>
      </c>
    </row>
    <row r="31">
      <c r="A31" s="4">
        <v>4.0</v>
      </c>
      <c r="B31" s="4" t="s">
        <v>291</v>
      </c>
      <c r="C31" s="4"/>
      <c r="D31" s="4" t="s">
        <v>222</v>
      </c>
      <c r="E31" s="4" t="s">
        <v>223</v>
      </c>
      <c r="F31" s="4" t="s">
        <v>224</v>
      </c>
      <c r="G31" s="5" t="str">
        <f>IFERROR(__xludf.DUMMYFUNCTION("GOOGLETRANSLATE(D31,""bg"",""es"")"),"tu compras")</f>
        <v>tu compras</v>
      </c>
    </row>
    <row r="32">
      <c r="A32" s="4">
        <v>5.0</v>
      </c>
      <c r="B32" s="4" t="s">
        <v>291</v>
      </c>
      <c r="C32" s="4"/>
      <c r="D32" s="4" t="s">
        <v>225</v>
      </c>
      <c r="E32" s="4" t="s">
        <v>226</v>
      </c>
      <c r="F32" s="4" t="s">
        <v>227</v>
      </c>
      <c r="G32" s="5" t="str">
        <f>IFERROR(__xludf.DUMMYFUNCTION("GOOGLETRANSLATE(D32,""bg"",""es"")"),"ladrido")</f>
        <v>ladrido</v>
      </c>
    </row>
    <row r="33">
      <c r="A33" s="4">
        <v>6.0</v>
      </c>
      <c r="B33" s="4" t="s">
        <v>291</v>
      </c>
      <c r="C33" s="4"/>
      <c r="D33" s="4" t="s">
        <v>228</v>
      </c>
      <c r="E33" s="4" t="s">
        <v>229</v>
      </c>
      <c r="F33" s="4" t="s">
        <v>230</v>
      </c>
      <c r="G33" s="5" t="str">
        <f>IFERROR(__xludf.DUMMYFUNCTION("GOOGLETRANSLATE(D33,""bg"",""es"")"),"Pi")</f>
        <v>Pi</v>
      </c>
    </row>
    <row r="34">
      <c r="A34" s="4">
        <v>7.0</v>
      </c>
      <c r="B34" s="4" t="s">
        <v>291</v>
      </c>
      <c r="C34" s="4"/>
      <c r="D34" s="4" t="s">
        <v>231</v>
      </c>
      <c r="E34" s="4" t="s">
        <v>232</v>
      </c>
      <c r="F34" s="4" t="s">
        <v>233</v>
      </c>
      <c r="G34" s="5" t="str">
        <f>IFERROR(__xludf.DUMMYFUNCTION("GOOGLETRANSLATE(D34,""bg"",""es"")"),"beber")</f>
        <v>beber</v>
      </c>
    </row>
    <row r="35">
      <c r="A35" s="4">
        <v>8.0</v>
      </c>
      <c r="B35" s="4" t="s">
        <v>291</v>
      </c>
      <c r="C35" s="4"/>
      <c r="D35" s="4" t="s">
        <v>234</v>
      </c>
      <c r="E35" s="4" t="s">
        <v>235</v>
      </c>
      <c r="F35" s="4" t="s">
        <v>236</v>
      </c>
      <c r="G35" s="5" t="str">
        <f>IFERROR(__xludf.DUMMYFUNCTION("GOOGLETRANSLATE(D35,""bg"",""es"")"),"cima")</f>
        <v>cima</v>
      </c>
    </row>
    <row r="36">
      <c r="A36" s="4">
        <v>9.0</v>
      </c>
      <c r="B36" s="4" t="s">
        <v>291</v>
      </c>
      <c r="C36" s="4"/>
      <c r="D36" s="4" t="s">
        <v>237</v>
      </c>
      <c r="E36" s="4" t="s">
        <v>238</v>
      </c>
      <c r="F36" s="4" t="s">
        <v>239</v>
      </c>
      <c r="G36" s="5" t="str">
        <f>IFERROR(__xludf.DUMMYFUNCTION("GOOGLETRANSLATE(D36,""bg"",""es"")"),"cima")</f>
        <v>cima</v>
      </c>
    </row>
    <row r="37">
      <c r="A37" s="4">
        <v>10.0</v>
      </c>
      <c r="B37" s="4" t="s">
        <v>291</v>
      </c>
      <c r="C37" s="4"/>
      <c r="D37" s="4" t="s">
        <v>240</v>
      </c>
      <c r="E37" s="4" t="s">
        <v>241</v>
      </c>
      <c r="F37" s="4" t="s">
        <v>242</v>
      </c>
      <c r="G37" s="5" t="str">
        <f>IFERROR(__xludf.DUMMYFUNCTION("GOOGLETRANSLATE(D37,""bg"",""es"")"),"Pálico")</f>
        <v>Pálico</v>
      </c>
    </row>
    <row r="38">
      <c r="A38" s="4">
        <v>11.0</v>
      </c>
      <c r="B38" s="4" t="s">
        <v>291</v>
      </c>
      <c r="C38" s="4"/>
      <c r="D38" s="4" t="s">
        <v>243</v>
      </c>
      <c r="E38" s="4" t="s">
        <v>244</v>
      </c>
      <c r="F38" s="4" t="s">
        <v>245</v>
      </c>
      <c r="G38" s="5" t="str">
        <f>IFERROR(__xludf.DUMMYFUNCTION("GOOGLETRANSLATE(D38,""bg"",""es"")"),"cima")</f>
        <v>cima</v>
      </c>
    </row>
    <row r="39">
      <c r="A39" s="4">
        <v>12.0</v>
      </c>
      <c r="B39" s="4" t="s">
        <v>291</v>
      </c>
      <c r="C39" s="4"/>
      <c r="D39" s="4" t="s">
        <v>246</v>
      </c>
      <c r="E39" s="4" t="s">
        <v>247</v>
      </c>
      <c r="F39" s="4" t="s">
        <v>248</v>
      </c>
      <c r="G39" s="5" t="str">
        <f>IFERROR(__xludf.DUMMYFUNCTION("GOOGLETRANSLATE(D39,""bg"",""es"")"),"picos")</f>
        <v>picos</v>
      </c>
    </row>
    <row r="40">
      <c r="A40" s="4">
        <v>13.0</v>
      </c>
      <c r="B40" s="4" t="s">
        <v>291</v>
      </c>
      <c r="C40" s="4"/>
      <c r="D40" s="4" t="s">
        <v>249</v>
      </c>
      <c r="E40" s="4" t="s">
        <v>250</v>
      </c>
      <c r="F40" s="4" t="s">
        <v>251</v>
      </c>
      <c r="G40" s="5" t="str">
        <f>IFERROR(__xludf.DUMMYFUNCTION("GOOGLETRANSLATE(D40,""bg"",""es"")"),"Me orino")</f>
        <v>Me orino</v>
      </c>
    </row>
    <row r="41">
      <c r="A41" s="4">
        <v>14.0</v>
      </c>
      <c r="B41" s="4" t="s">
        <v>291</v>
      </c>
      <c r="C41" s="4"/>
      <c r="D41" s="4" t="s">
        <v>252</v>
      </c>
      <c r="E41" s="4" t="s">
        <v>253</v>
      </c>
      <c r="F41" s="4" t="s">
        <v>254</v>
      </c>
      <c r="G41" s="5" t="str">
        <f>IFERROR(__xludf.DUMMYFUNCTION("GOOGLETRANSLATE(D41,""bg"",""es"")"),"montón")</f>
        <v>montón</v>
      </c>
    </row>
    <row r="42">
      <c r="A42" s="4">
        <v>15.0</v>
      </c>
      <c r="B42" s="4" t="s">
        <v>291</v>
      </c>
      <c r="C42" s="4"/>
      <c r="D42" s="4" t="s">
        <v>255</v>
      </c>
      <c r="E42" s="4" t="s">
        <v>256</v>
      </c>
      <c r="F42" s="4" t="s">
        <v>257</v>
      </c>
      <c r="G42" s="5" t="str">
        <f>IFERROR(__xludf.DUMMYFUNCTION("GOOGLETRANSLATE(D42,""bg"",""es"")"),"escribió")</f>
        <v>escribió</v>
      </c>
    </row>
    <row r="43">
      <c r="A43" s="4">
        <v>16.0</v>
      </c>
      <c r="B43" s="4" t="s">
        <v>291</v>
      </c>
      <c r="C43" s="4"/>
      <c r="D43" s="4" t="s">
        <v>258</v>
      </c>
      <c r="E43" s="4" t="s">
        <v>259</v>
      </c>
      <c r="F43" s="4" t="s">
        <v>260</v>
      </c>
      <c r="G43" s="5" t="str">
        <f>IFERROR(__xludf.DUMMYFUNCTION("GOOGLETRANSLATE(D43,""bg"",""es"")"),"escribió")</f>
        <v>escribió</v>
      </c>
    </row>
    <row r="44">
      <c r="A44" s="4">
        <v>17.0</v>
      </c>
      <c r="B44" s="4" t="s">
        <v>291</v>
      </c>
      <c r="C44" s="4"/>
      <c r="D44" s="4" t="s">
        <v>261</v>
      </c>
      <c r="E44" s="4" t="s">
        <v>262</v>
      </c>
      <c r="F44" s="4" t="s">
        <v>263</v>
      </c>
      <c r="G44" s="5" t="str">
        <f>IFERROR(__xludf.DUMMYFUNCTION("GOOGLETRANSLATE(D44,""bg"",""es"")"),"escribí")</f>
        <v>escribí</v>
      </c>
    </row>
    <row r="45">
      <c r="A45" s="4">
        <v>18.0</v>
      </c>
      <c r="B45" s="4" t="s">
        <v>291</v>
      </c>
      <c r="C45" s="4"/>
      <c r="D45" s="4" t="s">
        <v>264</v>
      </c>
      <c r="E45" s="4" t="s">
        <v>265</v>
      </c>
      <c r="F45" s="4" t="s">
        <v>266</v>
      </c>
      <c r="G45" s="5" t="str">
        <f>IFERROR(__xludf.DUMMYFUNCTION("GOOGLETRANSLATE(D45,""bg"",""es"")"),"bebí")</f>
        <v>bebí</v>
      </c>
    </row>
    <row r="46">
      <c r="A46" s="4">
        <v>19.0</v>
      </c>
      <c r="B46" s="4" t="s">
        <v>291</v>
      </c>
      <c r="C46" s="4"/>
      <c r="D46" s="4" t="s">
        <v>267</v>
      </c>
      <c r="E46" s="4" t="s">
        <v>268</v>
      </c>
      <c r="F46" s="4" t="s">
        <v>269</v>
      </c>
      <c r="G46" s="5" t="str">
        <f>IFERROR(__xludf.DUMMYFUNCTION("GOOGLETRANSLATE(D46,""bg"",""es"")"),"escribe")</f>
        <v>escribe</v>
      </c>
    </row>
    <row r="47">
      <c r="A47" s="4">
        <v>20.0</v>
      </c>
      <c r="B47" s="4" t="s">
        <v>291</v>
      </c>
      <c r="C47" s="4"/>
      <c r="D47" s="4" t="s">
        <v>270</v>
      </c>
      <c r="E47" s="4" t="s">
        <v>271</v>
      </c>
      <c r="F47" s="4" t="s">
        <v>272</v>
      </c>
      <c r="G47" s="5" t="str">
        <f>IFERROR(__xludf.DUMMYFUNCTION("GOOGLETRANSLATE(D47,""bg"",""es"")"),"resplandor")</f>
        <v>resplandor</v>
      </c>
    </row>
    <row r="48">
      <c r="A48" s="4">
        <v>21.0</v>
      </c>
      <c r="B48" s="4" t="s">
        <v>291</v>
      </c>
      <c r="C48" s="4"/>
      <c r="D48" s="4" t="s">
        <v>273</v>
      </c>
      <c r="E48" s="4" t="s">
        <v>274</v>
      </c>
      <c r="F48" s="4" t="s">
        <v>275</v>
      </c>
      <c r="G48" s="5" t="str">
        <f>IFERROR(__xludf.DUMMYFUNCTION("GOOGLETRANSLATE(D48,""bg"",""es"")"),"mente")</f>
        <v>mente</v>
      </c>
    </row>
    <row r="49">
      <c r="A49" s="4">
        <v>22.0</v>
      </c>
      <c r="B49" s="4" t="s">
        <v>291</v>
      </c>
      <c r="C49" s="4"/>
      <c r="D49" s="4" t="s">
        <v>276</v>
      </c>
      <c r="E49" s="4" t="s">
        <v>277</v>
      </c>
      <c r="F49" s="4" t="s">
        <v>278</v>
      </c>
      <c r="G49" s="5" t="str">
        <f>IFERROR(__xludf.DUMMYFUNCTION("GOOGLETRANSLATE(D49,""bg"",""es"")"),"mierda")</f>
        <v>mierda</v>
      </c>
    </row>
    <row r="50">
      <c r="A50" s="4">
        <v>23.0</v>
      </c>
      <c r="B50" s="4" t="s">
        <v>291</v>
      </c>
      <c r="C50" s="4"/>
      <c r="D50" s="4" t="s">
        <v>279</v>
      </c>
      <c r="E50" s="4" t="s">
        <v>280</v>
      </c>
      <c r="F50" s="4" t="s">
        <v>281</v>
      </c>
      <c r="G50" s="5" t="str">
        <f>IFERROR(__xludf.DUMMYFUNCTION("GOOGLETRANSLATE(D50,""bg"",""es"")"),"Ella a")</f>
        <v>Ella a</v>
      </c>
    </row>
    <row r="51">
      <c r="A51" s="4">
        <v>24.0</v>
      </c>
      <c r="B51" s="4" t="s">
        <v>291</v>
      </c>
      <c r="C51" s="4"/>
      <c r="D51" s="4" t="s">
        <v>282</v>
      </c>
      <c r="E51" s="4" t="s">
        <v>283</v>
      </c>
      <c r="F51" s="4" t="s">
        <v>284</v>
      </c>
      <c r="G51" s="5" t="str">
        <f>IFERROR(__xludf.DUMMYFUNCTION("GOOGLETRANSLATE(D51,""bg"",""es"")"),"shille")</f>
        <v>shille</v>
      </c>
    </row>
    <row r="52">
      <c r="A52" s="4">
        <v>25.0</v>
      </c>
      <c r="B52" s="4" t="s">
        <v>291</v>
      </c>
      <c r="C52" s="4"/>
      <c r="D52" s="4" t="s">
        <v>285</v>
      </c>
      <c r="E52" s="4" t="s">
        <v>286</v>
      </c>
      <c r="F52" s="4" t="s">
        <v>287</v>
      </c>
      <c r="G52" s="5" t="str">
        <f>IFERROR(__xludf.DUMMYFUNCTION("GOOGLETRANSLATE(D52,""bg"",""es"")"),"escupir")</f>
        <v>escupir</v>
      </c>
    </row>
    <row r="53">
      <c r="A53" s="4">
        <v>26.0</v>
      </c>
      <c r="B53" s="4" t="s">
        <v>291</v>
      </c>
      <c r="C53" s="4"/>
      <c r="D53" s="4" t="s">
        <v>288</v>
      </c>
      <c r="E53" s="4" t="s">
        <v>289</v>
      </c>
      <c r="F53" s="4" t="s">
        <v>290</v>
      </c>
      <c r="G53" s="5" t="str">
        <f>IFERROR(__xludf.DUMMYFUNCTION("GOOGLETRANSLATE(D53,""bg"",""es"")"),"Yu")</f>
        <v>Yu</v>
      </c>
    </row>
    <row r="54">
      <c r="A54" s="4">
        <v>1.0</v>
      </c>
      <c r="B54" s="4" t="s">
        <v>292</v>
      </c>
      <c r="C54" s="4"/>
      <c r="D54" s="4" t="s">
        <v>293</v>
      </c>
      <c r="E54" s="4" t="s">
        <v>294</v>
      </c>
      <c r="F54" s="4" t="s">
        <v>295</v>
      </c>
      <c r="G54" s="5" t="str">
        <f>IFERROR(__xludf.DUMMYFUNCTION("GOOGLETRANSLATE(D54,""bg"",""es"")"),"yo")</f>
        <v>yo</v>
      </c>
    </row>
    <row r="55">
      <c r="A55" s="4">
        <v>2.0</v>
      </c>
      <c r="B55" s="4" t="s">
        <v>292</v>
      </c>
      <c r="C55" s="4"/>
      <c r="D55" s="4" t="s">
        <v>296</v>
      </c>
      <c r="E55" s="4" t="s">
        <v>297</v>
      </c>
      <c r="F55" s="4" t="s">
        <v>298</v>
      </c>
      <c r="G55" s="5" t="str">
        <f>IFERROR(__xludf.DUMMYFUNCTION("GOOGLETRANSLATE(D55,""bg"",""es"")"),"un hombre")</f>
        <v>un hombre</v>
      </c>
    </row>
    <row r="56">
      <c r="A56" s="4">
        <v>3.0</v>
      </c>
      <c r="B56" s="4" t="s">
        <v>292</v>
      </c>
      <c r="C56" s="4"/>
      <c r="D56" s="4" t="s">
        <v>299</v>
      </c>
      <c r="E56" s="4" t="s">
        <v>300</v>
      </c>
      <c r="F56" s="4" t="s">
        <v>301</v>
      </c>
      <c r="G56" s="5" t="str">
        <f>IFERROR(__xludf.DUMMYFUNCTION("GOOGLETRANSLATE(D56,""bg"",""es"")"),"de")</f>
        <v>de</v>
      </c>
    </row>
    <row r="57">
      <c r="A57" s="4">
        <v>4.0</v>
      </c>
      <c r="B57" s="4" t="s">
        <v>292</v>
      </c>
      <c r="C57" s="4"/>
      <c r="D57" s="4" t="s">
        <v>302</v>
      </c>
      <c r="E57" s="4" t="s">
        <v>303</v>
      </c>
      <c r="F57" s="4" t="s">
        <v>304</v>
      </c>
      <c r="G57" s="5" t="str">
        <f>IFERROR(__xludf.DUMMYFUNCTION("GOOGLETRANSLATE(D57,""bg"",""es"")"),"a ellos")</f>
        <v>a ellos</v>
      </c>
    </row>
    <row r="58">
      <c r="A58" s="4">
        <v>5.0</v>
      </c>
      <c r="B58" s="4" t="s">
        <v>292</v>
      </c>
      <c r="C58" s="4"/>
      <c r="D58" s="4" t="s">
        <v>305</v>
      </c>
      <c r="E58" s="4" t="s">
        <v>306</v>
      </c>
      <c r="F58" s="4" t="s">
        <v>307</v>
      </c>
      <c r="G58" s="5" t="str">
        <f>IFERROR(__xludf.DUMMYFUNCTION("GOOGLETRANSLATE(D58,""bg"",""es"")"),"tener")</f>
        <v>tener</v>
      </c>
    </row>
    <row r="59">
      <c r="A59" s="4">
        <v>6.0</v>
      </c>
      <c r="B59" s="4" t="s">
        <v>292</v>
      </c>
      <c r="C59" s="4"/>
      <c r="D59" s="4" t="s">
        <v>308</v>
      </c>
      <c r="E59" s="4" t="s">
        <v>309</v>
      </c>
      <c r="F59" s="4" t="s">
        <v>310</v>
      </c>
      <c r="G59" s="5" t="str">
        <f>IFERROR(__xludf.DUMMYFUNCTION("GOOGLETRANSLATE(D59,""bg"",""es"")"),"tener")</f>
        <v>tener</v>
      </c>
      <c r="H59" s="4" t="s">
        <v>311</v>
      </c>
      <c r="I59" s="4" t="s">
        <v>312</v>
      </c>
      <c r="J59" s="4" t="s">
        <v>313</v>
      </c>
    </row>
    <row r="60">
      <c r="A60" s="4">
        <v>7.0</v>
      </c>
      <c r="B60" s="4" t="s">
        <v>292</v>
      </c>
      <c r="C60" s="4"/>
      <c r="D60" s="4" t="s">
        <v>314</v>
      </c>
      <c r="E60" s="4" t="s">
        <v>315</v>
      </c>
      <c r="F60" s="4" t="s">
        <v>316</v>
      </c>
      <c r="G60" s="5" t="str">
        <f>IFERROR(__xludf.DUMMYFUNCTION("GOOGLETRANSLATE(D60,""bg"",""es"")"),"Yo Tuve")</f>
        <v>Yo Tuve</v>
      </c>
    </row>
    <row r="61">
      <c r="A61" s="4">
        <v>8.0</v>
      </c>
      <c r="B61" s="4" t="s">
        <v>292</v>
      </c>
      <c r="C61" s="4"/>
      <c r="D61" s="4" t="s">
        <v>317</v>
      </c>
      <c r="E61" s="4" t="s">
        <v>318</v>
      </c>
      <c r="F61" s="4" t="s">
        <v>319</v>
      </c>
      <c r="G61" s="5" t="str">
        <f>IFERROR(__xludf.DUMMYFUNCTION("GOOGLETRANSLATE(D61,""bg"",""es"")"),"como")</f>
        <v>como</v>
      </c>
    </row>
    <row r="62">
      <c r="A62" s="4">
        <v>9.0</v>
      </c>
      <c r="B62" s="4" t="s">
        <v>292</v>
      </c>
      <c r="C62" s="4"/>
      <c r="D62" s="4" t="s">
        <v>320</v>
      </c>
      <c r="E62" s="4" t="s">
        <v>321</v>
      </c>
      <c r="F62" s="4" t="s">
        <v>322</v>
      </c>
      <c r="G62" s="5" t="str">
        <f>IFERROR(__xludf.DUMMYFUNCTION("GOOGLETRANSLATE(D62,""bg"",""es"")"),"gorra")</f>
        <v>gorra</v>
      </c>
    </row>
    <row r="63">
      <c r="A63" s="4">
        <v>10.0</v>
      </c>
      <c r="B63" s="4" t="s">
        <v>292</v>
      </c>
      <c r="C63" s="4"/>
      <c r="D63" s="4" t="s">
        <v>323</v>
      </c>
      <c r="E63" s="4" t="s">
        <v>324</v>
      </c>
      <c r="F63" s="4" t="s">
        <v>325</v>
      </c>
      <c r="G63" s="5" t="str">
        <f>IFERROR(__xludf.DUMMYFUNCTION("GOOGLETRANSLATE(D63,""bg"",""es"")"),"cubo")</f>
        <v>cubo</v>
      </c>
      <c r="H63" s="4" t="s">
        <v>326</v>
      </c>
      <c r="I63" s="4" t="s">
        <v>327</v>
      </c>
    </row>
    <row r="64">
      <c r="A64" s="4">
        <v>11.0</v>
      </c>
      <c r="B64" s="4" t="s">
        <v>292</v>
      </c>
      <c r="C64" s="4"/>
      <c r="D64" s="4" t="s">
        <v>328</v>
      </c>
      <c r="E64" s="4" t="s">
        <v>329</v>
      </c>
      <c r="F64" s="4" t="s">
        <v>330</v>
      </c>
      <c r="G64" s="5" t="str">
        <f>IFERROR(__xludf.DUMMYFUNCTION("GOOGLETRANSLATE(D64,""bg"",""es"")"),"comprado")</f>
        <v>comprado</v>
      </c>
    </row>
    <row r="65">
      <c r="A65" s="4">
        <v>12.0</v>
      </c>
      <c r="B65" s="4" t="s">
        <v>292</v>
      </c>
      <c r="C65" s="4"/>
      <c r="D65" s="4" t="s">
        <v>331</v>
      </c>
      <c r="E65" s="4" t="s">
        <v>332</v>
      </c>
      <c r="F65" s="4" t="s">
        <v>333</v>
      </c>
      <c r="G65" s="5" t="str">
        <f>IFERROR(__xludf.DUMMYFUNCTION("GOOGLETRANSLATE(D65,""bg"",""es"")"),"Mayo")</f>
        <v>Mayo</v>
      </c>
    </row>
    <row r="66">
      <c r="A66" s="4">
        <v>13.0</v>
      </c>
      <c r="B66" s="4" t="s">
        <v>292</v>
      </c>
      <c r="C66" s="4"/>
      <c r="D66" s="4" t="s">
        <v>334</v>
      </c>
      <c r="E66" s="4" t="s">
        <v>335</v>
      </c>
      <c r="F66" s="4" t="s">
        <v>336</v>
      </c>
      <c r="G66" s="5" t="str">
        <f>IFERROR(__xludf.DUMMYFUNCTION("GOOGLETRANSLATE(D66,""bg"",""es"")"),"masculino")</f>
        <v>masculino</v>
      </c>
    </row>
    <row r="67">
      <c r="A67" s="4">
        <v>14.0</v>
      </c>
      <c r="B67" s="4" t="s">
        <v>292</v>
      </c>
      <c r="C67" s="4"/>
      <c r="D67" s="4" t="s">
        <v>337</v>
      </c>
      <c r="E67" s="4" t="s">
        <v>338</v>
      </c>
      <c r="F67" s="4" t="s">
        <v>339</v>
      </c>
      <c r="G67" s="5" t="str">
        <f>IFERROR(__xludf.DUMMYFUNCTION("GOOGLETRANSLATE(D67,""bg"",""es"")"),"grasa")</f>
        <v>grasa</v>
      </c>
    </row>
    <row r="68">
      <c r="A68" s="4">
        <v>15.0</v>
      </c>
      <c r="B68" s="4" t="s">
        <v>292</v>
      </c>
      <c r="C68" s="4"/>
      <c r="D68" s="4" t="s">
        <v>340</v>
      </c>
      <c r="E68" s="4" t="s">
        <v>341</v>
      </c>
      <c r="F68" s="4" t="s">
        <v>342</v>
      </c>
      <c r="G68" s="5" t="str">
        <f>IFERROR(__xludf.DUMMYFUNCTION("GOOGLETRANSLATE(D68,""bg"",""es"")"),"yo")</f>
        <v>yo</v>
      </c>
    </row>
    <row r="69">
      <c r="A69" s="4">
        <v>16.0</v>
      </c>
      <c r="B69" s="4" t="s">
        <v>292</v>
      </c>
      <c r="C69" s="4"/>
      <c r="D69" s="4" t="s">
        <v>343</v>
      </c>
      <c r="E69" s="4" t="s">
        <v>344</v>
      </c>
      <c r="F69" s="4" t="s">
        <v>345</v>
      </c>
      <c r="G69" s="5" t="str">
        <f>IFERROR(__xludf.DUMMYFUNCTION("GOOGLETRANSLATE(D69,""bg"",""es"")"),"momento")</f>
        <v>momento</v>
      </c>
      <c r="H69" s="4" t="s">
        <v>346</v>
      </c>
      <c r="I69" s="4" t="s">
        <v>347</v>
      </c>
      <c r="J69" s="4" t="s">
        <v>348</v>
      </c>
      <c r="K69" s="4" t="s">
        <v>349</v>
      </c>
      <c r="L69" s="4" t="s">
        <v>350</v>
      </c>
      <c r="M69" s="4" t="s">
        <v>351</v>
      </c>
      <c r="N69" s="4" t="s">
        <v>352</v>
      </c>
      <c r="O69" s="4" t="s">
        <v>353</v>
      </c>
      <c r="P69" s="4" t="s">
        <v>354</v>
      </c>
      <c r="Q69" s="4" t="s">
        <v>355</v>
      </c>
    </row>
    <row r="70">
      <c r="A70" s="4">
        <v>17.0</v>
      </c>
      <c r="B70" s="4" t="s">
        <v>292</v>
      </c>
      <c r="C70" s="4"/>
      <c r="D70" s="4" t="s">
        <v>356</v>
      </c>
      <c r="E70" s="4" t="s">
        <v>357</v>
      </c>
      <c r="F70" s="4" t="s">
        <v>358</v>
      </c>
      <c r="G70" s="5" t="str">
        <f>IFERROR(__xludf.DUMMYFUNCTION("GOOGLETRANSLATE(D70,""bg"",""es"")"),"menos")</f>
        <v>menos</v>
      </c>
    </row>
    <row r="71">
      <c r="A71" s="4">
        <v>18.0</v>
      </c>
      <c r="B71" s="4" t="s">
        <v>292</v>
      </c>
      <c r="C71" s="4"/>
      <c r="D71" s="4" t="s">
        <v>359</v>
      </c>
      <c r="E71" s="4" t="s">
        <v>360</v>
      </c>
      <c r="F71" s="4" t="s">
        <v>361</v>
      </c>
      <c r="G71" s="5" t="str">
        <f>IFERROR(__xludf.DUMMYFUNCTION("GOOGLETRANSLATE(D71,""bg"",""es"")"),"Sra.")</f>
        <v>Sra.</v>
      </c>
    </row>
    <row r="72">
      <c r="A72" s="4">
        <v>19.0</v>
      </c>
      <c r="B72" s="4" t="s">
        <v>292</v>
      </c>
      <c r="C72" s="4"/>
      <c r="D72" s="4" t="s">
        <v>362</v>
      </c>
      <c r="E72" s="4" t="s">
        <v>363</v>
      </c>
      <c r="F72" s="4" t="s">
        <v>364</v>
      </c>
      <c r="G72" s="5" t="str">
        <f>IFERROR(__xludf.DUMMYFUNCTION("GOOGLETRANSLATE(D72,""bg"",""es"")"),"ratón")</f>
        <v>ratón</v>
      </c>
    </row>
    <row r="73">
      <c r="A73" s="4">
        <v>20.0</v>
      </c>
      <c r="B73" s="4" t="s">
        <v>292</v>
      </c>
      <c r="C73" s="4"/>
      <c r="D73" s="4" t="s">
        <v>365</v>
      </c>
      <c r="E73" s="4" t="s">
        <v>366</v>
      </c>
      <c r="F73" s="4" t="s">
        <v>367</v>
      </c>
      <c r="G73" s="5" t="str">
        <f>IFERROR(__xludf.DUMMYFUNCTION("GOOGLETRANSLATE(D73,""bg"",""es"")"),"a él")</f>
        <v>a él</v>
      </c>
    </row>
    <row r="74">
      <c r="A74" s="4">
        <v>21.0</v>
      </c>
      <c r="B74" s="4" t="s">
        <v>292</v>
      </c>
      <c r="C74" s="4"/>
      <c r="D74" s="4" t="s">
        <v>368</v>
      </c>
      <c r="E74" s="4" t="s">
        <v>369</v>
      </c>
      <c r="F74" s="4" t="s">
        <v>370</v>
      </c>
      <c r="G74" s="5" t="str">
        <f>IFERROR(__xludf.DUMMYFUNCTION("GOOGLETRANSLATE(D74,""bg"",""es"")"),"volar")</f>
        <v>volar</v>
      </c>
      <c r="H74" s="4" t="s">
        <v>371</v>
      </c>
    </row>
    <row r="75">
      <c r="A75" s="4">
        <v>22.0</v>
      </c>
      <c r="B75" s="4" t="s">
        <v>292</v>
      </c>
      <c r="C75" s="4"/>
      <c r="D75" s="4" t="s">
        <v>372</v>
      </c>
      <c r="E75" s="4" t="s">
        <v>373</v>
      </c>
      <c r="F75" s="4" t="s">
        <v>374</v>
      </c>
      <c r="G75" s="5" t="str">
        <f>IFERROR(__xludf.DUMMYFUNCTION("GOOGLETRANSLATE(D75,""bg"",""es"")"),"en")</f>
        <v>en</v>
      </c>
    </row>
    <row r="76">
      <c r="A76" s="4">
        <v>23.0</v>
      </c>
      <c r="B76" s="4" t="s">
        <v>292</v>
      </c>
      <c r="C76" s="4"/>
      <c r="D76" s="4" t="s">
        <v>375</v>
      </c>
      <c r="E76" s="4" t="s">
        <v>376</v>
      </c>
      <c r="F76" s="4" t="s">
        <v>377</v>
      </c>
      <c r="G76" s="5" t="str">
        <f>IFERROR(__xludf.DUMMYFUNCTION("GOOGLETRANSLATE(D76,""bg"",""es"")"),"a nosotros")</f>
        <v>a nosotros</v>
      </c>
    </row>
    <row r="77">
      <c r="A77" s="4">
        <v>24.0</v>
      </c>
      <c r="B77" s="4" t="s">
        <v>292</v>
      </c>
      <c r="C77" s="4"/>
      <c r="D77" s="4" t="s">
        <v>378</v>
      </c>
      <c r="E77" s="4" t="s">
        <v>379</v>
      </c>
      <c r="F77" s="4" t="s">
        <v>380</v>
      </c>
      <c r="G77" s="5" t="str">
        <f>IFERROR(__xludf.DUMMYFUNCTION("GOOGLETRANSLATE(D77,""bg"",""es"")"),"a nosotros")</f>
        <v>a nosotros</v>
      </c>
    </row>
    <row r="78">
      <c r="A78" s="4">
        <v>25.0</v>
      </c>
      <c r="B78" s="4" t="s">
        <v>292</v>
      </c>
      <c r="C78" s="4"/>
      <c r="D78" s="4" t="s">
        <v>381</v>
      </c>
      <c r="E78" s="4" t="s">
        <v>382</v>
      </c>
      <c r="F78" s="4" t="s">
        <v>383</v>
      </c>
      <c r="G78" s="5" t="str">
        <f>IFERROR(__xludf.DUMMYFUNCTION("GOOGLETRANSLATE(D78,""bg"",""es"")"),"nuestro")</f>
        <v>nuestro</v>
      </c>
    </row>
    <row r="79">
      <c r="A79" s="4">
        <v>26.0</v>
      </c>
      <c r="B79" s="4" t="s">
        <v>292</v>
      </c>
      <c r="C79" s="4"/>
      <c r="D79" s="4" t="s">
        <v>384</v>
      </c>
      <c r="E79" s="4" t="s">
        <v>385</v>
      </c>
      <c r="F79" s="4" t="s">
        <v>386</v>
      </c>
      <c r="G79" s="5" t="str">
        <f>IFERROR(__xludf.DUMMYFUNCTION("GOOGLETRANSLATE(D79,""bg"",""es"")"),"nuestro")</f>
        <v>nuestro</v>
      </c>
    </row>
    <row r="80">
      <c r="A80" s="4">
        <v>27.0</v>
      </c>
      <c r="B80" s="4" t="s">
        <v>292</v>
      </c>
      <c r="C80" s="4"/>
      <c r="D80" s="4" t="s">
        <v>387</v>
      </c>
      <c r="E80" s="4" t="s">
        <v>388</v>
      </c>
      <c r="F80" s="4" t="s">
        <v>389</v>
      </c>
      <c r="G80" s="5" t="str">
        <f>IFERROR(__xludf.DUMMYFUNCTION("GOOGLETRANSLATE(D80,""bg"",""es"")"),"no")</f>
        <v>no</v>
      </c>
    </row>
    <row r="81">
      <c r="A81" s="4">
        <v>28.0</v>
      </c>
      <c r="B81" s="4" t="s">
        <v>292</v>
      </c>
      <c r="C81" s="4"/>
      <c r="D81" s="4" t="s">
        <v>390</v>
      </c>
      <c r="E81" s="4" t="s">
        <v>391</v>
      </c>
      <c r="F81" s="4" t="s">
        <v>392</v>
      </c>
      <c r="G81" s="5" t="str">
        <f>IFERROR(__xludf.DUMMYFUNCTION("GOOGLETRANSLATE(D81,""bg"",""es"")"),"otra vez")</f>
        <v>otra vez</v>
      </c>
    </row>
    <row r="82">
      <c r="A82" s="4">
        <v>29.0</v>
      </c>
      <c r="B82" s="4" t="s">
        <v>292</v>
      </c>
      <c r="C82" s="4"/>
      <c r="D82" s="4" t="s">
        <v>393</v>
      </c>
      <c r="E82" s="4" t="s">
        <v>394</v>
      </c>
      <c r="F82" s="4" t="s">
        <v>395</v>
      </c>
      <c r="G82" s="5" t="str">
        <f>IFERROR(__xludf.DUMMYFUNCTION("GOOGLETRANSLATE(D82,""bg"",""es"")"),"solicita")</f>
        <v>solicita</v>
      </c>
    </row>
    <row r="83">
      <c r="A83" s="4">
        <v>30.0</v>
      </c>
      <c r="B83" s="4" t="s">
        <v>292</v>
      </c>
      <c r="C83" s="4"/>
      <c r="D83" s="4" t="s">
        <v>396</v>
      </c>
      <c r="E83" s="4" t="s">
        <v>397</v>
      </c>
      <c r="F83" s="4" t="s">
        <v>398</v>
      </c>
      <c r="G83" s="5" t="str">
        <f>IFERROR(__xludf.DUMMYFUNCTION("GOOGLETRANSLATE(D83,""bg"",""es"")"),"solo")</f>
        <v>solo</v>
      </c>
    </row>
    <row r="84">
      <c r="A84" s="4">
        <v>31.0</v>
      </c>
      <c r="B84" s="4" t="s">
        <v>292</v>
      </c>
      <c r="C84" s="4"/>
      <c r="D84" s="4" t="s">
        <v>399</v>
      </c>
      <c r="E84" s="4" t="s">
        <v>400</v>
      </c>
      <c r="F84" s="4" t="s">
        <v>401</v>
      </c>
      <c r="G84" s="5" t="str">
        <f>IFERROR(__xludf.DUMMYFUNCTION("GOOGLETRANSLATE(D84,""bg"",""es"")"),"su")</f>
        <v>su</v>
      </c>
    </row>
    <row r="85">
      <c r="A85" s="4">
        <v>32.0</v>
      </c>
      <c r="B85" s="4" t="s">
        <v>292</v>
      </c>
      <c r="C85" s="4"/>
      <c r="D85" s="4" t="s">
        <v>402</v>
      </c>
      <c r="E85" s="4" t="s">
        <v>403</v>
      </c>
      <c r="F85" s="4" t="s">
        <v>404</v>
      </c>
      <c r="G85" s="5" t="str">
        <f>IFERROR(__xludf.DUMMYFUNCTION("GOOGLETRANSLATE(D85,""bg"",""es"")"),"hijo")</f>
        <v>hijo</v>
      </c>
      <c r="H85" s="4" t="s">
        <v>405</v>
      </c>
      <c r="I85" s="4" t="s">
        <v>406</v>
      </c>
    </row>
    <row r="86">
      <c r="A86" s="4">
        <v>33.0</v>
      </c>
      <c r="B86" s="4" t="s">
        <v>292</v>
      </c>
      <c r="C86" s="4"/>
      <c r="D86" s="4" t="s">
        <v>407</v>
      </c>
      <c r="E86" s="4" t="s">
        <v>408</v>
      </c>
      <c r="F86" s="4" t="s">
        <v>409</v>
      </c>
      <c r="G86" s="5" t="str">
        <f>IFERROR(__xludf.DUMMYFUNCTION("GOOGLETRANSLATE(D86,""bg"",""es"")"),"seno")</f>
        <v>seno</v>
      </c>
    </row>
    <row r="87">
      <c r="A87" s="4">
        <v>34.0</v>
      </c>
      <c r="B87" s="4" t="s">
        <v>292</v>
      </c>
      <c r="C87" s="4"/>
      <c r="D87" s="4" t="s">
        <v>410</v>
      </c>
      <c r="E87" s="4" t="s">
        <v>411</v>
      </c>
      <c r="F87" s="4" t="s">
        <v>412</v>
      </c>
      <c r="G87" s="5" t="str">
        <f>IFERROR(__xludf.DUMMYFUNCTION("GOOGLETRANSLATE(D87,""bg"",""es"")"),"brillar")</f>
        <v>brillar</v>
      </c>
    </row>
    <row r="88">
      <c r="A88" s="4">
        <v>35.0</v>
      </c>
      <c r="B88" s="4" t="s">
        <v>292</v>
      </c>
      <c r="C88" s="4"/>
      <c r="D88" s="4" t="s">
        <v>413</v>
      </c>
      <c r="E88" s="4" t="s">
        <v>414</v>
      </c>
      <c r="F88" s="4" t="s">
        <v>415</v>
      </c>
      <c r="G88" s="5" t="str">
        <f>IFERROR(__xludf.DUMMYFUNCTION("GOOGLETRANSLATE(D88,""bg"",""es"")"),"seco")</f>
        <v>seco</v>
      </c>
      <c r="H88" s="4" t="s">
        <v>416</v>
      </c>
    </row>
    <row r="89">
      <c r="A89" s="4">
        <v>36.0</v>
      </c>
      <c r="B89" s="4" t="s">
        <v>292</v>
      </c>
      <c r="C89" s="4"/>
      <c r="D89" s="4" t="s">
        <v>417</v>
      </c>
      <c r="E89" s="4" t="s">
        <v>418</v>
      </c>
      <c r="F89" s="4" t="s">
        <v>419</v>
      </c>
      <c r="G89" s="5" t="str">
        <f>IFERROR(__xludf.DUMMYFUNCTION("GOOGLETRANSLATE(D89,""bg"",""es"")"),"pelvis")</f>
        <v>pelvis</v>
      </c>
    </row>
    <row r="90">
      <c r="A90" s="4">
        <v>37.0</v>
      </c>
      <c r="B90" s="4" t="s">
        <v>292</v>
      </c>
      <c r="C90" s="4"/>
      <c r="D90" s="4" t="s">
        <v>420</v>
      </c>
      <c r="E90" s="4" t="s">
        <v>421</v>
      </c>
      <c r="F90" s="4" t="s">
        <v>422</v>
      </c>
      <c r="G90" s="5" t="str">
        <f>IFERROR(__xludf.DUMMYFUNCTION("GOOGLETRANSLATE(D90,""bg"",""es"")"),"tú")</f>
        <v>tú</v>
      </c>
    </row>
    <row r="91">
      <c r="A91" s="4">
        <v>38.0</v>
      </c>
      <c r="B91" s="4" t="s">
        <v>292</v>
      </c>
      <c r="C91" s="4"/>
      <c r="D91" s="4" t="s">
        <v>423</v>
      </c>
      <c r="E91" s="4" t="s">
        <v>424</v>
      </c>
      <c r="F91" s="4" t="s">
        <v>425</v>
      </c>
      <c r="G91" s="5" t="str">
        <f>IFERROR(__xludf.DUMMYFUNCTION("GOOGLETRANSLATE(D91,""bg"",""es"")"),"escribe")</f>
        <v>escribe</v>
      </c>
    </row>
    <row r="92">
      <c r="A92" s="4">
        <v>39.0</v>
      </c>
      <c r="B92" s="4" t="s">
        <v>292</v>
      </c>
      <c r="C92" s="4"/>
      <c r="D92" s="4" t="s">
        <v>426</v>
      </c>
      <c r="E92" s="4" t="s">
        <v>427</v>
      </c>
      <c r="F92" s="4" t="s">
        <v>428</v>
      </c>
      <c r="G92" s="5" t="str">
        <f>IFERROR(__xludf.DUMMYFUNCTION("GOOGLETRANSLATE(D92,""bg"",""es"")"),"tis")</f>
        <v>tis</v>
      </c>
    </row>
    <row r="93">
      <c r="A93" s="4">
        <v>40.0</v>
      </c>
      <c r="B93" s="4" t="s">
        <v>292</v>
      </c>
      <c r="C93" s="4"/>
      <c r="D93" s="4" t="s">
        <v>429</v>
      </c>
      <c r="E93" s="4" t="s">
        <v>430</v>
      </c>
      <c r="F93" s="4" t="s">
        <v>431</v>
      </c>
      <c r="G93" s="5" t="str">
        <f>IFERROR(__xludf.DUMMYFUNCTION("GOOGLETRANSLATE(D93,""bg"",""es"")"),"titanio")</f>
        <v>titanio</v>
      </c>
      <c r="H93" s="4" t="s">
        <v>432</v>
      </c>
      <c r="I93" s="4" t="s">
        <v>433</v>
      </c>
      <c r="J93" s="4" t="s">
        <v>434</v>
      </c>
      <c r="K93" s="4" t="s">
        <v>435</v>
      </c>
    </row>
    <row r="94">
      <c r="A94" s="4">
        <v>41.0</v>
      </c>
      <c r="B94" s="4" t="s">
        <v>292</v>
      </c>
      <c r="C94" s="4"/>
      <c r="D94" s="4" t="s">
        <v>436</v>
      </c>
      <c r="E94" s="4" t="s">
        <v>437</v>
      </c>
      <c r="F94" s="4" t="s">
        <v>438</v>
      </c>
      <c r="G94" s="5" t="str">
        <f>IFERROR(__xludf.DUMMYFUNCTION("GOOGLETRANSLATE(D94,""bg"",""es"")"),"tranquilo")</f>
        <v>tranquilo</v>
      </c>
      <c r="H94" s="4" t="s">
        <v>439</v>
      </c>
    </row>
    <row r="95">
      <c r="A95" s="4">
        <v>42.0</v>
      </c>
      <c r="B95" s="4" t="s">
        <v>292</v>
      </c>
      <c r="C95" s="4"/>
      <c r="D95" s="4" t="s">
        <v>440</v>
      </c>
      <c r="E95" s="4" t="s">
        <v>441</v>
      </c>
      <c r="F95" s="4" t="s">
        <v>442</v>
      </c>
      <c r="G95" s="5" t="str">
        <f>IFERROR(__xludf.DUMMYFUNCTION("GOOGLETRANSLATE(D95,""bg"",""es"")"),"silencio")</f>
        <v>silencio</v>
      </c>
      <c r="H95" s="4" t="s">
        <v>443</v>
      </c>
      <c r="I95" s="4" t="s">
        <v>439</v>
      </c>
      <c r="J95" s="4" t="s">
        <v>444</v>
      </c>
      <c r="K95" s="4" t="s">
        <v>445</v>
      </c>
      <c r="L95" s="4" t="s">
        <v>446</v>
      </c>
      <c r="M95" s="4" t="s">
        <v>447</v>
      </c>
      <c r="N95" s="4" t="s">
        <v>448</v>
      </c>
      <c r="O95" s="4" t="s">
        <v>449</v>
      </c>
      <c r="P95" s="4" t="s">
        <v>450</v>
      </c>
    </row>
    <row r="96">
      <c r="A96" s="4">
        <v>43.0</v>
      </c>
      <c r="B96" s="4" t="s">
        <v>292</v>
      </c>
      <c r="C96" s="4"/>
      <c r="D96" s="4" t="s">
        <v>451</v>
      </c>
      <c r="E96" s="4" t="s">
        <v>452</v>
      </c>
      <c r="F96" s="4" t="s">
        <v>453</v>
      </c>
      <c r="G96" s="5" t="str">
        <f>IFERROR(__xludf.DUMMYFUNCTION("GOOGLETRANSLATE(D96,""bg"",""es"")"),"este")</f>
        <v>este</v>
      </c>
    </row>
    <row r="97">
      <c r="A97" s="4">
        <v>44.0</v>
      </c>
      <c r="B97" s="4" t="s">
        <v>292</v>
      </c>
      <c r="C97" s="4"/>
      <c r="D97" s="4" t="s">
        <v>454</v>
      </c>
      <c r="E97" s="4" t="s">
        <v>455</v>
      </c>
      <c r="F97" s="4" t="s">
        <v>456</v>
      </c>
      <c r="G97" s="5" t="str">
        <f>IFERROR(__xludf.DUMMYFUNCTION("GOOGLETRANSLATE(D97,""bg"",""es"")"),"aquí")</f>
        <v>aquí</v>
      </c>
    </row>
    <row r="98">
      <c r="A98" s="4">
        <v>45.0</v>
      </c>
      <c r="B98" s="4" t="s">
        <v>292</v>
      </c>
      <c r="C98" s="4"/>
      <c r="D98" s="4" t="s">
        <v>457</v>
      </c>
      <c r="E98" s="4" t="s">
        <v>458</v>
      </c>
      <c r="F98" s="4" t="s">
        <v>459</v>
      </c>
      <c r="G98" s="5" t="str">
        <f>IFERROR(__xludf.DUMMYFUNCTION("GOOGLETRANSLATE(D98,""bg"",""es"")"),"sayo")</f>
        <v>sayo</v>
      </c>
    </row>
    <row r="99">
      <c r="A99" s="4">
        <v>46.0</v>
      </c>
      <c r="B99" s="4" t="s">
        <v>292</v>
      </c>
      <c r="C99" s="4"/>
      <c r="D99" s="4" t="s">
        <v>460</v>
      </c>
      <c r="E99" s="4" t="s">
        <v>461</v>
      </c>
      <c r="F99" s="4" t="s">
        <v>462</v>
      </c>
      <c r="G99" s="5" t="str">
        <f>IFERROR(__xludf.DUMMYFUNCTION("GOOGLETRANSLATE(D99,""bg"",""es"")"),"Túnez")</f>
        <v>Túnez</v>
      </c>
    </row>
    <row r="100">
      <c r="A100" s="4">
        <v>47.0</v>
      </c>
      <c r="B100" s="4" t="s">
        <v>292</v>
      </c>
      <c r="C100" s="4"/>
      <c r="D100" s="4" t="s">
        <v>463</v>
      </c>
      <c r="E100" s="4" t="s">
        <v>464</v>
      </c>
      <c r="F100" s="4" t="s">
        <v>465</v>
      </c>
      <c r="G100" s="5" t="str">
        <f>IFERROR(__xludf.DUMMYFUNCTION("GOOGLETRANSLATE(D100,""bg"",""es"")"),"orejas")</f>
        <v>orejas</v>
      </c>
    </row>
    <row r="101">
      <c r="A101" s="4">
        <v>48.0</v>
      </c>
      <c r="B101" s="4" t="s">
        <v>292</v>
      </c>
      <c r="C101" s="4"/>
      <c r="D101" s="4" t="s">
        <v>466</v>
      </c>
      <c r="E101" s="4" t="s">
        <v>467</v>
      </c>
      <c r="F101" s="4" t="s">
        <v>468</v>
      </c>
      <c r="G101" s="5" t="str">
        <f>IFERROR(__xludf.DUMMYFUNCTION("GOOGLETRANSLATE(D101,""bg"",""es"")"),"polla")</f>
        <v>polla</v>
      </c>
    </row>
    <row r="102">
      <c r="A102" s="4">
        <v>49.0</v>
      </c>
      <c r="B102" s="4" t="s">
        <v>292</v>
      </c>
      <c r="C102" s="4"/>
      <c r="D102" s="4" t="s">
        <v>469</v>
      </c>
      <c r="E102" s="4" t="s">
        <v>470</v>
      </c>
      <c r="F102" s="4" t="s">
        <v>471</v>
      </c>
      <c r="G102" s="5" t="str">
        <f>IFERROR(__xludf.DUMMYFUNCTION("GOOGLETRANSLATE(D102,""bg"",""es"")"),"humus")</f>
        <v>humus</v>
      </c>
    </row>
    <row r="103">
      <c r="A103" s="4">
        <v>1.0</v>
      </c>
      <c r="B103" s="4" t="s">
        <v>472</v>
      </c>
      <c r="C103" s="4"/>
      <c r="D103" s="4" t="s">
        <v>473</v>
      </c>
      <c r="E103" s="4" t="s">
        <v>474</v>
      </c>
      <c r="F103" s="4" t="s">
        <v>475</v>
      </c>
      <c r="G103" s="5" t="str">
        <f>IFERROR(__xludf.DUMMYFUNCTION("GOOGLETRANSLATE(D103,""ca"",""es"")"),"abundante")</f>
        <v>abundante</v>
      </c>
    </row>
    <row r="104">
      <c r="A104" s="4">
        <v>2.0</v>
      </c>
      <c r="B104" s="4" t="s">
        <v>472</v>
      </c>
      <c r="C104" s="4"/>
      <c r="D104" s="4" t="s">
        <v>476</v>
      </c>
      <c r="E104" s="4" t="s">
        <v>477</v>
      </c>
      <c r="F104" s="4" t="s">
        <v>478</v>
      </c>
      <c r="G104" s="5" t="str">
        <f>IFERROR(__xludf.DUMMYFUNCTION("GOOGLETRANSLATE(D104,""ca"",""es"")"),"ACEIA")</f>
        <v>ACEIA</v>
      </c>
    </row>
    <row r="105">
      <c r="A105" s="4">
        <v>3.0</v>
      </c>
      <c r="B105" s="4" t="s">
        <v>472</v>
      </c>
      <c r="C105" s="4"/>
      <c r="D105" s="4" t="s">
        <v>479</v>
      </c>
      <c r="E105" s="4" t="s">
        <v>480</v>
      </c>
      <c r="F105" s="4" t="s">
        <v>481</v>
      </c>
      <c r="G105" s="5" t="str">
        <f>IFERROR(__xludf.DUMMYFUNCTION("GOOGLETRANSLATE(D105,""ca"",""es"")"),"acumular")</f>
        <v>acumular</v>
      </c>
      <c r="H105" s="4" t="s">
        <v>482</v>
      </c>
      <c r="I105" s="4" t="s">
        <v>483</v>
      </c>
      <c r="J105" s="4" t="s">
        <v>484</v>
      </c>
      <c r="K105" s="4" t="s">
        <v>485</v>
      </c>
      <c r="L105" s="4" t="s">
        <v>486</v>
      </c>
      <c r="M105" s="4" t="s">
        <v>487</v>
      </c>
      <c r="N105" s="4" t="s">
        <v>488</v>
      </c>
      <c r="O105" s="4" t="s">
        <v>489</v>
      </c>
      <c r="P105" s="4" t="s">
        <v>490</v>
      </c>
      <c r="Q105" s="4" t="s">
        <v>491</v>
      </c>
      <c r="R105" s="4" t="s">
        <v>492</v>
      </c>
      <c r="S105" s="4" t="s">
        <v>493</v>
      </c>
      <c r="T105" s="4" t="s">
        <v>494</v>
      </c>
      <c r="U105" s="4" t="s">
        <v>495</v>
      </c>
      <c r="V105" s="4" t="s">
        <v>496</v>
      </c>
      <c r="W105" s="4" t="s">
        <v>497</v>
      </c>
      <c r="X105" s="4" t="s">
        <v>498</v>
      </c>
      <c r="Y105" s="4" t="s">
        <v>499</v>
      </c>
    </row>
    <row r="106">
      <c r="A106" s="4">
        <v>4.0</v>
      </c>
      <c r="B106" s="4" t="s">
        <v>472</v>
      </c>
      <c r="C106" s="4"/>
      <c r="D106" s="4" t="s">
        <v>500</v>
      </c>
      <c r="E106" s="4" t="s">
        <v>501</v>
      </c>
      <c r="F106" s="4" t="s">
        <v>502</v>
      </c>
      <c r="G106" s="5" t="str">
        <f>IFERROR(__xludf.DUMMYFUNCTION("GOOGLETRANSLATE(D106,""ca"",""es"")"),"aquí")</f>
        <v>aquí</v>
      </c>
    </row>
    <row r="107">
      <c r="A107" s="4">
        <v>5.0</v>
      </c>
      <c r="B107" s="4" t="s">
        <v>472</v>
      </c>
      <c r="C107" s="4"/>
      <c r="D107" s="4" t="s">
        <v>503</v>
      </c>
      <c r="E107" s="4" t="s">
        <v>504</v>
      </c>
      <c r="F107" s="4" t="s">
        <v>505</v>
      </c>
      <c r="G107" s="5" t="str">
        <f>IFERROR(__xludf.DUMMYFUNCTION("GOOGLETRANSLATE(D107,""ca"",""es"")"),"sí")</f>
        <v>sí</v>
      </c>
    </row>
    <row r="108">
      <c r="A108" s="4">
        <v>6.0</v>
      </c>
      <c r="B108" s="4" t="s">
        <v>472</v>
      </c>
      <c r="C108" s="4"/>
      <c r="D108" s="4" t="s">
        <v>506</v>
      </c>
      <c r="E108" s="4" t="s">
        <v>507</v>
      </c>
      <c r="F108" s="4" t="s">
        <v>506</v>
      </c>
      <c r="G108" s="5" t="str">
        <f>IFERROR(__xludf.DUMMYFUNCTION("GOOGLETRANSLATE(D108,""ca"",""es"")"),"en el")</f>
        <v>en el</v>
      </c>
    </row>
    <row r="109">
      <c r="A109" s="4">
        <v>7.0</v>
      </c>
      <c r="B109" s="4" t="s">
        <v>472</v>
      </c>
      <c r="C109" s="4"/>
      <c r="D109" s="4" t="s">
        <v>508</v>
      </c>
      <c r="E109" s="4" t="s">
        <v>509</v>
      </c>
      <c r="F109" s="4" t="s">
        <v>508</v>
      </c>
      <c r="G109" s="5" t="str">
        <f>IFERROR(__xludf.DUMMYFUNCTION("GOOGLETRANSLATE(D109,""ca"",""es"")"),"ala")</f>
        <v>ala</v>
      </c>
      <c r="H109" s="4" t="s">
        <v>510</v>
      </c>
      <c r="I109" s="4" t="s">
        <v>511</v>
      </c>
      <c r="J109" s="4" t="s">
        <v>512</v>
      </c>
      <c r="K109" s="4" t="s">
        <v>513</v>
      </c>
      <c r="L109" s="4" t="s">
        <v>510</v>
      </c>
      <c r="M109" s="4" t="s">
        <v>514</v>
      </c>
      <c r="N109" s="4" t="s">
        <v>510</v>
      </c>
      <c r="O109" s="4" t="s">
        <v>510</v>
      </c>
      <c r="P109" s="4" t="s">
        <v>515</v>
      </c>
      <c r="Q109" s="4" t="s">
        <v>516</v>
      </c>
      <c r="R109" s="4" t="s">
        <v>517</v>
      </c>
    </row>
    <row r="110">
      <c r="A110" s="4">
        <v>8.0</v>
      </c>
      <c r="B110" s="4" t="s">
        <v>472</v>
      </c>
      <c r="C110" s="4"/>
      <c r="D110" s="4" t="s">
        <v>518</v>
      </c>
      <c r="E110" s="4" t="s">
        <v>519</v>
      </c>
      <c r="F110" s="4" t="s">
        <v>520</v>
      </c>
      <c r="G110" s="5" t="str">
        <f>IFERROR(__xludf.DUMMYFUNCTION("GOOGLETRANSLATE(D110,""ca"",""es"")"),"Alamánico")</f>
        <v>Alamánico</v>
      </c>
    </row>
    <row r="111">
      <c r="A111" s="4">
        <v>9.0</v>
      </c>
      <c r="B111" s="4" t="s">
        <v>472</v>
      </c>
      <c r="C111" s="4"/>
      <c r="D111" s="4" t="s">
        <v>521</v>
      </c>
      <c r="E111" s="4" t="s">
        <v>522</v>
      </c>
      <c r="F111" s="4" t="s">
        <v>523</v>
      </c>
      <c r="G111" s="5" t="str">
        <f>IFERROR(__xludf.DUMMYFUNCTION("GOOGLETRANSLATE(D111,""ca"",""es"")"),"alárico")</f>
        <v>alárico</v>
      </c>
    </row>
    <row r="112">
      <c r="A112" s="4">
        <v>10.0</v>
      </c>
      <c r="B112" s="4" t="s">
        <v>472</v>
      </c>
      <c r="C112" s="4"/>
      <c r="D112" s="4" t="s">
        <v>524</v>
      </c>
      <c r="E112" s="4" t="s">
        <v>525</v>
      </c>
      <c r="F112" s="4" t="s">
        <v>524</v>
      </c>
      <c r="G112" s="5" t="str">
        <f>IFERROR(__xludf.DUMMYFUNCTION("GOOGLETRANSLATE(D112,""ca"",""es"")"),"ajo")</f>
        <v>ajo</v>
      </c>
      <c r="H112" s="4" t="s">
        <v>526</v>
      </c>
      <c r="I112" s="4" t="s">
        <v>527</v>
      </c>
      <c r="J112" s="4" t="s">
        <v>526</v>
      </c>
      <c r="K112" s="4" t="s">
        <v>528</v>
      </c>
    </row>
    <row r="113">
      <c r="A113" s="4">
        <v>11.0</v>
      </c>
      <c r="B113" s="4" t="s">
        <v>472</v>
      </c>
      <c r="C113" s="4"/>
      <c r="D113" s="4" t="s">
        <v>529</v>
      </c>
      <c r="E113" s="4" t="s">
        <v>530</v>
      </c>
      <c r="F113" s="4" t="s">
        <v>531</v>
      </c>
      <c r="G113" s="5" t="str">
        <f>IFERROR(__xludf.DUMMYFUNCTION("GOOGLETRANSLATE(D113,""ca"",""es"")"),"Allrassa")</f>
        <v>Allrassa</v>
      </c>
    </row>
    <row r="114">
      <c r="A114" s="4">
        <v>12.0</v>
      </c>
      <c r="B114" s="4" t="s">
        <v>472</v>
      </c>
      <c r="C114" s="4"/>
      <c r="D114" s="4" t="s">
        <v>532</v>
      </c>
      <c r="E114" s="4" t="s">
        <v>533</v>
      </c>
      <c r="F114" s="4" t="s">
        <v>534</v>
      </c>
      <c r="G114" s="5" t="str">
        <f>IFERROR(__xludf.DUMMYFUNCTION("GOOGLETRANSLATE(D114,""ca"",""es"")"),"alejarse")</f>
        <v>alejarse</v>
      </c>
      <c r="H114" s="4" t="s">
        <v>535</v>
      </c>
      <c r="I114" s="4" t="s">
        <v>536</v>
      </c>
      <c r="J114" s="4" t="s">
        <v>537</v>
      </c>
      <c r="K114" s="4" t="s">
        <v>538</v>
      </c>
    </row>
    <row r="115">
      <c r="A115" s="4">
        <v>13.0</v>
      </c>
      <c r="B115" s="4" t="s">
        <v>472</v>
      </c>
      <c r="C115" s="4"/>
      <c r="D115" s="4" t="s">
        <v>539</v>
      </c>
      <c r="E115" s="4" t="s">
        <v>540</v>
      </c>
      <c r="F115" s="4" t="s">
        <v>541</v>
      </c>
      <c r="G115" s="5" t="str">
        <f>IFERROR(__xludf.DUMMYFUNCTION("GOOGLETRANSLATE(D115,""ca"",""es"")"),"allá")</f>
        <v>allá</v>
      </c>
    </row>
    <row r="116">
      <c r="A116" s="4">
        <v>14.0</v>
      </c>
      <c r="B116" s="4" t="s">
        <v>472</v>
      </c>
      <c r="C116" s="4"/>
      <c r="D116" s="4" t="s">
        <v>542</v>
      </c>
      <c r="E116" s="4" t="s">
        <v>543</v>
      </c>
      <c r="F116" s="4" t="s">
        <v>544</v>
      </c>
      <c r="G116" s="5" t="str">
        <f>IFERROR(__xludf.DUMMYFUNCTION("GOOGLETRANSLATE(D116,""ca"",""es"")"),"allá")</f>
        <v>allá</v>
      </c>
    </row>
    <row r="117">
      <c r="A117" s="4">
        <v>15.0</v>
      </c>
      <c r="B117" s="4" t="s">
        <v>472</v>
      </c>
      <c r="C117" s="4"/>
      <c r="D117" s="4" t="s">
        <v>545</v>
      </c>
      <c r="E117" s="4" t="s">
        <v>507</v>
      </c>
      <c r="F117" s="4" t="s">
        <v>506</v>
      </c>
      <c r="G117" s="5" t="str">
        <f>IFERROR(__xludf.DUMMYFUNCTION("GOOGLETRANSLATE(D117,""ca"",""es"")"),"alto")</f>
        <v>alto</v>
      </c>
      <c r="H117" s="4" t="s">
        <v>546</v>
      </c>
      <c r="I117" s="4" t="s">
        <v>547</v>
      </c>
      <c r="J117" s="4" t="s">
        <v>548</v>
      </c>
      <c r="K117" s="4" t="s">
        <v>549</v>
      </c>
      <c r="L117" s="4" t="s">
        <v>550</v>
      </c>
      <c r="M117" s="4" t="s">
        <v>546</v>
      </c>
      <c r="N117" s="4" t="s">
        <v>551</v>
      </c>
      <c r="O117" s="4" t="s">
        <v>547</v>
      </c>
      <c r="P117" s="4" t="s">
        <v>546</v>
      </c>
      <c r="Q117" s="4" t="s">
        <v>552</v>
      </c>
      <c r="R117" s="4" t="s">
        <v>553</v>
      </c>
    </row>
    <row r="118">
      <c r="A118" s="4">
        <v>16.0</v>
      </c>
      <c r="B118" s="4" t="s">
        <v>472</v>
      </c>
      <c r="C118" s="4"/>
      <c r="D118" s="4" t="s">
        <v>554</v>
      </c>
      <c r="E118" s="4" t="s">
        <v>555</v>
      </c>
      <c r="F118" s="4" t="s">
        <v>554</v>
      </c>
      <c r="G118" s="5" t="str">
        <f>IFERROR(__xludf.DUMMYFUNCTION("GOOGLETRANSLATE(D118,""ca"",""es"")"),"aluminio")</f>
        <v>aluminio</v>
      </c>
      <c r="H118" s="4" t="s">
        <v>556</v>
      </c>
      <c r="I118" s="4" t="s">
        <v>557</v>
      </c>
      <c r="J118" s="4" t="s">
        <v>558</v>
      </c>
      <c r="K118" s="4" t="s">
        <v>559</v>
      </c>
    </row>
    <row r="119">
      <c r="A119" s="4">
        <v>17.0</v>
      </c>
      <c r="B119" s="4" t="s">
        <v>472</v>
      </c>
      <c r="C119" s="4"/>
      <c r="D119" s="4" t="s">
        <v>560</v>
      </c>
      <c r="E119" s="4" t="s">
        <v>561</v>
      </c>
      <c r="F119" s="4" t="s">
        <v>562</v>
      </c>
      <c r="G119" s="5" t="str">
        <f>IFERROR(__xludf.DUMMYFUNCTION("GOOGLETRANSLATE(D119,""ca"",""es"")"),"aluminio")</f>
        <v>aluminio</v>
      </c>
    </row>
    <row r="120">
      <c r="A120" s="4">
        <v>18.0</v>
      </c>
      <c r="B120" s="4" t="s">
        <v>472</v>
      </c>
      <c r="C120" s="4"/>
      <c r="D120" s="4" t="s">
        <v>563</v>
      </c>
      <c r="E120" s="4" t="s">
        <v>564</v>
      </c>
      <c r="F120" s="4" t="s">
        <v>565</v>
      </c>
      <c r="G120" s="5" t="str">
        <f>IFERROR(__xludf.DUMMYFUNCTION("GOOGLETRANSLATE(D120,""ca"",""es"")"),"aluminio")</f>
        <v>aluminio</v>
      </c>
    </row>
    <row r="121">
      <c r="A121" s="4">
        <v>19.0</v>
      </c>
      <c r="B121" s="4" t="s">
        <v>472</v>
      </c>
      <c r="C121" s="4"/>
      <c r="D121" s="4" t="s">
        <v>566</v>
      </c>
      <c r="E121" s="4" t="s">
        <v>567</v>
      </c>
      <c r="F121" s="4" t="s">
        <v>566</v>
      </c>
      <c r="G121" s="5" t="str">
        <f>IFERROR(__xludf.DUMMYFUNCTION("GOOGLETRANSLATE(D121,""ca"",""es"")"),"manualmente")</f>
        <v>manualmente</v>
      </c>
    </row>
    <row r="122">
      <c r="A122" s="4">
        <v>20.0</v>
      </c>
      <c r="B122" s="4" t="s">
        <v>472</v>
      </c>
      <c r="C122" s="4"/>
      <c r="D122" s="4" t="s">
        <v>568</v>
      </c>
      <c r="E122" s="4" t="s">
        <v>569</v>
      </c>
      <c r="F122" s="4" t="s">
        <v>568</v>
      </c>
      <c r="G122" s="5" t="str">
        <f>IFERROR(__xludf.DUMMYFUNCTION("GOOGLETRANSLATE(D122,""ca"",""es"")"),"vendaje")</f>
        <v>vendaje</v>
      </c>
    </row>
    <row r="123">
      <c r="A123" s="4">
        <v>21.0</v>
      </c>
      <c r="B123" s="4" t="s">
        <v>472</v>
      </c>
      <c r="C123" s="4"/>
      <c r="D123" s="4" t="s">
        <v>570</v>
      </c>
      <c r="E123" s="4" t="s">
        <v>571</v>
      </c>
      <c r="F123" s="4" t="s">
        <v>570</v>
      </c>
      <c r="G123" s="5" t="str">
        <f>IFERROR(__xludf.DUMMYFUNCTION("GOOGLETRANSLATE(D123,""ca"",""es"")"),"Páramo")</f>
        <v>Páramo</v>
      </c>
      <c r="H123" s="4" t="s">
        <v>572</v>
      </c>
      <c r="I123" s="4" t="s">
        <v>572</v>
      </c>
    </row>
    <row r="124">
      <c r="A124" s="4">
        <v>22.0</v>
      </c>
      <c r="B124" s="4" t="s">
        <v>472</v>
      </c>
      <c r="C124" s="4"/>
      <c r="D124" s="4" t="s">
        <v>573</v>
      </c>
      <c r="E124" s="4" t="s">
        <v>574</v>
      </c>
      <c r="F124" s="4" t="s">
        <v>573</v>
      </c>
      <c r="G124" s="5" t="str">
        <f>IFERROR(__xludf.DUMMYFUNCTION("GOOGLETRANSLATE(D124,""ca"",""es"")"),"remontarse")</f>
        <v>remontarse</v>
      </c>
    </row>
    <row r="125">
      <c r="A125" s="4">
        <v>23.0</v>
      </c>
      <c r="B125" s="4" t="s">
        <v>472</v>
      </c>
      <c r="C125" s="4"/>
      <c r="D125" s="4" t="s">
        <v>575</v>
      </c>
      <c r="E125" s="4" t="s">
        <v>576</v>
      </c>
      <c r="F125" s="4" t="s">
        <v>575</v>
      </c>
      <c r="G125" s="5" t="str">
        <f>IFERROR(__xludf.DUMMYFUNCTION("GOOGLETRANSLATE(D125,""ca"",""es"")"),"moisure")</f>
        <v>moisure</v>
      </c>
      <c r="H125" s="4" t="s">
        <v>577</v>
      </c>
      <c r="I125" s="4" t="s">
        <v>578</v>
      </c>
      <c r="J125" s="4" t="s">
        <v>579</v>
      </c>
      <c r="K125" s="4" t="s">
        <v>580</v>
      </c>
      <c r="L125" s="4" t="s">
        <v>581</v>
      </c>
      <c r="M125" s="4" t="s">
        <v>582</v>
      </c>
      <c r="N125" s="4" t="s">
        <v>583</v>
      </c>
      <c r="O125" s="4" t="s">
        <v>584</v>
      </c>
      <c r="P125" s="4" t="s">
        <v>585</v>
      </c>
      <c r="Q125" s="4" t="s">
        <v>586</v>
      </c>
      <c r="R125" s="4" t="s">
        <v>587</v>
      </c>
    </row>
    <row r="126">
      <c r="A126" s="4">
        <v>24.0</v>
      </c>
      <c r="B126" s="4" t="s">
        <v>472</v>
      </c>
      <c r="C126" s="4"/>
      <c r="D126" s="4" t="s">
        <v>588</v>
      </c>
      <c r="E126" s="4" t="s">
        <v>589</v>
      </c>
      <c r="F126" s="4" t="s">
        <v>588</v>
      </c>
      <c r="G126" s="5" t="str">
        <f>IFERROR(__xludf.DUMMYFUNCTION("GOOGLETRANSLATE(D126,""ca"",""es"")"),"amari")</f>
        <v>amari</v>
      </c>
    </row>
    <row r="127">
      <c r="A127" s="4">
        <v>25.0</v>
      </c>
      <c r="B127" s="4" t="s">
        <v>472</v>
      </c>
      <c r="C127" s="4"/>
      <c r="D127" s="4" t="s">
        <v>590</v>
      </c>
      <c r="E127" s="4" t="s">
        <v>591</v>
      </c>
      <c r="F127" s="4" t="s">
        <v>592</v>
      </c>
      <c r="G127" s="5" t="str">
        <f>IFERROR(__xludf.DUMMYFUNCTION("GOOGLETRANSLATE(D127,""ca"",""es"")"),"con")</f>
        <v>con</v>
      </c>
    </row>
    <row r="128">
      <c r="A128" s="4">
        <v>26.0</v>
      </c>
      <c r="B128" s="4" t="s">
        <v>472</v>
      </c>
      <c r="C128" s="4"/>
      <c r="D128" s="4" t="s">
        <v>590</v>
      </c>
      <c r="E128" s="4" t="s">
        <v>593</v>
      </c>
      <c r="F128" s="4" t="s">
        <v>594</v>
      </c>
      <c r="G128" s="5" t="str">
        <f>IFERROR(__xludf.DUMMYFUNCTION("GOOGLETRANSLATE(D128,""ca"",""es"")"),"con")</f>
        <v>con</v>
      </c>
    </row>
    <row r="129">
      <c r="A129" s="4">
        <v>27.0</v>
      </c>
      <c r="B129" s="4" t="s">
        <v>472</v>
      </c>
      <c r="C129" s="4"/>
      <c r="D129" s="4" t="s">
        <v>595</v>
      </c>
      <c r="E129" s="4" t="s">
        <v>596</v>
      </c>
      <c r="F129" s="4" t="s">
        <v>597</v>
      </c>
      <c r="G129" s="5" t="str">
        <f>IFERROR(__xludf.DUMMYFUNCTION("GOOGLETRANSLATE(D129,""ca"",""es"")"),"novio")</f>
        <v>novio</v>
      </c>
      <c r="H129" s="4" t="s">
        <v>598</v>
      </c>
      <c r="I129" s="4" t="s">
        <v>599</v>
      </c>
      <c r="J129" s="4" t="s">
        <v>600</v>
      </c>
      <c r="K129" s="4" t="s">
        <v>601</v>
      </c>
      <c r="L129" s="4" t="s">
        <v>602</v>
      </c>
      <c r="M129" s="4" t="s">
        <v>603</v>
      </c>
      <c r="N129" s="4" t="s">
        <v>604</v>
      </c>
      <c r="O129" s="4" t="s">
        <v>605</v>
      </c>
      <c r="P129" s="4" t="s">
        <v>606</v>
      </c>
      <c r="Q129" s="4" t="s">
        <v>607</v>
      </c>
      <c r="R129" s="4" t="s">
        <v>602</v>
      </c>
    </row>
    <row r="130">
      <c r="A130" s="4">
        <v>28.0</v>
      </c>
      <c r="B130" s="4" t="s">
        <v>472</v>
      </c>
      <c r="C130" s="4"/>
      <c r="D130" s="4" t="s">
        <v>608</v>
      </c>
      <c r="E130" s="4" t="s">
        <v>609</v>
      </c>
      <c r="F130" s="4" t="s">
        <v>608</v>
      </c>
      <c r="G130" s="5" t="str">
        <f>IFERROR(__xludf.DUMMYFUNCTION("GOOGLETRANSLATE(D130,""ca"",""es"")"),"amina")</f>
        <v>amina</v>
      </c>
      <c r="H130" s="4" t="s">
        <v>610</v>
      </c>
      <c r="I130" s="4" t="s">
        <v>611</v>
      </c>
    </row>
    <row r="131">
      <c r="A131" s="4">
        <v>29.0</v>
      </c>
      <c r="B131" s="4" t="s">
        <v>472</v>
      </c>
      <c r="C131" s="4"/>
      <c r="D131" s="4" t="s">
        <v>612</v>
      </c>
      <c r="E131" s="4" t="s">
        <v>613</v>
      </c>
      <c r="F131" s="4" t="s">
        <v>614</v>
      </c>
      <c r="G131" s="5" t="str">
        <f>IFERROR(__xludf.DUMMYFUNCTION("GOOGLETRANSLATE(D131,""ca"",""es"")"),"Maestro")</f>
        <v>Maestro</v>
      </c>
      <c r="H131" s="4" t="s">
        <v>615</v>
      </c>
      <c r="I131" s="4" t="s">
        <v>616</v>
      </c>
      <c r="J131" s="4" t="s">
        <v>617</v>
      </c>
      <c r="K131" s="4" t="s">
        <v>618</v>
      </c>
      <c r="L131" s="4" t="s">
        <v>619</v>
      </c>
      <c r="M131" s="4" t="s">
        <v>620</v>
      </c>
      <c r="N131" s="4" t="s">
        <v>619</v>
      </c>
      <c r="O131" s="4" t="s">
        <v>621</v>
      </c>
    </row>
    <row r="132">
      <c r="A132" s="4">
        <v>30.0</v>
      </c>
      <c r="B132" s="4" t="s">
        <v>472</v>
      </c>
      <c r="C132" s="4"/>
      <c r="D132" s="4" t="s">
        <v>622</v>
      </c>
      <c r="E132" s="4" t="s">
        <v>623</v>
      </c>
      <c r="F132" s="4" t="s">
        <v>622</v>
      </c>
      <c r="G132" s="5" t="str">
        <f>IFERROR(__xludf.DUMMYFUNCTION("GOOGLETRANSLATE(D132,""ca"",""es"")"),"Anal")</f>
        <v>Anal</v>
      </c>
      <c r="H132" s="4" t="s">
        <v>622</v>
      </c>
      <c r="I132" s="4" t="s">
        <v>624</v>
      </c>
    </row>
    <row r="133">
      <c r="A133" s="4">
        <v>31.0</v>
      </c>
      <c r="B133" s="4" t="s">
        <v>472</v>
      </c>
      <c r="C133" s="4"/>
      <c r="D133" s="4" t="s">
        <v>625</v>
      </c>
      <c r="E133" s="4" t="s">
        <v>626</v>
      </c>
      <c r="F133" s="4" t="s">
        <v>627</v>
      </c>
      <c r="G133" s="5" t="str">
        <f>IFERROR(__xludf.DUMMYFUNCTION("GOOGLETRANSLATE(D133,""ca"",""es"")"),"analítico")</f>
        <v>analítico</v>
      </c>
      <c r="H133" s="4" t="s">
        <v>628</v>
      </c>
      <c r="I133" s="4" t="s">
        <v>629</v>
      </c>
      <c r="J133" s="4" t="s">
        <v>628</v>
      </c>
      <c r="K133" s="4" t="s">
        <v>630</v>
      </c>
      <c r="L133" s="4" t="s">
        <v>628</v>
      </c>
      <c r="M133" s="4" t="s">
        <v>629</v>
      </c>
    </row>
    <row r="134">
      <c r="A134" s="4">
        <v>32.0</v>
      </c>
      <c r="B134" s="4" t="s">
        <v>472</v>
      </c>
      <c r="C134" s="4"/>
      <c r="D134" s="4" t="s">
        <v>631</v>
      </c>
      <c r="E134" s="4" t="s">
        <v>632</v>
      </c>
      <c r="F134" s="4" t="s">
        <v>633</v>
      </c>
      <c r="G134" s="5" t="str">
        <f>IFERROR(__xludf.DUMMYFUNCTION("GOOGLETRANSLATE(D134,""ca"",""es"")"),"análisis")</f>
        <v>análisis</v>
      </c>
    </row>
    <row r="135">
      <c r="A135" s="4">
        <v>33.0</v>
      </c>
      <c r="B135" s="4" t="s">
        <v>472</v>
      </c>
      <c r="C135" s="4"/>
      <c r="D135" s="4" t="s">
        <v>634</v>
      </c>
      <c r="E135" s="4" t="s">
        <v>635</v>
      </c>
      <c r="F135" s="4" t="s">
        <v>634</v>
      </c>
      <c r="G135" s="5" t="str">
        <f>IFERROR(__xludf.DUMMYFUNCTION("GOOGLETRANSLATE(D135,""ca"",""es"")"),"para llevar")</f>
        <v>para llevar</v>
      </c>
      <c r="H135" s="4" t="s">
        <v>636</v>
      </c>
      <c r="I135" s="4" t="s">
        <v>637</v>
      </c>
      <c r="J135" s="4" t="s">
        <v>638</v>
      </c>
      <c r="K135" s="4" t="s">
        <v>637</v>
      </c>
      <c r="L135" s="4" t="s">
        <v>639</v>
      </c>
      <c r="M135" s="4" t="s">
        <v>640</v>
      </c>
      <c r="N135" s="4" t="s">
        <v>641</v>
      </c>
      <c r="O135" s="4" t="s">
        <v>642</v>
      </c>
      <c r="P135" s="4" t="s">
        <v>643</v>
      </c>
      <c r="Q135" s="4" t="s">
        <v>644</v>
      </c>
      <c r="R135" s="4" t="s">
        <v>645</v>
      </c>
      <c r="S135" s="4" t="s">
        <v>646</v>
      </c>
      <c r="T135" s="4" t="s">
        <v>637</v>
      </c>
      <c r="U135" s="4" t="s">
        <v>647</v>
      </c>
      <c r="V135" s="4" t="s">
        <v>648</v>
      </c>
      <c r="W135" s="4" t="s">
        <v>649</v>
      </c>
      <c r="X135" s="4" t="s">
        <v>637</v>
      </c>
      <c r="Y135" s="4" t="s">
        <v>648</v>
      </c>
      <c r="Z135" s="4" t="s">
        <v>650</v>
      </c>
      <c r="AA135" s="4" t="s">
        <v>637</v>
      </c>
      <c r="AB135" s="4" t="s">
        <v>651</v>
      </c>
    </row>
    <row r="136">
      <c r="A136" s="4">
        <v>34.0</v>
      </c>
      <c r="B136" s="4" t="s">
        <v>472</v>
      </c>
      <c r="C136" s="4"/>
      <c r="D136" s="4" t="s">
        <v>652</v>
      </c>
      <c r="E136" s="4" t="s">
        <v>653</v>
      </c>
      <c r="F136" s="4" t="s">
        <v>652</v>
      </c>
      <c r="G136" s="5" t="str">
        <f>IFERROR(__xludf.DUMMYFUNCTION("GOOGLETRANSLATE(D136,""ca"",""es"")"),"anima")</f>
        <v>anima</v>
      </c>
    </row>
    <row r="137">
      <c r="A137" s="4">
        <v>35.0</v>
      </c>
      <c r="B137" s="4" t="s">
        <v>472</v>
      </c>
      <c r="C137" s="4"/>
      <c r="D137" s="4" t="s">
        <v>654</v>
      </c>
      <c r="E137" s="4" t="s">
        <v>655</v>
      </c>
      <c r="F137" s="4" t="s">
        <v>654</v>
      </c>
      <c r="G137" s="5" t="str">
        <f>IFERROR(__xludf.DUMMYFUNCTION("GOOGLETRANSLATE(D137,""ca"",""es"")"),"animal")</f>
        <v>animal</v>
      </c>
      <c r="H137" s="4" t="s">
        <v>654</v>
      </c>
      <c r="I137" s="4" t="s">
        <v>656</v>
      </c>
      <c r="J137" s="4" t="s">
        <v>657</v>
      </c>
      <c r="K137" s="4" t="s">
        <v>658</v>
      </c>
      <c r="L137" s="4" t="s">
        <v>659</v>
      </c>
      <c r="M137" s="4" t="s">
        <v>660</v>
      </c>
      <c r="N137" s="4" t="s">
        <v>654</v>
      </c>
      <c r="O137" s="4" t="s">
        <v>661</v>
      </c>
      <c r="P137" s="4" t="s">
        <v>662</v>
      </c>
      <c r="Q137" s="4" t="s">
        <v>663</v>
      </c>
      <c r="R137" s="4" t="s">
        <v>657</v>
      </c>
      <c r="S137" s="4" t="s">
        <v>664</v>
      </c>
      <c r="T137" s="4" t="s">
        <v>665</v>
      </c>
      <c r="U137" s="4" t="s">
        <v>658</v>
      </c>
      <c r="V137" s="4" t="s">
        <v>666</v>
      </c>
      <c r="W137" s="4" t="s">
        <v>667</v>
      </c>
      <c r="X137" s="4" t="s">
        <v>668</v>
      </c>
      <c r="Y137" s="4" t="s">
        <v>669</v>
      </c>
      <c r="Z137" s="4" t="s">
        <v>670</v>
      </c>
      <c r="AA137" s="4" t="s">
        <v>671</v>
      </c>
      <c r="AB137" s="4" t="s">
        <v>672</v>
      </c>
      <c r="AC137" s="4" t="s">
        <v>673</v>
      </c>
      <c r="AD137" s="4" t="s">
        <v>674</v>
      </c>
      <c r="AE137" s="4" t="s">
        <v>675</v>
      </c>
      <c r="AF137" s="4" t="s">
        <v>676</v>
      </c>
      <c r="AG137" s="4" t="s">
        <v>677</v>
      </c>
      <c r="AH137" s="4" t="s">
        <v>678</v>
      </c>
      <c r="AI137" s="4" t="s">
        <v>679</v>
      </c>
    </row>
    <row r="138">
      <c r="A138" s="4">
        <v>36.0</v>
      </c>
      <c r="B138" s="4" t="s">
        <v>472</v>
      </c>
      <c r="C138" s="4"/>
      <c r="D138" s="4" t="s">
        <v>680</v>
      </c>
      <c r="E138" s="4" t="s">
        <v>681</v>
      </c>
      <c r="F138" s="4" t="s">
        <v>680</v>
      </c>
      <c r="G138" s="5" t="str">
        <f>IFERROR(__xludf.DUMMYFUNCTION("GOOGLETRANSLATE(D138,""ca"",""es"")"),"animar")</f>
        <v>animar</v>
      </c>
      <c r="H138" s="4" t="s">
        <v>682</v>
      </c>
      <c r="I138" s="4" t="s">
        <v>683</v>
      </c>
      <c r="J138" s="4" t="s">
        <v>684</v>
      </c>
      <c r="K138" s="4" t="s">
        <v>685</v>
      </c>
      <c r="L138" s="4" t="s">
        <v>686</v>
      </c>
      <c r="M138" s="4" t="s">
        <v>687</v>
      </c>
      <c r="N138" s="4" t="s">
        <v>688</v>
      </c>
      <c r="O138" s="4" t="s">
        <v>689</v>
      </c>
      <c r="P138" s="4" t="s">
        <v>690</v>
      </c>
      <c r="Q138" s="4" t="s">
        <v>691</v>
      </c>
      <c r="R138" s="4" t="s">
        <v>692</v>
      </c>
      <c r="S138" s="4" t="s">
        <v>693</v>
      </c>
      <c r="T138" s="4" t="s">
        <v>694</v>
      </c>
      <c r="U138" s="4" t="s">
        <v>695</v>
      </c>
      <c r="V138" s="4" t="s">
        <v>696</v>
      </c>
      <c r="W138" s="4" t="s">
        <v>690</v>
      </c>
      <c r="X138" s="4" t="s">
        <v>697</v>
      </c>
      <c r="Y138" s="4" t="s">
        <v>698</v>
      </c>
      <c r="Z138" s="4" t="s">
        <v>699</v>
      </c>
      <c r="AA138" s="4" t="s">
        <v>700</v>
      </c>
      <c r="AB138" s="4" t="s">
        <v>701</v>
      </c>
      <c r="AC138" s="4" t="s">
        <v>702</v>
      </c>
      <c r="AD138" s="4" t="s">
        <v>700</v>
      </c>
      <c r="AE138" s="4" t="s">
        <v>701</v>
      </c>
      <c r="AF138" s="4" t="s">
        <v>703</v>
      </c>
      <c r="AG138" s="4" t="s">
        <v>704</v>
      </c>
      <c r="AH138" s="4" t="s">
        <v>705</v>
      </c>
      <c r="AI138" s="4" t="s">
        <v>706</v>
      </c>
      <c r="AJ138" s="4" t="s">
        <v>707</v>
      </c>
      <c r="AK138" s="4" t="s">
        <v>708</v>
      </c>
      <c r="AL138" s="4" t="s">
        <v>709</v>
      </c>
      <c r="AM138" s="4" t="s">
        <v>710</v>
      </c>
      <c r="AN138" s="4" t="s">
        <v>711</v>
      </c>
      <c r="AO138" s="4" t="s">
        <v>709</v>
      </c>
      <c r="AP138" s="4" t="s">
        <v>712</v>
      </c>
      <c r="AQ138" s="4" t="s">
        <v>712</v>
      </c>
      <c r="AR138" s="4" t="s">
        <v>713</v>
      </c>
      <c r="AS138" s="4" t="s">
        <v>714</v>
      </c>
      <c r="AT138" s="4" t="s">
        <v>715</v>
      </c>
      <c r="AU138" s="4" t="s">
        <v>716</v>
      </c>
      <c r="AV138" s="4" t="s">
        <v>717</v>
      </c>
      <c r="AW138" s="4" t="s">
        <v>699</v>
      </c>
      <c r="AX138" s="4" t="s">
        <v>718</v>
      </c>
      <c r="AY138" s="4" t="s">
        <v>719</v>
      </c>
    </row>
    <row r="139">
      <c r="A139" s="4">
        <v>37.0</v>
      </c>
      <c r="B139" s="4" t="s">
        <v>472</v>
      </c>
      <c r="C139" s="4"/>
      <c r="D139" s="4" t="s">
        <v>720</v>
      </c>
      <c r="E139" s="4" t="s">
        <v>721</v>
      </c>
      <c r="F139" s="4" t="s">
        <v>722</v>
      </c>
      <c r="G139" s="5" t="str">
        <f>IFERROR(__xludf.DUMMYFUNCTION("GOOGLETRANSLATE(D139,""ca"",""es"")"),"voluntad")</f>
        <v>voluntad</v>
      </c>
    </row>
    <row r="140">
      <c r="A140" s="4">
        <v>38.0</v>
      </c>
      <c r="B140" s="4" t="s">
        <v>472</v>
      </c>
      <c r="C140" s="4"/>
      <c r="D140" s="4" t="s">
        <v>723</v>
      </c>
      <c r="E140" s="4" t="s">
        <v>724</v>
      </c>
      <c r="F140" s="4" t="s">
        <v>725</v>
      </c>
      <c r="G140" s="5" t="str">
        <f>IFERROR(__xludf.DUMMYFUNCTION("GOOGLETRANSLATE(D140,""ca"",""es"")"),"irás")</f>
        <v>irás</v>
      </c>
    </row>
    <row r="141">
      <c r="A141" s="4">
        <v>39.0</v>
      </c>
      <c r="B141" s="4" t="s">
        <v>472</v>
      </c>
      <c r="C141" s="4"/>
      <c r="D141" s="4" t="s">
        <v>726</v>
      </c>
      <c r="E141" s="4" t="s">
        <v>593</v>
      </c>
      <c r="F141" s="4" t="s">
        <v>594</v>
      </c>
      <c r="G141" s="5" t="str">
        <f>IFERROR(__xludf.DUMMYFUNCTION("GOOGLETRANSLATE(D141,""ca"",""es"")"),"antil")</f>
        <v>antil</v>
      </c>
      <c r="H141" s="4" t="s">
        <v>727</v>
      </c>
      <c r="I141" s="4" t="s">
        <v>728</v>
      </c>
      <c r="J141" s="4" t="s">
        <v>729</v>
      </c>
      <c r="K141" s="4" t="s">
        <v>730</v>
      </c>
    </row>
    <row r="142">
      <c r="A142" s="4">
        <v>40.0</v>
      </c>
      <c r="B142" s="4" t="s">
        <v>472</v>
      </c>
      <c r="C142" s="4"/>
      <c r="D142" s="4" t="s">
        <v>731</v>
      </c>
      <c r="E142" s="4" t="s">
        <v>732</v>
      </c>
      <c r="F142" s="4" t="s">
        <v>731</v>
      </c>
      <c r="G142" s="5" t="str">
        <f>IFERROR(__xludf.DUMMYFUNCTION("GOOGLETRANSLATE(D142,""ca"",""es"")"),"ano")</f>
        <v>ano</v>
      </c>
      <c r="H142" s="4" t="s">
        <v>731</v>
      </c>
    </row>
    <row r="143">
      <c r="A143" s="4">
        <v>41.0</v>
      </c>
      <c r="B143" s="4" t="s">
        <v>472</v>
      </c>
      <c r="C143" s="4"/>
      <c r="D143" s="4" t="s">
        <v>733</v>
      </c>
      <c r="E143" s="4" t="s">
        <v>734</v>
      </c>
      <c r="F143" s="4" t="s">
        <v>735</v>
      </c>
      <c r="G143" s="5" t="str">
        <f>IFERROR(__xludf.DUMMYFUNCTION("GOOGLETRANSLATE(D143,""ca"",""es"")"),"año")</f>
        <v>año</v>
      </c>
      <c r="H143" s="4" t="s">
        <v>736</v>
      </c>
      <c r="I143" s="4" t="s">
        <v>736</v>
      </c>
      <c r="J143" s="4" t="s">
        <v>737</v>
      </c>
      <c r="K143" s="4" t="s">
        <v>738</v>
      </c>
      <c r="L143" s="4" t="s">
        <v>736</v>
      </c>
    </row>
    <row r="144">
      <c r="A144" s="4">
        <v>42.0</v>
      </c>
      <c r="B144" s="4" t="s">
        <v>472</v>
      </c>
      <c r="C144" s="4"/>
      <c r="D144" s="4" t="s">
        <v>739</v>
      </c>
      <c r="E144" s="4" t="s">
        <v>740</v>
      </c>
      <c r="F144" s="4" t="s">
        <v>741</v>
      </c>
      <c r="G144" s="5" t="str">
        <f>IFERROR(__xludf.DUMMYFUNCTION("GOOGLETRANSLATE(D144,""ca"",""es"")"),"se fue")</f>
        <v>se fue</v>
      </c>
    </row>
    <row r="145">
      <c r="A145" s="4">
        <v>43.0</v>
      </c>
      <c r="B145" s="4" t="s">
        <v>472</v>
      </c>
      <c r="C145" s="4"/>
      <c r="D145" s="4" t="s">
        <v>742</v>
      </c>
      <c r="E145" s="4" t="s">
        <v>743</v>
      </c>
      <c r="F145" s="4" t="s">
        <v>744</v>
      </c>
      <c r="G145" s="5" t="str">
        <f>IFERROR(__xludf.DUMMYFUNCTION("GOOGLETRANSLATE(D145,""ca"",""es"")"),"y yo")</f>
        <v>y yo</v>
      </c>
    </row>
    <row r="146">
      <c r="A146" s="4">
        <v>44.0</v>
      </c>
      <c r="B146" s="4" t="s">
        <v>472</v>
      </c>
      <c r="C146" s="4"/>
      <c r="D146" s="4" t="s">
        <v>745</v>
      </c>
      <c r="E146" s="4" t="s">
        <v>746</v>
      </c>
      <c r="F146" s="4" t="s">
        <v>747</v>
      </c>
      <c r="G146" s="5" t="str">
        <f>IFERROR(__xludf.DUMMYFUNCTION("GOOGLETRANSLATE(D146,""ca"",""es"")"),"anís")</f>
        <v>anís</v>
      </c>
      <c r="H146" s="4" t="s">
        <v>748</v>
      </c>
      <c r="I146" s="4" t="s">
        <v>749</v>
      </c>
      <c r="J146" s="4" t="s">
        <v>750</v>
      </c>
      <c r="K146" s="4" t="s">
        <v>751</v>
      </c>
      <c r="L146" s="4" t="s">
        <v>752</v>
      </c>
      <c r="M146" s="4" t="s">
        <v>748</v>
      </c>
      <c r="N146" s="4" t="s">
        <v>753</v>
      </c>
      <c r="O146" s="4" t="s">
        <v>754</v>
      </c>
    </row>
    <row r="147">
      <c r="A147" s="4">
        <v>45.0</v>
      </c>
      <c r="B147" s="4" t="s">
        <v>472</v>
      </c>
      <c r="C147" s="4"/>
      <c r="D147" s="4" t="s">
        <v>755</v>
      </c>
      <c r="E147" s="4" t="s">
        <v>756</v>
      </c>
      <c r="F147" s="4" t="s">
        <v>755</v>
      </c>
      <c r="G147" s="5" t="str">
        <f>IFERROR(__xludf.DUMMYFUNCTION("GOOGLETRANSLATE(D147,""ca"",""es"")"),"AMA")</f>
        <v>AMA</v>
      </c>
    </row>
    <row r="148">
      <c r="A148" s="4">
        <v>46.0</v>
      </c>
      <c r="B148" s="4" t="s">
        <v>472</v>
      </c>
      <c r="C148" s="4"/>
      <c r="D148" s="4" t="s">
        <v>757</v>
      </c>
      <c r="E148" s="4" t="s">
        <v>758</v>
      </c>
      <c r="F148" s="4" t="s">
        <v>757</v>
      </c>
      <c r="G148" s="5" t="str">
        <f>IFERROR(__xludf.DUMMYFUNCTION("GOOGLETRANSLATE(D148,""ca"",""es"")"),"apio")</f>
        <v>apio</v>
      </c>
      <c r="H148" s="4" t="s">
        <v>759</v>
      </c>
      <c r="I148" s="4" t="s">
        <v>760</v>
      </c>
      <c r="J148" s="4" t="s">
        <v>761</v>
      </c>
      <c r="K148" s="4" t="s">
        <v>762</v>
      </c>
      <c r="L148" s="4" t="s">
        <v>763</v>
      </c>
      <c r="M148" s="4" t="s">
        <v>764</v>
      </c>
      <c r="N148" s="4" t="s">
        <v>765</v>
      </c>
      <c r="O148" s="4" t="s">
        <v>766</v>
      </c>
      <c r="P148" s="4" t="s">
        <v>767</v>
      </c>
      <c r="Q148" s="4" t="s">
        <v>768</v>
      </c>
      <c r="R148" s="4" t="s">
        <v>769</v>
      </c>
      <c r="S148" s="4" t="s">
        <v>760</v>
      </c>
      <c r="T148" s="4" t="s">
        <v>770</v>
      </c>
      <c r="U148" s="4" t="s">
        <v>771</v>
      </c>
    </row>
    <row r="149">
      <c r="A149" s="4">
        <v>47.0</v>
      </c>
      <c r="B149" s="4" t="s">
        <v>472</v>
      </c>
      <c r="C149" s="4"/>
      <c r="D149" s="4" t="s">
        <v>772</v>
      </c>
      <c r="E149" s="4" t="s">
        <v>773</v>
      </c>
      <c r="F149" s="4" t="s">
        <v>774</v>
      </c>
      <c r="G149" s="5" t="str">
        <f>IFERROR(__xludf.DUMMYFUNCTION("GOOGLETRANSLATE(D149,""ca"",""es"")"),"apignado")</f>
        <v>apignado</v>
      </c>
      <c r="H149" s="4" t="s">
        <v>775</v>
      </c>
      <c r="I149" s="4" t="s">
        <v>776</v>
      </c>
      <c r="J149" s="4" t="s">
        <v>777</v>
      </c>
      <c r="K149" s="4" t="s">
        <v>778</v>
      </c>
      <c r="L149" s="4" t="s">
        <v>779</v>
      </c>
      <c r="M149" s="4" t="s">
        <v>780</v>
      </c>
      <c r="N149" s="4" t="s">
        <v>781</v>
      </c>
      <c r="O149" s="4" t="s">
        <v>782</v>
      </c>
      <c r="P149" s="4" t="s">
        <v>783</v>
      </c>
      <c r="Q149" s="4" t="s">
        <v>781</v>
      </c>
    </row>
    <row r="150">
      <c r="A150" s="4">
        <v>48.0</v>
      </c>
      <c r="B150" s="4" t="s">
        <v>472</v>
      </c>
      <c r="C150" s="4"/>
      <c r="D150" s="4" t="s">
        <v>784</v>
      </c>
      <c r="E150" s="4" t="s">
        <v>474</v>
      </c>
      <c r="F150" s="4" t="s">
        <v>475</v>
      </c>
      <c r="G150" s="5" t="str">
        <f>IFERROR(__xludf.DUMMYFUNCTION("GOOGLETRANSLATE(D150,""ca"",""es"")"),"aplicación")</f>
        <v>aplicación</v>
      </c>
    </row>
    <row r="151">
      <c r="A151" s="4">
        <v>49.0</v>
      </c>
      <c r="B151" s="4" t="s">
        <v>472</v>
      </c>
      <c r="C151" s="4"/>
      <c r="D151" s="4" t="s">
        <v>785</v>
      </c>
      <c r="E151" s="4" t="s">
        <v>786</v>
      </c>
      <c r="F151" s="4" t="s">
        <v>787</v>
      </c>
      <c r="G151" s="5" t="str">
        <f>IFERROR(__xludf.DUMMYFUNCTION("GOOGLETRANSLATE(D151,""ca"",""es"")"),"puñalada")</f>
        <v>puñalada</v>
      </c>
      <c r="H151" s="4" t="s">
        <v>788</v>
      </c>
      <c r="I151" s="4" t="s">
        <v>789</v>
      </c>
      <c r="J151" s="4" t="s">
        <v>790</v>
      </c>
      <c r="K151" s="4" t="s">
        <v>788</v>
      </c>
    </row>
    <row r="152">
      <c r="A152" s="4">
        <v>50.0</v>
      </c>
      <c r="B152" s="4" t="s">
        <v>472</v>
      </c>
      <c r="C152" s="4"/>
      <c r="D152" s="4" t="s">
        <v>791</v>
      </c>
      <c r="E152" s="4" t="s">
        <v>792</v>
      </c>
      <c r="F152" s="4" t="s">
        <v>791</v>
      </c>
      <c r="G152" s="5" t="str">
        <f>IFERROR(__xludf.DUMMYFUNCTION("GOOGLETRANSLATE(D152,""ca"",""es"")"),"sumergirse")</f>
        <v>sumergirse</v>
      </c>
    </row>
    <row r="153">
      <c r="A153" s="4">
        <v>51.0</v>
      </c>
      <c r="B153" s="4" t="s">
        <v>472</v>
      </c>
      <c r="C153" s="4"/>
      <c r="D153" s="4" t="s">
        <v>793</v>
      </c>
      <c r="E153" s="4" t="s">
        <v>794</v>
      </c>
      <c r="F153" s="4" t="s">
        <v>793</v>
      </c>
      <c r="G153" s="5" t="str">
        <f>IFERROR(__xludf.DUMMYFUNCTION("GOOGLETRANSLATE(D153,""ca"",""es"")"),"posterior")</f>
        <v>posterior</v>
      </c>
      <c r="H153" s="4" t="s">
        <v>795</v>
      </c>
      <c r="I153" s="4" t="s">
        <v>796</v>
      </c>
    </row>
    <row r="154">
      <c r="A154" s="4">
        <v>52.0</v>
      </c>
      <c r="B154" s="4" t="s">
        <v>472</v>
      </c>
      <c r="C154" s="4"/>
      <c r="D154" s="4" t="s">
        <v>797</v>
      </c>
      <c r="E154" s="4" t="s">
        <v>798</v>
      </c>
      <c r="F154" s="4" t="s">
        <v>799</v>
      </c>
      <c r="G154" s="5" t="str">
        <f>IFERROR(__xludf.DUMMYFUNCTION("GOOGLETRANSLATE(D154,""ca"",""es"")"),"apático")</f>
        <v>apático</v>
      </c>
      <c r="H154" s="4" t="s">
        <v>800</v>
      </c>
      <c r="I154" s="4" t="s">
        <v>801</v>
      </c>
      <c r="J154" s="4" t="s">
        <v>802</v>
      </c>
      <c r="K154" s="4" t="s">
        <v>803</v>
      </c>
      <c r="L154" s="4" t="s">
        <v>804</v>
      </c>
    </row>
    <row r="155">
      <c r="A155" s="4">
        <v>53.0</v>
      </c>
      <c r="B155" s="4" t="s">
        <v>472</v>
      </c>
      <c r="C155" s="4"/>
      <c r="D155" s="4" t="s">
        <v>805</v>
      </c>
      <c r="E155" s="4" t="s">
        <v>806</v>
      </c>
      <c r="F155" s="4" t="s">
        <v>807</v>
      </c>
      <c r="G155" s="5" t="str">
        <f>IFERROR(__xludf.DUMMYFUNCTION("GOOGLETRANSLATE(D155,""ca"",""es"")"),"aguilina")</f>
        <v>aguilina</v>
      </c>
    </row>
    <row r="156">
      <c r="A156" s="4">
        <v>54.0</v>
      </c>
      <c r="B156" s="4" t="s">
        <v>472</v>
      </c>
      <c r="C156" s="4"/>
      <c r="D156" s="4" t="s">
        <v>808</v>
      </c>
      <c r="E156" s="4" t="s">
        <v>809</v>
      </c>
      <c r="F156" s="4" t="s">
        <v>810</v>
      </c>
      <c r="G156" s="5" t="str">
        <f>IFERROR(__xludf.DUMMYFUNCTION("GOOGLETRANSLATE(D156,""ca"",""es"")"),"aguileño")</f>
        <v>aguileño</v>
      </c>
    </row>
    <row r="157">
      <c r="A157" s="4">
        <v>55.0</v>
      </c>
      <c r="B157" s="4" t="s">
        <v>472</v>
      </c>
      <c r="C157" s="4"/>
      <c r="D157" s="4" t="s">
        <v>811</v>
      </c>
      <c r="E157" s="4" t="s">
        <v>812</v>
      </c>
      <c r="F157" s="4" t="s">
        <v>813</v>
      </c>
      <c r="G157" s="5" t="str">
        <f>IFERROR(__xludf.DUMMYFUNCTION("GOOGLETRANSLATE(D157,""ca"",""es"")"),"ansioso")</f>
        <v>ansioso</v>
      </c>
    </row>
    <row r="158">
      <c r="A158" s="4">
        <v>56.0</v>
      </c>
      <c r="B158" s="4" t="s">
        <v>472</v>
      </c>
      <c r="C158" s="4"/>
      <c r="D158" s="4" t="s">
        <v>814</v>
      </c>
      <c r="E158" s="4" t="s">
        <v>815</v>
      </c>
      <c r="F158" s="4" t="s">
        <v>816</v>
      </c>
      <c r="G158" s="5" t="str">
        <f>IFERROR(__xludf.DUMMYFUNCTION("GOOGLETRANSLATE(D158,""ca"",""es"")"),"aquí")</f>
        <v>aquí</v>
      </c>
    </row>
    <row r="159">
      <c r="A159" s="4">
        <v>57.0</v>
      </c>
      <c r="B159" s="4" t="s">
        <v>472</v>
      </c>
      <c r="C159" s="4"/>
      <c r="D159" s="4" t="s">
        <v>817</v>
      </c>
      <c r="E159" s="4" t="s">
        <v>818</v>
      </c>
      <c r="F159" s="4" t="s">
        <v>817</v>
      </c>
      <c r="G159" s="5" t="str">
        <f>IFERROR(__xludf.DUMMYFUNCTION("GOOGLETRANSLATE(D159,""ca"",""es"")"),"ahora")</f>
        <v>ahora</v>
      </c>
      <c r="H159" s="4" t="s">
        <v>819</v>
      </c>
    </row>
    <row r="160">
      <c r="A160" s="4">
        <v>58.0</v>
      </c>
      <c r="B160" s="4" t="s">
        <v>472</v>
      </c>
      <c r="C160" s="4"/>
      <c r="D160" s="4" t="s">
        <v>820</v>
      </c>
      <c r="E160" s="4" t="s">
        <v>821</v>
      </c>
      <c r="F160" s="4" t="s">
        <v>820</v>
      </c>
      <c r="G160" s="5" t="str">
        <f>IFERROR(__xludf.DUMMYFUNCTION("GOOGLETRANSLATE(D160,""ca"",""es"")"),"Aran")</f>
        <v>Aran</v>
      </c>
    </row>
    <row r="161">
      <c r="A161" s="4">
        <v>59.0</v>
      </c>
      <c r="B161" s="4" t="s">
        <v>472</v>
      </c>
      <c r="C161" s="4"/>
      <c r="D161" s="4" t="s">
        <v>822</v>
      </c>
      <c r="E161" s="4" t="s">
        <v>823</v>
      </c>
      <c r="F161" s="4" t="s">
        <v>824</v>
      </c>
      <c r="G161" s="5" t="str">
        <f>IFERROR(__xludf.DUMMYFUNCTION("GOOGLETRANSLATE(D161,""ca"",""es"")"),"araña")</f>
        <v>araña</v>
      </c>
      <c r="H161" s="4" t="s">
        <v>825</v>
      </c>
      <c r="I161" s="4" t="s">
        <v>826</v>
      </c>
      <c r="J161" s="4" t="s">
        <v>827</v>
      </c>
      <c r="K161" s="4" t="s">
        <v>828</v>
      </c>
    </row>
    <row r="162">
      <c r="A162" s="4">
        <v>60.0</v>
      </c>
      <c r="B162" s="4" t="s">
        <v>472</v>
      </c>
      <c r="C162" s="4"/>
      <c r="D162" s="4" t="s">
        <v>829</v>
      </c>
      <c r="E162" s="4" t="s">
        <v>830</v>
      </c>
      <c r="F162" s="4" t="s">
        <v>829</v>
      </c>
      <c r="G162" s="5" t="str">
        <f>IFERROR(__xludf.DUMMYFUNCTION("GOOGLETRANSLATE(D162,""ca"",""es"")"),"ari")</f>
        <v>ari</v>
      </c>
      <c r="H162" s="4" t="s">
        <v>831</v>
      </c>
      <c r="I162" s="4" t="s">
        <v>832</v>
      </c>
      <c r="J162" s="4" t="s">
        <v>831</v>
      </c>
    </row>
    <row r="163">
      <c r="A163" s="4">
        <v>61.0</v>
      </c>
      <c r="B163" s="4" t="s">
        <v>472</v>
      </c>
      <c r="C163" s="4"/>
      <c r="D163" s="4" t="s">
        <v>295</v>
      </c>
      <c r="E163" s="4" t="s">
        <v>294</v>
      </c>
      <c r="F163" s="4" t="s">
        <v>295</v>
      </c>
      <c r="G163" s="5" t="str">
        <f>IFERROR(__xludf.DUMMYFUNCTION("GOOGLETRANSLATE(D163,""ca"",""es"")"),"as")</f>
        <v>as</v>
      </c>
      <c r="H163" s="4" t="s">
        <v>833</v>
      </c>
      <c r="I163" s="4" t="s">
        <v>833</v>
      </c>
      <c r="J163" s="4" t="s">
        <v>833</v>
      </c>
      <c r="K163" s="4" t="s">
        <v>834</v>
      </c>
      <c r="L163" s="4" t="s">
        <v>605</v>
      </c>
      <c r="M163" s="4" t="s">
        <v>835</v>
      </c>
      <c r="N163" s="4" t="s">
        <v>836</v>
      </c>
      <c r="O163" s="4" t="s">
        <v>837</v>
      </c>
      <c r="P163" s="4" t="s">
        <v>838</v>
      </c>
      <c r="Q163" s="4" t="s">
        <v>839</v>
      </c>
      <c r="R163" s="4" t="s">
        <v>840</v>
      </c>
      <c r="S163" s="4" t="s">
        <v>841</v>
      </c>
      <c r="T163" s="4" t="s">
        <v>842</v>
      </c>
      <c r="U163" s="4" t="s">
        <v>843</v>
      </c>
      <c r="V163" s="4" t="s">
        <v>844</v>
      </c>
      <c r="W163" s="4" t="s">
        <v>845</v>
      </c>
      <c r="X163" s="4" t="s">
        <v>846</v>
      </c>
    </row>
    <row r="164">
      <c r="A164" s="4">
        <v>62.0</v>
      </c>
      <c r="B164" s="4" t="s">
        <v>472</v>
      </c>
      <c r="C164" s="4"/>
      <c r="D164" s="4" t="s">
        <v>847</v>
      </c>
      <c r="E164" s="4" t="s">
        <v>848</v>
      </c>
      <c r="F164" s="4" t="s">
        <v>849</v>
      </c>
      <c r="G164" s="5" t="str">
        <f>IFERROR(__xludf.DUMMYFUNCTION("GOOGLETRANSLATE(D164,""ca"",""es"")"),"asesino")</f>
        <v>asesino</v>
      </c>
      <c r="H164" s="4" t="s">
        <v>850</v>
      </c>
    </row>
    <row r="165">
      <c r="A165" s="4">
        <v>63.0</v>
      </c>
      <c r="B165" s="4" t="s">
        <v>472</v>
      </c>
      <c r="C165" s="4"/>
      <c r="D165" s="4" t="s">
        <v>851</v>
      </c>
      <c r="E165" s="4" t="s">
        <v>852</v>
      </c>
      <c r="F165" s="4" t="s">
        <v>853</v>
      </c>
      <c r="G165" s="5" t="str">
        <f>IFERROR(__xludf.DUMMYFUNCTION("GOOGLETRANSLATE(D165,""ca"",""es"")"),"asesinar")</f>
        <v>asesinar</v>
      </c>
      <c r="H165" s="4" t="s">
        <v>854</v>
      </c>
      <c r="I165" s="4" t="s">
        <v>855</v>
      </c>
      <c r="J165" s="4" t="s">
        <v>856</v>
      </c>
      <c r="K165" s="4" t="s">
        <v>857</v>
      </c>
      <c r="L165" s="4" t="s">
        <v>858</v>
      </c>
      <c r="M165" s="4" t="s">
        <v>859</v>
      </c>
      <c r="N165" s="4" t="s">
        <v>860</v>
      </c>
      <c r="O165" s="4" t="s">
        <v>538</v>
      </c>
      <c r="P165" s="4" t="s">
        <v>861</v>
      </c>
    </row>
    <row r="166">
      <c r="A166" s="4">
        <v>64.0</v>
      </c>
      <c r="B166" s="4" t="s">
        <v>472</v>
      </c>
      <c r="C166" s="4"/>
      <c r="D166" s="4" t="s">
        <v>862</v>
      </c>
      <c r="E166" s="4" t="s">
        <v>863</v>
      </c>
      <c r="F166" s="4" t="s">
        <v>864</v>
      </c>
      <c r="G166" s="5" t="str">
        <f>IFERROR(__xludf.DUMMYFUNCTION("GOOGLETRANSLATE(D166,""ca"",""es"")"),"asesino")</f>
        <v>asesino</v>
      </c>
      <c r="H166" s="4" t="s">
        <v>865</v>
      </c>
      <c r="I166" s="4" t="s">
        <v>866</v>
      </c>
      <c r="J166" s="4" t="s">
        <v>867</v>
      </c>
      <c r="K166" s="4" t="s">
        <v>868</v>
      </c>
      <c r="L166" s="4" t="s">
        <v>869</v>
      </c>
      <c r="M166" s="4" t="s">
        <v>870</v>
      </c>
      <c r="N166" s="4" t="s">
        <v>871</v>
      </c>
      <c r="O166" s="4" t="s">
        <v>872</v>
      </c>
    </row>
    <row r="167">
      <c r="A167" s="4">
        <v>65.0</v>
      </c>
      <c r="B167" s="4" t="s">
        <v>472</v>
      </c>
      <c r="C167" s="4"/>
      <c r="D167" s="4" t="s">
        <v>873</v>
      </c>
      <c r="E167" s="4" t="s">
        <v>874</v>
      </c>
      <c r="F167" s="4" t="s">
        <v>875</v>
      </c>
      <c r="G167" s="5" t="str">
        <f>IFERROR(__xludf.DUMMYFUNCTION("GOOGLETRANSLATE(D167,""ca"",""es"")"),"asimilar")</f>
        <v>asimilar</v>
      </c>
      <c r="H167" s="4" t="s">
        <v>876</v>
      </c>
      <c r="I167" s="4" t="s">
        <v>876</v>
      </c>
      <c r="J167" s="4" t="s">
        <v>877</v>
      </c>
      <c r="K167" s="4" t="s">
        <v>878</v>
      </c>
      <c r="L167" s="4" t="s">
        <v>876</v>
      </c>
      <c r="M167" s="4" t="s">
        <v>879</v>
      </c>
      <c r="N167" s="4" t="s">
        <v>486</v>
      </c>
    </row>
    <row r="168">
      <c r="A168" s="4">
        <v>66.0</v>
      </c>
      <c r="B168" s="4" t="s">
        <v>472</v>
      </c>
      <c r="C168" s="4"/>
      <c r="D168" s="4" t="s">
        <v>880</v>
      </c>
      <c r="E168" s="4" t="s">
        <v>881</v>
      </c>
      <c r="F168" s="4" t="s">
        <v>882</v>
      </c>
      <c r="G168" s="5" t="str">
        <f>IFERROR(__xludf.DUMMYFUNCTION("GOOGLETRANSLATE(D168,""ca"",""es"")"),"asumir")</f>
        <v>asumir</v>
      </c>
      <c r="H168" s="4" t="s">
        <v>883</v>
      </c>
      <c r="I168" s="4" t="s">
        <v>884</v>
      </c>
      <c r="J168" s="4" t="s">
        <v>885</v>
      </c>
      <c r="K168" s="4" t="s">
        <v>886</v>
      </c>
      <c r="L168" s="4" t="s">
        <v>887</v>
      </c>
      <c r="M168" s="4" t="s">
        <v>883</v>
      </c>
      <c r="N168" s="4" t="s">
        <v>885</v>
      </c>
      <c r="O168" s="4" t="s">
        <v>886</v>
      </c>
      <c r="P168" s="4" t="s">
        <v>888</v>
      </c>
    </row>
    <row r="169">
      <c r="A169" s="4">
        <v>67.0</v>
      </c>
      <c r="B169" s="4" t="s">
        <v>472</v>
      </c>
      <c r="C169" s="4"/>
      <c r="D169" s="4" t="s">
        <v>889</v>
      </c>
      <c r="E169" s="4" t="s">
        <v>890</v>
      </c>
      <c r="F169" s="4" t="s">
        <v>891</v>
      </c>
      <c r="G169" s="5" t="str">
        <f>IFERROR(__xludf.DUMMYFUNCTION("GOOGLETRANSLATE(D169,""ca"",""es"")"),"aspecto")</f>
        <v>aspecto</v>
      </c>
    </row>
    <row r="170">
      <c r="A170" s="4">
        <v>68.0</v>
      </c>
      <c r="B170" s="4" t="s">
        <v>472</v>
      </c>
      <c r="C170" s="4"/>
      <c r="D170" s="4" t="s">
        <v>892</v>
      </c>
      <c r="E170" s="4" t="s">
        <v>893</v>
      </c>
      <c r="F170" s="4" t="s">
        <v>894</v>
      </c>
      <c r="G170" s="5" t="str">
        <f>IFERROR(__xludf.DUMMYFUNCTION("GOOGLETRANSLATE(D170,""ca"",""es"")"),"embargo")</f>
        <v>embargo</v>
      </c>
      <c r="H170" s="4" t="s">
        <v>895</v>
      </c>
      <c r="I170" s="4" t="s">
        <v>896</v>
      </c>
      <c r="J170" s="4" t="s">
        <v>897</v>
      </c>
      <c r="K170" s="4" t="s">
        <v>898</v>
      </c>
      <c r="L170" s="4" t="s">
        <v>895</v>
      </c>
      <c r="M170" s="4" t="s">
        <v>895</v>
      </c>
      <c r="N170" s="4" t="s">
        <v>899</v>
      </c>
      <c r="O170" s="4" t="s">
        <v>895</v>
      </c>
      <c r="P170" s="4" t="s">
        <v>900</v>
      </c>
      <c r="Q170" s="4" t="s">
        <v>901</v>
      </c>
      <c r="R170" s="4" t="s">
        <v>902</v>
      </c>
      <c r="S170" s="4" t="s">
        <v>903</v>
      </c>
      <c r="T170" s="4" t="s">
        <v>904</v>
      </c>
      <c r="U170" s="4" t="s">
        <v>905</v>
      </c>
      <c r="V170" s="4" t="s">
        <v>906</v>
      </c>
      <c r="W170" s="4" t="s">
        <v>907</v>
      </c>
      <c r="X170" s="4" t="s">
        <v>895</v>
      </c>
      <c r="Y170" s="4" t="s">
        <v>908</v>
      </c>
      <c r="Z170" s="4" t="s">
        <v>909</v>
      </c>
      <c r="AA170" s="4" t="s">
        <v>910</v>
      </c>
      <c r="AB170" s="4" t="s">
        <v>895</v>
      </c>
    </row>
    <row r="171">
      <c r="A171" s="4">
        <v>69.0</v>
      </c>
      <c r="B171" s="4" t="s">
        <v>472</v>
      </c>
      <c r="C171" s="4"/>
      <c r="D171" s="4" t="s">
        <v>911</v>
      </c>
      <c r="E171" s="4" t="s">
        <v>912</v>
      </c>
      <c r="F171" s="4" t="s">
        <v>913</v>
      </c>
      <c r="G171" s="5" t="str">
        <f>IFERROR(__xludf.DUMMYFUNCTION("GOOGLETRANSLATE(D171,""ca"",""es"")"),"concurso")</f>
        <v>concurso</v>
      </c>
      <c r="H171" s="4" t="s">
        <v>895</v>
      </c>
      <c r="I171" s="4" t="s">
        <v>895</v>
      </c>
      <c r="J171" s="4" t="s">
        <v>895</v>
      </c>
      <c r="K171" s="4" t="s">
        <v>914</v>
      </c>
      <c r="L171" s="4" t="s">
        <v>914</v>
      </c>
      <c r="M171" s="4" t="s">
        <v>915</v>
      </c>
      <c r="N171" s="4" t="s">
        <v>916</v>
      </c>
      <c r="O171" s="4" t="s">
        <v>895</v>
      </c>
      <c r="P171" s="4" t="s">
        <v>917</v>
      </c>
      <c r="Q171" s="4" t="s">
        <v>918</v>
      </c>
      <c r="R171" s="4" t="s">
        <v>919</v>
      </c>
      <c r="S171" s="4" t="s">
        <v>920</v>
      </c>
    </row>
    <row r="172">
      <c r="A172" s="4">
        <v>70.0</v>
      </c>
      <c r="B172" s="4" t="s">
        <v>472</v>
      </c>
      <c r="C172" s="4"/>
      <c r="D172" s="4" t="s">
        <v>921</v>
      </c>
      <c r="E172" s="4" t="s">
        <v>922</v>
      </c>
      <c r="F172" s="4" t="s">
        <v>923</v>
      </c>
      <c r="G172" s="5" t="str">
        <f>IFERROR(__xludf.DUMMYFUNCTION("GOOGLETRANSLATE(D172,""ca"",""es"")"),"adjuntar")</f>
        <v>adjuntar</v>
      </c>
    </row>
    <row r="173">
      <c r="A173" s="4">
        <v>71.0</v>
      </c>
      <c r="B173" s="4" t="s">
        <v>472</v>
      </c>
      <c r="C173" s="4"/>
      <c r="D173" s="4" t="s">
        <v>924</v>
      </c>
      <c r="E173" s="4" t="s">
        <v>925</v>
      </c>
      <c r="F173" s="4" t="s">
        <v>924</v>
      </c>
      <c r="G173" s="5" t="str">
        <f>IFERROR(__xludf.DUMMYFUNCTION("GOOGLETRANSLATE(D173,""ca"",""es"")"),"pulgada")</f>
        <v>pulgada</v>
      </c>
    </row>
    <row r="174">
      <c r="A174" s="4">
        <v>72.0</v>
      </c>
      <c r="B174" s="4" t="s">
        <v>472</v>
      </c>
      <c r="C174" s="4"/>
      <c r="D174" s="4" t="s">
        <v>926</v>
      </c>
      <c r="E174" s="4" t="s">
        <v>927</v>
      </c>
      <c r="F174" s="4" t="s">
        <v>926</v>
      </c>
      <c r="G174" s="5" t="str">
        <f>IFERROR(__xludf.DUMMYFUNCTION("GOOGLETRANSLATE(D174,""ca"",""es"")"),"sobre")</f>
        <v>sobre</v>
      </c>
      <c r="H174" s="4" t="s">
        <v>928</v>
      </c>
      <c r="I174" s="4" t="s">
        <v>929</v>
      </c>
      <c r="J174" s="4" t="s">
        <v>930</v>
      </c>
      <c r="K174" s="4" t="s">
        <v>931</v>
      </c>
      <c r="L174" s="4" t="s">
        <v>930</v>
      </c>
      <c r="M174" s="4" t="s">
        <v>932</v>
      </c>
      <c r="N174" s="4" t="s">
        <v>933</v>
      </c>
    </row>
    <row r="175">
      <c r="A175" s="4">
        <v>73.0</v>
      </c>
      <c r="B175" s="4" t="s">
        <v>472</v>
      </c>
      <c r="C175" s="4"/>
      <c r="D175" s="4" t="s">
        <v>934</v>
      </c>
      <c r="E175" s="4" t="s">
        <v>935</v>
      </c>
      <c r="F175" s="4" t="s">
        <v>934</v>
      </c>
      <c r="G175" s="5" t="str">
        <f>IFERROR(__xludf.DUMMYFUNCTION("GOOGLETRANSLATE(D175,""ca"",""es"")"),"tragar")</f>
        <v>tragar</v>
      </c>
    </row>
    <row r="176">
      <c r="A176" s="4">
        <v>74.0</v>
      </c>
      <c r="B176" s="4" t="s">
        <v>472</v>
      </c>
      <c r="C176" s="4"/>
      <c r="D176" s="4" t="s">
        <v>936</v>
      </c>
      <c r="E176" s="4" t="s">
        <v>937</v>
      </c>
      <c r="F176" s="4" t="s">
        <v>936</v>
      </c>
      <c r="G176" s="5" t="str">
        <f>IFERROR(__xludf.DUMMYFUNCTION("GOOGLETRANSLATE(D176,""ca"",""es"")"),"deténgase")</f>
        <v>deténgase</v>
      </c>
    </row>
    <row r="177">
      <c r="A177" s="4">
        <v>75.0</v>
      </c>
      <c r="B177" s="4" t="s">
        <v>472</v>
      </c>
      <c r="C177" s="4"/>
      <c r="D177" s="4" t="s">
        <v>938</v>
      </c>
      <c r="E177" s="4" t="s">
        <v>939</v>
      </c>
      <c r="F177" s="4" t="s">
        <v>938</v>
      </c>
      <c r="G177" s="5" t="str">
        <f>IFERROR(__xludf.DUMMYFUNCTION("GOOGLETRANSLATE(D177,""ca"",""es"")"),"deténgase")</f>
        <v>deténgase</v>
      </c>
      <c r="H177" s="4" t="s">
        <v>940</v>
      </c>
      <c r="I177" s="4" t="s">
        <v>941</v>
      </c>
      <c r="J177" s="4" t="s">
        <v>942</v>
      </c>
      <c r="K177" s="4" t="s">
        <v>943</v>
      </c>
      <c r="L177" s="4" t="s">
        <v>944</v>
      </c>
      <c r="M177" s="4" t="s">
        <v>945</v>
      </c>
      <c r="N177" s="4" t="s">
        <v>945</v>
      </c>
      <c r="O177" s="4" t="s">
        <v>946</v>
      </c>
      <c r="P177" s="4" t="s">
        <v>947</v>
      </c>
      <c r="Q177" s="4" t="s">
        <v>945</v>
      </c>
      <c r="R177" s="4" t="s">
        <v>948</v>
      </c>
      <c r="S177" s="4" t="s">
        <v>326</v>
      </c>
      <c r="T177" s="4" t="s">
        <v>949</v>
      </c>
      <c r="U177" s="4" t="s">
        <v>950</v>
      </c>
      <c r="V177" s="4" t="s">
        <v>945</v>
      </c>
      <c r="W177" s="4" t="s">
        <v>951</v>
      </c>
      <c r="X177" s="4" t="s">
        <v>952</v>
      </c>
      <c r="Y177" s="4" t="s">
        <v>953</v>
      </c>
    </row>
    <row r="178">
      <c r="A178" s="4">
        <v>76.0</v>
      </c>
      <c r="B178" s="4" t="s">
        <v>472</v>
      </c>
      <c r="C178" s="4"/>
      <c r="D178" s="4" t="s">
        <v>954</v>
      </c>
      <c r="E178" s="4" t="s">
        <v>955</v>
      </c>
      <c r="F178" s="4" t="s">
        <v>956</v>
      </c>
      <c r="G178" s="5" t="str">
        <f>IFERROR(__xludf.DUMMYFUNCTION("GOOGLETRANSLATE(D178,""ca"",""es"")"),"atípico")</f>
        <v>atípico</v>
      </c>
      <c r="H178" s="4" t="s">
        <v>957</v>
      </c>
      <c r="I178" s="4" t="s">
        <v>958</v>
      </c>
      <c r="J178" s="4" t="s">
        <v>957</v>
      </c>
      <c r="K178" s="4" t="s">
        <v>959</v>
      </c>
    </row>
    <row r="179">
      <c r="A179" s="4">
        <v>77.0</v>
      </c>
      <c r="B179" s="4" t="s">
        <v>472</v>
      </c>
      <c r="C179" s="4"/>
      <c r="D179" s="4" t="s">
        <v>960</v>
      </c>
      <c r="E179" s="4" t="s">
        <v>961</v>
      </c>
      <c r="F179" s="4" t="s">
        <v>962</v>
      </c>
      <c r="G179" s="5" t="str">
        <f>IFERROR(__xludf.DUMMYFUNCTION("GOOGLETRANSLATE(D179,""ca"",""es"")"),"cerdo")</f>
        <v>cerdo</v>
      </c>
      <c r="H179" s="4" t="s">
        <v>963</v>
      </c>
      <c r="I179" s="4" t="s">
        <v>964</v>
      </c>
      <c r="J179" s="4" t="s">
        <v>965</v>
      </c>
    </row>
    <row r="180">
      <c r="A180" s="4">
        <v>78.0</v>
      </c>
      <c r="B180" s="4" t="s">
        <v>472</v>
      </c>
      <c r="C180" s="4"/>
      <c r="D180" s="4" t="s">
        <v>966</v>
      </c>
      <c r="E180" s="4" t="s">
        <v>967</v>
      </c>
      <c r="F180" s="4" t="s">
        <v>968</v>
      </c>
      <c r="G180" s="5" t="str">
        <f>IFERROR(__xludf.DUMMYFUNCTION("GOOGLETRANSLATE(D180,""ca"",""es"")"),"kayac")</f>
        <v>kayac</v>
      </c>
      <c r="H180" s="4" t="s">
        <v>969</v>
      </c>
      <c r="I180" s="4" t="s">
        <v>968</v>
      </c>
    </row>
    <row r="181">
      <c r="A181" s="4">
        <v>79.0</v>
      </c>
      <c r="B181" s="4" t="s">
        <v>472</v>
      </c>
      <c r="C181" s="4"/>
      <c r="D181" s="4" t="s">
        <v>970</v>
      </c>
      <c r="E181" s="4" t="s">
        <v>971</v>
      </c>
      <c r="F181" s="4" t="s">
        <v>972</v>
      </c>
      <c r="G181" s="5" t="str">
        <f>IFERROR(__xludf.DUMMYFUNCTION("GOOGLETRANSLATE(D181,""ca"",""es"")"),"caiu")</f>
        <v>caiu</v>
      </c>
    </row>
    <row r="182">
      <c r="A182" s="4">
        <v>80.0</v>
      </c>
      <c r="B182" s="4" t="s">
        <v>472</v>
      </c>
      <c r="C182" s="4"/>
      <c r="D182" s="4" t="s">
        <v>973</v>
      </c>
      <c r="E182" s="4" t="s">
        <v>974</v>
      </c>
      <c r="F182" s="4" t="s">
        <v>975</v>
      </c>
      <c r="G182" s="5" t="str">
        <f>IFERROR(__xludf.DUMMYFUNCTION("GOOGLETRANSLATE(D182,""ca"",""es"")"),"acosar")</f>
        <v>acosar</v>
      </c>
    </row>
    <row r="183">
      <c r="A183" s="4">
        <v>81.0</v>
      </c>
      <c r="B183" s="4" t="s">
        <v>472</v>
      </c>
      <c r="C183" s="4"/>
      <c r="D183" s="4" t="s">
        <v>976</v>
      </c>
      <c r="E183" s="4" t="s">
        <v>977</v>
      </c>
      <c r="F183" s="4" t="s">
        <v>978</v>
      </c>
      <c r="G183" s="5" t="str">
        <f>IFERROR(__xludf.DUMMYFUNCTION("GOOGLETRANSLATE(D183,""ca"",""es"")"),"entrada")</f>
        <v>entrada</v>
      </c>
      <c r="H183" s="4" t="s">
        <v>979</v>
      </c>
      <c r="I183" s="4" t="s">
        <v>980</v>
      </c>
      <c r="J183" s="4" t="s">
        <v>981</v>
      </c>
      <c r="K183" s="4" t="s">
        <v>982</v>
      </c>
      <c r="L183" s="4" t="s">
        <v>983</v>
      </c>
    </row>
    <row r="184">
      <c r="A184" s="4">
        <v>82.0</v>
      </c>
      <c r="B184" s="4" t="s">
        <v>472</v>
      </c>
      <c r="C184" s="4"/>
      <c r="D184" s="4" t="s">
        <v>984</v>
      </c>
      <c r="E184" s="4" t="s">
        <v>985</v>
      </c>
      <c r="F184" s="4" t="s">
        <v>986</v>
      </c>
      <c r="G184" s="5" t="str">
        <f>IFERROR(__xludf.DUMMYFUNCTION("GOOGLETRANSLATE(D184,""ca"",""es"")"),"calamar")</f>
        <v>calamar</v>
      </c>
      <c r="H184" s="4" t="s">
        <v>987</v>
      </c>
      <c r="I184" s="4" t="s">
        <v>987</v>
      </c>
      <c r="J184" s="4" t="s">
        <v>988</v>
      </c>
      <c r="K184" s="4" t="s">
        <v>989</v>
      </c>
    </row>
    <row r="185">
      <c r="A185" s="4">
        <v>83.0</v>
      </c>
      <c r="B185" s="4" t="s">
        <v>472</v>
      </c>
      <c r="C185" s="4"/>
      <c r="D185" s="4" t="s">
        <v>990</v>
      </c>
      <c r="E185" s="4" t="s">
        <v>991</v>
      </c>
      <c r="F185" s="4" t="s">
        <v>992</v>
      </c>
      <c r="G185" s="5" t="str">
        <f>IFERROR(__xludf.DUMMYFUNCTION("GOOGLETRANSLATE(D185,""ca"",""es"")"),"nosotros")</f>
        <v>nosotros</v>
      </c>
      <c r="H185" s="4" t="s">
        <v>993</v>
      </c>
      <c r="I185" s="4" t="s">
        <v>994</v>
      </c>
      <c r="J185" s="4" t="s">
        <v>995</v>
      </c>
      <c r="K185" s="4" t="s">
        <v>996</v>
      </c>
      <c r="L185" s="4" t="s">
        <v>997</v>
      </c>
      <c r="M185" s="4" t="s">
        <v>998</v>
      </c>
      <c r="N185" s="4" t="s">
        <v>999</v>
      </c>
      <c r="O185" s="4" t="s">
        <v>1000</v>
      </c>
      <c r="P185" s="4" t="s">
        <v>1001</v>
      </c>
      <c r="Q185" s="4" t="s">
        <v>1002</v>
      </c>
    </row>
    <row r="186">
      <c r="A186" s="4">
        <v>84.0</v>
      </c>
      <c r="B186" s="4" t="s">
        <v>472</v>
      </c>
      <c r="C186" s="4"/>
      <c r="D186" s="4" t="s">
        <v>1003</v>
      </c>
      <c r="E186" s="4" t="s">
        <v>1004</v>
      </c>
      <c r="F186" s="4" t="s">
        <v>1005</v>
      </c>
      <c r="G186" s="5" t="str">
        <f>IFERROR(__xludf.DUMMYFUNCTION("GOOGLETRANSLATE(D186,""ca"",""es"")"),"voluntad")</f>
        <v>voluntad</v>
      </c>
    </row>
    <row r="187">
      <c r="A187" s="4">
        <v>85.0</v>
      </c>
      <c r="B187" s="4" t="s">
        <v>472</v>
      </c>
      <c r="C187" s="4"/>
      <c r="D187" s="4" t="s">
        <v>1006</v>
      </c>
      <c r="E187" s="4" t="s">
        <v>1007</v>
      </c>
      <c r="F187" s="4" t="s">
        <v>1008</v>
      </c>
      <c r="G187" s="5" t="str">
        <f>IFERROR(__xludf.DUMMYFUNCTION("GOOGLETRANSLATE(D187,""ca"",""es"")"),"Vas a")</f>
        <v>Vas a</v>
      </c>
    </row>
    <row r="188">
      <c r="A188" s="4">
        <v>86.0</v>
      </c>
      <c r="B188" s="4" t="s">
        <v>472</v>
      </c>
      <c r="C188" s="4"/>
      <c r="D188" s="4" t="s">
        <v>1009</v>
      </c>
      <c r="E188" s="4" t="s">
        <v>1010</v>
      </c>
      <c r="F188" s="4" t="s">
        <v>1011</v>
      </c>
      <c r="G188" s="5" t="str">
        <f>IFERROR(__xludf.DUMMYFUNCTION("GOOGLETRANSLATE(D188,""ca"",""es"")"),"llamar")</f>
        <v>llamar</v>
      </c>
      <c r="H188" s="4" t="s">
        <v>1012</v>
      </c>
      <c r="I188" s="4" t="s">
        <v>1013</v>
      </c>
    </row>
    <row r="189">
      <c r="A189" s="4">
        <v>87.0</v>
      </c>
      <c r="B189" s="4" t="s">
        <v>472</v>
      </c>
      <c r="C189" s="4"/>
      <c r="D189" s="4" t="s">
        <v>1014</v>
      </c>
      <c r="E189" s="4" t="s">
        <v>1015</v>
      </c>
      <c r="F189" s="4" t="s">
        <v>1016</v>
      </c>
      <c r="G189" s="5" t="str">
        <f>IFERROR(__xludf.DUMMYFUNCTION("GOOGLETRANSLATE(D189,""ca"",""es"")"),"silencio")</f>
        <v>silencio</v>
      </c>
      <c r="H189" s="4" t="s">
        <v>1017</v>
      </c>
      <c r="I189" s="4" t="s">
        <v>1018</v>
      </c>
      <c r="J189" s="4" t="s">
        <v>1019</v>
      </c>
      <c r="K189" s="4" t="s">
        <v>1020</v>
      </c>
      <c r="L189" s="4" t="s">
        <v>1021</v>
      </c>
      <c r="M189" s="4" t="s">
        <v>1022</v>
      </c>
      <c r="N189" s="4" t="s">
        <v>1023</v>
      </c>
      <c r="O189" s="4" t="s">
        <v>1024</v>
      </c>
      <c r="P189" s="4" t="s">
        <v>1025</v>
      </c>
      <c r="Q189" s="4" t="s">
        <v>1026</v>
      </c>
      <c r="R189" s="4" t="s">
        <v>1017</v>
      </c>
      <c r="S189" s="4" t="s">
        <v>439</v>
      </c>
      <c r="T189" s="4" t="s">
        <v>1027</v>
      </c>
      <c r="U189" s="4" t="s">
        <v>1028</v>
      </c>
      <c r="V189" s="4" t="s">
        <v>1029</v>
      </c>
    </row>
    <row r="190">
      <c r="A190" s="4">
        <v>88.0</v>
      </c>
      <c r="B190" s="4" t="s">
        <v>472</v>
      </c>
      <c r="C190" s="4"/>
      <c r="D190" s="4" t="s">
        <v>1030</v>
      </c>
      <c r="E190" s="4" t="s">
        <v>1031</v>
      </c>
      <c r="F190" s="4" t="s">
        <v>1032</v>
      </c>
      <c r="G190" s="5" t="str">
        <f>IFERROR(__xludf.DUMMYFUNCTION("GOOGLETRANSLATE(D190,""ca"",""es"")"),"call")</f>
        <v>call</v>
      </c>
    </row>
    <row r="191">
      <c r="A191" s="4">
        <v>89.0</v>
      </c>
      <c r="B191" s="4" t="s">
        <v>472</v>
      </c>
      <c r="C191" s="4"/>
      <c r="D191" s="4" t="s">
        <v>1033</v>
      </c>
      <c r="E191" s="4" t="s">
        <v>1034</v>
      </c>
      <c r="F191" s="4" t="s">
        <v>1035</v>
      </c>
      <c r="G191" s="5" t="str">
        <f>IFERROR(__xludf.DUMMYFUNCTION("GOOGLETRANSLATE(D191,""ca"",""es"")"),"calo")</f>
        <v>calo</v>
      </c>
    </row>
    <row r="192">
      <c r="A192" s="4">
        <v>90.0</v>
      </c>
      <c r="B192" s="4" t="s">
        <v>472</v>
      </c>
      <c r="C192" s="4"/>
      <c r="D192" s="4" t="s">
        <v>1036</v>
      </c>
      <c r="E192" s="4" t="s">
        <v>977</v>
      </c>
      <c r="F192" s="4" t="s">
        <v>978</v>
      </c>
      <c r="G192" s="5" t="str">
        <f>IFERROR(__xludf.DUMMYFUNCTION("GOOGLETRANSLATE(D192,""ca"",""es"")"),"cala")</f>
        <v>cala</v>
      </c>
    </row>
    <row r="193">
      <c r="A193" s="4">
        <v>91.0</v>
      </c>
      <c r="B193" s="4" t="s">
        <v>472</v>
      </c>
      <c r="C193" s="4"/>
      <c r="D193" s="4" t="s">
        <v>1037</v>
      </c>
      <c r="E193" s="4" t="s">
        <v>1038</v>
      </c>
      <c r="F193" s="4" t="s">
        <v>1039</v>
      </c>
      <c r="G193" s="5" t="str">
        <f>IFERROR(__xludf.DUMMYFUNCTION("GOOGLETRANSLATE(D193,""ca"",""es"")"),"leva")</f>
        <v>leva</v>
      </c>
    </row>
    <row r="194">
      <c r="A194" s="4">
        <v>92.0</v>
      </c>
      <c r="B194" s="4" t="s">
        <v>472</v>
      </c>
      <c r="C194" s="4"/>
      <c r="D194" s="4" t="s">
        <v>1040</v>
      </c>
      <c r="E194" s="4" t="s">
        <v>1041</v>
      </c>
      <c r="F194" s="4" t="s">
        <v>1042</v>
      </c>
      <c r="G194" s="5" t="str">
        <f>IFERROR(__xludf.DUMMYFUNCTION("GOOGLETRANSLATE(D194,""ca"",""es"")"),"pierna")</f>
        <v>pierna</v>
      </c>
      <c r="H194" s="4" t="s">
        <v>1043</v>
      </c>
      <c r="I194" s="4" t="s">
        <v>1044</v>
      </c>
    </row>
    <row r="195">
      <c r="A195" s="4">
        <v>93.0</v>
      </c>
      <c r="B195" s="4" t="s">
        <v>472</v>
      </c>
      <c r="C195" s="4"/>
      <c r="D195" s="4" t="s">
        <v>1045</v>
      </c>
      <c r="E195" s="4" t="s">
        <v>1046</v>
      </c>
      <c r="F195" s="4" t="s">
        <v>1047</v>
      </c>
      <c r="G195" s="5" t="str">
        <f>IFERROR(__xludf.DUMMYFUNCTION("GOOGLETRANSLATE(D195,""ca"",""es"")"),"manzanilla")</f>
        <v>manzanilla</v>
      </c>
      <c r="H195" s="4" t="s">
        <v>1048</v>
      </c>
      <c r="I195" s="4" t="s">
        <v>1049</v>
      </c>
      <c r="J195" s="4" t="s">
        <v>1050</v>
      </c>
      <c r="K195" s="4" t="s">
        <v>1051</v>
      </c>
      <c r="L195" s="4" t="s">
        <v>1052</v>
      </c>
    </row>
    <row r="196">
      <c r="A196" s="4">
        <v>94.0</v>
      </c>
      <c r="B196" s="4" t="s">
        <v>472</v>
      </c>
      <c r="C196" s="4"/>
      <c r="D196" s="4" t="s">
        <v>1053</v>
      </c>
      <c r="E196" s="4" t="s">
        <v>1054</v>
      </c>
      <c r="F196" s="4" t="s">
        <v>1055</v>
      </c>
      <c r="G196" s="5" t="str">
        <f>IFERROR(__xludf.DUMMYFUNCTION("GOOGLETRANSLATE(D196,""ca"",""es"")"),"caminar")</f>
        <v>caminar</v>
      </c>
      <c r="H196" s="4" t="s">
        <v>1056</v>
      </c>
      <c r="I196" s="4" t="s">
        <v>1056</v>
      </c>
      <c r="J196" s="4" t="s">
        <v>1057</v>
      </c>
      <c r="K196" s="4" t="s">
        <v>1056</v>
      </c>
    </row>
    <row r="197">
      <c r="A197" s="4">
        <v>95.0</v>
      </c>
      <c r="B197" s="4" t="s">
        <v>472</v>
      </c>
      <c r="C197" s="4"/>
      <c r="D197" s="4" t="s">
        <v>1058</v>
      </c>
      <c r="E197" s="4" t="s">
        <v>1038</v>
      </c>
      <c r="F197" s="4" t="s">
        <v>1039</v>
      </c>
      <c r="G197" s="5" t="str">
        <f>IFERROR(__xludf.DUMMYFUNCTION("GOOGLETRANSLATE(D197,""ca"",""es"")"),"área rural")</f>
        <v>área rural</v>
      </c>
      <c r="H197" s="4" t="s">
        <v>1059</v>
      </c>
      <c r="I197" s="4" t="s">
        <v>1060</v>
      </c>
      <c r="J197" s="4" t="s">
        <v>1061</v>
      </c>
      <c r="K197" s="4" t="s">
        <v>1062</v>
      </c>
      <c r="L197" s="4" t="s">
        <v>1063</v>
      </c>
      <c r="M197" s="4" t="s">
        <v>1064</v>
      </c>
      <c r="N197" s="4" t="s">
        <v>1065</v>
      </c>
      <c r="O197" s="4" t="s">
        <v>1066</v>
      </c>
      <c r="P197" s="4" t="s">
        <v>1067</v>
      </c>
      <c r="Q197" s="4" t="s">
        <v>1068</v>
      </c>
      <c r="R197" s="4" t="s">
        <v>1069</v>
      </c>
      <c r="S197" s="4" t="s">
        <v>1070</v>
      </c>
      <c r="T197" s="4" t="s">
        <v>1071</v>
      </c>
      <c r="U197" s="4" t="s">
        <v>1072</v>
      </c>
      <c r="V197" s="4" t="s">
        <v>1073</v>
      </c>
      <c r="W197" s="4" t="s">
        <v>1074</v>
      </c>
      <c r="X197" s="4" t="s">
        <v>1075</v>
      </c>
      <c r="Y197" s="4" t="s">
        <v>1058</v>
      </c>
      <c r="Z197" s="4" t="s">
        <v>1072</v>
      </c>
      <c r="AA197" s="4" t="s">
        <v>1072</v>
      </c>
      <c r="AB197" s="4" t="s">
        <v>1076</v>
      </c>
      <c r="AC197" s="4" t="s">
        <v>1077</v>
      </c>
      <c r="AD197" s="4" t="s">
        <v>1078</v>
      </c>
      <c r="AE197" s="4" t="s">
        <v>1072</v>
      </c>
      <c r="AF197" s="4" t="s">
        <v>1079</v>
      </c>
      <c r="AG197" s="4" t="s">
        <v>1080</v>
      </c>
      <c r="AH197" s="4" t="s">
        <v>1081</v>
      </c>
      <c r="AI197" s="4" t="s">
        <v>1072</v>
      </c>
      <c r="AJ197" s="4" t="s">
        <v>1082</v>
      </c>
      <c r="AK197" s="4" t="s">
        <v>1083</v>
      </c>
      <c r="AL197" s="4" t="s">
        <v>1084</v>
      </c>
      <c r="AM197" s="4" t="s">
        <v>1085</v>
      </c>
      <c r="AN197" s="4" t="s">
        <v>1086</v>
      </c>
      <c r="AO197" s="4" t="s">
        <v>1067</v>
      </c>
      <c r="AP197" s="4" t="s">
        <v>1087</v>
      </c>
      <c r="AQ197" s="4" t="s">
        <v>1065</v>
      </c>
      <c r="AR197" s="4" t="s">
        <v>1088</v>
      </c>
      <c r="AS197" s="4" t="s">
        <v>1072</v>
      </c>
      <c r="AT197" s="4" t="s">
        <v>1059</v>
      </c>
    </row>
    <row r="198">
      <c r="A198" s="4">
        <v>96.0</v>
      </c>
      <c r="B198" s="4" t="s">
        <v>472</v>
      </c>
      <c r="C198" s="4"/>
      <c r="D198" s="4" t="s">
        <v>1089</v>
      </c>
      <c r="E198" s="4" t="s">
        <v>1090</v>
      </c>
      <c r="F198" s="4" t="s">
        <v>1091</v>
      </c>
      <c r="G198" s="5" t="str">
        <f>IFERROR(__xludf.DUMMYFUNCTION("GOOGLETRANSLATE(D198,""ca"",""es"")"),"capita")</f>
        <v>capita</v>
      </c>
      <c r="H198" s="4" t="s">
        <v>1092</v>
      </c>
      <c r="I198" s="4" t="s">
        <v>1093</v>
      </c>
      <c r="J198" s="4" t="s">
        <v>1092</v>
      </c>
      <c r="K198" s="4" t="s">
        <v>1094</v>
      </c>
      <c r="L198" s="4" t="s">
        <v>1095</v>
      </c>
      <c r="M198" s="4" t="s">
        <v>1096</v>
      </c>
      <c r="N198" s="4" t="s">
        <v>1097</v>
      </c>
      <c r="O198" s="4" t="s">
        <v>1098</v>
      </c>
      <c r="P198" s="4" t="s">
        <v>1099</v>
      </c>
      <c r="Q198" s="4" t="s">
        <v>1100</v>
      </c>
    </row>
    <row r="199">
      <c r="A199" s="4">
        <v>97.0</v>
      </c>
      <c r="B199" s="4" t="s">
        <v>472</v>
      </c>
      <c r="C199" s="4"/>
      <c r="D199" s="4" t="s">
        <v>1101</v>
      </c>
      <c r="E199" s="4" t="s">
        <v>1102</v>
      </c>
      <c r="F199" s="4" t="s">
        <v>1103</v>
      </c>
      <c r="G199" s="5" t="str">
        <f>IFERROR(__xludf.DUMMYFUNCTION("GOOGLETRANSLATE(D199,""ca"",""es"")"),"cámara")</f>
        <v>cámara</v>
      </c>
      <c r="H199" s="4" t="s">
        <v>1104</v>
      </c>
      <c r="I199" s="4" t="s">
        <v>1105</v>
      </c>
    </row>
    <row r="200">
      <c r="A200" s="4">
        <v>98.0</v>
      </c>
      <c r="B200" s="4" t="s">
        <v>472</v>
      </c>
      <c r="C200" s="4"/>
      <c r="D200" s="4" t="s">
        <v>1106</v>
      </c>
      <c r="E200" s="4" t="s">
        <v>1107</v>
      </c>
      <c r="F200" s="4" t="s">
        <v>1108</v>
      </c>
      <c r="G200" s="5" t="str">
        <f>IFERROR(__xludf.DUMMYFUNCTION("GOOGLETRANSLATE(D200,""ca"",""es"")"),"sendero")</f>
        <v>sendero</v>
      </c>
      <c r="H200" s="4" t="s">
        <v>1061</v>
      </c>
      <c r="I200" s="4" t="s">
        <v>1109</v>
      </c>
      <c r="J200" s="4" t="s">
        <v>1110</v>
      </c>
      <c r="K200" s="4" t="s">
        <v>1111</v>
      </c>
      <c r="L200" s="4" t="s">
        <v>1111</v>
      </c>
      <c r="M200" s="4" t="s">
        <v>1112</v>
      </c>
      <c r="N200" s="4" t="s">
        <v>1113</v>
      </c>
      <c r="O200" s="4" t="s">
        <v>1112</v>
      </c>
      <c r="P200" s="4" t="s">
        <v>1114</v>
      </c>
      <c r="Q200" s="4" t="s">
        <v>1115</v>
      </c>
      <c r="R200" s="4" t="s">
        <v>1116</v>
      </c>
      <c r="S200" s="4" t="s">
        <v>1111</v>
      </c>
      <c r="T200" s="4" t="s">
        <v>1112</v>
      </c>
      <c r="U200" s="4" t="s">
        <v>1117</v>
      </c>
      <c r="V200" s="4" t="s">
        <v>1118</v>
      </c>
      <c r="W200" s="4" t="s">
        <v>1119</v>
      </c>
      <c r="X200" s="4" t="s">
        <v>1111</v>
      </c>
      <c r="Y200" s="4" t="s">
        <v>1112</v>
      </c>
      <c r="Z200" s="4" t="s">
        <v>1114</v>
      </c>
      <c r="AA200" s="4" t="s">
        <v>1061</v>
      </c>
      <c r="AB200" s="4" t="s">
        <v>1119</v>
      </c>
    </row>
    <row r="201">
      <c r="A201" s="4">
        <v>99.0</v>
      </c>
      <c r="B201" s="4" t="s">
        <v>472</v>
      </c>
      <c r="C201" s="4"/>
      <c r="D201" s="4" t="s">
        <v>1120</v>
      </c>
      <c r="E201" s="4" t="s">
        <v>1121</v>
      </c>
      <c r="F201" s="4" t="s">
        <v>1122</v>
      </c>
      <c r="G201" s="5" t="str">
        <f>IFERROR(__xludf.DUMMYFUNCTION("GOOGLETRANSLATE(D201,""ca"",""es"")"),"pueden")</f>
        <v>pueden</v>
      </c>
    </row>
    <row r="202">
      <c r="A202" s="4">
        <v>100.0</v>
      </c>
      <c r="B202" s="4" t="s">
        <v>472</v>
      </c>
      <c r="C202" s="4"/>
      <c r="D202" s="4" t="s">
        <v>1123</v>
      </c>
      <c r="E202" s="4" t="s">
        <v>1124</v>
      </c>
      <c r="F202" s="4" t="s">
        <v>1125</v>
      </c>
      <c r="G202" s="5" t="str">
        <f>IFERROR(__xludf.DUMMYFUNCTION("GOOGLETRANSLATE(D202,""ca"",""es"")"),"caña")</f>
        <v>caña</v>
      </c>
    </row>
    <row r="203">
      <c r="A203" s="4">
        <v>101.0</v>
      </c>
      <c r="B203" s="4" t="s">
        <v>472</v>
      </c>
      <c r="C203" s="4"/>
      <c r="D203" s="4" t="s">
        <v>1126</v>
      </c>
      <c r="E203" s="4" t="s">
        <v>1127</v>
      </c>
      <c r="F203" s="4" t="s">
        <v>1128</v>
      </c>
      <c r="G203" s="5" t="str">
        <f>IFERROR(__xludf.DUMMYFUNCTION("GOOGLETRANSLATE(D203,""ca"",""es"")"),"canal")</f>
        <v>canal</v>
      </c>
      <c r="H203" s="4" t="s">
        <v>1126</v>
      </c>
      <c r="I203" s="4" t="s">
        <v>1129</v>
      </c>
      <c r="J203" s="4" t="s">
        <v>1130</v>
      </c>
      <c r="K203" s="4" t="s">
        <v>1131</v>
      </c>
      <c r="L203" s="4" t="s">
        <v>1132</v>
      </c>
      <c r="M203" s="4" t="s">
        <v>1133</v>
      </c>
      <c r="N203" s="4" t="s">
        <v>1134</v>
      </c>
      <c r="O203" s="4" t="s">
        <v>1130</v>
      </c>
      <c r="P203" s="4" t="s">
        <v>1135</v>
      </c>
      <c r="Q203" s="4" t="s">
        <v>1126</v>
      </c>
      <c r="R203" s="4" t="s">
        <v>1136</v>
      </c>
      <c r="S203" s="4" t="s">
        <v>1136</v>
      </c>
      <c r="T203" s="4" t="s">
        <v>1137</v>
      </c>
      <c r="U203" s="4" t="s">
        <v>1136</v>
      </c>
    </row>
    <row r="204">
      <c r="A204" s="4">
        <v>102.0</v>
      </c>
      <c r="B204" s="4" t="s">
        <v>472</v>
      </c>
      <c r="C204" s="4"/>
      <c r="D204" s="4" t="s">
        <v>1138</v>
      </c>
      <c r="E204" s="4" t="s">
        <v>1139</v>
      </c>
      <c r="F204" s="4" t="s">
        <v>1140</v>
      </c>
      <c r="G204" s="5" t="str">
        <f>IFERROR(__xludf.DUMMYFUNCTION("GOOGLETRANSLATE(D204,""ca"",""es"")"),".")</f>
        <v>.</v>
      </c>
      <c r="H204" s="4" t="s">
        <v>1141</v>
      </c>
      <c r="I204" s="4" t="s">
        <v>1142</v>
      </c>
      <c r="J204" s="4" t="s">
        <v>1143</v>
      </c>
      <c r="K204" s="4" t="s">
        <v>1144</v>
      </c>
      <c r="L204" s="4" t="s">
        <v>1145</v>
      </c>
      <c r="M204" s="4" t="s">
        <v>1146</v>
      </c>
      <c r="N204" s="4" t="s">
        <v>1147</v>
      </c>
      <c r="O204" s="4" t="s">
        <v>1148</v>
      </c>
      <c r="P204" s="4" t="s">
        <v>1149</v>
      </c>
      <c r="Q204" s="4" t="s">
        <v>1150</v>
      </c>
      <c r="R204" s="4" t="s">
        <v>1151</v>
      </c>
      <c r="S204" s="4" t="s">
        <v>1152</v>
      </c>
      <c r="T204" s="4" t="s">
        <v>1153</v>
      </c>
      <c r="U204" s="4" t="s">
        <v>1154</v>
      </c>
      <c r="V204" s="4" t="s">
        <v>1155</v>
      </c>
      <c r="W204" s="4" t="s">
        <v>1156</v>
      </c>
      <c r="X204" s="4" t="s">
        <v>1157</v>
      </c>
      <c r="Y204" s="4" t="s">
        <v>1158</v>
      </c>
      <c r="Z204" s="4" t="s">
        <v>1159</v>
      </c>
      <c r="AA204" s="4" t="s">
        <v>1160</v>
      </c>
    </row>
    <row r="205">
      <c r="A205" s="4">
        <v>103.0</v>
      </c>
      <c r="B205" s="4" t="s">
        <v>472</v>
      </c>
      <c r="C205" s="4"/>
      <c r="D205" s="4" t="s">
        <v>1161</v>
      </c>
      <c r="E205" s="4" t="s">
        <v>1162</v>
      </c>
      <c r="F205" s="4" t="s">
        <v>1163</v>
      </c>
      <c r="G205" s="5" t="str">
        <f>IFERROR(__xludf.DUMMYFUNCTION("GOOGLETRANSLATE(D205,""ca"",""es"")"),"canana")</f>
        <v>canana</v>
      </c>
      <c r="H205" s="4" t="s">
        <v>1164</v>
      </c>
    </row>
    <row r="206">
      <c r="A206" s="4">
        <v>104.0</v>
      </c>
      <c r="B206" s="4" t="s">
        <v>472</v>
      </c>
      <c r="C206" s="4"/>
      <c r="D206" s="4" t="s">
        <v>1165</v>
      </c>
      <c r="E206" s="4" t="s">
        <v>1166</v>
      </c>
      <c r="F206" s="4" t="s">
        <v>1167</v>
      </c>
      <c r="G206" s="5" t="str">
        <f>IFERROR(__xludf.DUMMYFUNCTION("GOOGLETRANSLATE(D206,""ca"",""es"")"),"no poder")</f>
        <v>no poder</v>
      </c>
      <c r="H206" s="4" t="s">
        <v>1168</v>
      </c>
      <c r="I206" s="4" t="s">
        <v>1169</v>
      </c>
    </row>
    <row r="207">
      <c r="A207" s="4">
        <v>105.0</v>
      </c>
      <c r="B207" s="4" t="s">
        <v>472</v>
      </c>
      <c r="C207" s="4"/>
      <c r="D207" s="4" t="s">
        <v>1170</v>
      </c>
      <c r="E207" s="4" t="s">
        <v>1171</v>
      </c>
      <c r="F207" s="4" t="s">
        <v>1172</v>
      </c>
      <c r="G207" s="5" t="str">
        <f>IFERROR(__xludf.DUMMYFUNCTION("GOOGLETRANSLATE(D207,""ca"",""es"")"),"canario")</f>
        <v>canario</v>
      </c>
    </row>
    <row r="208">
      <c r="A208" s="4">
        <v>106.0</v>
      </c>
      <c r="B208" s="4" t="s">
        <v>472</v>
      </c>
      <c r="C208" s="4"/>
      <c r="D208" s="4" t="s">
        <v>1173</v>
      </c>
      <c r="E208" s="4" t="s">
        <v>1174</v>
      </c>
      <c r="F208" s="4" t="s">
        <v>1175</v>
      </c>
      <c r="G208" s="5" t="str">
        <f>IFERROR(__xludf.DUMMYFUNCTION("GOOGLETRANSLATE(D208,""ca"",""es"")"),"Cerro")</f>
        <v>Cerro</v>
      </c>
    </row>
    <row r="209">
      <c r="A209" s="4">
        <v>107.0</v>
      </c>
      <c r="B209" s="4" t="s">
        <v>472</v>
      </c>
      <c r="C209" s="4"/>
      <c r="D209" s="4" t="s">
        <v>1176</v>
      </c>
      <c r="E209" s="4" t="s">
        <v>1177</v>
      </c>
      <c r="F209" s="4" t="s">
        <v>1178</v>
      </c>
      <c r="G209" s="5" t="str">
        <f>IFERROR(__xludf.DUMMYFUNCTION("GOOGLETRANSLATE(D209,""ca"",""es"")"),"canino")</f>
        <v>canino</v>
      </c>
    </row>
    <row r="210">
      <c r="A210" s="4">
        <v>108.0</v>
      </c>
      <c r="B210" s="4" t="s">
        <v>472</v>
      </c>
      <c r="C210" s="4"/>
      <c r="D210" s="4" t="s">
        <v>1179</v>
      </c>
      <c r="E210" s="4" t="s">
        <v>1121</v>
      </c>
      <c r="F210" s="4" t="s">
        <v>1122</v>
      </c>
      <c r="G210" s="5" t="str">
        <f>IFERROR(__xludf.DUMMYFUNCTION("GOOGLETRANSLATE(D210,""ca"",""es"")"),"cantando")</f>
        <v>cantando</v>
      </c>
      <c r="H210" s="4" t="s">
        <v>1180</v>
      </c>
      <c r="I210" s="4" t="s">
        <v>1181</v>
      </c>
      <c r="J210" s="4" t="s">
        <v>1182</v>
      </c>
      <c r="K210" s="4" t="s">
        <v>1183</v>
      </c>
    </row>
    <row r="211">
      <c r="A211" s="4">
        <v>109.0</v>
      </c>
      <c r="B211" s="4" t="s">
        <v>472</v>
      </c>
      <c r="C211" s="4"/>
      <c r="D211" s="4" t="s">
        <v>1184</v>
      </c>
      <c r="E211" s="4" t="s">
        <v>1185</v>
      </c>
      <c r="F211" s="4" t="s">
        <v>1186</v>
      </c>
      <c r="G211" s="5" t="str">
        <f>IFERROR(__xludf.DUMMYFUNCTION("GOOGLETRANSLATE(D211,""ca"",""es"")"),"caña")</f>
        <v>caña</v>
      </c>
      <c r="H211" s="4" t="s">
        <v>1044</v>
      </c>
      <c r="I211" s="4" t="s">
        <v>1187</v>
      </c>
      <c r="J211" s="4" t="s">
        <v>1188</v>
      </c>
      <c r="K211" s="4" t="s">
        <v>1189</v>
      </c>
      <c r="L211" s="4" t="s">
        <v>1190</v>
      </c>
      <c r="M211" s="4" t="s">
        <v>1187</v>
      </c>
    </row>
    <row r="212">
      <c r="A212" s="4">
        <v>110.0</v>
      </c>
      <c r="B212" s="4" t="s">
        <v>472</v>
      </c>
      <c r="C212" s="4"/>
      <c r="D212" s="4" t="s">
        <v>1191</v>
      </c>
      <c r="E212" s="4" t="s">
        <v>1192</v>
      </c>
      <c r="F212" s="4" t="s">
        <v>1193</v>
      </c>
      <c r="G212" s="5" t="str">
        <f>IFERROR(__xludf.DUMMYFUNCTION("GOOGLETRANSLATE(D212,""ca"",""es"")"),"Junco")</f>
        <v>Junco</v>
      </c>
      <c r="H212" s="4" t="s">
        <v>1194</v>
      </c>
    </row>
    <row r="213">
      <c r="A213" s="4">
        <v>111.0</v>
      </c>
      <c r="B213" s="4" t="s">
        <v>472</v>
      </c>
      <c r="C213" s="4"/>
      <c r="D213" s="4" t="s">
        <v>1195</v>
      </c>
      <c r="E213" s="4" t="s">
        <v>1196</v>
      </c>
      <c r="F213" s="4" t="s">
        <v>1197</v>
      </c>
      <c r="G213" s="5" t="str">
        <f>IFERROR(__xludf.DUMMYFUNCTION("GOOGLETRANSLATE(D213,""ca"",""es"")"),"Junco")</f>
        <v>Junco</v>
      </c>
    </row>
    <row r="214">
      <c r="A214" s="4">
        <v>112.0</v>
      </c>
      <c r="B214" s="4" t="s">
        <v>472</v>
      </c>
      <c r="C214" s="4"/>
      <c r="D214" s="4" t="s">
        <v>1198</v>
      </c>
      <c r="E214" s="4" t="s">
        <v>1199</v>
      </c>
      <c r="F214" s="4" t="s">
        <v>1200</v>
      </c>
      <c r="G214" s="5" t="str">
        <f>IFERROR(__xludf.DUMMYFUNCTION("GOOGLETRANSLATE(D214,""ca"",""es"")"),"Junco")</f>
        <v>Junco</v>
      </c>
      <c r="H214" s="4" t="s">
        <v>1201</v>
      </c>
      <c r="I214" s="4" t="s">
        <v>1202</v>
      </c>
      <c r="J214" s="4" t="s">
        <v>1203</v>
      </c>
      <c r="K214" s="4" t="s">
        <v>1204</v>
      </c>
    </row>
    <row r="215">
      <c r="A215" s="4">
        <v>113.0</v>
      </c>
      <c r="B215" s="4" t="s">
        <v>472</v>
      </c>
      <c r="C215" s="4"/>
      <c r="D215" s="4" t="s">
        <v>1205</v>
      </c>
      <c r="E215" s="4" t="s">
        <v>1206</v>
      </c>
      <c r="F215" s="4" t="s">
        <v>1207</v>
      </c>
      <c r="G215" s="5" t="str">
        <f>IFERROR(__xludf.DUMMYFUNCTION("GOOGLETRANSLATE(D215,""ca"",""es"")"),"canino")</f>
        <v>canino</v>
      </c>
    </row>
    <row r="216">
      <c r="A216" s="4">
        <v>114.0</v>
      </c>
      <c r="B216" s="4" t="s">
        <v>472</v>
      </c>
      <c r="C216" s="4"/>
      <c r="D216" s="4" t="s">
        <v>1208</v>
      </c>
      <c r="E216" s="4" t="s">
        <v>321</v>
      </c>
      <c r="F216" s="4" t="s">
        <v>322</v>
      </c>
      <c r="G216" s="5" t="str">
        <f>IFERROR(__xludf.DUMMYFUNCTION("GOOGLETRANSLATE(D216,""ca"",""es"")"),"ninguna")</f>
        <v>ninguna</v>
      </c>
      <c r="H216" s="4" t="s">
        <v>1209</v>
      </c>
      <c r="I216" s="4" t="s">
        <v>1209</v>
      </c>
      <c r="J216" s="4" t="s">
        <v>1210</v>
      </c>
      <c r="K216" s="4" t="s">
        <v>1209</v>
      </c>
      <c r="L216" s="4" t="s">
        <v>1211</v>
      </c>
      <c r="M216" s="4" t="s">
        <v>1212</v>
      </c>
      <c r="N216" s="4" t="s">
        <v>1209</v>
      </c>
      <c r="O216" s="4" t="s">
        <v>1213</v>
      </c>
      <c r="P216" s="4" t="s">
        <v>1214</v>
      </c>
      <c r="Q216" s="4" t="s">
        <v>1215</v>
      </c>
      <c r="R216" s="4" t="s">
        <v>950</v>
      </c>
      <c r="S216" s="4" t="s">
        <v>1216</v>
      </c>
      <c r="T216" s="4" t="s">
        <v>1209</v>
      </c>
      <c r="U216" s="4" t="s">
        <v>1217</v>
      </c>
      <c r="V216" s="4" t="s">
        <v>1218</v>
      </c>
      <c r="W216" s="4" t="s">
        <v>1219</v>
      </c>
      <c r="X216" s="4" t="s">
        <v>1220</v>
      </c>
      <c r="Y216" s="4" t="s">
        <v>1221</v>
      </c>
      <c r="Z216" s="4" t="s">
        <v>1222</v>
      </c>
      <c r="AA216" s="4" t="s">
        <v>1219</v>
      </c>
      <c r="AB216" s="4" t="s">
        <v>1223</v>
      </c>
      <c r="AC216" s="4" t="s">
        <v>1224</v>
      </c>
      <c r="AD216" s="4" t="s">
        <v>1225</v>
      </c>
      <c r="AE216" s="4" t="s">
        <v>1226</v>
      </c>
      <c r="AF216" s="4" t="s">
        <v>1219</v>
      </c>
      <c r="AG216" s="4" t="s">
        <v>1209</v>
      </c>
      <c r="AH216" s="4" t="s">
        <v>1224</v>
      </c>
      <c r="AI216" s="4" t="s">
        <v>1227</v>
      </c>
      <c r="AJ216" s="4" t="s">
        <v>1228</v>
      </c>
      <c r="AK216" s="4" t="s">
        <v>1229</v>
      </c>
      <c r="AL216" s="4" t="s">
        <v>1222</v>
      </c>
      <c r="AM216" s="4" t="s">
        <v>1224</v>
      </c>
      <c r="AN216" s="4" t="s">
        <v>617</v>
      </c>
      <c r="AO216" s="4" t="s">
        <v>1230</v>
      </c>
    </row>
    <row r="217">
      <c r="A217" s="4">
        <v>115.0</v>
      </c>
      <c r="B217" s="4" t="s">
        <v>472</v>
      </c>
      <c r="C217" s="4"/>
      <c r="D217" s="4" t="s">
        <v>1231</v>
      </c>
      <c r="E217" s="4" t="s">
        <v>1232</v>
      </c>
      <c r="F217" s="4" t="s">
        <v>1233</v>
      </c>
      <c r="G217" s="5" t="str">
        <f>IFERROR(__xludf.DUMMYFUNCTION("GOOGLETRANSLATE(D217,""ca"",""es"")"),"capa")</f>
        <v>capa</v>
      </c>
      <c r="H217" s="4" t="s">
        <v>1234</v>
      </c>
      <c r="I217" s="4" t="s">
        <v>1235</v>
      </c>
      <c r="J217" s="4" t="s">
        <v>1236</v>
      </c>
      <c r="K217" s="4" t="s">
        <v>1237</v>
      </c>
      <c r="L217" s="4" t="s">
        <v>1238</v>
      </c>
      <c r="M217" s="4" t="s">
        <v>1235</v>
      </c>
      <c r="N217" s="4" t="s">
        <v>1239</v>
      </c>
      <c r="O217" s="4" t="s">
        <v>1240</v>
      </c>
      <c r="P217" s="4" t="s">
        <v>1237</v>
      </c>
      <c r="Q217" s="4" t="s">
        <v>1241</v>
      </c>
      <c r="R217" s="4" t="s">
        <v>1237</v>
      </c>
      <c r="S217" s="4" t="s">
        <v>1242</v>
      </c>
      <c r="T217" s="4" t="s">
        <v>1243</v>
      </c>
    </row>
    <row r="218">
      <c r="A218" s="4">
        <v>116.0</v>
      </c>
      <c r="B218" s="4" t="s">
        <v>472</v>
      </c>
      <c r="C218" s="4"/>
      <c r="D218" s="4" t="s">
        <v>1244</v>
      </c>
      <c r="E218" s="4" t="s">
        <v>1245</v>
      </c>
      <c r="F218" s="4" t="s">
        <v>1246</v>
      </c>
      <c r="G218" s="5" t="str">
        <f>IFERROR(__xludf.DUMMYFUNCTION("GOOGLETRANSLATE(D218,""ca"",""es"")"),"cabeza")</f>
        <v>cabeza</v>
      </c>
      <c r="H218" s="4" t="s">
        <v>1247</v>
      </c>
      <c r="I218" s="4" t="s">
        <v>1248</v>
      </c>
      <c r="J218" s="4" t="s">
        <v>1249</v>
      </c>
      <c r="K218" s="4" t="s">
        <v>1250</v>
      </c>
    </row>
    <row r="219">
      <c r="A219" s="4">
        <v>117.0</v>
      </c>
      <c r="B219" s="4" t="s">
        <v>472</v>
      </c>
      <c r="C219" s="4"/>
      <c r="D219" s="4" t="s">
        <v>1251</v>
      </c>
      <c r="E219" s="4" t="s">
        <v>1252</v>
      </c>
      <c r="F219" s="4" t="s">
        <v>1253</v>
      </c>
      <c r="G219" s="5" t="str">
        <f>IFERROR(__xludf.DUMMYFUNCTION("GOOGLETRANSLATE(D219,""ca"",""es"")"),"capaz")</f>
        <v>capaz</v>
      </c>
      <c r="H219" s="4" t="s">
        <v>1254</v>
      </c>
      <c r="I219" s="4" t="s">
        <v>1255</v>
      </c>
      <c r="J219" s="4" t="s">
        <v>1256</v>
      </c>
      <c r="K219" s="4" t="s">
        <v>1257</v>
      </c>
      <c r="L219" s="4" t="s">
        <v>1258</v>
      </c>
      <c r="M219" s="4" t="s">
        <v>1259</v>
      </c>
      <c r="N219" s="4" t="s">
        <v>1260</v>
      </c>
      <c r="O219" s="4" t="s">
        <v>1261</v>
      </c>
      <c r="P219" s="4" t="s">
        <v>1262</v>
      </c>
      <c r="Q219" s="4" t="s">
        <v>1258</v>
      </c>
      <c r="R219" s="4" t="s">
        <v>1254</v>
      </c>
      <c r="S219" s="4" t="s">
        <v>1258</v>
      </c>
      <c r="T219" s="4" t="s">
        <v>1254</v>
      </c>
      <c r="U219" s="4" t="s">
        <v>1258</v>
      </c>
      <c r="V219" s="4" t="s">
        <v>1263</v>
      </c>
      <c r="W219" s="4" t="s">
        <v>1264</v>
      </c>
      <c r="X219" s="4" t="s">
        <v>1265</v>
      </c>
      <c r="Y219" s="4" t="s">
        <v>1266</v>
      </c>
      <c r="Z219" s="4" t="s">
        <v>1264</v>
      </c>
      <c r="AA219" s="4" t="s">
        <v>1267</v>
      </c>
      <c r="AB219" s="4" t="s">
        <v>1268</v>
      </c>
      <c r="AC219" s="4" t="s">
        <v>1269</v>
      </c>
      <c r="AD219" s="4" t="s">
        <v>1270</v>
      </c>
    </row>
    <row r="220">
      <c r="A220" s="4">
        <v>118.0</v>
      </c>
      <c r="B220" s="4" t="s">
        <v>472</v>
      </c>
      <c r="C220" s="4"/>
      <c r="D220" s="4" t="s">
        <v>1271</v>
      </c>
      <c r="E220" s="4" t="s">
        <v>1272</v>
      </c>
      <c r="F220" s="4" t="s">
        <v>1273</v>
      </c>
      <c r="G220" s="5" t="str">
        <f>IFERROR(__xludf.DUMMYFUNCTION("GOOGLETRANSLATE(D220,""ca"",""es"")"),"otro")</f>
        <v>otro</v>
      </c>
    </row>
    <row r="221">
      <c r="A221" s="4">
        <v>119.0</v>
      </c>
      <c r="B221" s="4" t="s">
        <v>472</v>
      </c>
      <c r="C221" s="4"/>
      <c r="D221" s="4" t="s">
        <v>1274</v>
      </c>
      <c r="E221" s="4" t="s">
        <v>1275</v>
      </c>
      <c r="F221" s="4" t="s">
        <v>1276</v>
      </c>
      <c r="G221" s="5" t="str">
        <f>IFERROR(__xludf.DUMMYFUNCTION("GOOGLETRANSLATE(D221,""ca"",""es"")"),"capital")</f>
        <v>capital</v>
      </c>
      <c r="H221" s="4" t="s">
        <v>1274</v>
      </c>
      <c r="I221" s="4" t="s">
        <v>1277</v>
      </c>
      <c r="J221" s="4" t="s">
        <v>1278</v>
      </c>
      <c r="K221" s="4" t="s">
        <v>1279</v>
      </c>
      <c r="L221" s="4" t="s">
        <v>1274</v>
      </c>
      <c r="M221" s="4" t="s">
        <v>1280</v>
      </c>
      <c r="N221" s="4" t="s">
        <v>1274</v>
      </c>
      <c r="O221" s="4" t="s">
        <v>1281</v>
      </c>
    </row>
    <row r="222">
      <c r="A222" s="4">
        <v>120.0</v>
      </c>
      <c r="B222" s="4" t="s">
        <v>472</v>
      </c>
      <c r="C222" s="4"/>
      <c r="D222" s="4" t="s">
        <v>1282</v>
      </c>
      <c r="E222" s="4" t="s">
        <v>1283</v>
      </c>
      <c r="F222" s="4" t="s">
        <v>1284</v>
      </c>
      <c r="G222" s="5" t="str">
        <f>IFERROR(__xludf.DUMMYFUNCTION("GOOGLETRANSLATE(D222,""ca"",""es"")"),"capitán")</f>
        <v>capitán</v>
      </c>
      <c r="H222" s="4" t="s">
        <v>1285</v>
      </c>
      <c r="I222" s="4" t="s">
        <v>617</v>
      </c>
      <c r="J222" s="4" t="s">
        <v>1221</v>
      </c>
      <c r="K222" s="4" t="s">
        <v>1286</v>
      </c>
      <c r="L222" s="4" t="s">
        <v>1287</v>
      </c>
    </row>
    <row r="223">
      <c r="A223" s="4">
        <v>121.0</v>
      </c>
      <c r="B223" s="4" t="s">
        <v>472</v>
      </c>
      <c r="C223" s="4"/>
      <c r="D223" s="4" t="s">
        <v>1288</v>
      </c>
      <c r="E223" s="4" t="s">
        <v>1289</v>
      </c>
      <c r="F223" s="4" t="s">
        <v>1290</v>
      </c>
      <c r="G223" s="5" t="str">
        <f>IFERROR(__xludf.DUMMYFUNCTION("GOOGLETRANSLATE(D223,""ca"",""es"")"),"capitular")</f>
        <v>capitular</v>
      </c>
    </row>
    <row r="224">
      <c r="A224" s="4">
        <v>122.0</v>
      </c>
      <c r="B224" s="4" t="s">
        <v>472</v>
      </c>
      <c r="C224" s="4"/>
      <c r="D224" s="4" t="s">
        <v>1291</v>
      </c>
      <c r="E224" s="4" t="s">
        <v>1292</v>
      </c>
      <c r="F224" s="4" t="s">
        <v>1293</v>
      </c>
      <c r="G224" s="5" t="str">
        <f>IFERROR(__xludf.DUMMYFUNCTION("GOOGLETRANSLATE(D224,""ca"",""es"")"),"capitán")</f>
        <v>capitán</v>
      </c>
      <c r="H224" s="4" t="s">
        <v>1221</v>
      </c>
      <c r="I224" s="4" t="s">
        <v>1294</v>
      </c>
      <c r="J224" s="4" t="s">
        <v>1221</v>
      </c>
      <c r="K224" s="4" t="s">
        <v>1287</v>
      </c>
      <c r="L224" s="4" t="s">
        <v>1221</v>
      </c>
      <c r="M224" s="4" t="s">
        <v>617</v>
      </c>
      <c r="N224" s="4" t="s">
        <v>1221</v>
      </c>
      <c r="O224" s="4" t="s">
        <v>1286</v>
      </c>
      <c r="P224" s="4" t="s">
        <v>1287</v>
      </c>
    </row>
    <row r="225">
      <c r="A225" s="4">
        <v>123.0</v>
      </c>
      <c r="B225" s="4" t="s">
        <v>472</v>
      </c>
      <c r="C225" s="4"/>
      <c r="D225" s="4" t="s">
        <v>1295</v>
      </c>
      <c r="E225" s="4" t="s">
        <v>1296</v>
      </c>
      <c r="F225" s="4" t="s">
        <v>1297</v>
      </c>
      <c r="G225" s="5" t="str">
        <f>IFERROR(__xludf.DUMMYFUNCTION("GOOGLETRANSLATE(D225,""ca"",""es"")"),"flor")</f>
        <v>flor</v>
      </c>
      <c r="H225" s="4" t="s">
        <v>1298</v>
      </c>
      <c r="I225" s="4" t="s">
        <v>1299</v>
      </c>
      <c r="J225" s="4" t="s">
        <v>1299</v>
      </c>
      <c r="K225" s="4" t="s">
        <v>1300</v>
      </c>
    </row>
    <row r="226">
      <c r="A226" s="4">
        <v>124.0</v>
      </c>
      <c r="B226" s="4" t="s">
        <v>472</v>
      </c>
      <c r="C226" s="4"/>
      <c r="D226" s="4" t="s">
        <v>1301</v>
      </c>
      <c r="E226" s="4" t="s">
        <v>1302</v>
      </c>
      <c r="F226" s="4" t="s">
        <v>1303</v>
      </c>
      <c r="G226" s="5" t="str">
        <f>IFERROR(__xludf.DUMMYFUNCTION("GOOGLETRANSLATE(D226,""ca"",""es"")"),"caro")</f>
        <v>caro</v>
      </c>
      <c r="H226" s="4" t="s">
        <v>1304</v>
      </c>
    </row>
    <row r="227">
      <c r="A227" s="4">
        <v>125.0</v>
      </c>
      <c r="B227" s="4" t="s">
        <v>472</v>
      </c>
      <c r="C227" s="4"/>
      <c r="D227" s="4" t="s">
        <v>1305</v>
      </c>
      <c r="E227" s="4" t="s">
        <v>1306</v>
      </c>
      <c r="F227" s="4" t="s">
        <v>1307</v>
      </c>
      <c r="G227" s="5" t="str">
        <f>IFERROR(__xludf.DUMMYFUNCTION("GOOGLETRANSLATE(D227,""ca"",""es"")"),"cara")</f>
        <v>cara</v>
      </c>
      <c r="H227" s="4" t="s">
        <v>1209</v>
      </c>
      <c r="I227" s="4" t="s">
        <v>515</v>
      </c>
      <c r="J227" s="4" t="s">
        <v>1308</v>
      </c>
      <c r="K227" s="4" t="s">
        <v>1309</v>
      </c>
      <c r="L227" s="4" t="s">
        <v>1310</v>
      </c>
      <c r="M227" s="4" t="s">
        <v>1311</v>
      </c>
      <c r="N227" s="4" t="s">
        <v>1312</v>
      </c>
      <c r="O227" s="4" t="s">
        <v>1313</v>
      </c>
      <c r="P227" s="4" t="s">
        <v>1310</v>
      </c>
      <c r="Q227" s="4" t="s">
        <v>1314</v>
      </c>
      <c r="R227" s="4" t="s">
        <v>1310</v>
      </c>
      <c r="S227" s="4" t="s">
        <v>1315</v>
      </c>
      <c r="T227" s="4" t="s">
        <v>515</v>
      </c>
      <c r="U227" s="4" t="s">
        <v>515</v>
      </c>
      <c r="V227" s="4" t="s">
        <v>1310</v>
      </c>
      <c r="W227" s="4" t="s">
        <v>950</v>
      </c>
      <c r="X227" s="4" t="s">
        <v>1310</v>
      </c>
    </row>
    <row r="228">
      <c r="A228" s="4">
        <v>126.0</v>
      </c>
      <c r="B228" s="4" t="s">
        <v>472</v>
      </c>
      <c r="C228" s="4"/>
      <c r="D228" s="4" t="s">
        <v>1316</v>
      </c>
      <c r="E228" s="4" t="s">
        <v>1317</v>
      </c>
      <c r="F228" s="4" t="s">
        <v>1318</v>
      </c>
      <c r="G228" s="5" t="str">
        <f>IFERROR(__xludf.DUMMYFUNCTION("GOOGLETRANSLATE(D228,""ca"",""es"")"),"cariñón")</f>
        <v>cariñón</v>
      </c>
    </row>
    <row r="229">
      <c r="A229" s="4">
        <v>127.0</v>
      </c>
      <c r="B229" s="4" t="s">
        <v>472</v>
      </c>
      <c r="C229" s="4"/>
      <c r="D229" s="4" t="s">
        <v>1319</v>
      </c>
      <c r="E229" s="4" t="s">
        <v>1320</v>
      </c>
      <c r="F229" s="4" t="s">
        <v>1321</v>
      </c>
      <c r="G229" s="5" t="str">
        <f>IFERROR(__xludf.DUMMYFUNCTION("GOOGLETRANSLATE(D229,""ca"",""es"")"),"cariber")</f>
        <v>cariber</v>
      </c>
    </row>
    <row r="230">
      <c r="A230" s="4">
        <v>128.0</v>
      </c>
      <c r="B230" s="4" t="s">
        <v>472</v>
      </c>
      <c r="C230" s="4"/>
      <c r="D230" s="4" t="s">
        <v>1322</v>
      </c>
      <c r="E230" s="4" t="s">
        <v>1323</v>
      </c>
      <c r="F230" s="4" t="s">
        <v>1324</v>
      </c>
      <c r="G230" s="5" t="str">
        <f>IFERROR(__xludf.DUMMYFUNCTION("GOOGLETRANSLATE(D230,""ca"",""es"")"),"dibujos animados")</f>
        <v>dibujos animados</v>
      </c>
      <c r="H230" s="4" t="s">
        <v>1325</v>
      </c>
      <c r="I230" s="4" t="s">
        <v>1326</v>
      </c>
      <c r="J230" s="4" t="s">
        <v>1327</v>
      </c>
    </row>
    <row r="231">
      <c r="A231" s="4">
        <v>129.0</v>
      </c>
      <c r="B231" s="4" t="s">
        <v>472</v>
      </c>
      <c r="C231" s="4"/>
      <c r="D231" s="4" t="s">
        <v>1328</v>
      </c>
      <c r="E231" s="4" t="s">
        <v>1329</v>
      </c>
      <c r="F231" s="4" t="s">
        <v>1330</v>
      </c>
      <c r="G231" s="5" t="str">
        <f>IFERROR(__xludf.DUMMYFUNCTION("GOOGLETRANSLATE(D231,""ca"",""es"")"),"caricatura")</f>
        <v>caricatura</v>
      </c>
      <c r="H231" s="4" t="s">
        <v>1331</v>
      </c>
      <c r="I231" s="4" t="s">
        <v>1332</v>
      </c>
      <c r="J231" s="4" t="s">
        <v>1333</v>
      </c>
    </row>
    <row r="232">
      <c r="A232" s="4">
        <v>130.0</v>
      </c>
      <c r="B232" s="4" t="s">
        <v>472</v>
      </c>
      <c r="C232" s="4"/>
      <c r="D232" s="4" t="s">
        <v>1334</v>
      </c>
      <c r="E232" s="4" t="s">
        <v>1335</v>
      </c>
      <c r="F232" s="4" t="s">
        <v>1336</v>
      </c>
      <c r="G232" s="5" t="str">
        <f>IFERROR(__xludf.DUMMYFUNCTION("GOOGLETRANSLATE(D232,""ca"",""es"")"),"caso")</f>
        <v>caso</v>
      </c>
      <c r="H232" s="4" t="s">
        <v>1337</v>
      </c>
      <c r="I232" s="4" t="s">
        <v>1338</v>
      </c>
      <c r="J232" s="4" t="s">
        <v>1337</v>
      </c>
      <c r="K232" s="4" t="s">
        <v>1339</v>
      </c>
      <c r="L232" s="4" t="s">
        <v>1337</v>
      </c>
    </row>
    <row r="233">
      <c r="A233" s="4">
        <v>131.0</v>
      </c>
      <c r="B233" s="4" t="s">
        <v>472</v>
      </c>
      <c r="C233" s="4"/>
      <c r="D233" s="4" t="s">
        <v>1340</v>
      </c>
      <c r="E233" s="4" t="s">
        <v>1341</v>
      </c>
      <c r="F233" s="4" t="s">
        <v>1342</v>
      </c>
      <c r="G233" s="5" t="str">
        <f>IFERROR(__xludf.DUMMYFUNCTION("GOOGLETRANSLATE(D233,""ca"",""es"")"),"catalán")</f>
        <v>catalán</v>
      </c>
    </row>
    <row r="234">
      <c r="A234" s="4">
        <v>132.0</v>
      </c>
      <c r="B234" s="4" t="s">
        <v>472</v>
      </c>
      <c r="C234" s="4"/>
      <c r="D234" s="4" t="s">
        <v>1343</v>
      </c>
      <c r="E234" s="4" t="s">
        <v>1344</v>
      </c>
      <c r="F234" s="4" t="s">
        <v>1345</v>
      </c>
      <c r="G234" s="5" t="str">
        <f>IFERROR(__xludf.DUMMYFUNCTION("GOOGLETRANSLATE(D234,""ca"",""es"")"),"Cataluña")</f>
        <v>Cataluña</v>
      </c>
      <c r="H234" s="4" t="s">
        <v>1346</v>
      </c>
    </row>
    <row r="235">
      <c r="A235" s="4">
        <v>133.0</v>
      </c>
      <c r="B235" s="4" t="s">
        <v>472</v>
      </c>
      <c r="C235" s="4"/>
      <c r="D235" s="4" t="s">
        <v>1347</v>
      </c>
      <c r="E235" s="4" t="s">
        <v>1348</v>
      </c>
      <c r="F235" s="4" t="s">
        <v>1349</v>
      </c>
      <c r="G235" s="5" t="str">
        <f>IFERROR(__xludf.DUMMYFUNCTION("GOOGLETRANSLATE(D235,""ca"",""es"")"),"catalán")</f>
        <v>catalán</v>
      </c>
      <c r="H235" s="4" t="s">
        <v>1350</v>
      </c>
      <c r="I235" s="4" t="s">
        <v>1350</v>
      </c>
      <c r="J235" s="4" t="s">
        <v>1350</v>
      </c>
    </row>
    <row r="236">
      <c r="A236" s="4">
        <v>134.0</v>
      </c>
      <c r="B236" s="4" t="s">
        <v>472</v>
      </c>
      <c r="C236" s="4"/>
      <c r="D236" s="4" t="s">
        <v>1351</v>
      </c>
      <c r="E236" s="4" t="s">
        <v>1352</v>
      </c>
      <c r="F236" s="4" t="s">
        <v>1353</v>
      </c>
      <c r="G236" s="5" t="str">
        <f>IFERROR(__xludf.DUMMYFUNCTION("GOOGLETRANSLATE(D236,""ca"",""es"")"),"catalítico")</f>
        <v>catalítico</v>
      </c>
    </row>
    <row r="237">
      <c r="A237" s="4">
        <v>135.0</v>
      </c>
      <c r="B237" s="4" t="s">
        <v>472</v>
      </c>
      <c r="C237" s="4"/>
      <c r="D237" s="4" t="s">
        <v>1354</v>
      </c>
      <c r="E237" s="4" t="s">
        <v>1355</v>
      </c>
      <c r="F237" s="4" t="s">
        <v>1356</v>
      </c>
      <c r="G237" s="5" t="str">
        <f>IFERROR(__xludf.DUMMYFUNCTION("GOOGLETRANSLATE(D237,""ca"",""es"")"),"catalítico")</f>
        <v>catalítico</v>
      </c>
    </row>
    <row r="238">
      <c r="A238" s="4">
        <v>136.0</v>
      </c>
      <c r="B238" s="4" t="s">
        <v>472</v>
      </c>
      <c r="C238" s="4"/>
      <c r="D238" s="4" t="s">
        <v>1357</v>
      </c>
      <c r="E238" s="4" t="s">
        <v>1358</v>
      </c>
      <c r="F238" s="4" t="s">
        <v>1359</v>
      </c>
      <c r="G238" s="5" t="str">
        <f>IFERROR(__xludf.DUMMYFUNCTION("GOOGLETRANSLATE(D238,""ca"",""es"")"),"caza")</f>
        <v>caza</v>
      </c>
      <c r="H238" s="4" t="s">
        <v>1360</v>
      </c>
      <c r="I238" s="4" t="s">
        <v>1361</v>
      </c>
      <c r="J238" s="4" t="s">
        <v>1362</v>
      </c>
      <c r="K238" s="4" t="s">
        <v>1363</v>
      </c>
      <c r="L238" s="4" t="s">
        <v>1364</v>
      </c>
      <c r="M238" s="4" t="s">
        <v>1365</v>
      </c>
      <c r="N238" s="4" t="s">
        <v>1364</v>
      </c>
      <c r="O238" s="4" t="s">
        <v>1365</v>
      </c>
      <c r="P238" s="4" t="s">
        <v>1366</v>
      </c>
      <c r="Q238" s="4" t="s">
        <v>1367</v>
      </c>
      <c r="R238" s="4" t="s">
        <v>1368</v>
      </c>
      <c r="S238" s="4" t="s">
        <v>1369</v>
      </c>
    </row>
    <row r="239">
      <c r="A239" s="4">
        <v>137.0</v>
      </c>
      <c r="B239" s="4" t="s">
        <v>472</v>
      </c>
      <c r="C239" s="4"/>
      <c r="D239" s="4" t="s">
        <v>1370</v>
      </c>
      <c r="E239" s="4" t="s">
        <v>1371</v>
      </c>
      <c r="F239" s="4" t="s">
        <v>1372</v>
      </c>
      <c r="G239" s="5" t="str">
        <f>IFERROR(__xludf.DUMMYFUNCTION("GOOGLETRANSLATE(D239,""ca"",""es"")"),"caza")</f>
        <v>caza</v>
      </c>
      <c r="H239" s="4" t="s">
        <v>1364</v>
      </c>
      <c r="I239" s="4" t="s">
        <v>646</v>
      </c>
      <c r="J239" s="4" t="s">
        <v>1373</v>
      </c>
      <c r="K239" s="4" t="s">
        <v>1374</v>
      </c>
      <c r="L239" s="4" t="s">
        <v>1375</v>
      </c>
    </row>
    <row r="240">
      <c r="A240" s="4">
        <v>138.0</v>
      </c>
      <c r="B240" s="4" t="s">
        <v>472</v>
      </c>
      <c r="C240" s="4"/>
      <c r="D240" s="4" t="s">
        <v>1376</v>
      </c>
      <c r="E240" s="4" t="s">
        <v>1377</v>
      </c>
      <c r="F240" s="4" t="s">
        <v>1378</v>
      </c>
      <c r="G240" s="5" t="str">
        <f>IFERROR(__xludf.DUMMYFUNCTION("GOOGLETRANSLATE(D240,""ca"",""es"")"),"cazador")</f>
        <v>cazador</v>
      </c>
    </row>
    <row r="241">
      <c r="A241" s="4">
        <v>139.0</v>
      </c>
      <c r="B241" s="4" t="s">
        <v>472</v>
      </c>
      <c r="C241" s="4"/>
      <c r="D241" s="4" t="s">
        <v>1379</v>
      </c>
      <c r="E241" s="4" t="s">
        <v>1380</v>
      </c>
      <c r="F241" s="4" t="s">
        <v>1381</v>
      </c>
      <c r="G241" s="5" t="str">
        <f>IFERROR(__xludf.DUMMYFUNCTION("GOOGLETRANSLATE(D241,""ca"",""es"")"),"hemott")</f>
        <v>hemott</v>
      </c>
      <c r="H241" s="4" t="s">
        <v>1382</v>
      </c>
      <c r="I241" s="4" t="s">
        <v>1383</v>
      </c>
      <c r="J241" s="4" t="s">
        <v>1382</v>
      </c>
      <c r="K241" s="4" t="s">
        <v>1382</v>
      </c>
      <c r="L241" s="4" t="s">
        <v>1384</v>
      </c>
      <c r="M241" s="4" t="s">
        <v>1385</v>
      </c>
      <c r="N241" s="4" t="s">
        <v>1386</v>
      </c>
      <c r="O241" s="4" t="s">
        <v>1387</v>
      </c>
      <c r="P241" s="4" t="s">
        <v>1388</v>
      </c>
      <c r="Q241" s="4" t="s">
        <v>1389</v>
      </c>
    </row>
    <row r="242">
      <c r="A242" s="4">
        <v>140.0</v>
      </c>
      <c r="B242" s="4" t="s">
        <v>472</v>
      </c>
      <c r="C242" s="4"/>
      <c r="D242" s="4" t="s">
        <v>1390</v>
      </c>
      <c r="E242" s="4" t="s">
        <v>1391</v>
      </c>
      <c r="F242" s="4" t="s">
        <v>1392</v>
      </c>
      <c r="G242" s="5" t="str">
        <f>IFERROR(__xludf.DUMMYFUNCTION("GOOGLETRANSLATE(D242,""ca"",""es"")"),"cilice")</f>
        <v>cilice</v>
      </c>
      <c r="H242" s="4" t="s">
        <v>1393</v>
      </c>
    </row>
    <row r="243">
      <c r="A243" s="4">
        <v>141.0</v>
      </c>
      <c r="B243" s="4" t="s">
        <v>472</v>
      </c>
      <c r="C243" s="4"/>
      <c r="D243" s="4" t="s">
        <v>1394</v>
      </c>
      <c r="E243" s="4" t="s">
        <v>1395</v>
      </c>
      <c r="F243" s="4" t="s">
        <v>1396</v>
      </c>
      <c r="G243" s="5" t="str">
        <f>IFERROR(__xludf.DUMMYFUNCTION("GOOGLETRANSLATE(D243,""ca"",""es"")"),"cilílico")</f>
        <v>cilílico</v>
      </c>
    </row>
    <row r="244">
      <c r="A244" s="4">
        <v>142.0</v>
      </c>
      <c r="B244" s="4" t="s">
        <v>472</v>
      </c>
      <c r="C244" s="4"/>
      <c r="D244" s="4" t="s">
        <v>1397</v>
      </c>
      <c r="E244" s="4" t="s">
        <v>1398</v>
      </c>
      <c r="F244" s="4" t="s">
        <v>1399</v>
      </c>
      <c r="G244" s="5" t="str">
        <f>IFERROR(__xludf.DUMMYFUNCTION("GOOGLETRANSLATE(D244,""ca"",""es"")"),"cima")</f>
        <v>cima</v>
      </c>
      <c r="H244" s="4" t="s">
        <v>1400</v>
      </c>
      <c r="I244" s="4" t="s">
        <v>1401</v>
      </c>
      <c r="J244" s="4" t="s">
        <v>1402</v>
      </c>
      <c r="K244" s="4" t="s">
        <v>1403</v>
      </c>
      <c r="L244" s="4" t="s">
        <v>425</v>
      </c>
      <c r="M244" s="4" t="s">
        <v>1404</v>
      </c>
      <c r="N244" s="4" t="s">
        <v>1405</v>
      </c>
      <c r="O244" s="4" t="s">
        <v>1400</v>
      </c>
      <c r="P244" s="4" t="s">
        <v>1406</v>
      </c>
      <c r="Q244" s="4" t="s">
        <v>1407</v>
      </c>
      <c r="R244" s="4" t="s">
        <v>1408</v>
      </c>
      <c r="S244" s="4" t="s">
        <v>1407</v>
      </c>
      <c r="T244" s="4" t="s">
        <v>1409</v>
      </c>
      <c r="U244" s="4" t="s">
        <v>1410</v>
      </c>
      <c r="V244" s="4" t="s">
        <v>1400</v>
      </c>
      <c r="W244" s="4" t="s">
        <v>1411</v>
      </c>
      <c r="X244" s="4" t="s">
        <v>1404</v>
      </c>
      <c r="Y244" s="4" t="s">
        <v>1412</v>
      </c>
      <c r="Z244" s="4" t="s">
        <v>1413</v>
      </c>
      <c r="AA244" s="4" t="s">
        <v>1414</v>
      </c>
      <c r="AB244" s="4" t="s">
        <v>1403</v>
      </c>
    </row>
    <row r="245">
      <c r="A245" s="4">
        <v>143.0</v>
      </c>
      <c r="B245" s="4" t="s">
        <v>472</v>
      </c>
      <c r="C245" s="4"/>
      <c r="D245" s="4" t="s">
        <v>1415</v>
      </c>
      <c r="E245" s="4" t="s">
        <v>1416</v>
      </c>
      <c r="F245" s="4" t="s">
        <v>1417</v>
      </c>
      <c r="G245" s="5" t="str">
        <f>IFERROR(__xludf.DUMMYFUNCTION("GOOGLETRANSLATE(D245,""ca"",""es"")"),"cumbre")</f>
        <v>cumbre</v>
      </c>
    </row>
    <row r="246">
      <c r="A246" s="4">
        <v>144.0</v>
      </c>
      <c r="B246" s="4" t="s">
        <v>472</v>
      </c>
      <c r="C246" s="4"/>
      <c r="D246" s="4" t="s">
        <v>1418</v>
      </c>
      <c r="E246" s="4" t="s">
        <v>1419</v>
      </c>
      <c r="F246" s="4" t="s">
        <v>1420</v>
      </c>
      <c r="G246" s="5" t="str">
        <f>IFERROR(__xludf.DUMMYFUNCTION("GOOGLETRANSLATE(D246,""ca"",""es"")"),"vela")</f>
        <v>vela</v>
      </c>
      <c r="H246" s="4" t="s">
        <v>1421</v>
      </c>
      <c r="I246" s="4" t="s">
        <v>1422</v>
      </c>
    </row>
    <row r="247">
      <c r="A247" s="4">
        <v>145.0</v>
      </c>
      <c r="B247" s="4" t="s">
        <v>472</v>
      </c>
      <c r="C247" s="4"/>
      <c r="D247" s="4" t="s">
        <v>1423</v>
      </c>
      <c r="E247" s="4" t="s">
        <v>1424</v>
      </c>
      <c r="F247" s="4" t="s">
        <v>1425</v>
      </c>
      <c r="G247" s="5" t="str">
        <f>IFERROR(__xludf.DUMMYFUNCTION("GOOGLETRANSLATE(D247,""ca"",""es"")"),"fecha")</f>
        <v>fecha</v>
      </c>
      <c r="H247" s="4" t="s">
        <v>1426</v>
      </c>
      <c r="I247" s="4" t="s">
        <v>1427</v>
      </c>
      <c r="J247" s="4" t="s">
        <v>1428</v>
      </c>
      <c r="K247" s="4" t="s">
        <v>1429</v>
      </c>
      <c r="L247" s="4" t="s">
        <v>1430</v>
      </c>
      <c r="M247" s="4" t="s">
        <v>1426</v>
      </c>
      <c r="N247" s="4" t="s">
        <v>1431</v>
      </c>
      <c r="O247" s="4" t="s">
        <v>1432</v>
      </c>
    </row>
    <row r="248">
      <c r="A248" s="4">
        <v>146.0</v>
      </c>
      <c r="B248" s="4" t="s">
        <v>472</v>
      </c>
      <c r="C248" s="4"/>
      <c r="D248" s="4" t="s">
        <v>1433</v>
      </c>
      <c r="E248" s="4" t="s">
        <v>1424</v>
      </c>
      <c r="F248" s="4" t="s">
        <v>1425</v>
      </c>
      <c r="G248" s="5" t="str">
        <f>IFERROR(__xludf.DUMMYFUNCTION("GOOGLETRANSLATE(D248,""ca"",""es"")"),"citar")</f>
        <v>citar</v>
      </c>
      <c r="H248" s="4" t="s">
        <v>1428</v>
      </c>
      <c r="I248" s="4" t="s">
        <v>1434</v>
      </c>
      <c r="J248" s="4" t="s">
        <v>1435</v>
      </c>
      <c r="K248" s="4" t="s">
        <v>1436</v>
      </c>
      <c r="L248" s="4" t="s">
        <v>1437</v>
      </c>
      <c r="M248" s="4" t="s">
        <v>1434</v>
      </c>
      <c r="N248" s="4" t="s">
        <v>1438</v>
      </c>
      <c r="O248" s="4" t="s">
        <v>1439</v>
      </c>
      <c r="P248" s="4" t="s">
        <v>1440</v>
      </c>
      <c r="Q248" s="4" t="s">
        <v>1434</v>
      </c>
    </row>
    <row r="249">
      <c r="A249" s="4">
        <v>147.0</v>
      </c>
      <c r="B249" s="4" t="s">
        <v>472</v>
      </c>
      <c r="C249" s="4"/>
      <c r="D249" s="4" t="s">
        <v>1433</v>
      </c>
      <c r="E249" s="4" t="s">
        <v>1441</v>
      </c>
      <c r="F249" s="4" t="s">
        <v>1442</v>
      </c>
      <c r="G249" s="5" t="str">
        <f>IFERROR(__xludf.DUMMYFUNCTION("GOOGLETRANSLATE(D249,""ca"",""es"")"),"citar")</f>
        <v>citar</v>
      </c>
      <c r="H249" s="4" t="s">
        <v>1428</v>
      </c>
      <c r="I249" s="4" t="s">
        <v>1434</v>
      </c>
      <c r="J249" s="4" t="s">
        <v>1435</v>
      </c>
      <c r="K249" s="4" t="s">
        <v>1436</v>
      </c>
      <c r="L249" s="4" t="s">
        <v>1437</v>
      </c>
      <c r="M249" s="4" t="s">
        <v>1434</v>
      </c>
      <c r="N249" s="4" t="s">
        <v>1438</v>
      </c>
      <c r="O249" s="4" t="s">
        <v>1439</v>
      </c>
      <c r="P249" s="4" t="s">
        <v>1440</v>
      </c>
      <c r="Q249" s="4" t="s">
        <v>1434</v>
      </c>
    </row>
    <row r="250">
      <c r="A250" s="4">
        <v>148.0</v>
      </c>
      <c r="B250" s="4" t="s">
        <v>472</v>
      </c>
      <c r="C250" s="4"/>
      <c r="D250" s="4" t="s">
        <v>1443</v>
      </c>
      <c r="E250" s="4" t="s">
        <v>1444</v>
      </c>
      <c r="F250" s="4" t="s">
        <v>1445</v>
      </c>
      <c r="G250" s="5" t="str">
        <f>IFERROR(__xludf.DUMMYFUNCTION("GOOGLETRANSLATE(D250,""ca"",""es"")"),"citis")</f>
        <v>citis</v>
      </c>
    </row>
    <row r="251">
      <c r="A251" s="4">
        <v>149.0</v>
      </c>
      <c r="B251" s="4" t="s">
        <v>472</v>
      </c>
      <c r="C251" s="4"/>
      <c r="D251" s="4" t="s">
        <v>1446</v>
      </c>
      <c r="E251" s="4" t="s">
        <v>1447</v>
      </c>
      <c r="F251" s="4" t="s">
        <v>1448</v>
      </c>
      <c r="G251" s="5" t="str">
        <f>IFERROR(__xludf.DUMMYFUNCTION("GOOGLETRANSLATE(D251,""ca"",""es"")"),"cyto")</f>
        <v>cyto</v>
      </c>
    </row>
    <row r="252">
      <c r="A252" s="4">
        <v>150.0</v>
      </c>
      <c r="B252" s="4" t="s">
        <v>472</v>
      </c>
      <c r="C252" s="4"/>
      <c r="D252" s="4" t="s">
        <v>1449</v>
      </c>
      <c r="E252" s="4" t="s">
        <v>1450</v>
      </c>
      <c r="F252" s="4" t="s">
        <v>1451</v>
      </c>
      <c r="G252" s="5" t="str">
        <f>IFERROR(__xludf.DUMMYFUNCTION("GOOGLETRANSLATE(D252,""ca"",""es"")"),"almohada")</f>
        <v>almohada</v>
      </c>
      <c r="H252" s="4" t="s">
        <v>1452</v>
      </c>
      <c r="I252" s="4" t="s">
        <v>1453</v>
      </c>
    </row>
    <row r="253">
      <c r="A253" s="4">
        <v>151.0</v>
      </c>
      <c r="B253" s="4" t="s">
        <v>472</v>
      </c>
      <c r="C253" s="4"/>
      <c r="D253" s="4" t="s">
        <v>1454</v>
      </c>
      <c r="E253" s="4" t="s">
        <v>1455</v>
      </c>
      <c r="F253" s="4" t="s">
        <v>1456</v>
      </c>
      <c r="G253" s="5" t="str">
        <f>IFERROR(__xludf.DUMMYFUNCTION("GOOGLETRANSLATE(D253,""ca"",""es"")"),"Colissos")</f>
        <v>Colissos</v>
      </c>
    </row>
    <row r="254">
      <c r="A254" s="4">
        <v>152.0</v>
      </c>
      <c r="B254" s="4" t="s">
        <v>472</v>
      </c>
      <c r="C254" s="4"/>
      <c r="D254" s="4" t="s">
        <v>1457</v>
      </c>
      <c r="E254" s="4" t="s">
        <v>1458</v>
      </c>
      <c r="F254" s="4" t="s">
        <v>1459</v>
      </c>
      <c r="G254" s="5" t="str">
        <f>IFERROR(__xludf.DUMMYFUNCTION("GOOGLETRANSLATE(D254,""ca"",""es"")"),"cotejar")</f>
        <v>cotejar</v>
      </c>
      <c r="H254" s="4" t="s">
        <v>1460</v>
      </c>
      <c r="I254" s="4" t="s">
        <v>1461</v>
      </c>
      <c r="J254" s="4" t="s">
        <v>1457</v>
      </c>
      <c r="K254" s="4" t="s">
        <v>1462</v>
      </c>
    </row>
    <row r="255">
      <c r="A255" s="4">
        <v>153.0</v>
      </c>
      <c r="B255" s="4" t="s">
        <v>472</v>
      </c>
      <c r="C255" s="4"/>
      <c r="D255" s="4" t="s">
        <v>1463</v>
      </c>
      <c r="E255" s="4" t="s">
        <v>1464</v>
      </c>
      <c r="F255" s="4" t="s">
        <v>1465</v>
      </c>
      <c r="G255" s="5" t="str">
        <f>IFERROR(__xludf.DUMMYFUNCTION("GOOGLETRANSLATE(D255,""ca"",""es"")"),"elegir")</f>
        <v>elegir</v>
      </c>
      <c r="H255" s="4" t="s">
        <v>1466</v>
      </c>
      <c r="I255" s="4" t="s">
        <v>1467</v>
      </c>
      <c r="J255" s="4" t="s">
        <v>485</v>
      </c>
      <c r="K255" s="4" t="s">
        <v>1468</v>
      </c>
    </row>
    <row r="256">
      <c r="A256" s="4">
        <v>154.0</v>
      </c>
      <c r="B256" s="4" t="s">
        <v>472</v>
      </c>
      <c r="C256" s="4"/>
      <c r="D256" s="4" t="s">
        <v>1469</v>
      </c>
      <c r="E256" s="4" t="s">
        <v>1470</v>
      </c>
      <c r="F256" s="4" t="s">
        <v>1471</v>
      </c>
      <c r="G256" s="5" t="str">
        <f>IFERROR(__xludf.DUMMYFUNCTION("GOOGLETRANSLATE(D256,""ca"",""es"")"),"paloma")</f>
        <v>paloma</v>
      </c>
      <c r="H256" s="4" t="s">
        <v>1472</v>
      </c>
      <c r="I256" s="4" t="s">
        <v>1473</v>
      </c>
      <c r="J256" s="4" t="s">
        <v>1474</v>
      </c>
    </row>
    <row r="257">
      <c r="A257" s="4">
        <v>155.0</v>
      </c>
      <c r="B257" s="4" t="s">
        <v>472</v>
      </c>
      <c r="C257" s="4"/>
      <c r="D257" s="4" t="s">
        <v>1475</v>
      </c>
      <c r="E257" s="4" t="s">
        <v>1476</v>
      </c>
      <c r="F257" s="4" t="s">
        <v>1477</v>
      </c>
      <c r="G257" s="5" t="str">
        <f>IFERROR(__xludf.DUMMYFUNCTION("GOOGLETRANSLATE(D257,""ca"",""es"")"),"cola")</f>
        <v>cola</v>
      </c>
    </row>
    <row r="258">
      <c r="A258" s="4">
        <v>156.0</v>
      </c>
      <c r="B258" s="4" t="s">
        <v>472</v>
      </c>
      <c r="C258" s="4"/>
      <c r="D258" s="4" t="s">
        <v>1478</v>
      </c>
      <c r="E258" s="4" t="s">
        <v>1479</v>
      </c>
      <c r="F258" s="4" t="s">
        <v>1480</v>
      </c>
      <c r="G258" s="5" t="str">
        <f>IFERROR(__xludf.DUMMYFUNCTION("GOOGLETRANSLATE(D258,""ca"",""es"")"),"repollo")</f>
        <v>repollo</v>
      </c>
    </row>
    <row r="259">
      <c r="A259" s="4">
        <v>157.0</v>
      </c>
      <c r="B259" s="4" t="s">
        <v>472</v>
      </c>
      <c r="C259" s="4"/>
      <c r="D259" s="4" t="s">
        <v>1481</v>
      </c>
      <c r="E259" s="4" t="s">
        <v>1482</v>
      </c>
      <c r="F259" s="4" t="s">
        <v>1483</v>
      </c>
      <c r="G259" s="5" t="str">
        <f>IFERROR(__xludf.DUMMYFUNCTION("GOOGLETRANSLATE(D259,""ca"",""es"")"),"ramid")</f>
        <v>ramid</v>
      </c>
    </row>
    <row r="260">
      <c r="A260" s="4">
        <v>158.0</v>
      </c>
      <c r="B260" s="4" t="s">
        <v>472</v>
      </c>
      <c r="C260" s="4"/>
      <c r="D260" s="4" t="s">
        <v>1484</v>
      </c>
      <c r="E260" s="4" t="s">
        <v>1485</v>
      </c>
      <c r="F260" s="4" t="s">
        <v>1486</v>
      </c>
      <c r="G260" s="5" t="str">
        <f>IFERROR(__xludf.DUMMYFUNCTION("GOOGLETRANSLATE(D260,""ca"",""es"")"),"repollo")</f>
        <v>repollo</v>
      </c>
    </row>
    <row r="261">
      <c r="A261" s="4">
        <v>159.0</v>
      </c>
      <c r="B261" s="4" t="s">
        <v>472</v>
      </c>
      <c r="C261" s="4"/>
      <c r="D261" s="4" t="s">
        <v>1487</v>
      </c>
      <c r="E261" s="4" t="s">
        <v>1488</v>
      </c>
      <c r="F261" s="4" t="s">
        <v>1489</v>
      </c>
      <c r="G261" s="5" t="str">
        <f>IFERROR(__xludf.DUMMYFUNCTION("GOOGLETRANSLATE(D261,""ca"",""es"")"),"elecciones")</f>
        <v>elecciones</v>
      </c>
    </row>
    <row r="262">
      <c r="A262" s="4">
        <v>160.0</v>
      </c>
      <c r="B262" s="4" t="s">
        <v>472</v>
      </c>
      <c r="C262" s="4"/>
      <c r="D262" s="4" t="s">
        <v>1490</v>
      </c>
      <c r="E262" s="4" t="s">
        <v>1491</v>
      </c>
      <c r="F262" s="4" t="s">
        <v>1492</v>
      </c>
      <c r="G262" s="5" t="str">
        <f>IFERROR(__xludf.DUMMYFUNCTION("GOOGLETRANSLATE(D262,""ca"",""es"")"),"comunicar")</f>
        <v>comunicar</v>
      </c>
      <c r="H262" s="4" t="s">
        <v>1493</v>
      </c>
      <c r="I262" s="4" t="s">
        <v>1494</v>
      </c>
      <c r="J262" s="4" t="s">
        <v>1495</v>
      </c>
      <c r="K262" s="4" t="s">
        <v>1494</v>
      </c>
      <c r="L262" s="4" t="s">
        <v>1496</v>
      </c>
      <c r="M262" s="4" t="s">
        <v>647</v>
      </c>
      <c r="N262" s="4" t="s">
        <v>1497</v>
      </c>
      <c r="O262" s="4" t="s">
        <v>1498</v>
      </c>
      <c r="P262" s="4" t="s">
        <v>1499</v>
      </c>
      <c r="Q262" s="4" t="s">
        <v>1500</v>
      </c>
      <c r="R262" s="4" t="s">
        <v>1501</v>
      </c>
      <c r="S262" s="4" t="s">
        <v>1502</v>
      </c>
      <c r="T262" s="4" t="s">
        <v>643</v>
      </c>
      <c r="U262" s="4" t="s">
        <v>1503</v>
      </c>
      <c r="V262" s="4" t="s">
        <v>1496</v>
      </c>
    </row>
    <row r="263">
      <c r="A263" s="4">
        <v>161.0</v>
      </c>
      <c r="B263" s="4" t="s">
        <v>472</v>
      </c>
      <c r="C263" s="4"/>
      <c r="D263" s="4" t="s">
        <v>1504</v>
      </c>
      <c r="E263" s="4" t="s">
        <v>1505</v>
      </c>
      <c r="F263" s="4" t="s">
        <v>1506</v>
      </c>
      <c r="G263" s="5" t="str">
        <f>IFERROR(__xludf.DUMMYFUNCTION("GOOGLETRANSLATE(D263,""ca"",""es"")"),"comunicación")</f>
        <v>comunicación</v>
      </c>
    </row>
    <row r="264">
      <c r="A264" s="4">
        <v>162.0</v>
      </c>
      <c r="B264" s="4" t="s">
        <v>472</v>
      </c>
      <c r="C264" s="4"/>
      <c r="D264" s="4" t="s">
        <v>1507</v>
      </c>
      <c r="E264" s="4" t="s">
        <v>1508</v>
      </c>
      <c r="F264" s="4" t="s">
        <v>1509</v>
      </c>
      <c r="G264" s="5" t="str">
        <f>IFERROR(__xludf.DUMMYFUNCTION("GOOGLETRANSLATE(D264,""ca"",""es"")"),"El comunicó")</f>
        <v>El comunicó</v>
      </c>
    </row>
    <row r="265">
      <c r="A265" s="4">
        <v>163.0</v>
      </c>
      <c r="B265" s="4" t="s">
        <v>472</v>
      </c>
      <c r="C265" s="4"/>
      <c r="D265" s="4" t="s">
        <v>1510</v>
      </c>
      <c r="E265" s="4" t="s">
        <v>1511</v>
      </c>
      <c r="F265" s="4" t="s">
        <v>1512</v>
      </c>
      <c r="G265" s="5" t="str">
        <f>IFERROR(__xludf.DUMMYFUNCTION("GOOGLETRANSLATE(D265,""ca"",""es"")"),"comunidad")</f>
        <v>comunidad</v>
      </c>
      <c r="H265" s="4" t="s">
        <v>1513</v>
      </c>
      <c r="I265" s="4" t="s">
        <v>1514</v>
      </c>
      <c r="J265" s="4" t="s">
        <v>1513</v>
      </c>
    </row>
    <row r="266">
      <c r="A266" s="4">
        <v>164.0</v>
      </c>
      <c r="B266" s="4" t="s">
        <v>472</v>
      </c>
      <c r="C266" s="4"/>
      <c r="D266" s="4" t="s">
        <v>1515</v>
      </c>
      <c r="E266" s="4" t="s">
        <v>1516</v>
      </c>
      <c r="F266" s="4" t="s">
        <v>1517</v>
      </c>
      <c r="G266" s="5" t="str">
        <f>IFERROR(__xludf.DUMMYFUNCTION("GOOGLETRANSLATE(D266,""ca"",""es"")"),"comunidad")</f>
        <v>comunidad</v>
      </c>
    </row>
    <row r="267">
      <c r="A267" s="4">
        <v>165.0</v>
      </c>
      <c r="B267" s="4" t="s">
        <v>472</v>
      </c>
      <c r="C267" s="4"/>
      <c r="D267" s="4" t="s">
        <v>1518</v>
      </c>
      <c r="E267" s="4" t="s">
        <v>1519</v>
      </c>
      <c r="F267" s="4" t="s">
        <v>1520</v>
      </c>
      <c r="G267" s="5" t="str">
        <f>IFERROR(__xludf.DUMMYFUNCTION("GOOGLETRANSLATE(D267,""ca"",""es"")"),"comino")</f>
        <v>comino</v>
      </c>
      <c r="H267" s="4" t="s">
        <v>1521</v>
      </c>
      <c r="I267" s="4" t="s">
        <v>1522</v>
      </c>
      <c r="J267" s="4" t="s">
        <v>1523</v>
      </c>
      <c r="K267" s="4" t="s">
        <v>1524</v>
      </c>
      <c r="L267" s="4" t="s">
        <v>1521</v>
      </c>
      <c r="M267" s="4" t="s">
        <v>1525</v>
      </c>
    </row>
    <row r="268">
      <c r="A268" s="4">
        <v>166.0</v>
      </c>
      <c r="B268" s="4" t="s">
        <v>472</v>
      </c>
      <c r="C268" s="4"/>
      <c r="D268" s="4" t="s">
        <v>1526</v>
      </c>
      <c r="E268" s="4" t="s">
        <v>1527</v>
      </c>
      <c r="F268" s="4" t="s">
        <v>1528</v>
      </c>
      <c r="G268" s="5" t="str">
        <f>IFERROR(__xludf.DUMMYFUNCTION("GOOGLETRANSLATE(D268,""ca"",""es"")"),"común")</f>
        <v>común</v>
      </c>
      <c r="H268" s="4" t="s">
        <v>1529</v>
      </c>
      <c r="I268" s="4" t="s">
        <v>1530</v>
      </c>
      <c r="J268" s="4" t="s">
        <v>1531</v>
      </c>
      <c r="K268" s="4" t="s">
        <v>1529</v>
      </c>
      <c r="L268" s="4" t="s">
        <v>1532</v>
      </c>
      <c r="M268" s="4" t="s">
        <v>1529</v>
      </c>
      <c r="N268" s="4" t="s">
        <v>1533</v>
      </c>
      <c r="O268" s="4" t="s">
        <v>1534</v>
      </c>
      <c r="P268" s="4" t="s">
        <v>1529</v>
      </c>
      <c r="Q268" s="4" t="s">
        <v>1535</v>
      </c>
      <c r="R268" s="4" t="s">
        <v>1534</v>
      </c>
      <c r="S268" s="4" t="s">
        <v>1536</v>
      </c>
      <c r="T268" s="4" t="s">
        <v>1537</v>
      </c>
      <c r="U268" s="4" t="s">
        <v>1538</v>
      </c>
      <c r="V268" s="4" t="s">
        <v>1539</v>
      </c>
      <c r="W268" s="4" t="s">
        <v>1540</v>
      </c>
      <c r="X268" s="4" t="s">
        <v>1529</v>
      </c>
      <c r="Y268" s="4" t="s">
        <v>1541</v>
      </c>
      <c r="Z268" s="4" t="s">
        <v>1542</v>
      </c>
      <c r="AA268" s="4" t="s">
        <v>1529</v>
      </c>
    </row>
    <row r="269">
      <c r="A269" s="4">
        <v>167.0</v>
      </c>
      <c r="B269" s="4" t="s">
        <v>472</v>
      </c>
      <c r="C269" s="4"/>
      <c r="D269" s="4" t="s">
        <v>1543</v>
      </c>
      <c r="E269" s="4" t="s">
        <v>1544</v>
      </c>
      <c r="F269" s="4" t="s">
        <v>1545</v>
      </c>
      <c r="G269" s="5" t="str">
        <f>IFERROR(__xludf.DUMMYFUNCTION("GOOGLETRANSLATE(D269,""ca"",""es"")"),"Conejo")</f>
        <v>Conejo</v>
      </c>
      <c r="H269" s="4" t="s">
        <v>1546</v>
      </c>
      <c r="I269" s="4" t="s">
        <v>1547</v>
      </c>
      <c r="J269" s="4" t="s">
        <v>1548</v>
      </c>
      <c r="K269" s="4" t="s">
        <v>1546</v>
      </c>
      <c r="L269" s="4" t="s">
        <v>1549</v>
      </c>
    </row>
    <row r="270">
      <c r="A270" s="4">
        <v>168.0</v>
      </c>
      <c r="B270" s="4" t="s">
        <v>472</v>
      </c>
      <c r="C270" s="4"/>
      <c r="D270" s="4" t="s">
        <v>1550</v>
      </c>
      <c r="E270" s="4" t="s">
        <v>1551</v>
      </c>
      <c r="F270" s="4" t="s">
        <v>1552</v>
      </c>
      <c r="G270" s="5" t="str">
        <f>IFERROR(__xludf.DUMMYFUNCTION("GOOGLETRANSLATE(D270,""ca"",""es"")"),"brandy")</f>
        <v>brandy</v>
      </c>
      <c r="H270" s="4" t="s">
        <v>1553</v>
      </c>
    </row>
    <row r="271">
      <c r="A271" s="4">
        <v>169.0</v>
      </c>
      <c r="B271" s="4" t="s">
        <v>472</v>
      </c>
      <c r="C271" s="4"/>
      <c r="D271" s="4" t="s">
        <v>1554</v>
      </c>
      <c r="E271" s="4" t="s">
        <v>1555</v>
      </c>
      <c r="F271" s="4" t="s">
        <v>1556</v>
      </c>
      <c r="G271" s="5" t="str">
        <f>IFERROR(__xludf.DUMMYFUNCTION("GOOGLETRANSLATE(D271,""ca"",""es"")"),"Galleta")</f>
        <v>Galleta</v>
      </c>
      <c r="H271" s="4" t="s">
        <v>1554</v>
      </c>
    </row>
    <row r="272">
      <c r="A272" s="4">
        <v>170.0</v>
      </c>
      <c r="B272" s="4" t="s">
        <v>472</v>
      </c>
      <c r="C272" s="4"/>
      <c r="D272" s="4" t="s">
        <v>1557</v>
      </c>
      <c r="E272" s="4" t="s">
        <v>1558</v>
      </c>
      <c r="F272" s="4" t="s">
        <v>1559</v>
      </c>
      <c r="G272" s="5" t="str">
        <f>IFERROR(__xludf.DUMMYFUNCTION("GOOGLETRANSLATE(D272,""ca"",""es"")"),"pasar por alto")</f>
        <v>pasar por alto</v>
      </c>
    </row>
    <row r="273">
      <c r="A273" s="4">
        <v>171.0</v>
      </c>
      <c r="B273" s="4" t="s">
        <v>472</v>
      </c>
      <c r="C273" s="4"/>
      <c r="D273" s="4" t="s">
        <v>1560</v>
      </c>
      <c r="E273" s="4" t="s">
        <v>1561</v>
      </c>
      <c r="F273" s="4" t="s">
        <v>1562</v>
      </c>
      <c r="G273" s="5" t="str">
        <f>IFERROR(__xludf.DUMMYFUNCTION("GOOGLETRANSLATE(D273,""ca"",""es"")"),"coro")</f>
        <v>coro</v>
      </c>
      <c r="H273" s="4" t="s">
        <v>1563</v>
      </c>
      <c r="I273" s="4" t="s">
        <v>1564</v>
      </c>
      <c r="J273" s="4" t="s">
        <v>1563</v>
      </c>
      <c r="K273" s="4" t="s">
        <v>1560</v>
      </c>
    </row>
    <row r="274">
      <c r="A274" s="4">
        <v>172.0</v>
      </c>
      <c r="B274" s="4" t="s">
        <v>472</v>
      </c>
      <c r="C274" s="4"/>
      <c r="D274" s="4" t="s">
        <v>1565</v>
      </c>
      <c r="E274" s="4" t="s">
        <v>1566</v>
      </c>
      <c r="F274" s="4" t="s">
        <v>1567</v>
      </c>
      <c r="G274" s="5" t="str">
        <f>IFERROR(__xludf.DUMMYFUNCTION("GOOGLETRANSLATE(D274,""ca"",""es"")"),"coral")</f>
        <v>coral</v>
      </c>
      <c r="H274" s="4" t="s">
        <v>1560</v>
      </c>
      <c r="I274" s="4" t="s">
        <v>1560</v>
      </c>
      <c r="J274" s="4" t="s">
        <v>1560</v>
      </c>
      <c r="K274" s="4" t="s">
        <v>1560</v>
      </c>
      <c r="L274" s="4" t="s">
        <v>1568</v>
      </c>
      <c r="M274" s="4" t="s">
        <v>1569</v>
      </c>
    </row>
    <row r="275">
      <c r="A275" s="4">
        <v>173.0</v>
      </c>
      <c r="B275" s="4" t="s">
        <v>472</v>
      </c>
      <c r="C275" s="4"/>
      <c r="D275" s="4" t="s">
        <v>1570</v>
      </c>
      <c r="E275" s="4" t="s">
        <v>1571</v>
      </c>
      <c r="F275" s="4" t="s">
        <v>1572</v>
      </c>
      <c r="G275" s="5" t="str">
        <f>IFERROR(__xludf.DUMMYFUNCTION("GOOGLETRANSLATE(D275,""ca"",""es"")"),"corona")</f>
        <v>corona</v>
      </c>
      <c r="H275" s="4" t="s">
        <v>1401</v>
      </c>
      <c r="I275" s="4" t="s">
        <v>1401</v>
      </c>
      <c r="J275" s="4" t="s">
        <v>1573</v>
      </c>
      <c r="K275" s="4" t="s">
        <v>1401</v>
      </c>
    </row>
    <row r="276">
      <c r="A276" s="4">
        <v>174.0</v>
      </c>
      <c r="B276" s="4" t="s">
        <v>472</v>
      </c>
      <c r="C276" s="4"/>
      <c r="D276" s="4" t="s">
        <v>1574</v>
      </c>
      <c r="E276" s="4" t="s">
        <v>1575</v>
      </c>
      <c r="F276" s="4" t="s">
        <v>1576</v>
      </c>
      <c r="G276" s="5" t="str">
        <f>IFERROR(__xludf.DUMMYFUNCTION("GOOGLETRANSLATE(D276,""ca"",""es"")"),"esquina")</f>
        <v>esquina</v>
      </c>
    </row>
    <row r="277">
      <c r="A277" s="4">
        <v>175.0</v>
      </c>
      <c r="B277" s="4" t="s">
        <v>472</v>
      </c>
      <c r="C277" s="4"/>
      <c r="D277" s="4" t="s">
        <v>1577</v>
      </c>
      <c r="E277" s="4" t="s">
        <v>1578</v>
      </c>
      <c r="F277" s="4" t="s">
        <v>1579</v>
      </c>
      <c r="G277" s="5" t="str">
        <f>IFERROR(__xludf.DUMMYFUNCTION("GOOGLETRANSLATE(D277,""ca"",""es"")"),"primo")</f>
        <v>primo</v>
      </c>
    </row>
    <row r="278">
      <c r="A278" s="4">
        <v>176.0</v>
      </c>
      <c r="B278" s="4" t="s">
        <v>472</v>
      </c>
      <c r="C278" s="4"/>
      <c r="D278" s="4" t="s">
        <v>1580</v>
      </c>
      <c r="E278" s="4" t="s">
        <v>1581</v>
      </c>
      <c r="F278" s="4" t="s">
        <v>1582</v>
      </c>
      <c r="G278" s="5" t="str">
        <f>IFERROR(__xludf.DUMMYFUNCTION("GOOGLETRANSLATE(D278,""ca"",""es"")"),"cupia")</f>
        <v>cupia</v>
      </c>
    </row>
    <row r="279">
      <c r="A279" s="4">
        <v>177.0</v>
      </c>
      <c r="B279" s="4" t="s">
        <v>472</v>
      </c>
      <c r="C279" s="4"/>
      <c r="D279" s="4" t="s">
        <v>1583</v>
      </c>
      <c r="E279" s="4" t="s">
        <v>324</v>
      </c>
      <c r="F279" s="4" t="s">
        <v>325</v>
      </c>
      <c r="G279" s="5" t="str">
        <f>IFERROR(__xludf.DUMMYFUNCTION("GOOGLETRANSLATE(D279,""ca"",""es"")"),"cubo")</f>
        <v>cubo</v>
      </c>
      <c r="H279" s="4" t="s">
        <v>327</v>
      </c>
      <c r="I279" s="4" t="s">
        <v>1584</v>
      </c>
      <c r="J279" s="4" t="s">
        <v>327</v>
      </c>
      <c r="K279" s="4" t="s">
        <v>1585</v>
      </c>
    </row>
    <row r="280">
      <c r="A280" s="4">
        <v>178.0</v>
      </c>
      <c r="B280" s="4" t="s">
        <v>472</v>
      </c>
      <c r="C280" s="4"/>
      <c r="D280" s="4" t="s">
        <v>1586</v>
      </c>
      <c r="E280" s="4" t="s">
        <v>1587</v>
      </c>
      <c r="F280" s="4" t="s">
        <v>1588</v>
      </c>
      <c r="G280" s="5" t="str">
        <f>IFERROR(__xludf.DUMMYFUNCTION("GOOGLETRANSLATE(D280,""ca"",""es"")"),"gusano")</f>
        <v>gusano</v>
      </c>
      <c r="H280" s="4" t="s">
        <v>1156</v>
      </c>
      <c r="I280" s="4" t="s">
        <v>1589</v>
      </c>
    </row>
    <row r="281">
      <c r="A281" s="4">
        <v>179.0</v>
      </c>
      <c r="B281" s="4" t="s">
        <v>472</v>
      </c>
      <c r="C281" s="4"/>
      <c r="D281" s="4" t="s">
        <v>1590</v>
      </c>
      <c r="E281" s="4" t="s">
        <v>1591</v>
      </c>
      <c r="F281" s="4" t="s">
        <v>1592</v>
      </c>
      <c r="G281" s="5" t="str">
        <f>IFERROR(__xludf.DUMMYFUNCTION("GOOGLETRANSLATE(D281,""ca"",""es"")"),"halcón")</f>
        <v>halcón</v>
      </c>
    </row>
    <row r="282">
      <c r="A282" s="4">
        <v>180.0</v>
      </c>
      <c r="B282" s="4" t="s">
        <v>472</v>
      </c>
      <c r="C282" s="4"/>
      <c r="D282" s="4" t="s">
        <v>1593</v>
      </c>
      <c r="E282" s="4" t="s">
        <v>1594</v>
      </c>
      <c r="F282" s="4" t="s">
        <v>1595</v>
      </c>
      <c r="G282" s="5" t="str">
        <f>IFERROR(__xludf.DUMMYFUNCTION("GOOGLETRANSLATE(D282,""ca"",""es"")"),"gusano")</f>
        <v>gusano</v>
      </c>
    </row>
    <row r="283">
      <c r="A283" s="4">
        <v>181.0</v>
      </c>
      <c r="B283" s="4" t="s">
        <v>472</v>
      </c>
      <c r="C283" s="4"/>
      <c r="D283" s="4" t="s">
        <v>1596</v>
      </c>
      <c r="E283" s="4" t="s">
        <v>1597</v>
      </c>
      <c r="F283" s="4" t="s">
        <v>1598</v>
      </c>
      <c r="G283" s="5" t="str">
        <f>IFERROR(__xludf.DUMMYFUNCTION("GOOGLETRANSLATE(D283,""ca"",""es"")"),"gusano")</f>
        <v>gusano</v>
      </c>
    </row>
    <row r="284">
      <c r="A284" s="4">
        <v>182.0</v>
      </c>
      <c r="B284" s="4" t="s">
        <v>472</v>
      </c>
      <c r="C284" s="4"/>
      <c r="D284" s="4" t="s">
        <v>1599</v>
      </c>
      <c r="E284" s="4" t="s">
        <v>1600</v>
      </c>
      <c r="F284" s="4" t="s">
        <v>1601</v>
      </c>
      <c r="G284" s="5" t="str">
        <f>IFERROR(__xludf.DUMMYFUNCTION("GOOGLETRANSLATE(D284,""ca"",""es"")"),"culo")</f>
        <v>culo</v>
      </c>
      <c r="H284" s="4" t="s">
        <v>1602</v>
      </c>
      <c r="I284" s="4" t="s">
        <v>1603</v>
      </c>
      <c r="J284" s="4" t="s">
        <v>1604</v>
      </c>
      <c r="K284" s="4" t="s">
        <v>1605</v>
      </c>
      <c r="L284" s="4" t="s">
        <v>1606</v>
      </c>
      <c r="M284" s="4" t="s">
        <v>1147</v>
      </c>
      <c r="N284" s="4" t="s">
        <v>1607</v>
      </c>
      <c r="O284" s="4" t="s">
        <v>1120</v>
      </c>
      <c r="P284" s="4" t="s">
        <v>1608</v>
      </c>
      <c r="Q284" s="4" t="s">
        <v>1609</v>
      </c>
      <c r="R284" s="4" t="s">
        <v>1610</v>
      </c>
      <c r="S284" s="4" t="s">
        <v>1611</v>
      </c>
      <c r="T284" s="4" t="s">
        <v>1612</v>
      </c>
      <c r="U284" s="4" t="s">
        <v>1613</v>
      </c>
      <c r="V284" s="4" t="s">
        <v>1614</v>
      </c>
      <c r="W284" s="4" t="s">
        <v>1615</v>
      </c>
      <c r="X284" s="4" t="s">
        <v>1616</v>
      </c>
      <c r="Y284" s="4" t="s">
        <v>1617</v>
      </c>
      <c r="Z284" s="4" t="s">
        <v>1618</v>
      </c>
      <c r="AA284" s="4" t="s">
        <v>1619</v>
      </c>
      <c r="AB284" s="4" t="s">
        <v>1620</v>
      </c>
      <c r="AC284" s="4" t="s">
        <v>1621</v>
      </c>
      <c r="AD284" s="4" t="s">
        <v>1622</v>
      </c>
      <c r="AE284" s="4" t="s">
        <v>1623</v>
      </c>
      <c r="AF284" s="4" t="s">
        <v>1624</v>
      </c>
      <c r="AG284" s="4" t="s">
        <v>1625</v>
      </c>
      <c r="AH284" s="4" t="s">
        <v>1626</v>
      </c>
      <c r="AI284" s="4" t="s">
        <v>1627</v>
      </c>
    </row>
    <row r="285">
      <c r="A285" s="4">
        <v>183.0</v>
      </c>
      <c r="B285" s="4" t="s">
        <v>472</v>
      </c>
      <c r="C285" s="4"/>
      <c r="D285" s="4" t="s">
        <v>1628</v>
      </c>
      <c r="E285" s="4" t="s">
        <v>1629</v>
      </c>
      <c r="F285" s="4" t="s">
        <v>1630</v>
      </c>
      <c r="G285" s="5" t="str">
        <f>IFERROR(__xludf.DUMMYFUNCTION("GOOGLETRANSLATE(D285,""ca"",""es"")"),"jefe")</f>
        <v>jefe</v>
      </c>
      <c r="H285" s="4" t="s">
        <v>1609</v>
      </c>
      <c r="I285" s="4" t="s">
        <v>1631</v>
      </c>
      <c r="J285" s="4" t="s">
        <v>1632</v>
      </c>
      <c r="K285" s="4" t="s">
        <v>1616</v>
      </c>
      <c r="L285" s="4" t="s">
        <v>1633</v>
      </c>
      <c r="M285" s="4" t="s">
        <v>1634</v>
      </c>
      <c r="N285" s="4" t="s">
        <v>1635</v>
      </c>
    </row>
    <row r="286">
      <c r="A286" s="4">
        <v>184.0</v>
      </c>
      <c r="B286" s="4" t="s">
        <v>472</v>
      </c>
      <c r="C286" s="4"/>
      <c r="D286" s="4" t="s">
        <v>1636</v>
      </c>
      <c r="E286" s="4" t="s">
        <v>1637</v>
      </c>
      <c r="F286" s="4" t="s">
        <v>1638</v>
      </c>
      <c r="G286" s="5" t="str">
        <f>IFERROR(__xludf.DUMMYFUNCTION("GOOGLETRANSLATE(D286,""ca"",""es"")"),"culinario")</f>
        <v>culinario</v>
      </c>
      <c r="H286" s="4" t="s">
        <v>1639</v>
      </c>
    </row>
    <row r="287">
      <c r="A287" s="4">
        <v>185.0</v>
      </c>
      <c r="B287" s="4" t="s">
        <v>472</v>
      </c>
      <c r="C287" s="4"/>
      <c r="D287" s="4" t="s">
        <v>1640</v>
      </c>
      <c r="E287" s="4" t="s">
        <v>1641</v>
      </c>
      <c r="F287" s="4" t="s">
        <v>1642</v>
      </c>
      <c r="G287" s="5" t="str">
        <f>IFERROR(__xludf.DUMMYFUNCTION("GOOGLETRANSLATE(D287,""ca"",""es"")"),"cuchara")</f>
        <v>cuchara</v>
      </c>
    </row>
    <row r="288">
      <c r="A288" s="4">
        <v>186.0</v>
      </c>
      <c r="B288" s="4" t="s">
        <v>472</v>
      </c>
      <c r="C288" s="4"/>
      <c r="D288" s="4" t="s">
        <v>1643</v>
      </c>
      <c r="E288" s="4" t="s">
        <v>1644</v>
      </c>
      <c r="F288" s="4" t="s">
        <v>1645</v>
      </c>
      <c r="G288" s="5" t="str">
        <f>IFERROR(__xludf.DUMMYFUNCTION("GOOGLETRANSLATE(D288,""ca"",""es"")"),"cuny")</f>
        <v>cuny</v>
      </c>
    </row>
    <row r="289">
      <c r="A289" s="4">
        <v>187.0</v>
      </c>
      <c r="B289" s="4" t="s">
        <v>472</v>
      </c>
      <c r="C289" s="4"/>
      <c r="D289" s="4" t="s">
        <v>1646</v>
      </c>
      <c r="E289" s="4" t="s">
        <v>1647</v>
      </c>
      <c r="F289" s="4" t="s">
        <v>1648</v>
      </c>
      <c r="G289" s="5" t="str">
        <f>IFERROR(__xludf.DUMMYFUNCTION("GOOGLETRANSLATE(D289,""ca"",""es"")"),"curar")</f>
        <v>curar</v>
      </c>
      <c r="H289" s="4" t="s">
        <v>1649</v>
      </c>
      <c r="I289" s="4" t="s">
        <v>1650</v>
      </c>
      <c r="J289" s="4" t="s">
        <v>1651</v>
      </c>
      <c r="K289" s="4" t="s">
        <v>1652</v>
      </c>
      <c r="L289" s="4" t="s">
        <v>1649</v>
      </c>
      <c r="M289" s="4" t="s">
        <v>917</v>
      </c>
      <c r="N289" s="4" t="s">
        <v>1653</v>
      </c>
      <c r="O289" s="4" t="s">
        <v>1654</v>
      </c>
      <c r="P289" s="4" t="s">
        <v>1655</v>
      </c>
      <c r="Q289" s="4" t="s">
        <v>1656</v>
      </c>
      <c r="R289" s="4" t="s">
        <v>1657</v>
      </c>
      <c r="S289" s="4" t="s">
        <v>1658</v>
      </c>
      <c r="T289" s="4" t="s">
        <v>1659</v>
      </c>
      <c r="U289" s="4" t="s">
        <v>1660</v>
      </c>
      <c r="V289" s="4" t="s">
        <v>1661</v>
      </c>
    </row>
    <row r="290">
      <c r="A290" s="4">
        <v>188.0</v>
      </c>
      <c r="B290" s="4" t="s">
        <v>472</v>
      </c>
      <c r="C290" s="4"/>
      <c r="D290" s="4" t="s">
        <v>1662</v>
      </c>
      <c r="E290" s="4" t="s">
        <v>1647</v>
      </c>
      <c r="F290" s="4" t="s">
        <v>1648</v>
      </c>
      <c r="G290" s="5" t="str">
        <f>IFERROR(__xludf.DUMMYFUNCTION("GOOGLETRANSLATE(D290,""ca"",""es"")"),"curar")</f>
        <v>curar</v>
      </c>
      <c r="H290" s="4" t="s">
        <v>1663</v>
      </c>
      <c r="I290" s="4" t="s">
        <v>1658</v>
      </c>
      <c r="J290" s="4" t="s">
        <v>1664</v>
      </c>
    </row>
    <row r="291">
      <c r="A291" s="4">
        <v>189.0</v>
      </c>
      <c r="B291" s="4" t="s">
        <v>472</v>
      </c>
      <c r="C291" s="4"/>
      <c r="D291" s="4" t="s">
        <v>1662</v>
      </c>
      <c r="E291" s="4" t="s">
        <v>1665</v>
      </c>
      <c r="F291" s="4" t="s">
        <v>1666</v>
      </c>
      <c r="G291" s="5" t="str">
        <f>IFERROR(__xludf.DUMMYFUNCTION("GOOGLETRANSLATE(D291,""ca"",""es"")"),"curar")</f>
        <v>curar</v>
      </c>
      <c r="H291" s="4" t="s">
        <v>1663</v>
      </c>
      <c r="I291" s="4" t="s">
        <v>1658</v>
      </c>
      <c r="J291" s="4" t="s">
        <v>1664</v>
      </c>
    </row>
    <row r="292">
      <c r="A292" s="4">
        <v>190.0</v>
      </c>
      <c r="B292" s="4" t="s">
        <v>472</v>
      </c>
      <c r="C292" s="4"/>
      <c r="D292" s="4" t="s">
        <v>1667</v>
      </c>
      <c r="E292" s="4" t="s">
        <v>1668</v>
      </c>
      <c r="F292" s="4" t="s">
        <v>1669</v>
      </c>
      <c r="G292" s="5" t="str">
        <f>IFERROR(__xludf.DUMMYFUNCTION("GOOGLETRANSLATE(D292,""ca"",""es"")"),"curi")</f>
        <v>curi</v>
      </c>
      <c r="H292" s="4" t="s">
        <v>1670</v>
      </c>
      <c r="I292" s="4" t="s">
        <v>1671</v>
      </c>
      <c r="J292" s="4" t="s">
        <v>1672</v>
      </c>
    </row>
    <row r="293">
      <c r="A293" s="4">
        <v>191.0</v>
      </c>
      <c r="B293" s="4" t="s">
        <v>472</v>
      </c>
      <c r="C293" s="4"/>
      <c r="D293" s="4" t="s">
        <v>1673</v>
      </c>
      <c r="E293" s="4" t="s">
        <v>1674</v>
      </c>
      <c r="F293" s="4" t="s">
        <v>1675</v>
      </c>
      <c r="G293" s="5" t="str">
        <f>IFERROR(__xludf.DUMMYFUNCTION("GOOGLETRANSLATE(D293,""ca"",""es"")"),"curso")</f>
        <v>curso</v>
      </c>
      <c r="H293" s="4" t="s">
        <v>1061</v>
      </c>
      <c r="I293" s="4" t="s">
        <v>1676</v>
      </c>
      <c r="J293" s="4" t="s">
        <v>1677</v>
      </c>
      <c r="K293" s="4" t="s">
        <v>1678</v>
      </c>
      <c r="L293" s="4" t="s">
        <v>1678</v>
      </c>
      <c r="M293" s="4" t="s">
        <v>1679</v>
      </c>
      <c r="N293" s="4" t="s">
        <v>1680</v>
      </c>
      <c r="O293" s="4" t="s">
        <v>1061</v>
      </c>
      <c r="P293" s="4" t="s">
        <v>1061</v>
      </c>
      <c r="Q293" s="4" t="s">
        <v>1681</v>
      </c>
      <c r="R293" s="4" t="s">
        <v>1682</v>
      </c>
      <c r="S293" s="4" t="s">
        <v>1683</v>
      </c>
      <c r="T293" s="4" t="s">
        <v>1684</v>
      </c>
      <c r="U293" s="4" t="s">
        <v>1061</v>
      </c>
      <c r="V293" s="4" t="s">
        <v>1685</v>
      </c>
      <c r="W293" s="4" t="s">
        <v>1112</v>
      </c>
      <c r="X293" s="4" t="s">
        <v>1114</v>
      </c>
      <c r="Y293" s="4" t="s">
        <v>1061</v>
      </c>
      <c r="Z293" s="4" t="s">
        <v>1686</v>
      </c>
      <c r="AA293" s="4" t="s">
        <v>1119</v>
      </c>
    </row>
    <row r="294">
      <c r="A294" s="4">
        <v>192.0</v>
      </c>
      <c r="B294" s="4" t="s">
        <v>472</v>
      </c>
      <c r="C294" s="4"/>
      <c r="D294" s="4" t="s">
        <v>1687</v>
      </c>
      <c r="E294" s="4" t="s">
        <v>1688</v>
      </c>
      <c r="F294" s="4" t="s">
        <v>1689</v>
      </c>
      <c r="G294" s="5" t="str">
        <f>IFERROR(__xludf.DUMMYFUNCTION("GOOGLETRANSLATE(D294,""ca"",""es"")"),"curuller")</f>
        <v>curuller</v>
      </c>
    </row>
    <row r="295">
      <c r="A295" s="4">
        <v>193.0</v>
      </c>
      <c r="B295" s="4" t="s">
        <v>472</v>
      </c>
      <c r="C295" s="4"/>
      <c r="D295" s="4" t="s">
        <v>1690</v>
      </c>
      <c r="E295" s="4" t="s">
        <v>1674</v>
      </c>
      <c r="F295" s="4" t="s">
        <v>1675</v>
      </c>
      <c r="G295" s="5" t="str">
        <f>IFERROR(__xludf.DUMMYFUNCTION("GOOGLETRANSLATE(D295,""ca"",""es"")"),"cus")</f>
        <v>cus</v>
      </c>
    </row>
    <row r="296">
      <c r="A296" s="4">
        <v>194.0</v>
      </c>
      <c r="B296" s="4" t="s">
        <v>472</v>
      </c>
      <c r="C296" s="4"/>
      <c r="D296" s="4" t="s">
        <v>1691</v>
      </c>
      <c r="E296" s="4" t="s">
        <v>1692</v>
      </c>
      <c r="F296" s="4" t="s">
        <v>1693</v>
      </c>
      <c r="G296" s="5" t="str">
        <f>IFERROR(__xludf.DUMMYFUNCTION("GOOGLETRANSLATE(D296,""ca"",""es"")"),"piel")</f>
        <v>piel</v>
      </c>
      <c r="H296" s="4" t="s">
        <v>1694</v>
      </c>
      <c r="I296" s="4" t="s">
        <v>1695</v>
      </c>
      <c r="J296" s="4" t="s">
        <v>1696</v>
      </c>
    </row>
    <row r="297">
      <c r="A297" s="4">
        <v>195.0</v>
      </c>
      <c r="B297" s="4" t="s">
        <v>472</v>
      </c>
      <c r="C297" s="4"/>
      <c r="D297" s="4" t="s">
        <v>1697</v>
      </c>
      <c r="E297" s="4" t="s">
        <v>1698</v>
      </c>
      <c r="F297" s="4" t="s">
        <v>1699</v>
      </c>
      <c r="G297" s="5" t="str">
        <f>IFERROR(__xludf.DUMMYFUNCTION("GOOGLETRANSLATE(D297,""ca"",""es"")"),"gorra")</f>
        <v>gorra</v>
      </c>
    </row>
    <row r="298">
      <c r="A298" s="4">
        <v>196.0</v>
      </c>
      <c r="B298" s="4" t="s">
        <v>472</v>
      </c>
      <c r="C298" s="4"/>
      <c r="D298" s="4" t="s">
        <v>1700</v>
      </c>
      <c r="E298" s="4" t="s">
        <v>1701</v>
      </c>
      <c r="F298" s="4" t="s">
        <v>1702</v>
      </c>
      <c r="G298" s="5" t="str">
        <f>IFERROR(__xludf.DUMMYFUNCTION("GOOGLETRANSLATE(D298,""ca"",""es"")"),"cáncer")</f>
        <v>cáncer</v>
      </c>
    </row>
    <row r="299">
      <c r="A299" s="4">
        <v>197.0</v>
      </c>
      <c r="B299" s="4" t="s">
        <v>472</v>
      </c>
      <c r="C299" s="4"/>
      <c r="D299" s="4" t="s">
        <v>1703</v>
      </c>
      <c r="E299" s="4" t="s">
        <v>1704</v>
      </c>
      <c r="F299" s="4" t="s">
        <v>1705</v>
      </c>
      <c r="G299" s="5" t="str">
        <f>IFERROR(__xludf.DUMMYFUNCTION("GOOGLETRANSLATE(D299,""ca"",""es"")"),"cañón")</f>
        <v>cañón</v>
      </c>
      <c r="H299" s="4" t="s">
        <v>1706</v>
      </c>
      <c r="I299" s="4" t="s">
        <v>1706</v>
      </c>
      <c r="J299" s="4" t="s">
        <v>1707</v>
      </c>
      <c r="K299" s="4" t="s">
        <v>1708</v>
      </c>
      <c r="L299" s="4" t="s">
        <v>1709</v>
      </c>
    </row>
    <row r="300">
      <c r="A300" s="4">
        <v>198.0</v>
      </c>
      <c r="B300" s="4" t="s">
        <v>472</v>
      </c>
      <c r="C300" s="4"/>
      <c r="D300" s="4" t="s">
        <v>1710</v>
      </c>
      <c r="E300" s="4" t="s">
        <v>1711</v>
      </c>
      <c r="F300" s="4" t="s">
        <v>1712</v>
      </c>
      <c r="G300" s="5" t="str">
        <f>IFERROR(__xludf.DUMMYFUNCTION("GOOGLETRANSLATE(D300,""ca"",""es"")"),"cínico")</f>
        <v>cínico</v>
      </c>
      <c r="H300" s="4" t="s">
        <v>1713</v>
      </c>
      <c r="I300" s="4" t="s">
        <v>1714</v>
      </c>
      <c r="J300" s="4" t="s">
        <v>1715</v>
      </c>
      <c r="K300" s="4" t="s">
        <v>1716</v>
      </c>
      <c r="L300" s="4" t="s">
        <v>1717</v>
      </c>
    </row>
    <row r="301">
      <c r="A301" s="4">
        <v>199.0</v>
      </c>
      <c r="B301" s="4" t="s">
        <v>472</v>
      </c>
      <c r="C301" s="4"/>
      <c r="D301" s="4" t="s">
        <v>1718</v>
      </c>
      <c r="E301" s="4" t="s">
        <v>1719</v>
      </c>
      <c r="F301" s="4" t="s">
        <v>1720</v>
      </c>
      <c r="G301" s="5" t="str">
        <f>IFERROR(__xludf.DUMMYFUNCTION("GOOGLETRANSLATE(D301,""ca"",""es"")"),"cínico")</f>
        <v>cínico</v>
      </c>
    </row>
    <row r="302">
      <c r="A302" s="4">
        <v>200.0</v>
      </c>
      <c r="B302" s="4" t="s">
        <v>472</v>
      </c>
      <c r="C302" s="4"/>
      <c r="D302" s="4" t="s">
        <v>1721</v>
      </c>
      <c r="E302" s="4" t="s">
        <v>1722</v>
      </c>
      <c r="F302" s="4" t="s">
        <v>1723</v>
      </c>
      <c r="G302" s="5" t="str">
        <f>IFERROR(__xludf.DUMMYFUNCTION("GOOGLETRANSLATE(D302,""ca"",""es"")"),"zona")</f>
        <v>zona</v>
      </c>
      <c r="H302" s="4" t="s">
        <v>1724</v>
      </c>
      <c r="I302" s="4" t="s">
        <v>1725</v>
      </c>
      <c r="J302" s="4" t="s">
        <v>1726</v>
      </c>
    </row>
    <row r="303">
      <c r="A303" s="4">
        <v>201.0</v>
      </c>
      <c r="B303" s="4" t="s">
        <v>472</v>
      </c>
      <c r="C303" s="4"/>
      <c r="D303" s="4" t="s">
        <v>1727</v>
      </c>
      <c r="E303" s="4" t="s">
        <v>1728</v>
      </c>
      <c r="F303" s="4" t="s">
        <v>1729</v>
      </c>
      <c r="G303" s="5" t="str">
        <f>IFERROR(__xludf.DUMMYFUNCTION("GOOGLETRANSLATE(D303,""ca"",""es"")"),"grupo")</f>
        <v>grupo</v>
      </c>
      <c r="H303" s="4" t="s">
        <v>1730</v>
      </c>
      <c r="I303" s="4" t="s">
        <v>1731</v>
      </c>
      <c r="J303" s="4" t="s">
        <v>1732</v>
      </c>
      <c r="K303" s="4" t="s">
        <v>1733</v>
      </c>
      <c r="L303" s="4" t="s">
        <v>1734</v>
      </c>
      <c r="M303" s="4" t="s">
        <v>1735</v>
      </c>
      <c r="N303" s="4" t="s">
        <v>1736</v>
      </c>
      <c r="O303" s="4" t="s">
        <v>1737</v>
      </c>
      <c r="P303" s="4" t="s">
        <v>1738</v>
      </c>
      <c r="Q303" s="4" t="s">
        <v>1739</v>
      </c>
      <c r="R303" s="4" t="s">
        <v>1740</v>
      </c>
      <c r="S303" s="4" t="s">
        <v>1741</v>
      </c>
      <c r="T303" s="4" t="s">
        <v>484</v>
      </c>
      <c r="U303" s="4" t="s">
        <v>1742</v>
      </c>
      <c r="V303" s="4" t="s">
        <v>1743</v>
      </c>
      <c r="W303" s="4" t="s">
        <v>1744</v>
      </c>
      <c r="X303" s="4" t="s">
        <v>1745</v>
      </c>
      <c r="Y303" s="4" t="s">
        <v>1746</v>
      </c>
      <c r="Z303" s="4" t="s">
        <v>1747</v>
      </c>
      <c r="AA303" s="4" t="s">
        <v>1748</v>
      </c>
      <c r="AB303" s="4" t="s">
        <v>1749</v>
      </c>
      <c r="AC303" s="4" t="s">
        <v>1750</v>
      </c>
      <c r="AD303" s="4" t="s">
        <v>483</v>
      </c>
      <c r="AE303" s="4" t="s">
        <v>1751</v>
      </c>
      <c r="AF303" s="4" t="s">
        <v>1752</v>
      </c>
      <c r="AG303" s="4" t="s">
        <v>1753</v>
      </c>
      <c r="AH303" s="4" t="s">
        <v>1754</v>
      </c>
      <c r="AI303" s="4" t="s">
        <v>1755</v>
      </c>
      <c r="AJ303" s="4" t="s">
        <v>1756</v>
      </c>
      <c r="AK303" s="4" t="s">
        <v>1757</v>
      </c>
      <c r="AL303" s="4" t="s">
        <v>482</v>
      </c>
      <c r="AM303" s="4" t="s">
        <v>1758</v>
      </c>
      <c r="AN303" s="4" t="s">
        <v>780</v>
      </c>
      <c r="AO303" s="4" t="s">
        <v>1759</v>
      </c>
      <c r="AP303" s="4" t="s">
        <v>1760</v>
      </c>
      <c r="AQ303" s="4" t="s">
        <v>1761</v>
      </c>
      <c r="AR303" s="4" t="s">
        <v>1762</v>
      </c>
      <c r="AS303" s="4" t="s">
        <v>1763</v>
      </c>
      <c r="AT303" s="4" t="s">
        <v>1764</v>
      </c>
      <c r="AU303" s="4" t="s">
        <v>1765</v>
      </c>
      <c r="AV303" s="4" t="s">
        <v>1766</v>
      </c>
      <c r="AW303" s="4" t="s">
        <v>1767</v>
      </c>
      <c r="AX303" s="4" t="s">
        <v>1768</v>
      </c>
      <c r="AY303" s="4" t="s">
        <v>1769</v>
      </c>
      <c r="AZ303" s="4" t="s">
        <v>1770</v>
      </c>
      <c r="BA303" s="4" t="s">
        <v>1771</v>
      </c>
      <c r="BB303" s="4" t="s">
        <v>1772</v>
      </c>
      <c r="BC303" s="4" t="s">
        <v>1773</v>
      </c>
    </row>
    <row r="304">
      <c r="A304" s="4">
        <v>202.0</v>
      </c>
      <c r="B304" s="4" t="s">
        <v>472</v>
      </c>
      <c r="C304" s="4"/>
      <c r="D304" s="4" t="s">
        <v>1774</v>
      </c>
      <c r="E304" s="4" t="s">
        <v>1775</v>
      </c>
      <c r="F304" s="4" t="s">
        <v>1776</v>
      </c>
      <c r="G304" s="5" t="str">
        <f>IFERROR(__xludf.DUMMYFUNCTION("GOOGLETRANSLATE(D304,""ca"",""es"")"),"HAC")</f>
        <v>HAC</v>
      </c>
    </row>
    <row r="305">
      <c r="A305" s="4">
        <v>203.0</v>
      </c>
      <c r="B305" s="4" t="s">
        <v>472</v>
      </c>
      <c r="C305" s="4"/>
      <c r="D305" s="4" t="s">
        <v>1777</v>
      </c>
      <c r="E305" s="4" t="s">
        <v>509</v>
      </c>
      <c r="F305" s="4" t="s">
        <v>508</v>
      </c>
      <c r="G305" s="5" t="str">
        <f>IFERROR(__xludf.DUMMYFUNCTION("GOOGLETRANSLATE(D305,""ca"",""es"")"),"chala")</f>
        <v>chala</v>
      </c>
    </row>
    <row r="306">
      <c r="A306" s="4">
        <v>204.0</v>
      </c>
      <c r="B306" s="4" t="s">
        <v>472</v>
      </c>
      <c r="C306" s="4"/>
      <c r="D306" s="4" t="s">
        <v>1778</v>
      </c>
      <c r="E306" s="4" t="s">
        <v>591</v>
      </c>
      <c r="F306" s="4" t="s">
        <v>592</v>
      </c>
      <c r="G306" s="5" t="str">
        <f>IFERROR(__xludf.DUMMYFUNCTION("GOOGLETRANSLATE(D306,""ca"",""es"")"),"gancho")</f>
        <v>gancho</v>
      </c>
    </row>
    <row r="307">
      <c r="A307" s="4">
        <v>205.0</v>
      </c>
      <c r="B307" s="4" t="s">
        <v>472</v>
      </c>
      <c r="C307" s="4"/>
      <c r="D307" s="4" t="s">
        <v>1779</v>
      </c>
      <c r="E307" s="4" t="s">
        <v>1780</v>
      </c>
      <c r="F307" s="4" t="s">
        <v>1781</v>
      </c>
      <c r="G307" s="5" t="str">
        <f>IFERROR(__xludf.DUMMYFUNCTION("GOOGLETRANSLATE(D307,""ca"",""es"")"),"hamaca")</f>
        <v>hamaca</v>
      </c>
      <c r="H307" s="4" t="s">
        <v>1782</v>
      </c>
      <c r="I307" s="4" t="s">
        <v>1783</v>
      </c>
      <c r="J307" s="4" t="s">
        <v>1784</v>
      </c>
      <c r="K307" s="4" t="s">
        <v>1785</v>
      </c>
    </row>
    <row r="308">
      <c r="A308" s="4">
        <v>206.0</v>
      </c>
      <c r="B308" s="4" t="s">
        <v>472</v>
      </c>
      <c r="C308" s="4"/>
      <c r="D308" s="4" t="s">
        <v>1786</v>
      </c>
      <c r="E308" s="4" t="s">
        <v>593</v>
      </c>
      <c r="F308" s="4" t="s">
        <v>594</v>
      </c>
      <c r="G308" s="5" t="str">
        <f>IFERROR(__xludf.DUMMYFUNCTION("GOOGLETRANSLATE(D308,""ca"",""es"")"),"Han")</f>
        <v>Han</v>
      </c>
    </row>
    <row r="309">
      <c r="A309" s="4">
        <v>207.0</v>
      </c>
      <c r="B309" s="4" t="s">
        <v>472</v>
      </c>
      <c r="C309" s="4"/>
      <c r="D309" s="4" t="s">
        <v>1787</v>
      </c>
      <c r="E309" s="4" t="s">
        <v>294</v>
      </c>
      <c r="F309" s="4" t="s">
        <v>295</v>
      </c>
      <c r="G309" s="5" t="str">
        <f>IFERROR(__xludf.DUMMYFUNCTION("GOOGLETRANSLATE(D309,""ca"",""es"")"),"tener")</f>
        <v>tener</v>
      </c>
    </row>
    <row r="310">
      <c r="A310" s="4">
        <v>208.0</v>
      </c>
      <c r="B310" s="4" t="s">
        <v>472</v>
      </c>
      <c r="C310" s="4"/>
      <c r="D310" s="4" t="s">
        <v>1788</v>
      </c>
      <c r="E310" s="4" t="s">
        <v>501</v>
      </c>
      <c r="F310" s="4" t="s">
        <v>502</v>
      </c>
      <c r="G310" s="5" t="str">
        <f>IFERROR(__xludf.DUMMYFUNCTION("GOOGLETRANSLATE(D310,""ca"",""es"")"),"Hassi")</f>
        <v>Hassi</v>
      </c>
      <c r="H310" s="4" t="s">
        <v>1789</v>
      </c>
      <c r="I310" s="4" t="s">
        <v>1790</v>
      </c>
      <c r="J310" s="4" t="s">
        <v>1791</v>
      </c>
      <c r="K310" s="4" t="s">
        <v>1792</v>
      </c>
    </row>
    <row r="311">
      <c r="A311" s="4">
        <v>209.0</v>
      </c>
      <c r="B311" s="4" t="s">
        <v>472</v>
      </c>
      <c r="C311" s="4"/>
      <c r="D311" s="4" t="s">
        <v>1793</v>
      </c>
      <c r="E311" s="4" t="s">
        <v>1794</v>
      </c>
      <c r="F311" s="4" t="s">
        <v>1795</v>
      </c>
      <c r="G311" s="5" t="str">
        <f>IFERROR(__xludf.DUMMYFUNCTION("GOOGLETRANSLATE(D311,""ca"",""es"")"),"hipocampo")</f>
        <v>hipocampo</v>
      </c>
    </row>
    <row r="312">
      <c r="A312" s="4">
        <v>210.0</v>
      </c>
      <c r="B312" s="4" t="s">
        <v>472</v>
      </c>
      <c r="C312" s="4"/>
      <c r="D312" s="4" t="s">
        <v>1796</v>
      </c>
      <c r="E312" s="4" t="s">
        <v>1797</v>
      </c>
      <c r="F312" s="4" t="s">
        <v>1798</v>
      </c>
      <c r="G312" s="5" t="str">
        <f>IFERROR(__xludf.DUMMYFUNCTION("GOOGLETRANSLATE(D312,""ca"",""es"")"),"hídrico")</f>
        <v>hídrico</v>
      </c>
      <c r="H312" s="4" t="s">
        <v>1799</v>
      </c>
      <c r="I312" s="4" t="s">
        <v>1800</v>
      </c>
      <c r="J312" s="4" t="s">
        <v>1801</v>
      </c>
      <c r="K312" s="4" t="s">
        <v>1799</v>
      </c>
      <c r="L312" s="4" t="s">
        <v>1802</v>
      </c>
    </row>
    <row r="313">
      <c r="A313" s="4">
        <v>211.0</v>
      </c>
      <c r="B313" s="4" t="s">
        <v>472</v>
      </c>
      <c r="C313" s="4"/>
      <c r="D313" s="4" t="s">
        <v>1796</v>
      </c>
      <c r="E313" s="4" t="s">
        <v>1803</v>
      </c>
      <c r="F313" s="4" t="s">
        <v>1804</v>
      </c>
      <c r="G313" s="5" t="str">
        <f>IFERROR(__xludf.DUMMYFUNCTION("GOOGLETRANSLATE(D313,""ca"",""es"")"),"hídrico")</f>
        <v>hídrico</v>
      </c>
      <c r="H313" s="4" t="s">
        <v>1799</v>
      </c>
      <c r="I313" s="4" t="s">
        <v>1800</v>
      </c>
      <c r="J313" s="4" t="s">
        <v>1801</v>
      </c>
      <c r="K313" s="4" t="s">
        <v>1799</v>
      </c>
      <c r="L313" s="4" t="s">
        <v>1802</v>
      </c>
    </row>
    <row r="314">
      <c r="A314" s="4">
        <v>212.0</v>
      </c>
      <c r="B314" s="4" t="s">
        <v>472</v>
      </c>
      <c r="C314" s="4"/>
      <c r="D314" s="4" t="s">
        <v>1805</v>
      </c>
      <c r="E314" s="4" t="s">
        <v>1806</v>
      </c>
      <c r="F314" s="4" t="s">
        <v>1807</v>
      </c>
      <c r="G314" s="5" t="str">
        <f>IFERROR(__xludf.DUMMYFUNCTION("GOOGLETRANSLATE(D314,""ca"",""es"")"),"Hitite")</f>
        <v>Hitite</v>
      </c>
    </row>
    <row r="315">
      <c r="A315" s="4">
        <v>213.0</v>
      </c>
      <c r="B315" s="4" t="s">
        <v>472</v>
      </c>
      <c r="C315" s="4"/>
      <c r="D315" s="4" t="s">
        <v>1808</v>
      </c>
      <c r="E315" s="4" t="s">
        <v>1809</v>
      </c>
      <c r="F315" s="4" t="s">
        <v>1810</v>
      </c>
      <c r="G315" s="5" t="str">
        <f>IFERROR(__xludf.DUMMYFUNCTION("GOOGLETRANSLATE(D315,""ca"",""es"")"),"honorario")</f>
        <v>honorario</v>
      </c>
      <c r="H315" s="4" t="s">
        <v>1811</v>
      </c>
    </row>
    <row r="316">
      <c r="A316" s="4">
        <v>214.0</v>
      </c>
      <c r="B316" s="4" t="s">
        <v>472</v>
      </c>
      <c r="C316" s="4"/>
      <c r="D316" s="4" t="s">
        <v>1812</v>
      </c>
      <c r="E316" s="4" t="s">
        <v>1813</v>
      </c>
      <c r="F316" s="4" t="s">
        <v>1814</v>
      </c>
      <c r="G316" s="5" t="str">
        <f>IFERROR(__xludf.DUMMYFUNCTION("GOOGLETRANSLATE(D316,""ca"",""es"")"),"tarifa")</f>
        <v>tarifa</v>
      </c>
    </row>
    <row r="317">
      <c r="A317" s="4">
        <v>215.0</v>
      </c>
      <c r="B317" s="4" t="s">
        <v>472</v>
      </c>
      <c r="C317" s="4"/>
      <c r="D317" s="4" t="s">
        <v>1815</v>
      </c>
      <c r="E317" s="4" t="s">
        <v>1816</v>
      </c>
      <c r="F317" s="4" t="s">
        <v>1817</v>
      </c>
      <c r="G317" s="5" t="str">
        <f>IFERROR(__xludf.DUMMYFUNCTION("GOOGLETRANSLATE(D317,""ca"",""es"")"),"humano")</f>
        <v>humano</v>
      </c>
    </row>
    <row r="318">
      <c r="A318" s="4">
        <v>216.0</v>
      </c>
      <c r="B318" s="4" t="s">
        <v>472</v>
      </c>
      <c r="C318" s="4"/>
      <c r="D318" s="4" t="s">
        <v>1818</v>
      </c>
      <c r="E318" s="4" t="s">
        <v>1819</v>
      </c>
      <c r="F318" s="4" t="s">
        <v>1820</v>
      </c>
      <c r="G318" s="5" t="str">
        <f>IFERROR(__xludf.DUMMYFUNCTION("GOOGLETRANSLATE(D318,""ca"",""es"")"),"humano")</f>
        <v>humano</v>
      </c>
      <c r="H318" s="4" t="s">
        <v>1821</v>
      </c>
      <c r="I318" s="4" t="s">
        <v>1822</v>
      </c>
      <c r="J318" s="4" t="s">
        <v>1823</v>
      </c>
      <c r="K318" s="4" t="s">
        <v>1824</v>
      </c>
      <c r="L318" s="4" t="s">
        <v>1825</v>
      </c>
      <c r="M318" s="4" t="s">
        <v>1825</v>
      </c>
      <c r="N318" s="4" t="s">
        <v>1826</v>
      </c>
      <c r="O318" s="4" t="s">
        <v>1827</v>
      </c>
    </row>
    <row r="319">
      <c r="A319" s="4">
        <v>217.0</v>
      </c>
      <c r="B319" s="4" t="s">
        <v>472</v>
      </c>
      <c r="C319" s="4"/>
      <c r="D319" s="4" t="s">
        <v>1828</v>
      </c>
      <c r="E319" s="4" t="s">
        <v>1829</v>
      </c>
      <c r="F319" s="4" t="s">
        <v>1830</v>
      </c>
      <c r="G319" s="5" t="str">
        <f>IFERROR(__xludf.DUMMYFUNCTION("GOOGLETRANSLATE(D319,""ca"",""es"")"),"humanitario")</f>
        <v>humanitario</v>
      </c>
    </row>
    <row r="320">
      <c r="A320" s="4">
        <v>218.0</v>
      </c>
      <c r="B320" s="4" t="s">
        <v>472</v>
      </c>
      <c r="C320" s="4"/>
      <c r="D320" s="4" t="s">
        <v>1831</v>
      </c>
      <c r="E320" s="4" t="s">
        <v>1832</v>
      </c>
      <c r="F320" s="4" t="s">
        <v>1833</v>
      </c>
      <c r="G320" s="5" t="str">
        <f>IFERROR(__xludf.DUMMYFUNCTION("GOOGLETRANSLATE(D320,""ca"",""es"")"),"humilde")</f>
        <v>humilde</v>
      </c>
      <c r="H320" s="4" t="s">
        <v>1834</v>
      </c>
      <c r="I320" s="4" t="s">
        <v>1835</v>
      </c>
      <c r="J320" s="4" t="s">
        <v>1836</v>
      </c>
      <c r="K320" s="4" t="s">
        <v>1837</v>
      </c>
      <c r="L320" s="4" t="s">
        <v>1104</v>
      </c>
      <c r="M320" s="4" t="s">
        <v>1838</v>
      </c>
      <c r="N320" s="4" t="s">
        <v>1837</v>
      </c>
      <c r="O320" s="4" t="s">
        <v>1839</v>
      </c>
      <c r="P320" s="4" t="s">
        <v>1838</v>
      </c>
      <c r="Q320" s="4" t="s">
        <v>1840</v>
      </c>
      <c r="R320" s="4" t="s">
        <v>1841</v>
      </c>
    </row>
    <row r="321">
      <c r="A321" s="4">
        <v>219.0</v>
      </c>
      <c r="B321" s="4" t="s">
        <v>472</v>
      </c>
      <c r="C321" s="4"/>
      <c r="D321" s="4" t="s">
        <v>1842</v>
      </c>
      <c r="E321" s="4" t="s">
        <v>1843</v>
      </c>
      <c r="F321" s="4" t="s">
        <v>1844</v>
      </c>
      <c r="G321" s="5" t="str">
        <f>IFERROR(__xludf.DUMMYFUNCTION("GOOGLETRANSLATE(D321,""ca"",""es"")"),"humano")</f>
        <v>humano</v>
      </c>
      <c r="H321" s="4" t="s">
        <v>1845</v>
      </c>
      <c r="I321" s="4" t="s">
        <v>1846</v>
      </c>
      <c r="J321" s="4" t="s">
        <v>1847</v>
      </c>
      <c r="K321" s="4" t="s">
        <v>1848</v>
      </c>
      <c r="L321" s="4" t="s">
        <v>1849</v>
      </c>
      <c r="M321" s="4" t="s">
        <v>1850</v>
      </c>
      <c r="N321" s="4" t="s">
        <v>1851</v>
      </c>
      <c r="O321" s="4" t="s">
        <v>1852</v>
      </c>
      <c r="P321" s="4" t="s">
        <v>1853</v>
      </c>
      <c r="Q321" s="4" t="s">
        <v>1854</v>
      </c>
      <c r="R321" s="4" t="s">
        <v>1821</v>
      </c>
      <c r="S321" s="4" t="s">
        <v>1822</v>
      </c>
      <c r="T321" s="4" t="s">
        <v>1823</v>
      </c>
      <c r="U321" s="4" t="s">
        <v>1824</v>
      </c>
      <c r="V321" s="4" t="s">
        <v>1825</v>
      </c>
      <c r="W321" s="4" t="s">
        <v>1855</v>
      </c>
      <c r="X321" s="4" t="s">
        <v>1856</v>
      </c>
      <c r="Y321" s="4" t="s">
        <v>1857</v>
      </c>
      <c r="Z321" s="4" t="s">
        <v>1854</v>
      </c>
      <c r="AA321" s="4" t="s">
        <v>1854</v>
      </c>
      <c r="AB321" s="4" t="s">
        <v>1854</v>
      </c>
    </row>
    <row r="322">
      <c r="A322" s="4">
        <v>220.0</v>
      </c>
      <c r="B322" s="4" t="s">
        <v>472</v>
      </c>
      <c r="C322" s="4"/>
      <c r="D322" s="4" t="s">
        <v>1858</v>
      </c>
      <c r="E322" s="4" t="s">
        <v>1859</v>
      </c>
      <c r="F322" s="4" t="s">
        <v>1860</v>
      </c>
      <c r="G322" s="5" t="str">
        <f>IFERROR(__xludf.DUMMYFUNCTION("GOOGLETRANSLATE(D322,""ca"",""es"")"),"huno")</f>
        <v>huno</v>
      </c>
      <c r="H322" s="4" t="s">
        <v>1861</v>
      </c>
    </row>
    <row r="323">
      <c r="A323" s="4">
        <v>221.0</v>
      </c>
      <c r="B323" s="4" t="s">
        <v>472</v>
      </c>
      <c r="C323" s="4"/>
      <c r="D323" s="4" t="s">
        <v>1862</v>
      </c>
      <c r="E323" s="4" t="s">
        <v>1863</v>
      </c>
      <c r="F323" s="4" t="s">
        <v>1864</v>
      </c>
      <c r="G323" s="5" t="str">
        <f>IFERROR(__xludf.DUMMYFUNCTION("GOOGLETRANSLATE(D323,""ca"",""es"")"),"huno")</f>
        <v>huno</v>
      </c>
    </row>
    <row r="324">
      <c r="A324" s="4">
        <v>222.0</v>
      </c>
      <c r="B324" s="4" t="s">
        <v>472</v>
      </c>
      <c r="C324" s="4"/>
      <c r="D324" s="4" t="s">
        <v>1865</v>
      </c>
      <c r="E324" s="4" t="s">
        <v>1866</v>
      </c>
      <c r="F324" s="4" t="s">
        <v>1867</v>
      </c>
      <c r="G324" s="5" t="str">
        <f>IFERROR(__xludf.DUMMYFUNCTION("GOOGLETRANSLATE(D324,""ca"",""es"")"),"huracán")</f>
        <v>huracán</v>
      </c>
      <c r="H324" s="4" t="s">
        <v>1868</v>
      </c>
    </row>
    <row r="325">
      <c r="A325" s="4">
        <v>223.0</v>
      </c>
      <c r="B325" s="4" t="s">
        <v>472</v>
      </c>
      <c r="C325" s="4"/>
      <c r="D325" s="4" t="s">
        <v>1869</v>
      </c>
      <c r="E325" s="4" t="s">
        <v>1870</v>
      </c>
      <c r="F325" s="4" t="s">
        <v>1871</v>
      </c>
      <c r="G325" s="5" t="str">
        <f>IFERROR(__xludf.DUMMYFUNCTION("GOOGLETRANSLATE(D325,""ca"",""es"")"),"IAC")</f>
        <v>IAC</v>
      </c>
      <c r="H325" s="4" t="s">
        <v>1871</v>
      </c>
      <c r="I325" s="4" t="s">
        <v>1872</v>
      </c>
    </row>
    <row r="326">
      <c r="A326" s="4">
        <v>224.0</v>
      </c>
      <c r="B326" s="4" t="s">
        <v>472</v>
      </c>
      <c r="C326" s="4"/>
      <c r="D326" s="4" t="s">
        <v>1873</v>
      </c>
      <c r="E326" s="4" t="s">
        <v>1874</v>
      </c>
      <c r="F326" s="4" t="s">
        <v>1875</v>
      </c>
      <c r="G326" s="5" t="str">
        <f>IFERROR(__xludf.DUMMYFUNCTION("GOOGLETRANSLATE(D326,""ca"",""es"")"),"Abuelita")</f>
        <v>Abuelita</v>
      </c>
      <c r="H326" s="4" t="s">
        <v>1876</v>
      </c>
      <c r="I326" s="4" t="s">
        <v>1877</v>
      </c>
      <c r="J326" s="4" t="s">
        <v>1878</v>
      </c>
      <c r="K326" s="4" t="s">
        <v>1879</v>
      </c>
      <c r="L326" s="4" t="s">
        <v>1880</v>
      </c>
      <c r="M326" s="4" t="s">
        <v>1881</v>
      </c>
      <c r="N326" s="4" t="s">
        <v>1882</v>
      </c>
      <c r="P326" s="4" t="s">
        <v>1883</v>
      </c>
    </row>
    <row r="327">
      <c r="A327" s="4">
        <v>225.0</v>
      </c>
      <c r="B327" s="4" t="s">
        <v>472</v>
      </c>
      <c r="C327" s="4"/>
      <c r="D327" s="4" t="s">
        <v>1884</v>
      </c>
      <c r="E327" s="4" t="s">
        <v>1885</v>
      </c>
      <c r="F327" s="4" t="s">
        <v>1886</v>
      </c>
      <c r="G327" s="5" t="str">
        <f>IFERROR(__xludf.DUMMYFUNCTION("GOOGLETRANSLATE(D327,""ca"",""es"")"),"abuelo")</f>
        <v>abuelo</v>
      </c>
      <c r="H327" s="4" t="s">
        <v>1887</v>
      </c>
      <c r="I327" s="4" t="s">
        <v>1888</v>
      </c>
      <c r="J327" s="4" t="s">
        <v>1889</v>
      </c>
      <c r="K327" s="4" t="s">
        <v>1890</v>
      </c>
      <c r="L327" s="4" t="s">
        <v>1891</v>
      </c>
      <c r="M327" s="4" t="s">
        <v>1892</v>
      </c>
      <c r="N327" s="4" t="s">
        <v>1893</v>
      </c>
      <c r="O327" s="4" t="s">
        <v>1894</v>
      </c>
      <c r="P327" s="4" t="s">
        <v>1895</v>
      </c>
      <c r="Q327" s="4" t="s">
        <v>1896</v>
      </c>
    </row>
    <row r="328">
      <c r="A328" s="4">
        <v>226.0</v>
      </c>
      <c r="B328" s="4" t="s">
        <v>472</v>
      </c>
      <c r="C328" s="4"/>
      <c r="D328" s="4" t="s">
        <v>1897</v>
      </c>
      <c r="E328" s="4" t="s">
        <v>1898</v>
      </c>
      <c r="F328" s="4" t="s">
        <v>1897</v>
      </c>
      <c r="G328" s="5" t="str">
        <f>IFERROR(__xludf.DUMMYFUNCTION("GOOGLETRANSLATE(D328,""ca"",""es"")"),"isla")</f>
        <v>isla</v>
      </c>
      <c r="H328" s="4" t="s">
        <v>1899</v>
      </c>
      <c r="I328" s="4" t="s">
        <v>1899</v>
      </c>
    </row>
    <row r="329">
      <c r="A329" s="4">
        <v>227.0</v>
      </c>
      <c r="B329" s="4" t="s">
        <v>472</v>
      </c>
      <c r="C329" s="4"/>
      <c r="D329" s="4" t="s">
        <v>310</v>
      </c>
      <c r="E329" s="4" t="s">
        <v>309</v>
      </c>
      <c r="F329" s="4" t="s">
        <v>310</v>
      </c>
      <c r="G329" s="5" t="str">
        <f>IFERROR(__xludf.DUMMYFUNCTION("GOOGLETRANSLATE(D329,""ca"",""es"")"),"imán")</f>
        <v>imán</v>
      </c>
      <c r="H329" s="4" t="s">
        <v>310</v>
      </c>
      <c r="I329" s="4" t="s">
        <v>1900</v>
      </c>
    </row>
    <row r="330">
      <c r="A330" s="4">
        <v>228.0</v>
      </c>
      <c r="B330" s="4" t="s">
        <v>472</v>
      </c>
      <c r="C330" s="4"/>
      <c r="D330" s="4" t="s">
        <v>1901</v>
      </c>
      <c r="E330" s="4" t="s">
        <v>1902</v>
      </c>
      <c r="F330" s="4" t="s">
        <v>1903</v>
      </c>
      <c r="G330" s="5" t="str">
        <f>IFERROR(__xludf.DUMMYFUNCTION("GOOGLETRANSLATE(D330,""ca"",""es"")"),"imán")</f>
        <v>imán</v>
      </c>
      <c r="H330" s="4" t="s">
        <v>1904</v>
      </c>
    </row>
    <row r="331">
      <c r="A331" s="4">
        <v>229.0</v>
      </c>
      <c r="B331" s="4" t="s">
        <v>472</v>
      </c>
      <c r="C331" s="4"/>
      <c r="D331" s="4" t="s">
        <v>1905</v>
      </c>
      <c r="E331" s="4" t="s">
        <v>1906</v>
      </c>
      <c r="F331" s="4" t="s">
        <v>1907</v>
      </c>
      <c r="G331" s="5" t="str">
        <f>IFERROR(__xludf.DUMMYFUNCTION("GOOGLETRANSLATE(D331,""ca"",""es"")"),"imitar")</f>
        <v>imitar</v>
      </c>
      <c r="H331" s="4" t="s">
        <v>1908</v>
      </c>
      <c r="I331" s="4" t="s">
        <v>1909</v>
      </c>
      <c r="J331" s="4" t="s">
        <v>1910</v>
      </c>
      <c r="K331" s="4" t="s">
        <v>1911</v>
      </c>
      <c r="L331" s="4" t="s">
        <v>1910</v>
      </c>
      <c r="M331" s="4" t="s">
        <v>1909</v>
      </c>
    </row>
    <row r="332">
      <c r="A332" s="4">
        <v>230.0</v>
      </c>
      <c r="B332" s="4" t="s">
        <v>472</v>
      </c>
      <c r="C332" s="4"/>
      <c r="D332" s="4" t="s">
        <v>1905</v>
      </c>
      <c r="E332" s="4" t="s">
        <v>1912</v>
      </c>
      <c r="F332" s="4" t="s">
        <v>1905</v>
      </c>
      <c r="G332" s="5" t="str">
        <f>IFERROR(__xludf.DUMMYFUNCTION("GOOGLETRANSLATE(D332,""ca"",""es"")"),"imitar")</f>
        <v>imitar</v>
      </c>
      <c r="H332" s="4" t="s">
        <v>1908</v>
      </c>
      <c r="I332" s="4" t="s">
        <v>1909</v>
      </c>
      <c r="J332" s="4" t="s">
        <v>1910</v>
      </c>
      <c r="K332" s="4" t="s">
        <v>1911</v>
      </c>
      <c r="L332" s="4" t="s">
        <v>1910</v>
      </c>
      <c r="M332" s="4" t="s">
        <v>1909</v>
      </c>
    </row>
    <row r="333">
      <c r="A333" s="4">
        <v>231.0</v>
      </c>
      <c r="B333" s="4" t="s">
        <v>472</v>
      </c>
      <c r="C333" s="4"/>
      <c r="D333" s="4" t="s">
        <v>1913</v>
      </c>
      <c r="E333" s="4" t="s">
        <v>1914</v>
      </c>
      <c r="F333" s="4" t="s">
        <v>1915</v>
      </c>
      <c r="G333" s="5" t="str">
        <f>IFERROR(__xludf.DUMMYFUNCTION("GOOGLETRANSLATE(D333,""ca"",""es"")"),"inhalar")</f>
        <v>inhalar</v>
      </c>
    </row>
    <row r="334">
      <c r="A334" s="4">
        <v>232.0</v>
      </c>
      <c r="B334" s="4" t="s">
        <v>472</v>
      </c>
      <c r="C334" s="4"/>
      <c r="D334" s="4" t="s">
        <v>1916</v>
      </c>
      <c r="E334" s="4" t="s">
        <v>1917</v>
      </c>
      <c r="F334" s="4" t="s">
        <v>1918</v>
      </c>
      <c r="G334" s="5" t="str">
        <f>IFERROR(__xludf.DUMMYFUNCTION("GOOGLETRANSLATE(D334,""ca"",""es"")"),"inhumano")</f>
        <v>inhumano</v>
      </c>
    </row>
    <row r="335">
      <c r="A335" s="4">
        <v>233.0</v>
      </c>
      <c r="B335" s="4" t="s">
        <v>472</v>
      </c>
      <c r="C335" s="4"/>
      <c r="D335" s="4" t="s">
        <v>1919</v>
      </c>
      <c r="E335" s="4" t="s">
        <v>1920</v>
      </c>
      <c r="F335" s="4" t="s">
        <v>1921</v>
      </c>
      <c r="G335" s="5" t="str">
        <f>IFERROR(__xludf.DUMMYFUNCTION("GOOGLETRANSLATE(D335,""ca"",""es"")"),"injuriar")</f>
        <v>injuriar</v>
      </c>
    </row>
    <row r="336">
      <c r="A336" s="4">
        <v>234.0</v>
      </c>
      <c r="B336" s="4" t="s">
        <v>472</v>
      </c>
      <c r="C336" s="4"/>
      <c r="D336" s="4" t="s">
        <v>1919</v>
      </c>
      <c r="E336" s="4" t="s">
        <v>1922</v>
      </c>
      <c r="F336" s="4" t="s">
        <v>1923</v>
      </c>
      <c r="G336" s="5" t="str">
        <f>IFERROR(__xludf.DUMMYFUNCTION("GOOGLETRANSLATE(D336,""ca"",""es"")"),"injuriar")</f>
        <v>injuriar</v>
      </c>
    </row>
    <row r="337">
      <c r="A337" s="4">
        <v>235.0</v>
      </c>
      <c r="B337" s="4" t="s">
        <v>472</v>
      </c>
      <c r="C337" s="4"/>
      <c r="D337" s="4" t="s">
        <v>1924</v>
      </c>
      <c r="E337" s="4" t="s">
        <v>1920</v>
      </c>
      <c r="F337" s="4" t="s">
        <v>1921</v>
      </c>
      <c r="G337" s="5" t="str">
        <f>IFERROR(__xludf.DUMMYFUNCTION("GOOGLETRANSLATE(D337,""ca"",""es"")"),"inhumano")</f>
        <v>inhumano</v>
      </c>
      <c r="H337" s="4" t="s">
        <v>1925</v>
      </c>
      <c r="I337" s="4" t="s">
        <v>1926</v>
      </c>
      <c r="J337" s="4" t="s">
        <v>1927</v>
      </c>
      <c r="K337" s="4" t="s">
        <v>1928</v>
      </c>
      <c r="L337" s="4" t="s">
        <v>1929</v>
      </c>
      <c r="M337" s="4" t="s">
        <v>1930</v>
      </c>
      <c r="N337" s="4" t="s">
        <v>1931</v>
      </c>
      <c r="O337" s="4" t="s">
        <v>1932</v>
      </c>
    </row>
    <row r="338">
      <c r="A338" s="4">
        <v>236.0</v>
      </c>
      <c r="B338" s="4" t="s">
        <v>472</v>
      </c>
      <c r="C338" s="4"/>
      <c r="D338" s="4" t="s">
        <v>1933</v>
      </c>
      <c r="E338" s="4" t="s">
        <v>1934</v>
      </c>
      <c r="F338" s="4" t="s">
        <v>1935</v>
      </c>
      <c r="G338" s="5" t="str">
        <f>IFERROR(__xludf.DUMMYFUNCTION("GOOGLETRANSLATE(D338,""ca"",""es"")"),"comienzo")</f>
        <v>comienzo</v>
      </c>
      <c r="H338" s="4" t="s">
        <v>1936</v>
      </c>
      <c r="I338" s="4" t="s">
        <v>1937</v>
      </c>
      <c r="J338" s="4" t="s">
        <v>1938</v>
      </c>
      <c r="K338" s="4" t="s">
        <v>1937</v>
      </c>
      <c r="L338" s="4" t="s">
        <v>1939</v>
      </c>
      <c r="M338" s="4" t="s">
        <v>1936</v>
      </c>
      <c r="N338" s="4" t="s">
        <v>1937</v>
      </c>
    </row>
    <row r="339">
      <c r="A339" s="4">
        <v>237.0</v>
      </c>
      <c r="B339" s="4" t="s">
        <v>472</v>
      </c>
      <c r="C339" s="4"/>
      <c r="D339" s="4" t="s">
        <v>1940</v>
      </c>
      <c r="E339" s="4" t="s">
        <v>1941</v>
      </c>
      <c r="F339" s="4" t="s">
        <v>1940</v>
      </c>
      <c r="G339" s="5" t="str">
        <f>IFERROR(__xludf.DUMMYFUNCTION("GOOGLETRANSLATE(D339,""ca"",""es"")"),"inulina")</f>
        <v>inulina</v>
      </c>
      <c r="H339" s="4" t="s">
        <v>1942</v>
      </c>
    </row>
    <row r="340">
      <c r="A340" s="4">
        <v>238.0</v>
      </c>
      <c r="B340" s="4" t="s">
        <v>472</v>
      </c>
      <c r="C340" s="4"/>
      <c r="D340" s="4" t="s">
        <v>1943</v>
      </c>
      <c r="E340" s="4" t="s">
        <v>1944</v>
      </c>
      <c r="F340" s="4" t="s">
        <v>1945</v>
      </c>
      <c r="G340" s="5" t="str">
        <f>IFERROR(__xludf.DUMMYFUNCTION("GOOGLETRANSLATE(D340,""ca"",""es"")"),"inútil")</f>
        <v>inútil</v>
      </c>
      <c r="H340" s="4" t="s">
        <v>1946</v>
      </c>
      <c r="I340" s="4" t="s">
        <v>1947</v>
      </c>
      <c r="J340" s="4" t="s">
        <v>1948</v>
      </c>
      <c r="K340" s="4" t="s">
        <v>1949</v>
      </c>
      <c r="L340" s="4" t="s">
        <v>1950</v>
      </c>
      <c r="M340" s="4" t="s">
        <v>1951</v>
      </c>
      <c r="N340" s="4" t="s">
        <v>1952</v>
      </c>
      <c r="O340" s="4" t="s">
        <v>1953</v>
      </c>
      <c r="P340" s="4" t="s">
        <v>1954</v>
      </c>
      <c r="Q340" s="4" t="s">
        <v>1955</v>
      </c>
      <c r="R340" s="4" t="s">
        <v>1956</v>
      </c>
      <c r="S340" s="4" t="s">
        <v>1957</v>
      </c>
      <c r="T340" s="4" t="s">
        <v>1958</v>
      </c>
      <c r="U340" s="4" t="s">
        <v>1959</v>
      </c>
      <c r="V340" s="4" t="s">
        <v>1960</v>
      </c>
      <c r="W340" s="4" t="s">
        <v>1961</v>
      </c>
      <c r="X340" s="4" t="s">
        <v>1962</v>
      </c>
      <c r="Y340" s="4" t="s">
        <v>1963</v>
      </c>
      <c r="Z340" s="4" t="s">
        <v>1964</v>
      </c>
      <c r="AA340" s="4" t="s">
        <v>1965</v>
      </c>
      <c r="AB340" s="4" t="s">
        <v>1966</v>
      </c>
      <c r="AC340" s="4" t="s">
        <v>1962</v>
      </c>
      <c r="AD340" s="4" t="s">
        <v>1950</v>
      </c>
      <c r="AE340" s="4" t="s">
        <v>1967</v>
      </c>
      <c r="AF340" s="4" t="s">
        <v>1968</v>
      </c>
      <c r="AG340" s="4" t="s">
        <v>1967</v>
      </c>
      <c r="AH340" s="4" t="s">
        <v>1969</v>
      </c>
      <c r="AI340" s="4" t="s">
        <v>1970</v>
      </c>
      <c r="AJ340" s="4" t="s">
        <v>1971</v>
      </c>
      <c r="AK340" s="4" t="s">
        <v>1972</v>
      </c>
      <c r="AL340" s="4" t="s">
        <v>1973</v>
      </c>
      <c r="AM340" s="4" t="s">
        <v>1974</v>
      </c>
      <c r="AN340" s="4" t="s">
        <v>1975</v>
      </c>
      <c r="AO340" s="4" t="s">
        <v>1976</v>
      </c>
      <c r="AP340" s="4" t="s">
        <v>1977</v>
      </c>
      <c r="AQ340" s="4" t="s">
        <v>1978</v>
      </c>
      <c r="AR340" s="4" t="s">
        <v>1979</v>
      </c>
      <c r="AS340" s="4" t="s">
        <v>1980</v>
      </c>
      <c r="AT340" s="4" t="s">
        <v>1981</v>
      </c>
      <c r="AU340" s="4" t="s">
        <v>1982</v>
      </c>
    </row>
    <row r="341">
      <c r="A341" s="4">
        <v>239.0</v>
      </c>
      <c r="B341" s="4" t="s">
        <v>472</v>
      </c>
      <c r="C341" s="4"/>
      <c r="D341" s="4" t="s">
        <v>1983</v>
      </c>
      <c r="E341" s="4" t="s">
        <v>1984</v>
      </c>
      <c r="F341" s="4" t="s">
        <v>1983</v>
      </c>
      <c r="G341" s="5" t="str">
        <f>IFERROR(__xludf.DUMMYFUNCTION("GOOGLETRANSLATE(D341,""ca"",""es"")"),"enfado")</f>
        <v>enfado</v>
      </c>
      <c r="H341" s="4" t="s">
        <v>1985</v>
      </c>
      <c r="I341" s="4" t="s">
        <v>1986</v>
      </c>
      <c r="J341" s="4" t="s">
        <v>1987</v>
      </c>
      <c r="K341" s="4" t="s">
        <v>1983</v>
      </c>
      <c r="L341" s="4" t="s">
        <v>1986</v>
      </c>
      <c r="M341" s="4" t="s">
        <v>1988</v>
      </c>
      <c r="N341" s="4" t="s">
        <v>1987</v>
      </c>
      <c r="O341" s="4" t="s">
        <v>1986</v>
      </c>
      <c r="P341" s="4" t="s">
        <v>1989</v>
      </c>
    </row>
    <row r="342">
      <c r="A342" s="4">
        <v>240.0</v>
      </c>
      <c r="B342" s="4" t="s">
        <v>472</v>
      </c>
      <c r="C342" s="4"/>
      <c r="D342" s="4" t="s">
        <v>1990</v>
      </c>
      <c r="E342" s="4" t="s">
        <v>1991</v>
      </c>
      <c r="F342" s="4" t="s">
        <v>1990</v>
      </c>
      <c r="G342" s="5" t="str">
        <f>IFERROR(__xludf.DUMMYFUNCTION("GOOGLETRANSLATE(D342,""ca"",""es"")"),"Irán")</f>
        <v>Irán</v>
      </c>
      <c r="H342" s="4" t="s">
        <v>1992</v>
      </c>
      <c r="I342" s="4" t="s">
        <v>1993</v>
      </c>
      <c r="J342" s="4" t="s">
        <v>1994</v>
      </c>
    </row>
    <row r="343">
      <c r="A343" s="4">
        <v>241.0</v>
      </c>
      <c r="B343" s="4" t="s">
        <v>472</v>
      </c>
      <c r="C343" s="4"/>
      <c r="D343" s="4" t="s">
        <v>1995</v>
      </c>
      <c r="E343" s="4" t="s">
        <v>1996</v>
      </c>
      <c r="F343" s="4" t="s">
        <v>1997</v>
      </c>
      <c r="G343" s="5" t="str">
        <f>IFERROR(__xludf.DUMMYFUNCTION("GOOGLETRANSLATE(D343,""ca"",""es"")"),"Irak")</f>
        <v>Irak</v>
      </c>
      <c r="H343" s="4" t="s">
        <v>1998</v>
      </c>
      <c r="I343" s="4" t="s">
        <v>1999</v>
      </c>
      <c r="J343" s="4" t="s">
        <v>2000</v>
      </c>
      <c r="K343" s="4" t="s">
        <v>2001</v>
      </c>
    </row>
    <row r="344">
      <c r="A344" s="4">
        <v>242.0</v>
      </c>
      <c r="B344" s="4" t="s">
        <v>472</v>
      </c>
      <c r="C344" s="4"/>
      <c r="D344" s="4" t="s">
        <v>2002</v>
      </c>
      <c r="E344" s="4" t="s">
        <v>2003</v>
      </c>
      <c r="F344" s="4" t="s">
        <v>2002</v>
      </c>
      <c r="G344" s="5" t="str">
        <f>IFERROR(__xludf.DUMMYFUNCTION("GOOGLETRANSLATE(D344,""ca"",""es"")"),"iris")</f>
        <v>iris</v>
      </c>
      <c r="H344" s="4" t="s">
        <v>2002</v>
      </c>
      <c r="I344" s="4" t="s">
        <v>2004</v>
      </c>
    </row>
    <row r="345">
      <c r="A345" s="4">
        <v>243.0</v>
      </c>
      <c r="B345" s="4" t="s">
        <v>472</v>
      </c>
      <c r="C345" s="4"/>
      <c r="D345" s="4" t="s">
        <v>2005</v>
      </c>
      <c r="E345" s="4" t="s">
        <v>2006</v>
      </c>
      <c r="F345" s="4" t="s">
        <v>2007</v>
      </c>
      <c r="G345" s="5" t="str">
        <f>IFERROR(__xludf.DUMMYFUNCTION("GOOGLETRANSLATE(D345,""ca"",""es"")"),"ISX")</f>
        <v>ISX</v>
      </c>
      <c r="H345" s="4" t="s">
        <v>2008</v>
      </c>
      <c r="I345" s="4">
        <v>9.0</v>
      </c>
      <c r="J345" s="4" t="s">
        <v>2005</v>
      </c>
    </row>
    <row r="346">
      <c r="A346" s="4">
        <v>244.0</v>
      </c>
      <c r="B346" s="4" t="s">
        <v>472</v>
      </c>
      <c r="C346" s="4"/>
      <c r="D346" s="4" t="s">
        <v>2009</v>
      </c>
      <c r="E346" s="4" t="s">
        <v>2010</v>
      </c>
      <c r="F346" s="4" t="s">
        <v>2011</v>
      </c>
      <c r="G346" s="5" t="str">
        <f>IFERROR(__xludf.DUMMYFUNCTION("GOOGLETRANSLATE(D346,""ca"",""es"")"),"ahora")</f>
        <v>ahora</v>
      </c>
    </row>
    <row r="347">
      <c r="A347" s="4">
        <v>245.0</v>
      </c>
      <c r="B347" s="4" t="s">
        <v>472</v>
      </c>
      <c r="C347" s="4"/>
      <c r="D347" s="4" t="s">
        <v>2012</v>
      </c>
      <c r="E347" s="4" t="s">
        <v>2013</v>
      </c>
      <c r="F347" s="4" t="s">
        <v>2014</v>
      </c>
      <c r="G347" s="5" t="str">
        <f>IFERROR(__xludf.DUMMYFUNCTION("GOOGLETRANSLATE(D347,""ca"",""es"")"),"khi")</f>
        <v>khi</v>
      </c>
    </row>
    <row r="348">
      <c r="A348" s="4">
        <v>246.0</v>
      </c>
      <c r="B348" s="4" t="s">
        <v>472</v>
      </c>
      <c r="C348" s="4"/>
      <c r="D348" s="4" t="s">
        <v>2015</v>
      </c>
      <c r="E348" s="4" t="s">
        <v>2016</v>
      </c>
      <c r="F348" s="4" t="s">
        <v>2015</v>
      </c>
      <c r="G348" s="5" t="str">
        <f>IFERROR(__xludf.DUMMYFUNCTION("GOOGLETRANSLATE(D348,""ca"",""es"")"),"la")</f>
        <v>la</v>
      </c>
      <c r="H348" s="4" t="s">
        <v>2015</v>
      </c>
      <c r="I348" s="4" t="s">
        <v>2017</v>
      </c>
    </row>
    <row r="349">
      <c r="A349" s="4">
        <v>247.0</v>
      </c>
      <c r="B349" s="4" t="s">
        <v>472</v>
      </c>
      <c r="C349" s="4"/>
      <c r="D349" s="4" t="s">
        <v>2018</v>
      </c>
      <c r="E349" s="4" t="s">
        <v>2019</v>
      </c>
      <c r="F349" s="4" t="s">
        <v>2020</v>
      </c>
      <c r="G349" s="5" t="str">
        <f>IFERROR(__xludf.DUMMYFUNCTION("GOOGLETRANSLATE(D349,""ca"",""es"")"),"falta")</f>
        <v>falta</v>
      </c>
    </row>
    <row r="350">
      <c r="A350" s="4">
        <v>248.0</v>
      </c>
      <c r="B350" s="4" t="s">
        <v>472</v>
      </c>
      <c r="C350" s="4"/>
      <c r="D350" s="4" t="s">
        <v>2021</v>
      </c>
      <c r="E350" s="4" t="s">
        <v>2022</v>
      </c>
      <c r="F350" s="4" t="s">
        <v>2023</v>
      </c>
      <c r="G350" s="5" t="str">
        <f>IFERROR(__xludf.DUMMYFUNCTION("GOOGLETRANSLATE(D350,""ca"",""es"")"),"Laia")</f>
        <v>Laia</v>
      </c>
    </row>
    <row r="351">
      <c r="A351" s="4">
        <v>249.0</v>
      </c>
      <c r="B351" s="4" t="s">
        <v>472</v>
      </c>
      <c r="C351" s="4"/>
      <c r="D351" s="4" t="s">
        <v>2024</v>
      </c>
      <c r="E351" s="4" t="s">
        <v>2025</v>
      </c>
      <c r="F351" s="4" t="s">
        <v>2024</v>
      </c>
      <c r="G351" s="5" t="str">
        <f>IFERROR(__xludf.DUMMYFUNCTION("GOOGLETRANSLATE(D351,""ca"",""es"")"),"rodar")</f>
        <v>rodar</v>
      </c>
      <c r="H351" s="4" t="s">
        <v>2026</v>
      </c>
      <c r="I351" s="4" t="s">
        <v>2027</v>
      </c>
    </row>
    <row r="352">
      <c r="A352" s="4">
        <v>250.0</v>
      </c>
      <c r="B352" s="4" t="s">
        <v>472</v>
      </c>
      <c r="C352" s="4"/>
      <c r="D352" s="4" t="s">
        <v>2028</v>
      </c>
      <c r="E352" s="4" t="s">
        <v>2029</v>
      </c>
      <c r="F352" s="4" t="s">
        <v>2030</v>
      </c>
      <c r="G352" s="5" t="str">
        <f>IFERROR(__xludf.DUMMYFUNCTION("GOOGLETRANSLATE(D352,""ca"",""es"")"),"lassa")</f>
        <v>lassa</v>
      </c>
    </row>
    <row r="353">
      <c r="A353" s="4">
        <v>251.0</v>
      </c>
      <c r="B353" s="4" t="s">
        <v>472</v>
      </c>
      <c r="C353" s="4"/>
      <c r="D353" s="4" t="s">
        <v>2031</v>
      </c>
      <c r="E353" s="4" t="s">
        <v>2032</v>
      </c>
      <c r="F353" s="4" t="s">
        <v>2033</v>
      </c>
      <c r="G353" s="5" t="str">
        <f>IFERROR(__xludf.DUMMYFUNCTION("GOOGLETRANSLATE(D353,""ca"",""es"")"),"a lassar")</f>
        <v>a lassar</v>
      </c>
    </row>
    <row r="354">
      <c r="A354" s="4">
        <v>252.0</v>
      </c>
      <c r="B354" s="4" t="s">
        <v>472</v>
      </c>
      <c r="C354" s="4"/>
      <c r="D354" s="4" t="s">
        <v>2034</v>
      </c>
      <c r="E354" s="4" t="s">
        <v>2035</v>
      </c>
      <c r="F354" s="4" t="s">
        <v>2036</v>
      </c>
      <c r="G354" s="5" t="str">
        <f>IFERROR(__xludf.DUMMYFUNCTION("GOOGLETRANSLATE(D354,""ca"",""es"")"),"lassos")</f>
        <v>lassos</v>
      </c>
    </row>
    <row r="355">
      <c r="A355" s="4">
        <v>253.0</v>
      </c>
      <c r="B355" s="4" t="s">
        <v>472</v>
      </c>
      <c r="C355" s="4"/>
      <c r="D355" s="4" t="s">
        <v>2037</v>
      </c>
      <c r="E355" s="4" t="s">
        <v>2038</v>
      </c>
      <c r="F355" s="4" t="s">
        <v>2037</v>
      </c>
      <c r="G355" s="5" t="str">
        <f>IFERROR(__xludf.DUMMYFUNCTION("GOOGLETRANSLATE(D355,""ca"",""es"")"),"su")</f>
        <v>su</v>
      </c>
    </row>
    <row r="356">
      <c r="A356" s="4">
        <v>254.0</v>
      </c>
      <c r="B356" s="4" t="s">
        <v>472</v>
      </c>
      <c r="C356" s="4"/>
      <c r="D356" s="4" t="s">
        <v>2039</v>
      </c>
      <c r="E356" s="4" t="s">
        <v>2040</v>
      </c>
      <c r="F356" s="4" t="s">
        <v>2041</v>
      </c>
      <c r="G356" s="5" t="str">
        <f>IFERROR(__xludf.DUMMYFUNCTION("GOOGLETRANSLATE(D356,""ca"",""es"")"),"lícito")</f>
        <v>lícito</v>
      </c>
    </row>
    <row r="357">
      <c r="A357" s="4">
        <v>255.0</v>
      </c>
      <c r="B357" s="4" t="s">
        <v>472</v>
      </c>
      <c r="C357" s="4"/>
      <c r="D357" s="4" t="s">
        <v>2042</v>
      </c>
      <c r="E357" s="4" t="s">
        <v>2043</v>
      </c>
      <c r="F357" s="4" t="s">
        <v>2044</v>
      </c>
      <c r="G357" s="5" t="str">
        <f>IFERROR(__xludf.DUMMYFUNCTION("GOOGLETRANSLATE(D357,""ca"",""es"")"),"lícito")</f>
        <v>lícito</v>
      </c>
    </row>
    <row r="358">
      <c r="A358" s="4">
        <v>256.0</v>
      </c>
      <c r="B358" s="4" t="s">
        <v>472</v>
      </c>
      <c r="C358" s="4"/>
      <c r="D358" s="4" t="s">
        <v>2045</v>
      </c>
      <c r="E358" s="4" t="s">
        <v>2046</v>
      </c>
      <c r="F358" s="4" t="s">
        <v>2045</v>
      </c>
      <c r="G358" s="5" t="str">
        <f>IFERROR(__xludf.DUMMYFUNCTION("GOOGLETRANSLATE(D358,""ca"",""es"")"),"violeta")</f>
        <v>violeta</v>
      </c>
      <c r="H358" s="4" t="s">
        <v>2047</v>
      </c>
      <c r="I358" s="4" t="s">
        <v>2048</v>
      </c>
      <c r="J358" s="4" t="s">
        <v>2049</v>
      </c>
      <c r="K358" s="4" t="s">
        <v>2048</v>
      </c>
    </row>
    <row r="359">
      <c r="A359" s="4">
        <v>257.0</v>
      </c>
      <c r="B359" s="4" t="s">
        <v>472</v>
      </c>
      <c r="C359" s="4"/>
      <c r="D359" s="4" t="s">
        <v>2050</v>
      </c>
      <c r="E359" s="4" t="s">
        <v>2046</v>
      </c>
      <c r="F359" s="4" t="s">
        <v>2045</v>
      </c>
      <c r="G359" s="5" t="str">
        <f>IFERROR(__xludf.DUMMYFUNCTION("GOOGLETRANSLATE(D359,""ca"",""es"")"),"violeta")</f>
        <v>violeta</v>
      </c>
      <c r="H359" s="4" t="s">
        <v>2048</v>
      </c>
    </row>
    <row r="360">
      <c r="A360" s="4">
        <v>258.0</v>
      </c>
      <c r="B360" s="4" t="s">
        <v>472</v>
      </c>
      <c r="C360" s="4"/>
      <c r="D360" s="4" t="s">
        <v>2051</v>
      </c>
      <c r="E360" s="4" t="s">
        <v>2052</v>
      </c>
      <c r="F360" s="4" t="s">
        <v>2053</v>
      </c>
      <c r="G360" s="5" t="str">
        <f>IFERROR(__xludf.DUMMYFUNCTION("GOOGLETRANSLATE(D360,""ca"",""es"")"),"límite")</f>
        <v>límite</v>
      </c>
      <c r="H360" s="4" t="s">
        <v>2054</v>
      </c>
      <c r="I360" s="4" t="s">
        <v>2055</v>
      </c>
      <c r="J360" s="4" t="s">
        <v>2056</v>
      </c>
      <c r="K360" s="4" t="s">
        <v>2057</v>
      </c>
      <c r="L360" s="4" t="s">
        <v>2058</v>
      </c>
      <c r="M360" s="4" t="s">
        <v>2059</v>
      </c>
      <c r="N360" s="4" t="s">
        <v>2060</v>
      </c>
      <c r="O360" s="4" t="s">
        <v>2061</v>
      </c>
      <c r="P360" s="4" t="s">
        <v>2058</v>
      </c>
      <c r="Q360" s="4" t="s">
        <v>2062</v>
      </c>
      <c r="R360" s="4" t="s">
        <v>2060</v>
      </c>
      <c r="S360" s="4" t="s">
        <v>2055</v>
      </c>
      <c r="T360" s="4" t="s">
        <v>929</v>
      </c>
      <c r="U360" s="4" t="s">
        <v>2063</v>
      </c>
      <c r="V360" s="4" t="s">
        <v>2064</v>
      </c>
      <c r="W360" s="4" t="s">
        <v>2065</v>
      </c>
      <c r="X360" s="4" t="s">
        <v>2066</v>
      </c>
      <c r="Y360" s="4" t="s">
        <v>2067</v>
      </c>
      <c r="Z360" s="4" t="s">
        <v>2068</v>
      </c>
      <c r="AA360" s="4" t="s">
        <v>2069</v>
      </c>
      <c r="AB360" s="4" t="s">
        <v>1605</v>
      </c>
      <c r="AC360" s="4" t="s">
        <v>2070</v>
      </c>
      <c r="AD360" s="4" t="s">
        <v>2071</v>
      </c>
      <c r="AE360" s="4" t="s">
        <v>2055</v>
      </c>
      <c r="AF360" s="4" t="s">
        <v>2072</v>
      </c>
      <c r="AG360" s="4" t="s">
        <v>2073</v>
      </c>
      <c r="AH360" s="4" t="s">
        <v>313</v>
      </c>
      <c r="AI360" s="4" t="s">
        <v>2074</v>
      </c>
      <c r="AJ360" s="4" t="s">
        <v>2075</v>
      </c>
      <c r="AK360" s="4" t="s">
        <v>2063</v>
      </c>
      <c r="AL360" s="4" t="s">
        <v>2076</v>
      </c>
      <c r="AM360" s="4" t="s">
        <v>2059</v>
      </c>
      <c r="AN360" s="4" t="s">
        <v>2065</v>
      </c>
    </row>
    <row r="361">
      <c r="A361" s="4">
        <v>259.0</v>
      </c>
      <c r="B361" s="4" t="s">
        <v>472</v>
      </c>
      <c r="C361" s="4"/>
      <c r="D361" s="4" t="s">
        <v>2051</v>
      </c>
      <c r="E361" s="4" t="s">
        <v>2077</v>
      </c>
      <c r="F361" s="4" t="s">
        <v>2051</v>
      </c>
      <c r="G361" s="5" t="str">
        <f>IFERROR(__xludf.DUMMYFUNCTION("GOOGLETRANSLATE(D361,""ca"",""es"")"),"límite")</f>
        <v>límite</v>
      </c>
      <c r="H361" s="4" t="s">
        <v>2054</v>
      </c>
      <c r="I361" s="4" t="s">
        <v>2055</v>
      </c>
      <c r="J361" s="4" t="s">
        <v>2056</v>
      </c>
      <c r="K361" s="4" t="s">
        <v>2057</v>
      </c>
      <c r="L361" s="4" t="s">
        <v>2058</v>
      </c>
      <c r="M361" s="4" t="s">
        <v>2059</v>
      </c>
      <c r="N361" s="4" t="s">
        <v>2060</v>
      </c>
      <c r="O361" s="4" t="s">
        <v>2061</v>
      </c>
      <c r="P361" s="4" t="s">
        <v>2058</v>
      </c>
      <c r="Q361" s="4" t="s">
        <v>2062</v>
      </c>
      <c r="R361" s="4" t="s">
        <v>2060</v>
      </c>
      <c r="S361" s="4" t="s">
        <v>2055</v>
      </c>
      <c r="T361" s="4" t="s">
        <v>929</v>
      </c>
      <c r="U361" s="4" t="s">
        <v>2063</v>
      </c>
      <c r="V361" s="4" t="s">
        <v>2064</v>
      </c>
      <c r="W361" s="4" t="s">
        <v>2065</v>
      </c>
      <c r="X361" s="4" t="s">
        <v>2066</v>
      </c>
      <c r="Y361" s="4" t="s">
        <v>2067</v>
      </c>
      <c r="Z361" s="4" t="s">
        <v>2068</v>
      </c>
      <c r="AA361" s="4" t="s">
        <v>2069</v>
      </c>
      <c r="AB361" s="4" t="s">
        <v>1605</v>
      </c>
      <c r="AC361" s="4" t="s">
        <v>2070</v>
      </c>
      <c r="AD361" s="4" t="s">
        <v>2071</v>
      </c>
      <c r="AE361" s="4" t="s">
        <v>2055</v>
      </c>
      <c r="AF361" s="4" t="s">
        <v>2072</v>
      </c>
      <c r="AG361" s="4" t="s">
        <v>2073</v>
      </c>
      <c r="AH361" s="4" t="s">
        <v>313</v>
      </c>
      <c r="AI361" s="4" t="s">
        <v>2074</v>
      </c>
      <c r="AJ361" s="4" t="s">
        <v>2075</v>
      </c>
      <c r="AK361" s="4" t="s">
        <v>2063</v>
      </c>
      <c r="AL361" s="4" t="s">
        <v>2076</v>
      </c>
      <c r="AM361" s="4" t="s">
        <v>2059</v>
      </c>
      <c r="AN361" s="4" t="s">
        <v>2065</v>
      </c>
    </row>
    <row r="362">
      <c r="A362" s="4">
        <v>260.0</v>
      </c>
      <c r="B362" s="4" t="s">
        <v>472</v>
      </c>
      <c r="C362" s="4"/>
      <c r="D362" s="4" t="s">
        <v>2078</v>
      </c>
      <c r="E362" s="4" t="s">
        <v>2079</v>
      </c>
      <c r="F362" s="4" t="s">
        <v>2078</v>
      </c>
      <c r="G362" s="5" t="str">
        <f>IFERROR(__xludf.DUMMYFUNCTION("GOOGLETRANSLATE(D362,""ca"",""es"")"),"lira")</f>
        <v>lira</v>
      </c>
      <c r="H362" s="4" t="s">
        <v>2080</v>
      </c>
      <c r="I362" s="4" t="s">
        <v>2081</v>
      </c>
      <c r="J362" s="4" t="s">
        <v>2078</v>
      </c>
      <c r="K362" s="4" t="s">
        <v>2082</v>
      </c>
    </row>
    <row r="363">
      <c r="A363" s="4">
        <v>261.0</v>
      </c>
      <c r="B363" s="4" t="s">
        <v>472</v>
      </c>
      <c r="C363" s="4"/>
      <c r="D363" s="4" t="s">
        <v>2083</v>
      </c>
      <c r="E363" s="4" t="s">
        <v>2084</v>
      </c>
      <c r="F363" s="4" t="s">
        <v>2083</v>
      </c>
      <c r="G363" s="5" t="str">
        <f>IFERROR(__xludf.DUMMYFUNCTION("GOOGLETRANSLATE(D363,""ca"",""es"")"),"litio")</f>
        <v>litio</v>
      </c>
      <c r="H363" s="4" t="s">
        <v>2085</v>
      </c>
      <c r="I363" s="4" t="s">
        <v>2086</v>
      </c>
      <c r="J363" s="4" t="s">
        <v>2087</v>
      </c>
    </row>
    <row r="364">
      <c r="A364" s="4">
        <v>262.0</v>
      </c>
      <c r="B364" s="4" t="s">
        <v>472</v>
      </c>
      <c r="C364" s="4"/>
      <c r="D364" s="4" t="s">
        <v>2088</v>
      </c>
      <c r="E364" s="4" t="s">
        <v>2089</v>
      </c>
      <c r="F364" s="4" t="s">
        <v>2090</v>
      </c>
      <c r="G364" s="5" t="str">
        <f>IFERROR(__xludf.DUMMYFUNCTION("GOOGLETRANSLATE(D364,""ca"",""es"")"),"lago")</f>
        <v>lago</v>
      </c>
      <c r="H364" s="4" t="s">
        <v>2091</v>
      </c>
      <c r="I364" s="4" t="s">
        <v>2091</v>
      </c>
    </row>
    <row r="365">
      <c r="A365" s="4">
        <v>263.0</v>
      </c>
      <c r="B365" s="4" t="s">
        <v>472</v>
      </c>
      <c r="C365" s="4"/>
      <c r="D365" s="4" t="s">
        <v>2092</v>
      </c>
      <c r="E365" s="4" t="s">
        <v>2093</v>
      </c>
      <c r="F365" s="4" t="s">
        <v>2094</v>
      </c>
      <c r="G365" s="5" t="str">
        <f>IFERROR(__xludf.DUMMYFUNCTION("GOOGLETRANSLATE(D365,""ca"",""es"")"),"laguna")</f>
        <v>laguna</v>
      </c>
      <c r="H365" s="4" t="s">
        <v>2095</v>
      </c>
      <c r="I365" s="4" t="s">
        <v>2096</v>
      </c>
      <c r="J365" s="4" t="s">
        <v>2097</v>
      </c>
      <c r="K365" s="4" t="s">
        <v>2098</v>
      </c>
    </row>
    <row r="366">
      <c r="A366" s="4">
        <v>264.0</v>
      </c>
      <c r="B366" s="4" t="s">
        <v>472</v>
      </c>
      <c r="C366" s="4"/>
      <c r="D366" s="4" t="s">
        <v>2099</v>
      </c>
      <c r="E366" s="4" t="s">
        <v>2100</v>
      </c>
      <c r="F366" s="4" t="s">
        <v>2099</v>
      </c>
      <c r="G366" s="5" t="str">
        <f>IFERROR(__xludf.DUMMYFUNCTION("GOOGLETRANSLATE(D366,""ca"",""es"")"),"fuego")</f>
        <v>fuego</v>
      </c>
      <c r="H366" s="4" t="s">
        <v>2099</v>
      </c>
    </row>
    <row r="367">
      <c r="A367" s="4">
        <v>265.0</v>
      </c>
      <c r="B367" s="4" t="s">
        <v>472</v>
      </c>
      <c r="C367" s="4"/>
      <c r="D367" s="4" t="s">
        <v>2101</v>
      </c>
      <c r="E367" s="4" t="s">
        <v>2102</v>
      </c>
      <c r="F367" s="4" t="s">
        <v>2101</v>
      </c>
      <c r="G367" s="5" t="str">
        <f>IFERROR(__xludf.DUMMYFUNCTION("GOOGLETRANSLATE(D367,""ca"",""es"")"),"claro")</f>
        <v>claro</v>
      </c>
    </row>
    <row r="368">
      <c r="A368" s="4">
        <v>266.0</v>
      </c>
      <c r="B368" s="4" t="s">
        <v>472</v>
      </c>
      <c r="C368" s="4"/>
      <c r="D368" s="4" t="s">
        <v>2103</v>
      </c>
      <c r="E368" s="4" t="s">
        <v>2104</v>
      </c>
      <c r="F368" s="4" t="s">
        <v>2105</v>
      </c>
      <c r="G368" s="5" t="str">
        <f>IFERROR(__xludf.DUMMYFUNCTION("GOOGLETRANSLATE(D368,""ca"",""es"")"),"rayo")</f>
        <v>rayo</v>
      </c>
      <c r="H368" s="4" t="s">
        <v>2106</v>
      </c>
      <c r="I368" s="4" t="s">
        <v>2106</v>
      </c>
    </row>
    <row r="369">
      <c r="A369" s="4">
        <v>267.0</v>
      </c>
      <c r="B369" s="4" t="s">
        <v>472</v>
      </c>
      <c r="C369" s="4"/>
      <c r="D369" s="4" t="s">
        <v>2107</v>
      </c>
      <c r="E369" s="4" t="s">
        <v>2108</v>
      </c>
      <c r="F369" s="4" t="s">
        <v>2107</v>
      </c>
      <c r="G369" s="5" t="str">
        <f>IFERROR(__xludf.DUMMYFUNCTION("GOOGLETRANSLATE(D369,""ca"",""es"")"),"lana")</f>
        <v>lana</v>
      </c>
      <c r="H369" s="4" t="s">
        <v>2109</v>
      </c>
      <c r="I369" s="4" t="s">
        <v>2110</v>
      </c>
      <c r="J369" s="4" t="s">
        <v>2109</v>
      </c>
      <c r="K369" s="4" t="s">
        <v>2111</v>
      </c>
      <c r="L369" s="4" t="s">
        <v>2112</v>
      </c>
      <c r="M369" s="4" t="s">
        <v>2109</v>
      </c>
    </row>
    <row r="370">
      <c r="A370" s="4">
        <v>268.0</v>
      </c>
      <c r="B370" s="4" t="s">
        <v>472</v>
      </c>
      <c r="C370" s="4"/>
      <c r="D370" s="4" t="s">
        <v>2113</v>
      </c>
      <c r="E370" s="4" t="s">
        <v>2114</v>
      </c>
      <c r="F370" s="4" t="s">
        <v>2115</v>
      </c>
      <c r="G370" s="5" t="str">
        <f>IFERROR(__xludf.DUMMYFUNCTION("GOOGLETRANSLATE(D370,""ca"",""es"")"),"lápiz")</f>
        <v>lápiz</v>
      </c>
    </row>
    <row r="371">
      <c r="A371" s="4">
        <v>269.0</v>
      </c>
      <c r="B371" s="4" t="s">
        <v>472</v>
      </c>
      <c r="C371" s="4"/>
      <c r="D371" s="4" t="s">
        <v>2116</v>
      </c>
      <c r="E371" s="4" t="s">
        <v>2117</v>
      </c>
      <c r="F371" s="4" t="s">
        <v>2116</v>
      </c>
      <c r="G371" s="5" t="str">
        <f>IFERROR(__xludf.DUMMYFUNCTION("GOOGLETRANSLATE(D371,""ca"",""es"")"),"lápiz")</f>
        <v>lápiz</v>
      </c>
      <c r="H371" s="4" t="s">
        <v>2118</v>
      </c>
      <c r="I371" s="4" t="s">
        <v>2118</v>
      </c>
    </row>
    <row r="372">
      <c r="A372" s="4">
        <v>270.0</v>
      </c>
      <c r="B372" s="4" t="s">
        <v>472</v>
      </c>
      <c r="C372" s="4"/>
      <c r="D372" s="4" t="s">
        <v>2119</v>
      </c>
      <c r="E372" s="4" t="s">
        <v>2120</v>
      </c>
      <c r="F372" s="4" t="s">
        <v>2119</v>
      </c>
      <c r="G372" s="5" t="str">
        <f>IFERROR(__xludf.DUMMYFUNCTION("GOOGLETRANSLATE(D372,""ca"",""es"")"),"hogar")</f>
        <v>hogar</v>
      </c>
      <c r="H372" s="4" t="s">
        <v>907</v>
      </c>
      <c r="I372" s="4" t="s">
        <v>2121</v>
      </c>
      <c r="J372" s="4" t="s">
        <v>2122</v>
      </c>
      <c r="K372" s="4" t="s">
        <v>2123</v>
      </c>
      <c r="L372" s="4" t="s">
        <v>2122</v>
      </c>
      <c r="M372" s="4" t="s">
        <v>2124</v>
      </c>
      <c r="N372" s="4" t="s">
        <v>2125</v>
      </c>
      <c r="O372" s="4" t="s">
        <v>2126</v>
      </c>
      <c r="P372" s="4" t="s">
        <v>2127</v>
      </c>
      <c r="Q372" s="4" t="s">
        <v>2128</v>
      </c>
      <c r="R372" s="4" t="s">
        <v>2129</v>
      </c>
      <c r="S372" s="4" t="s">
        <v>2130</v>
      </c>
      <c r="T372" s="4" t="s">
        <v>2125</v>
      </c>
      <c r="U372" s="4" t="s">
        <v>2131</v>
      </c>
    </row>
    <row r="373">
      <c r="A373" s="4">
        <v>271.0</v>
      </c>
      <c r="B373" s="4" t="s">
        <v>472</v>
      </c>
      <c r="C373" s="4"/>
      <c r="D373" s="4" t="s">
        <v>2132</v>
      </c>
      <c r="E373" s="4" t="s">
        <v>2133</v>
      </c>
      <c r="F373" s="4" t="s">
        <v>2134</v>
      </c>
      <c r="G373" s="5" t="str">
        <f>IFERROR(__xludf.DUMMYFUNCTION("GOOGLETRANSLATE(D373,""ca"",""es"")"),"falta")</f>
        <v>falta</v>
      </c>
    </row>
    <row r="374">
      <c r="A374" s="4">
        <v>272.0</v>
      </c>
      <c r="B374" s="4" t="s">
        <v>472</v>
      </c>
      <c r="C374" s="4"/>
      <c r="D374" s="4" t="s">
        <v>2135</v>
      </c>
      <c r="E374" s="4" t="s">
        <v>2136</v>
      </c>
      <c r="F374" s="4" t="s">
        <v>2137</v>
      </c>
      <c r="G374" s="5" t="str">
        <f>IFERROR(__xludf.DUMMYFUNCTION("GOOGLETRANSLATE(D374,""ca"",""es"")"),"lago")</f>
        <v>lago</v>
      </c>
    </row>
    <row r="375">
      <c r="A375" s="4">
        <v>273.0</v>
      </c>
      <c r="B375" s="4" t="s">
        <v>472</v>
      </c>
      <c r="C375" s="4"/>
      <c r="D375" s="4" t="s">
        <v>2138</v>
      </c>
      <c r="E375" s="4" t="s">
        <v>2139</v>
      </c>
      <c r="F375" s="4" t="s">
        <v>2140</v>
      </c>
      <c r="G375" s="5" t="str">
        <f>IFERROR(__xludf.DUMMYFUNCTION("GOOGLETRANSLATE(D375,""ca"",""es"")"),"latín")</f>
        <v>latín</v>
      </c>
      <c r="H375" s="4" t="s">
        <v>2141</v>
      </c>
      <c r="I375" s="4" t="s">
        <v>2141</v>
      </c>
      <c r="J375" s="4" t="s">
        <v>2141</v>
      </c>
      <c r="K375" s="4" t="s">
        <v>2141</v>
      </c>
    </row>
    <row r="376">
      <c r="A376" s="4">
        <v>274.0</v>
      </c>
      <c r="B376" s="4" t="s">
        <v>472</v>
      </c>
      <c r="C376" s="4"/>
      <c r="D376" s="4" t="s">
        <v>2142</v>
      </c>
      <c r="E376" s="4" t="s">
        <v>2143</v>
      </c>
      <c r="F376" s="4" t="s">
        <v>2144</v>
      </c>
      <c r="G376" s="5" t="str">
        <f>IFERROR(__xludf.DUMMYFUNCTION("GOOGLETRANSLATE(D376,""ca"",""es"")"),"vínculo")</f>
        <v>vínculo</v>
      </c>
      <c r="H376" s="4" t="s">
        <v>2145</v>
      </c>
      <c r="I376" s="4" t="s">
        <v>2146</v>
      </c>
      <c r="J376" s="4" t="s">
        <v>2147</v>
      </c>
      <c r="K376" s="4" t="s">
        <v>2148</v>
      </c>
      <c r="L376" s="4" t="s">
        <v>2149</v>
      </c>
    </row>
    <row r="377">
      <c r="A377" s="4">
        <v>275.0</v>
      </c>
      <c r="B377" s="4" t="s">
        <v>472</v>
      </c>
      <c r="C377" s="4"/>
      <c r="D377" s="4" t="s">
        <v>2150</v>
      </c>
      <c r="E377" s="4" t="s">
        <v>2151</v>
      </c>
      <c r="F377" s="4" t="s">
        <v>2150</v>
      </c>
      <c r="G377" s="5" t="str">
        <f>IFERROR(__xludf.DUMMYFUNCTION("GOOGLETRANSLATE(D377,""ca"",""es"")"),"lino")</f>
        <v>lino</v>
      </c>
      <c r="H377" s="4" t="s">
        <v>2152</v>
      </c>
    </row>
    <row r="378">
      <c r="A378" s="4">
        <v>276.0</v>
      </c>
      <c r="B378" s="4" t="s">
        <v>472</v>
      </c>
      <c r="C378" s="4"/>
      <c r="D378" s="4" t="s">
        <v>2153</v>
      </c>
      <c r="E378" s="4" t="s">
        <v>2154</v>
      </c>
      <c r="F378" s="4" t="s">
        <v>2153</v>
      </c>
      <c r="G378" s="5" t="str">
        <f>IFERROR(__xludf.DUMMYFUNCTION("GOOGLETRANSLATE(D378,""ca"",""es"")"),"limo")</f>
        <v>limo</v>
      </c>
      <c r="H378" s="4" t="s">
        <v>2155</v>
      </c>
      <c r="I378" s="4" t="s">
        <v>2156</v>
      </c>
      <c r="J378" s="4" t="s">
        <v>2157</v>
      </c>
      <c r="K378" s="4" t="s">
        <v>2158</v>
      </c>
      <c r="L378" s="4" t="s">
        <v>2159</v>
      </c>
      <c r="M378" s="4" t="s">
        <v>2160</v>
      </c>
      <c r="N378" s="4" t="s">
        <v>2161</v>
      </c>
      <c r="O378" s="4" t="s">
        <v>2162</v>
      </c>
      <c r="P378" s="4" t="s">
        <v>2163</v>
      </c>
    </row>
    <row r="379">
      <c r="A379" s="4">
        <v>277.0</v>
      </c>
      <c r="B379" s="4" t="s">
        <v>472</v>
      </c>
      <c r="C379" s="4"/>
      <c r="D379" s="4" t="s">
        <v>2164</v>
      </c>
      <c r="E379" s="4" t="s">
        <v>2165</v>
      </c>
      <c r="F379" s="4" t="s">
        <v>2164</v>
      </c>
      <c r="G379" s="5" t="str">
        <f>IFERROR(__xludf.DUMMYFUNCTION("GOOGLETRANSLATE(D379,""ca"",""es"")"),"expediente")</f>
        <v>expediente</v>
      </c>
      <c r="H379" s="4" t="s">
        <v>1</v>
      </c>
      <c r="I379" s="4" t="s">
        <v>2166</v>
      </c>
    </row>
    <row r="380">
      <c r="A380" s="4">
        <v>278.0</v>
      </c>
      <c r="B380" s="4" t="s">
        <v>472</v>
      </c>
      <c r="C380" s="4"/>
      <c r="D380" s="4" t="s">
        <v>2167</v>
      </c>
      <c r="E380" s="4" t="s">
        <v>2168</v>
      </c>
      <c r="F380" s="4" t="s">
        <v>2169</v>
      </c>
      <c r="G380" s="5" t="str">
        <f>IFERROR(__xludf.DUMMYFUNCTION("GOOGLETRANSLATE(D380,""ca"",""es"")"),"babosa")</f>
        <v>babosa</v>
      </c>
      <c r="H380" s="4" t="s">
        <v>2170</v>
      </c>
    </row>
    <row r="381">
      <c r="A381" s="4">
        <v>279.0</v>
      </c>
      <c r="B381" s="4" t="s">
        <v>472</v>
      </c>
      <c r="C381" s="4"/>
      <c r="D381" s="4" t="s">
        <v>2171</v>
      </c>
      <c r="E381" s="4" t="s">
        <v>2172</v>
      </c>
      <c r="F381" s="4" t="s">
        <v>2173</v>
      </c>
      <c r="G381" s="5" t="str">
        <f>IFERROR(__xludf.DUMMYFUNCTION("GOOGLETRANSLATE(D381,""ca"",""es"")"),"línea")</f>
        <v>línea</v>
      </c>
    </row>
    <row r="382">
      <c r="A382" s="4">
        <v>280.0</v>
      </c>
      <c r="B382" s="4" t="s">
        <v>472</v>
      </c>
      <c r="C382" s="4"/>
      <c r="D382" s="4" t="s">
        <v>2174</v>
      </c>
      <c r="E382" s="4" t="s">
        <v>2175</v>
      </c>
      <c r="F382" s="4" t="s">
        <v>2176</v>
      </c>
      <c r="G382" s="5" t="str">
        <f>IFERROR(__xludf.DUMMYFUNCTION("GOOGLETRANSLATE(D382,""ca"",""es"")"),"sedal")</f>
        <v>sedal</v>
      </c>
    </row>
    <row r="383">
      <c r="A383" s="4">
        <v>281.0</v>
      </c>
      <c r="B383" s="4" t="s">
        <v>472</v>
      </c>
      <c r="C383" s="4"/>
      <c r="D383" s="4" t="s">
        <v>2177</v>
      </c>
      <c r="E383" s="4" t="s">
        <v>2178</v>
      </c>
      <c r="F383" s="4" t="s">
        <v>2177</v>
      </c>
      <c r="G383" s="5" t="str">
        <f>IFERROR(__xludf.DUMMYFUNCTION("GOOGLETRANSLATE(D383,""ca"",""es"")"),"lirio")</f>
        <v>lirio</v>
      </c>
      <c r="H383" s="4" t="s">
        <v>2002</v>
      </c>
      <c r="I383" s="4" t="s">
        <v>2179</v>
      </c>
      <c r="J383" s="4" t="s">
        <v>2180</v>
      </c>
      <c r="K383" s="4" t="s">
        <v>2181</v>
      </c>
    </row>
    <row r="384">
      <c r="A384" s="4">
        <v>282.0</v>
      </c>
      <c r="B384" s="4" t="s">
        <v>472</v>
      </c>
      <c r="C384" s="4"/>
      <c r="D384" s="4" t="s">
        <v>2182</v>
      </c>
      <c r="E384" s="4" t="s">
        <v>2183</v>
      </c>
      <c r="F384" s="4" t="s">
        <v>2182</v>
      </c>
      <c r="G384" s="5" t="str">
        <f>IFERROR(__xludf.DUMMYFUNCTION("GOOGLETRANSLATE(D384,""ca"",""es"")"),"directo")</f>
        <v>directo</v>
      </c>
      <c r="H384" s="4" t="s">
        <v>2184</v>
      </c>
      <c r="I384" s="4" t="s">
        <v>2185</v>
      </c>
      <c r="J384" s="4" t="s">
        <v>2186</v>
      </c>
      <c r="K384" s="4" t="s">
        <v>2187</v>
      </c>
      <c r="L384" s="4" t="s">
        <v>2188</v>
      </c>
      <c r="M384" s="4" t="s">
        <v>2189</v>
      </c>
    </row>
    <row r="385">
      <c r="A385" s="4">
        <v>283.0</v>
      </c>
      <c r="B385" s="4" t="s">
        <v>472</v>
      </c>
      <c r="C385" s="4"/>
      <c r="D385" s="4" t="s">
        <v>2190</v>
      </c>
      <c r="E385" s="4" t="s">
        <v>2191</v>
      </c>
      <c r="F385" s="4" t="s">
        <v>2192</v>
      </c>
      <c r="G385" s="5" t="str">
        <f>IFERROR(__xludf.DUMMYFUNCTION("GOOGLETRANSLATE(D385,""ca"",""es"")"),"lluc")</f>
        <v>lluc</v>
      </c>
    </row>
    <row r="386">
      <c r="A386" s="4">
        <v>284.0</v>
      </c>
      <c r="B386" s="4" t="s">
        <v>472</v>
      </c>
      <c r="C386" s="4"/>
      <c r="D386" s="4" t="s">
        <v>2193</v>
      </c>
      <c r="E386" s="4" t="s">
        <v>2194</v>
      </c>
      <c r="F386" s="4" t="s">
        <v>2195</v>
      </c>
      <c r="G386" s="5" t="str">
        <f>IFERROR(__xludf.DUMMYFUNCTION("GOOGLETRANSLATE(D386,""ca"",""es"")"),"esterma")</f>
        <v>esterma</v>
      </c>
    </row>
    <row r="387">
      <c r="A387" s="4">
        <v>285.0</v>
      </c>
      <c r="B387" s="4" t="s">
        <v>472</v>
      </c>
      <c r="C387" s="4"/>
      <c r="D387" s="4" t="s">
        <v>2196</v>
      </c>
      <c r="E387" s="4" t="s">
        <v>2197</v>
      </c>
      <c r="F387" s="4" t="s">
        <v>2198</v>
      </c>
      <c r="G387" s="5" t="str">
        <f>IFERROR(__xludf.DUMMYFUNCTION("GOOGLETRANSLATE(D387,""ca"",""es"")"),"me gusta")</f>
        <v>me gusta</v>
      </c>
    </row>
    <row r="388">
      <c r="A388" s="4">
        <v>286.0</v>
      </c>
      <c r="B388" s="4" t="s">
        <v>472</v>
      </c>
      <c r="C388" s="4"/>
      <c r="D388" s="4" t="s">
        <v>2196</v>
      </c>
      <c r="E388" s="4" t="s">
        <v>2199</v>
      </c>
      <c r="F388" s="4" t="s">
        <v>2200</v>
      </c>
      <c r="G388" s="5" t="str">
        <f>IFERROR(__xludf.DUMMYFUNCTION("GOOGLETRANSLATE(D388,""ca"",""es"")"),"me gusta")</f>
        <v>me gusta</v>
      </c>
    </row>
    <row r="389">
      <c r="A389" s="4">
        <v>287.0</v>
      </c>
      <c r="B389" s="4" t="s">
        <v>472</v>
      </c>
      <c r="C389" s="4"/>
      <c r="D389" s="4" t="s">
        <v>2201</v>
      </c>
      <c r="E389" s="4" t="s">
        <v>2202</v>
      </c>
      <c r="F389" s="4" t="s">
        <v>2201</v>
      </c>
      <c r="G389" s="5" t="str">
        <f>IFERROR(__xludf.DUMMYFUNCTION("GOOGLETRANSLATE(D389,""ca"",""es"")"),"resplandor")</f>
        <v>resplandor</v>
      </c>
      <c r="H389" s="4" t="s">
        <v>2203</v>
      </c>
      <c r="I389" s="4" t="s">
        <v>997</v>
      </c>
      <c r="J389" s="4" t="s">
        <v>2204</v>
      </c>
      <c r="K389" s="4" t="s">
        <v>2205</v>
      </c>
      <c r="L389" s="4" t="s">
        <v>997</v>
      </c>
      <c r="M389" s="4" t="s">
        <v>2206</v>
      </c>
      <c r="N389" s="4" t="s">
        <v>997</v>
      </c>
      <c r="O389" s="4" t="s">
        <v>997</v>
      </c>
      <c r="P389" s="4" t="s">
        <v>997</v>
      </c>
      <c r="Q389" s="4" t="s">
        <v>2207</v>
      </c>
      <c r="R389" s="4" t="s">
        <v>2208</v>
      </c>
      <c r="S389" s="4" t="s">
        <v>997</v>
      </c>
      <c r="T389" s="4" t="s">
        <v>2209</v>
      </c>
    </row>
    <row r="390">
      <c r="A390" s="4">
        <v>288.0</v>
      </c>
      <c r="B390" s="4" t="s">
        <v>472</v>
      </c>
      <c r="C390" s="4"/>
      <c r="D390" s="4" t="s">
        <v>2210</v>
      </c>
      <c r="E390" s="4" t="s">
        <v>2211</v>
      </c>
      <c r="F390" s="4" t="s">
        <v>2210</v>
      </c>
      <c r="G390" s="5" t="str">
        <f>IFERROR(__xludf.DUMMYFUNCTION("GOOGLETRANSLATE(D390,""ca"",""es"")"),"luna")</f>
        <v>luna</v>
      </c>
      <c r="H390" s="4" t="s">
        <v>2212</v>
      </c>
      <c r="I390" s="4" t="s">
        <v>2213</v>
      </c>
      <c r="J390" s="4" t="s">
        <v>2212</v>
      </c>
      <c r="K390" s="4" t="s">
        <v>2212</v>
      </c>
      <c r="L390" s="4" t="s">
        <v>2214</v>
      </c>
      <c r="M390" s="4" t="s">
        <v>2212</v>
      </c>
      <c r="N390" s="4" t="s">
        <v>2215</v>
      </c>
      <c r="O390" s="4" t="s">
        <v>2216</v>
      </c>
    </row>
    <row r="391">
      <c r="A391" s="4">
        <v>289.0</v>
      </c>
      <c r="B391" s="4" t="s">
        <v>472</v>
      </c>
      <c r="C391" s="4"/>
      <c r="D391" s="4" t="s">
        <v>2217</v>
      </c>
      <c r="E391" s="4" t="s">
        <v>2218</v>
      </c>
      <c r="F391" s="4" t="s">
        <v>2219</v>
      </c>
      <c r="G391" s="5" t="str">
        <f>IFERROR(__xludf.DUMMYFUNCTION("GOOGLETRANSLATE(D391,""ca"",""es"")"),"lejos")</f>
        <v>lejos</v>
      </c>
    </row>
    <row r="392">
      <c r="A392" s="4">
        <v>290.0</v>
      </c>
      <c r="B392" s="4" t="s">
        <v>472</v>
      </c>
      <c r="C392" s="4"/>
      <c r="D392" s="4" t="s">
        <v>2220</v>
      </c>
      <c r="E392" s="4" t="s">
        <v>2221</v>
      </c>
      <c r="F392" s="4" t="s">
        <v>2222</v>
      </c>
      <c r="G392" s="5" t="str">
        <f>IFERROR(__xludf.DUMMYFUNCTION("GOOGLETRANSLATE(D392,""ca"",""es"")"),"lejos")</f>
        <v>lejos</v>
      </c>
    </row>
    <row r="393">
      <c r="A393" s="4">
        <v>291.0</v>
      </c>
      <c r="B393" s="4" t="s">
        <v>472</v>
      </c>
      <c r="C393" s="4"/>
      <c r="D393" s="4" t="s">
        <v>2223</v>
      </c>
      <c r="E393" s="4" t="s">
        <v>2224</v>
      </c>
      <c r="F393" s="4" t="s">
        <v>2225</v>
      </c>
      <c r="G393" s="5" t="str">
        <f>IFERROR(__xludf.DUMMYFUNCTION("GOOGLETRANSLATE(D393,""ca"",""es"")"),"lejos")</f>
        <v>lejos</v>
      </c>
      <c r="H393" s="4" t="s">
        <v>2226</v>
      </c>
      <c r="I393" s="4" t="s">
        <v>2227</v>
      </c>
      <c r="J393" s="4" t="s">
        <v>2228</v>
      </c>
      <c r="K393" s="4" t="s">
        <v>2227</v>
      </c>
      <c r="L393" s="4" t="s">
        <v>2228</v>
      </c>
      <c r="M393" s="4" t="s">
        <v>2229</v>
      </c>
      <c r="N393" s="4" t="s">
        <v>2230</v>
      </c>
      <c r="O393" s="4" t="s">
        <v>2231</v>
      </c>
      <c r="P393" s="4" t="s">
        <v>2227</v>
      </c>
      <c r="Q393" s="4" t="s">
        <v>2228</v>
      </c>
      <c r="R393" s="4" t="s">
        <v>2226</v>
      </c>
    </row>
    <row r="394">
      <c r="A394" s="4">
        <v>292.0</v>
      </c>
      <c r="B394" s="4" t="s">
        <v>472</v>
      </c>
      <c r="C394" s="4"/>
      <c r="D394" s="4" t="s">
        <v>2232</v>
      </c>
      <c r="E394" s="4" t="s">
        <v>2233</v>
      </c>
      <c r="F394" s="4" t="s">
        <v>2234</v>
      </c>
      <c r="G394" s="5" t="str">
        <f>IFERROR(__xludf.DUMMYFUNCTION("GOOGLETRANSLATE(D394,""ca"",""es"")"),"bruma")</f>
        <v>bruma</v>
      </c>
      <c r="H394" s="4" t="s">
        <v>2235</v>
      </c>
      <c r="I394" s="4" t="s">
        <v>2235</v>
      </c>
    </row>
    <row r="395">
      <c r="A395" s="4">
        <v>293.0</v>
      </c>
      <c r="B395" s="4" t="s">
        <v>472</v>
      </c>
      <c r="C395" s="4"/>
      <c r="D395" s="4" t="s">
        <v>2236</v>
      </c>
      <c r="E395" s="4" t="s">
        <v>2237</v>
      </c>
      <c r="F395" s="4" t="s">
        <v>2238</v>
      </c>
      <c r="G395" s="5" t="str">
        <f>IFERROR(__xludf.DUMMYFUNCTION("GOOGLETRANSLATE(D395,""ca"",""es"")"),"patas")</f>
        <v>patas</v>
      </c>
    </row>
    <row r="396">
      <c r="A396" s="4">
        <v>294.0</v>
      </c>
      <c r="B396" s="4" t="s">
        <v>472</v>
      </c>
      <c r="C396" s="4"/>
      <c r="D396" s="4" t="s">
        <v>2239</v>
      </c>
      <c r="E396" s="4" t="s">
        <v>2240</v>
      </c>
      <c r="F396" s="4" t="s">
        <v>2241</v>
      </c>
      <c r="G396" s="5" t="str">
        <f>IFERROR(__xludf.DUMMYFUNCTION("GOOGLETRANSLATE(D396,""ca"",""es"")"),"a él")</f>
        <v>a él</v>
      </c>
    </row>
    <row r="397">
      <c r="A397" s="4">
        <v>295.0</v>
      </c>
      <c r="B397" s="4" t="s">
        <v>472</v>
      </c>
      <c r="C397" s="4"/>
      <c r="D397" s="4" t="s">
        <v>2242</v>
      </c>
      <c r="E397" s="4" t="s">
        <v>2243</v>
      </c>
      <c r="F397" s="4" t="s">
        <v>2244</v>
      </c>
      <c r="G397" s="5" t="str">
        <f>IFERROR(__xludf.DUMMYFUNCTION("GOOGLETRANSLATE(D397,""ca"",""es"")"),"local")</f>
        <v>local</v>
      </c>
      <c r="H397" s="4" t="s">
        <v>2245</v>
      </c>
      <c r="I397" s="4" t="s">
        <v>2242</v>
      </c>
      <c r="J397" s="4" t="s">
        <v>2242</v>
      </c>
      <c r="K397" s="4" t="s">
        <v>2242</v>
      </c>
      <c r="L397" s="4" t="s">
        <v>2246</v>
      </c>
    </row>
    <row r="398">
      <c r="A398" s="4">
        <v>296.0</v>
      </c>
      <c r="B398" s="4" t="s">
        <v>472</v>
      </c>
      <c r="C398" s="4"/>
      <c r="D398" s="4" t="s">
        <v>2247</v>
      </c>
      <c r="E398" s="4" t="s">
        <v>2248</v>
      </c>
      <c r="F398" s="4" t="s">
        <v>2249</v>
      </c>
      <c r="G398" s="5" t="str">
        <f>IFERROR(__xludf.DUMMYFUNCTION("GOOGLETRANSLATE(D398,""ca"",""es"")"),"lunar")</f>
        <v>lunar</v>
      </c>
    </row>
    <row r="399">
      <c r="A399" s="4">
        <v>297.0</v>
      </c>
      <c r="B399" s="4" t="s">
        <v>472</v>
      </c>
      <c r="C399" s="4"/>
      <c r="D399" s="4" t="s">
        <v>2247</v>
      </c>
      <c r="E399" s="4" t="s">
        <v>2250</v>
      </c>
      <c r="F399" s="4" t="s">
        <v>2247</v>
      </c>
      <c r="G399" s="5" t="str">
        <f>IFERROR(__xludf.DUMMYFUNCTION("GOOGLETRANSLATE(D399,""ca"",""es"")"),"lunar")</f>
        <v>lunar</v>
      </c>
    </row>
    <row r="400">
      <c r="A400" s="4">
        <v>298.0</v>
      </c>
      <c r="B400" s="4" t="s">
        <v>472</v>
      </c>
      <c r="C400" s="4"/>
      <c r="D400" s="4" t="s">
        <v>2251</v>
      </c>
      <c r="E400" s="4" t="s">
        <v>2252</v>
      </c>
      <c r="F400" s="4" t="s">
        <v>2251</v>
      </c>
      <c r="G400" s="5" t="str">
        <f>IFERROR(__xludf.DUMMYFUNCTION("GOOGLETRANSLATE(D400,""ca"",""es"")"),"lupa")</f>
        <v>lupa</v>
      </c>
      <c r="H400" s="4" t="s">
        <v>2253</v>
      </c>
      <c r="I400" s="4" t="s">
        <v>2254</v>
      </c>
      <c r="J400" s="4" t="s">
        <v>2255</v>
      </c>
    </row>
    <row r="401">
      <c r="A401" s="4">
        <v>299.0</v>
      </c>
      <c r="B401" s="4" t="s">
        <v>472</v>
      </c>
      <c r="C401" s="4"/>
      <c r="D401" s="4" t="s">
        <v>2256</v>
      </c>
      <c r="E401" s="4" t="s">
        <v>2257</v>
      </c>
      <c r="F401" s="4" t="s">
        <v>2256</v>
      </c>
      <c r="G401" s="5" t="str">
        <f>IFERROR(__xludf.DUMMYFUNCTION("GOOGLETRANSLATE(D401,""ca"",""es"")"),"lupus")</f>
        <v>lupus</v>
      </c>
    </row>
    <row r="402">
      <c r="A402" s="4">
        <v>300.0</v>
      </c>
      <c r="B402" s="4" t="s">
        <v>472</v>
      </c>
      <c r="C402" s="4"/>
      <c r="D402" s="4" t="s">
        <v>2258</v>
      </c>
      <c r="E402" s="4" t="s">
        <v>2259</v>
      </c>
      <c r="F402" s="4" t="s">
        <v>2260</v>
      </c>
      <c r="G402" s="5" t="str">
        <f>IFERROR(__xludf.DUMMYFUNCTION("GOOGLETRANSLATE(D402,""ca"",""es"")"),"sábana")</f>
        <v>sábana</v>
      </c>
      <c r="H402" s="4" t="s">
        <v>2261</v>
      </c>
      <c r="I402" s="4" t="s">
        <v>2262</v>
      </c>
      <c r="J402" s="4" t="s">
        <v>2263</v>
      </c>
      <c r="K402" s="4" t="s">
        <v>2264</v>
      </c>
      <c r="L402" s="4" t="s">
        <v>2265</v>
      </c>
    </row>
    <row r="403">
      <c r="A403" s="4">
        <v>301.0</v>
      </c>
      <c r="B403" s="4" t="s">
        <v>472</v>
      </c>
      <c r="C403" s="4"/>
      <c r="D403" s="4" t="s">
        <v>2266</v>
      </c>
      <c r="E403" s="4" t="s">
        <v>2267</v>
      </c>
      <c r="F403" s="4" t="s">
        <v>2268</v>
      </c>
      <c r="G403" s="5" t="str">
        <f>IFERROR(__xludf.DUMMYFUNCTION("GOOGLETRANSLATE(D403,""ca"",""es"")"),"larlaza")</f>
        <v>larlaza</v>
      </c>
    </row>
    <row r="404">
      <c r="A404" s="4">
        <v>302.0</v>
      </c>
      <c r="B404" s="4" t="s">
        <v>472</v>
      </c>
      <c r="C404" s="4"/>
      <c r="D404" s="4" t="s">
        <v>2269</v>
      </c>
      <c r="E404" s="4" t="s">
        <v>2270</v>
      </c>
      <c r="F404" s="4" t="s">
        <v>2271</v>
      </c>
      <c r="G404" s="5" t="str">
        <f>IFERROR(__xludf.DUMMYFUNCTION("GOOGLETRANSLATE(D404,""ca"",""es"")"),"lírico")</f>
        <v>lírico</v>
      </c>
    </row>
    <row r="405">
      <c r="A405" s="4">
        <v>303.0</v>
      </c>
      <c r="B405" s="4" t="s">
        <v>472</v>
      </c>
      <c r="C405" s="4"/>
      <c r="D405" s="4" t="s">
        <v>2272</v>
      </c>
      <c r="E405" s="4" t="s">
        <v>2273</v>
      </c>
      <c r="F405" s="4" t="s">
        <v>2274</v>
      </c>
      <c r="G405" s="5" t="str">
        <f>IFERROR(__xludf.DUMMYFUNCTION("GOOGLETRANSLATE(D405,""ca"",""es"")"),"lítico")</f>
        <v>lítico</v>
      </c>
    </row>
    <row r="406">
      <c r="A406" s="4">
        <v>304.0</v>
      </c>
      <c r="B406" s="4" t="s">
        <v>472</v>
      </c>
      <c r="C406" s="4"/>
      <c r="D406" s="4" t="s">
        <v>2275</v>
      </c>
      <c r="E406" s="4" t="s">
        <v>2276</v>
      </c>
      <c r="F406" s="4" t="s">
        <v>2277</v>
      </c>
      <c r="G406" s="5" t="str">
        <f>IFERROR(__xludf.DUMMYFUNCTION("GOOGLETRANSLATE(D406,""ca"",""es"")"),"lítico")</f>
        <v>lítico</v>
      </c>
    </row>
    <row r="407">
      <c r="A407" s="4">
        <v>305.0</v>
      </c>
      <c r="B407" s="4" t="s">
        <v>472</v>
      </c>
      <c r="C407" s="4"/>
      <c r="D407" s="4" t="s">
        <v>2278</v>
      </c>
      <c r="E407" s="4" t="s">
        <v>2279</v>
      </c>
      <c r="F407" s="4" t="s">
        <v>2278</v>
      </c>
      <c r="G407" s="5" t="str">
        <f>IFERROR(__xludf.DUMMYFUNCTION("GOOGLETRANSLATE(D407,""ca"",""es"")"),"mano")</f>
        <v>mano</v>
      </c>
    </row>
    <row r="408">
      <c r="A408" s="4">
        <v>306.0</v>
      </c>
      <c r="B408" s="4" t="s">
        <v>472</v>
      </c>
      <c r="C408" s="4"/>
      <c r="D408" s="4" t="s">
        <v>2280</v>
      </c>
      <c r="E408" s="4" t="s">
        <v>2281</v>
      </c>
      <c r="F408" s="4" t="s">
        <v>2282</v>
      </c>
      <c r="G408" s="5" t="str">
        <f>IFERROR(__xludf.DUMMYFUNCTION("GOOGLETRANSLATE(D408,""ca"",""es"")"),"bonita")</f>
        <v>bonita</v>
      </c>
      <c r="H408" s="4" t="s">
        <v>2283</v>
      </c>
      <c r="I408" s="4" t="s">
        <v>2284</v>
      </c>
      <c r="J408" s="4" t="s">
        <v>2285</v>
      </c>
    </row>
    <row r="409">
      <c r="A409" s="4">
        <v>307.0</v>
      </c>
      <c r="B409" s="4" t="s">
        <v>472</v>
      </c>
      <c r="C409" s="4"/>
      <c r="D409" s="4" t="s">
        <v>2286</v>
      </c>
      <c r="E409" s="4" t="s">
        <v>2287</v>
      </c>
      <c r="F409" s="4" t="s">
        <v>2288</v>
      </c>
      <c r="G409" s="5" t="str">
        <f>IFERROR(__xludf.DUMMYFUNCTION("GOOGLETRANSLATE(D409,""ca"",""es"")"),"bonito")</f>
        <v>bonito</v>
      </c>
      <c r="H409" s="4" t="s">
        <v>2289</v>
      </c>
    </row>
    <row r="410">
      <c r="A410" s="4">
        <v>308.0</v>
      </c>
      <c r="B410" s="4" t="s">
        <v>472</v>
      </c>
      <c r="C410" s="4"/>
      <c r="D410" s="4" t="s">
        <v>2290</v>
      </c>
      <c r="E410" s="4" t="s">
        <v>2291</v>
      </c>
      <c r="F410" s="4" t="s">
        <v>2292</v>
      </c>
      <c r="G410" s="5" t="str">
        <f>IFERROR(__xludf.DUMMYFUNCTION("GOOGLETRANSLATE(D410,""ca"",""es"")"),"macular")</f>
        <v>macular</v>
      </c>
      <c r="H410" s="4" t="s">
        <v>2293</v>
      </c>
      <c r="I410" s="4" t="s">
        <v>2294</v>
      </c>
      <c r="J410" s="4" t="s">
        <v>2295</v>
      </c>
      <c r="K410" s="4" t="s">
        <v>2296</v>
      </c>
      <c r="L410" s="4" t="s">
        <v>2297</v>
      </c>
      <c r="M410" s="4" t="s">
        <v>2298</v>
      </c>
    </row>
    <row r="411">
      <c r="A411" s="4">
        <v>309.0</v>
      </c>
      <c r="B411" s="4" t="s">
        <v>472</v>
      </c>
      <c r="C411" s="4"/>
      <c r="D411" s="4" t="s">
        <v>2299</v>
      </c>
      <c r="E411" s="4" t="s">
        <v>2300</v>
      </c>
      <c r="F411" s="4" t="s">
        <v>2301</v>
      </c>
      <c r="G411" s="5" t="str">
        <f>IFERROR(__xludf.DUMMYFUNCTION("GOOGLETRANSLATE(D411,""ca"",""es"")"),"mago")</f>
        <v>mago</v>
      </c>
      <c r="H411" s="4" t="s">
        <v>2302</v>
      </c>
      <c r="I411" s="4" t="s">
        <v>2303</v>
      </c>
      <c r="J411" s="4" t="s">
        <v>2304</v>
      </c>
      <c r="K411" s="4" t="s">
        <v>2305</v>
      </c>
      <c r="L411" s="4" t="s">
        <v>2306</v>
      </c>
      <c r="M411" s="4" t="s">
        <v>2307</v>
      </c>
      <c r="N411" s="4" t="s">
        <v>2308</v>
      </c>
      <c r="O411" s="4" t="s">
        <v>2302</v>
      </c>
      <c r="P411" s="4" t="s">
        <v>845</v>
      </c>
      <c r="Q411" s="4" t="s">
        <v>2309</v>
      </c>
      <c r="R411" s="4" t="s">
        <v>2310</v>
      </c>
      <c r="S411" s="4" t="s">
        <v>2311</v>
      </c>
    </row>
    <row r="412">
      <c r="A412" s="4">
        <v>310.0</v>
      </c>
      <c r="B412" s="4" t="s">
        <v>472</v>
      </c>
      <c r="C412" s="4"/>
      <c r="D412" s="4" t="s">
        <v>2312</v>
      </c>
      <c r="E412" s="4" t="s">
        <v>332</v>
      </c>
      <c r="F412" s="4" t="s">
        <v>333</v>
      </c>
      <c r="G412" s="5" t="str">
        <f>IFERROR(__xludf.DUMMYFUNCTION("GOOGLETRANSLATE(D412,""ca"",""es"")"),"alguna vez")</f>
        <v>alguna vez</v>
      </c>
    </row>
    <row r="413">
      <c r="A413" s="4">
        <v>311.0</v>
      </c>
      <c r="B413" s="4" t="s">
        <v>472</v>
      </c>
      <c r="C413" s="4"/>
      <c r="D413" s="4" t="s">
        <v>2313</v>
      </c>
      <c r="E413" s="4" t="s">
        <v>2314</v>
      </c>
      <c r="F413" s="4" t="s">
        <v>2315</v>
      </c>
      <c r="G413" s="5" t="str">
        <f>IFERROR(__xludf.DUMMYFUNCTION("GOOGLETRANSLATE(D413,""ca"",""es"")"),"maya")</f>
        <v>maya</v>
      </c>
      <c r="H413" s="4" t="s">
        <v>2316</v>
      </c>
      <c r="I413" s="4" t="s">
        <v>2317</v>
      </c>
      <c r="J413" s="4" t="s">
        <v>2318</v>
      </c>
    </row>
    <row r="414">
      <c r="A414" s="4">
        <v>312.0</v>
      </c>
      <c r="B414" s="4" t="s">
        <v>472</v>
      </c>
      <c r="C414" s="4"/>
      <c r="D414" s="4" t="s">
        <v>2319</v>
      </c>
      <c r="E414" s="4" t="s">
        <v>2320</v>
      </c>
      <c r="F414" s="4" t="s">
        <v>2321</v>
      </c>
      <c r="G414" s="5" t="str">
        <f>IFERROR(__xludf.DUMMYFUNCTION("GOOGLETRANSLATE(D414,""ca"",""es"")"),"Maial")</f>
        <v>Maial</v>
      </c>
    </row>
    <row r="415">
      <c r="A415" s="4">
        <v>313.0</v>
      </c>
      <c r="B415" s="4" t="s">
        <v>472</v>
      </c>
      <c r="C415" s="4"/>
      <c r="D415" s="4" t="s">
        <v>2322</v>
      </c>
      <c r="E415" s="4" t="s">
        <v>2323</v>
      </c>
      <c r="F415" s="4" t="s">
        <v>2322</v>
      </c>
      <c r="G415" s="5" t="str">
        <f>IFERROR(__xludf.DUMMYFUNCTION("GOOGLETRANSLATE(D415,""ca"",""es"")"),"dolor")</f>
        <v>dolor</v>
      </c>
      <c r="H415" s="4" t="s">
        <v>2324</v>
      </c>
      <c r="I415" s="4" t="s">
        <v>2325</v>
      </c>
      <c r="J415" s="4" t="s">
        <v>2326</v>
      </c>
      <c r="K415" s="4" t="s">
        <v>2327</v>
      </c>
      <c r="L415" s="4" t="s">
        <v>2328</v>
      </c>
      <c r="M415" s="4" t="s">
        <v>2329</v>
      </c>
      <c r="N415" s="4" t="s">
        <v>2330</v>
      </c>
      <c r="O415" s="4" t="s">
        <v>2328</v>
      </c>
      <c r="P415" s="4" t="s">
        <v>2331</v>
      </c>
      <c r="Q415" s="4" t="s">
        <v>2328</v>
      </c>
      <c r="R415" s="4" t="s">
        <v>2332</v>
      </c>
      <c r="S415" s="4" t="s">
        <v>2328</v>
      </c>
      <c r="T415" s="4" t="s">
        <v>2328</v>
      </c>
      <c r="U415" s="4" t="s">
        <v>2328</v>
      </c>
      <c r="V415" s="4" t="s">
        <v>2333</v>
      </c>
      <c r="W415" s="4" t="s">
        <v>2334</v>
      </c>
      <c r="X415" s="4" t="s">
        <v>2335</v>
      </c>
      <c r="Y415" s="4" t="s">
        <v>859</v>
      </c>
      <c r="Z415" s="4" t="s">
        <v>2328</v>
      </c>
      <c r="AA415" s="4" t="s">
        <v>2336</v>
      </c>
      <c r="AB415" s="4" t="s">
        <v>2337</v>
      </c>
      <c r="AC415" s="4" t="s">
        <v>2338</v>
      </c>
      <c r="AD415" s="4" t="s">
        <v>2328</v>
      </c>
      <c r="AE415" s="4" t="s">
        <v>2332</v>
      </c>
      <c r="AF415" s="4" t="s">
        <v>2339</v>
      </c>
      <c r="AG415" s="4" t="s">
        <v>2340</v>
      </c>
      <c r="AH415" s="4" t="s">
        <v>2341</v>
      </c>
      <c r="AI415" s="4" t="s">
        <v>2342</v>
      </c>
      <c r="AJ415" s="4" t="s">
        <v>2326</v>
      </c>
      <c r="AK415" s="4" t="s">
        <v>2343</v>
      </c>
      <c r="AL415" s="4" t="s">
        <v>2344</v>
      </c>
      <c r="AM415" s="4" t="s">
        <v>2345</v>
      </c>
      <c r="AN415" s="4" t="s">
        <v>2346</v>
      </c>
      <c r="AO415" s="4" t="s">
        <v>2326</v>
      </c>
      <c r="AP415" s="4" t="s">
        <v>2325</v>
      </c>
      <c r="AQ415" s="4" t="s">
        <v>2347</v>
      </c>
      <c r="AR415" s="4" t="s">
        <v>2339</v>
      </c>
      <c r="AS415" s="4" t="s">
        <v>2348</v>
      </c>
      <c r="AT415" s="4" t="s">
        <v>2349</v>
      </c>
      <c r="AU415" s="4" t="s">
        <v>2350</v>
      </c>
    </row>
    <row r="416">
      <c r="A416" s="4">
        <v>314.0</v>
      </c>
      <c r="B416" s="4" t="s">
        <v>472</v>
      </c>
      <c r="C416" s="4"/>
      <c r="D416" s="4" t="s">
        <v>2351</v>
      </c>
      <c r="E416" s="4" t="s">
        <v>2352</v>
      </c>
      <c r="F416" s="4" t="s">
        <v>2351</v>
      </c>
      <c r="G416" s="5" t="str">
        <f>IFERROR(__xludf.DUMMYFUNCTION("GOOGLETRANSLATE(D416,""ca"",""es"")"),"por debajo")</f>
        <v>por debajo</v>
      </c>
    </row>
    <row r="417">
      <c r="A417" s="4">
        <v>315.0</v>
      </c>
      <c r="B417" s="4" t="s">
        <v>472</v>
      </c>
      <c r="C417" s="4"/>
      <c r="D417" s="4" t="s">
        <v>2353</v>
      </c>
      <c r="E417" s="4" t="s">
        <v>2354</v>
      </c>
      <c r="F417" s="4" t="s">
        <v>2355</v>
      </c>
      <c r="G417" s="5" t="str">
        <f>IFERROR(__xludf.DUMMYFUNCTION("GOOGLETRANSLATE(D417,""ca"",""es"")"),"malayo")</f>
        <v>malayo</v>
      </c>
      <c r="H417" s="4" t="s">
        <v>2356</v>
      </c>
      <c r="I417" s="4" t="s">
        <v>2357</v>
      </c>
    </row>
    <row r="418">
      <c r="A418" s="4">
        <v>316.0</v>
      </c>
      <c r="B418" s="4" t="s">
        <v>472</v>
      </c>
      <c r="C418" s="4"/>
      <c r="D418" s="4" t="s">
        <v>2358</v>
      </c>
      <c r="E418" s="4" t="s">
        <v>2359</v>
      </c>
      <c r="F418" s="4" t="s">
        <v>2360</v>
      </c>
      <c r="G418" s="5" t="str">
        <f>IFERROR(__xludf.DUMMYFUNCTION("GOOGLETRANSLATE(D418,""ca"",""es"")"),"Malaria")</f>
        <v>Malaria</v>
      </c>
    </row>
    <row r="419">
      <c r="A419" s="4">
        <v>317.0</v>
      </c>
      <c r="B419" s="4" t="s">
        <v>472</v>
      </c>
      <c r="C419" s="4"/>
      <c r="D419" s="4" t="s">
        <v>2361</v>
      </c>
      <c r="E419" s="4" t="s">
        <v>2362</v>
      </c>
      <c r="F419" s="4" t="s">
        <v>2363</v>
      </c>
      <c r="G419" s="5" t="str">
        <f>IFERROR(__xludf.DUMMYFUNCTION("GOOGLETRANSLATE(D419,""ca"",""es"")"),"malaquita")</f>
        <v>malaquita</v>
      </c>
      <c r="H419" s="4" t="s">
        <v>2364</v>
      </c>
    </row>
    <row r="420">
      <c r="A420" s="4">
        <v>318.0</v>
      </c>
      <c r="B420" s="4" t="s">
        <v>472</v>
      </c>
      <c r="C420" s="4"/>
      <c r="D420" s="4" t="s">
        <v>2365</v>
      </c>
      <c r="E420" s="4" t="s">
        <v>2366</v>
      </c>
      <c r="F420" s="4" t="s">
        <v>2365</v>
      </c>
      <c r="G420" s="5" t="str">
        <f>IFERROR(__xludf.DUMMYFUNCTION("GOOGLETRANSLATE(D420,""ca"",""es"")"),"mazo")</f>
        <v>mazo</v>
      </c>
      <c r="H420" s="4" t="s">
        <v>2367</v>
      </c>
      <c r="I420" s="4" t="s">
        <v>2368</v>
      </c>
      <c r="J420" s="4" t="s">
        <v>2369</v>
      </c>
    </row>
    <row r="421">
      <c r="A421" s="4">
        <v>319.0</v>
      </c>
      <c r="B421" s="4" t="s">
        <v>472</v>
      </c>
      <c r="C421" s="4"/>
      <c r="D421" s="4" t="s">
        <v>2370</v>
      </c>
      <c r="E421" s="4" t="s">
        <v>2371</v>
      </c>
      <c r="F421" s="4" t="s">
        <v>2370</v>
      </c>
      <c r="G421" s="5" t="str">
        <f>IFERROR(__xludf.DUMMYFUNCTION("GOOGLETRANSLATE(D421,""ca"",""es"")"),"red")</f>
        <v>red</v>
      </c>
    </row>
    <row r="422">
      <c r="A422" s="4">
        <v>320.0</v>
      </c>
      <c r="B422" s="4" t="s">
        <v>472</v>
      </c>
      <c r="C422" s="4"/>
      <c r="D422" s="4" t="s">
        <v>2372</v>
      </c>
      <c r="E422" s="4" t="s">
        <v>2323</v>
      </c>
      <c r="F422" s="4" t="s">
        <v>2322</v>
      </c>
      <c r="G422" s="5" t="str">
        <f>IFERROR(__xludf.DUMMYFUNCTION("GOOGLETRANSLATE(D422,""ca"",""es"")"),"malta")</f>
        <v>malta</v>
      </c>
      <c r="H422" s="4" t="s">
        <v>2372</v>
      </c>
      <c r="I422" s="4" t="s">
        <v>2372</v>
      </c>
      <c r="J422" s="4" t="s">
        <v>2373</v>
      </c>
    </row>
    <row r="423">
      <c r="A423" s="4">
        <v>321.0</v>
      </c>
      <c r="B423" s="4" t="s">
        <v>472</v>
      </c>
      <c r="C423" s="4"/>
      <c r="D423" s="4" t="s">
        <v>2374</v>
      </c>
      <c r="E423" s="4" t="s">
        <v>2375</v>
      </c>
      <c r="F423" s="4" t="s">
        <v>2376</v>
      </c>
      <c r="G423" s="5" t="str">
        <f>IFERROR(__xludf.DUMMYFUNCTION("GOOGLETRANSLATE(D423,""ca"",""es"")"),"cadera")</f>
        <v>cadera</v>
      </c>
      <c r="H423" s="4" t="s">
        <v>2377</v>
      </c>
      <c r="I423" s="4" t="s">
        <v>2377</v>
      </c>
      <c r="J423" s="4" t="s">
        <v>2378</v>
      </c>
      <c r="K423" s="4" t="s">
        <v>2379</v>
      </c>
      <c r="L423" s="4" t="s">
        <v>2380</v>
      </c>
      <c r="M423" s="4" t="s">
        <v>1616</v>
      </c>
    </row>
    <row r="424">
      <c r="A424" s="4">
        <v>322.0</v>
      </c>
      <c r="B424" s="4" t="s">
        <v>472</v>
      </c>
      <c r="C424" s="4"/>
      <c r="D424" s="4" t="s">
        <v>2381</v>
      </c>
      <c r="E424" s="4" t="s">
        <v>2382</v>
      </c>
      <c r="F424" s="4" t="s">
        <v>2381</v>
      </c>
      <c r="G424" s="5" t="str">
        <f>IFERROR(__xludf.DUMMYFUNCTION("GOOGLETRANSLATE(D424,""ca"",""es"")"),"seno")</f>
        <v>seno</v>
      </c>
      <c r="H424" s="4" t="s">
        <v>2383</v>
      </c>
      <c r="I424" s="4" t="s">
        <v>2384</v>
      </c>
      <c r="J424" s="4" t="s">
        <v>2278</v>
      </c>
      <c r="K424" s="4" t="s">
        <v>2381</v>
      </c>
      <c r="L424" s="4" t="s">
        <v>2384</v>
      </c>
      <c r="M424" s="4" t="s">
        <v>2385</v>
      </c>
      <c r="N424" s="4" t="s">
        <v>2386</v>
      </c>
      <c r="O424" s="4" t="s">
        <v>2387</v>
      </c>
      <c r="P424" s="4" t="s">
        <v>2388</v>
      </c>
      <c r="Q424" s="4" t="s">
        <v>2389</v>
      </c>
      <c r="R424" s="4" t="s">
        <v>2390</v>
      </c>
    </row>
    <row r="425">
      <c r="A425" s="4">
        <v>323.0</v>
      </c>
      <c r="B425" s="4" t="s">
        <v>472</v>
      </c>
      <c r="C425" s="4"/>
      <c r="D425" s="4" t="s">
        <v>2391</v>
      </c>
      <c r="E425" s="4" t="s">
        <v>2392</v>
      </c>
      <c r="F425" s="4" t="s">
        <v>2391</v>
      </c>
      <c r="G425" s="5" t="str">
        <f>IFERROR(__xludf.DUMMYFUNCTION("GOOGLETRANSLATE(D425,""ca"",""es"")"),"seno")</f>
        <v>seno</v>
      </c>
    </row>
    <row r="426">
      <c r="A426" s="4">
        <v>324.0</v>
      </c>
      <c r="B426" s="4" t="s">
        <v>472</v>
      </c>
      <c r="C426" s="4"/>
      <c r="D426" s="4" t="s">
        <v>2393</v>
      </c>
      <c r="E426" s="4" t="s">
        <v>2394</v>
      </c>
      <c r="F426" s="4" t="s">
        <v>2393</v>
      </c>
      <c r="G426" s="5" t="str">
        <f>IFERROR(__xludf.DUMMYFUNCTION("GOOGLETRANSLATE(D426,""ca"",""es"")"),"mamari")</f>
        <v>mamari</v>
      </c>
    </row>
    <row r="427">
      <c r="A427" s="4">
        <v>325.0</v>
      </c>
      <c r="B427" s="4" t="s">
        <v>472</v>
      </c>
      <c r="C427" s="4"/>
      <c r="D427" s="4" t="s">
        <v>2395</v>
      </c>
      <c r="E427" s="4" t="s">
        <v>2396</v>
      </c>
      <c r="F427" s="4" t="s">
        <v>2395</v>
      </c>
      <c r="G427" s="5" t="str">
        <f>IFERROR(__xludf.DUMMYFUNCTION("GOOGLETRANSLATE(D427,""ca"",""es"")"),"seno")</f>
        <v>seno</v>
      </c>
    </row>
    <row r="428">
      <c r="A428" s="4">
        <v>326.0</v>
      </c>
      <c r="B428" s="4" t="s">
        <v>472</v>
      </c>
      <c r="C428" s="4"/>
      <c r="D428" s="4" t="s">
        <v>2397</v>
      </c>
      <c r="E428" s="4" t="s">
        <v>2398</v>
      </c>
      <c r="F428" s="4" t="s">
        <v>2399</v>
      </c>
      <c r="G428" s="5" t="str">
        <f>IFERROR(__xludf.DUMMYFUNCTION("GOOGLETRANSLATE(D428,""ca"",""es"")"),"mamo")</f>
        <v>mamo</v>
      </c>
    </row>
    <row r="429">
      <c r="A429" s="4">
        <v>327.0</v>
      </c>
      <c r="B429" s="4" t="s">
        <v>472</v>
      </c>
      <c r="C429" s="4"/>
      <c r="D429" s="4" t="s">
        <v>2400</v>
      </c>
      <c r="E429" s="4" t="s">
        <v>2382</v>
      </c>
      <c r="F429" s="4" t="s">
        <v>2381</v>
      </c>
      <c r="G429" s="5" t="str">
        <f>IFERROR(__xludf.DUMMYFUNCTION("GOOGLETRANSLATE(D429,""ca"",""es"")"),"mamán")</f>
        <v>mamán</v>
      </c>
      <c r="H429" s="4" t="s">
        <v>2278</v>
      </c>
      <c r="I429" s="4" t="s">
        <v>2381</v>
      </c>
      <c r="J429" s="4" t="s">
        <v>2384</v>
      </c>
      <c r="K429" s="4" t="s">
        <v>2385</v>
      </c>
      <c r="L429" s="4" t="s">
        <v>2386</v>
      </c>
      <c r="M429" s="4" t="s">
        <v>2387</v>
      </c>
      <c r="N429" s="4" t="s">
        <v>2388</v>
      </c>
      <c r="O429" s="4" t="s">
        <v>2389</v>
      </c>
      <c r="P429" s="4" t="s">
        <v>2390</v>
      </c>
    </row>
    <row r="430">
      <c r="A430" s="4">
        <v>328.0</v>
      </c>
      <c r="B430" s="4" t="s">
        <v>472</v>
      </c>
      <c r="C430" s="4"/>
      <c r="D430" s="4" t="s">
        <v>2401</v>
      </c>
      <c r="E430" s="4" t="s">
        <v>2402</v>
      </c>
      <c r="F430" s="4" t="s">
        <v>2401</v>
      </c>
      <c r="G430" s="5" t="str">
        <f>IFERROR(__xludf.DUMMYFUNCTION("GOOGLETRANSLATE(D430,""ca"",""es"")"),"dominio")</f>
        <v>dominio</v>
      </c>
    </row>
    <row r="431">
      <c r="A431" s="4">
        <v>329.0</v>
      </c>
      <c r="B431" s="4" t="s">
        <v>472</v>
      </c>
      <c r="C431" s="4"/>
      <c r="D431" s="4" t="s">
        <v>2403</v>
      </c>
      <c r="E431" s="4" t="s">
        <v>2404</v>
      </c>
      <c r="F431" s="4" t="s">
        <v>2403</v>
      </c>
      <c r="G431" s="5" t="str">
        <f>IFERROR(__xludf.DUMMYFUNCTION("GOOGLETRANSLATE(D431,""ca"",""es"")"),"ordenar")</f>
        <v>ordenar</v>
      </c>
      <c r="H431" s="4" t="s">
        <v>2405</v>
      </c>
      <c r="I431" s="4" t="s">
        <v>1493</v>
      </c>
      <c r="J431" s="4" t="s">
        <v>2406</v>
      </c>
      <c r="K431" s="4" t="s">
        <v>2407</v>
      </c>
      <c r="L431" s="4" t="s">
        <v>2405</v>
      </c>
      <c r="M431" s="4" t="s">
        <v>2408</v>
      </c>
      <c r="N431" s="4" t="s">
        <v>2409</v>
      </c>
      <c r="O431" s="4" t="s">
        <v>2410</v>
      </c>
      <c r="P431" s="4" t="s">
        <v>1683</v>
      </c>
      <c r="Q431" s="4" t="s">
        <v>2411</v>
      </c>
      <c r="R431" s="4" t="s">
        <v>646</v>
      </c>
      <c r="S431" s="4" t="s">
        <v>1683</v>
      </c>
      <c r="T431" s="4" t="s">
        <v>2412</v>
      </c>
      <c r="U431" s="4" t="s">
        <v>1061</v>
      </c>
      <c r="V431" s="4" t="s">
        <v>2072</v>
      </c>
      <c r="W431" s="4" t="s">
        <v>2410</v>
      </c>
      <c r="X431" s="4" t="s">
        <v>2413</v>
      </c>
    </row>
    <row r="432">
      <c r="A432" s="4">
        <v>330.0</v>
      </c>
      <c r="B432" s="4" t="s">
        <v>472</v>
      </c>
      <c r="C432" s="4"/>
      <c r="D432" s="4" t="s">
        <v>2414</v>
      </c>
      <c r="E432" s="4" t="s">
        <v>2415</v>
      </c>
      <c r="F432" s="4" t="s">
        <v>2414</v>
      </c>
      <c r="G432" s="5" t="str">
        <f>IFERROR(__xludf.DUMMYFUNCTION("GOOGLETRANSLATE(D432,""ca"",""es"")"),"melena")</f>
        <v>melena</v>
      </c>
    </row>
    <row r="433">
      <c r="A433" s="4">
        <v>331.0</v>
      </c>
      <c r="B433" s="4" t="s">
        <v>472</v>
      </c>
      <c r="C433" s="4"/>
      <c r="D433" s="4" t="s">
        <v>2416</v>
      </c>
      <c r="E433" s="4" t="s">
        <v>2417</v>
      </c>
      <c r="F433" s="4" t="s">
        <v>2416</v>
      </c>
      <c r="G433" s="5" t="str">
        <f>IFERROR(__xludf.DUMMYFUNCTION("GOOGLETRANSLATE(D433,""ca"",""es"")"),"resolver")</f>
        <v>resolver</v>
      </c>
    </row>
    <row r="434">
      <c r="A434" s="4">
        <v>332.0</v>
      </c>
      <c r="B434" s="4" t="s">
        <v>472</v>
      </c>
      <c r="C434" s="4"/>
      <c r="D434" s="4" t="s">
        <v>2418</v>
      </c>
      <c r="E434" s="4" t="s">
        <v>2419</v>
      </c>
      <c r="F434" s="4" t="s">
        <v>2418</v>
      </c>
      <c r="G434" s="5" t="str">
        <f>IFERROR(__xludf.DUMMYFUNCTION("GOOGLETRANSLATE(D434,""ca"",""es"")"),"paja")</f>
        <v>paja</v>
      </c>
    </row>
    <row r="435">
      <c r="A435" s="4">
        <v>333.0</v>
      </c>
      <c r="B435" s="4" t="s">
        <v>472</v>
      </c>
      <c r="C435" s="4"/>
      <c r="D435" s="4" t="s">
        <v>2420</v>
      </c>
      <c r="E435" s="4" t="s">
        <v>2421</v>
      </c>
      <c r="F435" s="4" t="s">
        <v>2420</v>
      </c>
      <c r="G435" s="5" t="str">
        <f>IFERROR(__xludf.DUMMYFUNCTION("GOOGLETRANSLATE(D435,""ca"",""es"")"),"manipulación")</f>
        <v>manipulación</v>
      </c>
    </row>
    <row r="436">
      <c r="A436" s="4">
        <v>334.0</v>
      </c>
      <c r="B436" s="4" t="s">
        <v>472</v>
      </c>
      <c r="C436" s="4"/>
      <c r="D436" s="4" t="s">
        <v>2422</v>
      </c>
      <c r="E436" s="4" t="s">
        <v>2423</v>
      </c>
      <c r="F436" s="4" t="s">
        <v>2422</v>
      </c>
      <c r="G436" s="5" t="str">
        <f>IFERROR(__xludf.DUMMYFUNCTION("GOOGLETRANSLATE(D436,""ca"",""es"")"),"manipular")</f>
        <v>manipular</v>
      </c>
      <c r="H436" s="4" t="s">
        <v>2424</v>
      </c>
      <c r="I436" s="4" t="s">
        <v>2424</v>
      </c>
      <c r="J436" s="4" t="s">
        <v>2425</v>
      </c>
      <c r="K436" s="4" t="s">
        <v>2426</v>
      </c>
      <c r="L436" s="4" t="s">
        <v>2427</v>
      </c>
      <c r="M436" s="4" t="s">
        <v>2424</v>
      </c>
      <c r="N436" s="4" t="s">
        <v>2428</v>
      </c>
      <c r="O436" s="4" t="s">
        <v>2429</v>
      </c>
    </row>
    <row r="437">
      <c r="A437" s="4">
        <v>335.0</v>
      </c>
      <c r="B437" s="4" t="s">
        <v>472</v>
      </c>
      <c r="C437" s="4"/>
      <c r="D437" s="4" t="s">
        <v>2430</v>
      </c>
      <c r="E437" s="4" t="s">
        <v>2431</v>
      </c>
      <c r="F437" s="4" t="s">
        <v>2432</v>
      </c>
      <c r="G437" s="5" t="str">
        <f>IFERROR(__xludf.DUMMYFUNCTION("GOOGLETRANSLATE(D437,""ca"",""es"")"),"maniquí")</f>
        <v>maniquí</v>
      </c>
      <c r="H437" s="4" t="s">
        <v>2433</v>
      </c>
      <c r="I437" s="4" t="s">
        <v>2434</v>
      </c>
      <c r="J437" s="4" t="s">
        <v>2435</v>
      </c>
      <c r="K437" s="4" t="s">
        <v>2436</v>
      </c>
      <c r="L437" s="4" t="s">
        <v>1679</v>
      </c>
      <c r="M437" s="4" t="s">
        <v>2433</v>
      </c>
      <c r="N437" s="4" t="s">
        <v>2434</v>
      </c>
      <c r="O437" s="4" t="s">
        <v>2435</v>
      </c>
      <c r="P437" s="4" t="s">
        <v>2436</v>
      </c>
      <c r="Q437" s="4" t="s">
        <v>2437</v>
      </c>
      <c r="R437" s="4" t="s">
        <v>2438</v>
      </c>
      <c r="S437" s="4" t="s">
        <v>2438</v>
      </c>
      <c r="T437" s="4" t="s">
        <v>2439</v>
      </c>
    </row>
    <row r="438">
      <c r="A438" s="4">
        <v>336.0</v>
      </c>
      <c r="B438" s="4" t="s">
        <v>472</v>
      </c>
      <c r="C438" s="4"/>
      <c r="D438" s="4" t="s">
        <v>2440</v>
      </c>
      <c r="E438" s="4" t="s">
        <v>2441</v>
      </c>
      <c r="F438" s="4" t="s">
        <v>2442</v>
      </c>
      <c r="G438" s="5" t="str">
        <f>IFERROR(__xludf.DUMMYFUNCTION("GOOGLETRANSLATE(D438,""ca"",""es"")"),"mango")</f>
        <v>mango</v>
      </c>
    </row>
    <row r="439">
      <c r="A439" s="4">
        <v>337.0</v>
      </c>
      <c r="B439" s="4" t="s">
        <v>472</v>
      </c>
      <c r="C439" s="4"/>
      <c r="D439" s="4" t="s">
        <v>2443</v>
      </c>
      <c r="E439" s="4" t="s">
        <v>2444</v>
      </c>
      <c r="F439" s="4" t="s">
        <v>2445</v>
      </c>
      <c r="G439" s="5" t="str">
        <f>IFERROR(__xludf.DUMMYFUNCTION("GOOGLETRANSLATE(D439,""ca"",""es"")"),"muchos")</f>
        <v>muchos</v>
      </c>
      <c r="H439" s="4" t="s">
        <v>2446</v>
      </c>
      <c r="I439" s="4" t="s">
        <v>2447</v>
      </c>
      <c r="J439" s="4" t="s">
        <v>2448</v>
      </c>
      <c r="K439" s="4" t="s">
        <v>2449</v>
      </c>
      <c r="L439" s="4" t="s">
        <v>2450</v>
      </c>
      <c r="M439" s="4" t="s">
        <v>2451</v>
      </c>
      <c r="N439" s="4" t="s">
        <v>2452</v>
      </c>
      <c r="O439" s="4" t="s">
        <v>2453</v>
      </c>
      <c r="P439" s="4" t="s">
        <v>2454</v>
      </c>
    </row>
    <row r="440">
      <c r="A440" s="4">
        <v>338.0</v>
      </c>
      <c r="B440" s="4" t="s">
        <v>472</v>
      </c>
      <c r="C440" s="4"/>
      <c r="D440" s="4" t="s">
        <v>2455</v>
      </c>
      <c r="E440" s="4" t="s">
        <v>2456</v>
      </c>
      <c r="F440" s="4" t="s">
        <v>2457</v>
      </c>
      <c r="G440" s="5" t="str">
        <f>IFERROR(__xludf.DUMMYFUNCTION("GOOGLETRANSLATE(D440,""ca"",""es"")"),"cerrajero")</f>
        <v>cerrajero</v>
      </c>
    </row>
    <row r="441">
      <c r="A441" s="4">
        <v>339.0</v>
      </c>
      <c r="B441" s="4" t="s">
        <v>472</v>
      </c>
      <c r="C441" s="4"/>
      <c r="D441" s="4" t="s">
        <v>2458</v>
      </c>
      <c r="E441" s="4" t="s">
        <v>2459</v>
      </c>
      <c r="F441" s="4" t="s">
        <v>2458</v>
      </c>
      <c r="G441" s="5" t="str">
        <f>IFERROR(__xludf.DUMMYFUNCTION("GOOGLETRANSLATE(D441,""ca"",""es"")"),"t eran")</f>
        <v>t eran</v>
      </c>
      <c r="H441" s="4" t="s">
        <v>2460</v>
      </c>
    </row>
    <row r="442">
      <c r="A442" s="4">
        <v>340.0</v>
      </c>
      <c r="B442" s="4" t="s">
        <v>472</v>
      </c>
      <c r="C442" s="4"/>
      <c r="D442" s="4" t="s">
        <v>2461</v>
      </c>
      <c r="E442" s="4" t="s">
        <v>2462</v>
      </c>
      <c r="F442" s="4" t="s">
        <v>2463</v>
      </c>
      <c r="G442" s="5" t="str">
        <f>IFERROR(__xludf.DUMMYFUNCTION("GOOGLETRANSLATE(D442,""ca"",""es"")"),"Maqui")</f>
        <v>Maqui</v>
      </c>
      <c r="H442" s="4" t="s">
        <v>2464</v>
      </c>
      <c r="I442" s="4" t="s">
        <v>2465</v>
      </c>
      <c r="J442" s="4" t="s">
        <v>2466</v>
      </c>
      <c r="K442" s="4" t="s">
        <v>2467</v>
      </c>
      <c r="L442" s="4" t="s">
        <v>2468</v>
      </c>
    </row>
    <row r="443">
      <c r="A443" s="4">
        <v>341.0</v>
      </c>
      <c r="B443" s="4" t="s">
        <v>472</v>
      </c>
      <c r="C443" s="4"/>
      <c r="D443" s="4" t="s">
        <v>2469</v>
      </c>
      <c r="E443" s="4" t="s">
        <v>2470</v>
      </c>
      <c r="F443" s="4" t="s">
        <v>2471</v>
      </c>
      <c r="G443" s="5" t="str">
        <f>IFERROR(__xludf.DUMMYFUNCTION("GOOGLETRANSLATE(D443,""ca"",""es"")"),"Maquillaje")</f>
        <v>Maquillaje</v>
      </c>
      <c r="H443" s="4" t="s">
        <v>2472</v>
      </c>
    </row>
    <row r="444">
      <c r="A444" s="4">
        <v>342.0</v>
      </c>
      <c r="B444" s="4" t="s">
        <v>472</v>
      </c>
      <c r="C444" s="4"/>
      <c r="D444" s="4" t="s">
        <v>2293</v>
      </c>
      <c r="E444" s="4" t="s">
        <v>2473</v>
      </c>
      <c r="F444" s="4" t="s">
        <v>2293</v>
      </c>
      <c r="G444" s="5" t="str">
        <f>IFERROR(__xludf.DUMMYFUNCTION("GOOGLETRANSLATE(D444,""ca"",""es"")"),"mar")</f>
        <v>mar</v>
      </c>
      <c r="H444" s="4" t="s">
        <v>2474</v>
      </c>
      <c r="I444" s="4" t="s">
        <v>2475</v>
      </c>
      <c r="J444" s="4" t="s">
        <v>2474</v>
      </c>
    </row>
    <row r="445">
      <c r="A445" s="4">
        <v>343.0</v>
      </c>
      <c r="B445" s="4" t="s">
        <v>472</v>
      </c>
      <c r="C445" s="4"/>
      <c r="D445" s="4" t="s">
        <v>2476</v>
      </c>
      <c r="E445" s="4" t="s">
        <v>2477</v>
      </c>
      <c r="F445" s="4" t="s">
        <v>2478</v>
      </c>
      <c r="G445" s="5" t="str">
        <f>IFERROR(__xludf.DUMMYFUNCTION("GOOGLETRANSLATE(D445,""ca"",""es"")"),"maraca")</f>
        <v>maraca</v>
      </c>
    </row>
    <row r="446">
      <c r="A446" s="4">
        <v>344.0</v>
      </c>
      <c r="B446" s="4" t="s">
        <v>472</v>
      </c>
      <c r="C446" s="4"/>
      <c r="D446" s="4" t="s">
        <v>2479</v>
      </c>
      <c r="E446" s="4" t="s">
        <v>2480</v>
      </c>
      <c r="F446" s="4" t="s">
        <v>2481</v>
      </c>
      <c r="G446" s="5" t="str">
        <f>IFERROR(__xludf.DUMMYFUNCTION("GOOGLETRANSLATE(D446,""ca"",""es"")"),"marítimo")</f>
        <v>marítimo</v>
      </c>
      <c r="H446" s="4" t="s">
        <v>2482</v>
      </c>
      <c r="I446" s="4" t="s">
        <v>2483</v>
      </c>
      <c r="J446" s="4" t="s">
        <v>2484</v>
      </c>
      <c r="K446" s="4" t="s">
        <v>2485</v>
      </c>
      <c r="L446" s="4" t="s">
        <v>2486</v>
      </c>
      <c r="M446" s="4" t="s">
        <v>2487</v>
      </c>
      <c r="N446" s="4" t="s">
        <v>2488</v>
      </c>
      <c r="O446" s="4" t="s">
        <v>2489</v>
      </c>
      <c r="P446" s="4" t="s">
        <v>2490</v>
      </c>
      <c r="Q446" s="4" t="s">
        <v>2491</v>
      </c>
      <c r="R446" s="4" t="s">
        <v>2492</v>
      </c>
    </row>
    <row r="447">
      <c r="A447" s="4">
        <v>345.0</v>
      </c>
      <c r="B447" s="4" t="s">
        <v>472</v>
      </c>
      <c r="C447" s="4"/>
      <c r="D447" s="4" t="s">
        <v>2493</v>
      </c>
      <c r="E447" s="4" t="s">
        <v>2494</v>
      </c>
      <c r="F447" s="4" t="s">
        <v>2493</v>
      </c>
      <c r="G447" s="5" t="str">
        <f>IFERROR(__xludf.DUMMYFUNCTION("GOOGLETRANSLATE(D447,""ca"",""es"")"),"Armada")</f>
        <v>Armada</v>
      </c>
      <c r="H447" s="4" t="s">
        <v>2495</v>
      </c>
      <c r="I447" s="4" t="s">
        <v>2496</v>
      </c>
    </row>
    <row r="448">
      <c r="A448" s="4">
        <v>346.0</v>
      </c>
      <c r="B448" s="4" t="s">
        <v>472</v>
      </c>
      <c r="C448" s="4"/>
      <c r="D448" s="4" t="s">
        <v>2497</v>
      </c>
      <c r="E448" s="4" t="s">
        <v>2498</v>
      </c>
      <c r="F448" s="4" t="s">
        <v>2499</v>
      </c>
      <c r="G448" s="5" t="str">
        <f>IFERROR(__xludf.DUMMYFUNCTION("GOOGLETRANSLATE(D448,""ca"",""es"")"),"marina")</f>
        <v>marina</v>
      </c>
      <c r="H448" s="4" t="s">
        <v>2500</v>
      </c>
      <c r="I448" s="4" t="s">
        <v>2501</v>
      </c>
      <c r="J448" s="4" t="s">
        <v>2502</v>
      </c>
      <c r="K448" s="4" t="s">
        <v>2500</v>
      </c>
      <c r="L448" s="4" t="s">
        <v>2503</v>
      </c>
      <c r="M448" s="4" t="s">
        <v>2504</v>
      </c>
      <c r="N448" s="4" t="s">
        <v>2505</v>
      </c>
      <c r="O448" s="4" t="s">
        <v>2506</v>
      </c>
      <c r="P448" s="4" t="s">
        <v>2507</v>
      </c>
      <c r="Q448" s="4" t="s">
        <v>2508</v>
      </c>
      <c r="R448" s="4" t="s">
        <v>2509</v>
      </c>
      <c r="S448" s="4" t="s">
        <v>2510</v>
      </c>
      <c r="T448" s="4" t="s">
        <v>2511</v>
      </c>
      <c r="U448" s="4" t="s">
        <v>2512</v>
      </c>
      <c r="V448" s="4" t="s">
        <v>2513</v>
      </c>
      <c r="W448" s="4" t="s">
        <v>2514</v>
      </c>
      <c r="X448" s="4" t="s">
        <v>2515</v>
      </c>
    </row>
    <row r="449">
      <c r="A449" s="4">
        <v>347.0</v>
      </c>
      <c r="B449" s="4" t="s">
        <v>472</v>
      </c>
      <c r="C449" s="4"/>
      <c r="D449" s="4" t="s">
        <v>2516</v>
      </c>
      <c r="E449" s="4" t="s">
        <v>2517</v>
      </c>
      <c r="F449" s="4" t="s">
        <v>2518</v>
      </c>
      <c r="G449" s="5" t="str">
        <f>IFERROR(__xludf.DUMMYFUNCTION("GOOGLETRANSLATE(D449,""ca"",""es"")"),"mar")</f>
        <v>mar</v>
      </c>
      <c r="H449" s="4" t="s">
        <v>2502</v>
      </c>
      <c r="I449" s="4" t="s">
        <v>2501</v>
      </c>
      <c r="J449" s="4" t="s">
        <v>2502</v>
      </c>
      <c r="K449" s="4" t="s">
        <v>2500</v>
      </c>
    </row>
    <row r="450">
      <c r="A450" s="4">
        <v>348.0</v>
      </c>
      <c r="B450" s="4" t="s">
        <v>472</v>
      </c>
      <c r="C450" s="4"/>
      <c r="D450" s="4" t="s">
        <v>339</v>
      </c>
      <c r="E450" s="4" t="s">
        <v>338</v>
      </c>
      <c r="F450" s="4" t="s">
        <v>339</v>
      </c>
      <c r="G450" s="5" t="str">
        <f>IFERROR(__xludf.DUMMYFUNCTION("GOOGLETRANSLATE(D450,""ca"",""es"")"),"granja")</f>
        <v>granja</v>
      </c>
      <c r="H450" s="4" t="s">
        <v>2519</v>
      </c>
      <c r="I450" s="4" t="s">
        <v>2520</v>
      </c>
      <c r="J450" s="4" t="s">
        <v>2521</v>
      </c>
      <c r="K450" s="4" t="s">
        <v>2522</v>
      </c>
    </row>
    <row r="451">
      <c r="A451" s="4">
        <v>349.0</v>
      </c>
      <c r="B451" s="4" t="s">
        <v>472</v>
      </c>
      <c r="C451" s="4"/>
      <c r="D451" s="4" t="s">
        <v>2523</v>
      </c>
      <c r="E451" s="4" t="s">
        <v>2524</v>
      </c>
      <c r="F451" s="4" t="s">
        <v>2525</v>
      </c>
      <c r="G451" s="5" t="str">
        <f>IFERROR(__xludf.DUMMYFUNCTION("GOOGLETRANSLATE(D451,""ca"",""es"")"),"también")</f>
        <v>también</v>
      </c>
      <c r="H451" s="4" t="s">
        <v>1743</v>
      </c>
      <c r="I451" s="4" t="s">
        <v>2526</v>
      </c>
      <c r="J451" s="4" t="s">
        <v>1743</v>
      </c>
      <c r="K451" s="4" t="s">
        <v>2527</v>
      </c>
      <c r="L451" s="4" t="s">
        <v>2528</v>
      </c>
      <c r="M451" s="4" t="s">
        <v>2529</v>
      </c>
      <c r="N451" s="4" t="s">
        <v>2530</v>
      </c>
      <c r="O451" s="4" t="s">
        <v>2531</v>
      </c>
      <c r="P451" s="4" t="s">
        <v>2532</v>
      </c>
      <c r="Q451" s="4" t="s">
        <v>2533</v>
      </c>
      <c r="R451" s="4" t="s">
        <v>1743</v>
      </c>
      <c r="S451" s="4" t="s">
        <v>2534</v>
      </c>
      <c r="T451" s="4" t="s">
        <v>2535</v>
      </c>
      <c r="U451" s="4" t="s">
        <v>2536</v>
      </c>
      <c r="V451" s="4" t="s">
        <v>781</v>
      </c>
      <c r="W451" s="4" t="s">
        <v>2532</v>
      </c>
      <c r="X451" s="4" t="s">
        <v>2537</v>
      </c>
      <c r="Y451" s="4" t="s">
        <v>2538</v>
      </c>
      <c r="Z451" s="4" t="s">
        <v>2539</v>
      </c>
      <c r="AA451" s="4" t="s">
        <v>783</v>
      </c>
      <c r="AB451" s="4" t="s">
        <v>1743</v>
      </c>
      <c r="AC451" s="4" t="s">
        <v>2540</v>
      </c>
      <c r="AD451" s="4" t="s">
        <v>2541</v>
      </c>
      <c r="AE451" s="4" t="s">
        <v>2532</v>
      </c>
      <c r="AF451" s="4" t="s">
        <v>2542</v>
      </c>
      <c r="AG451" s="4" t="s">
        <v>2543</v>
      </c>
    </row>
    <row r="452">
      <c r="A452" s="4">
        <v>350.0</v>
      </c>
      <c r="B452" s="4" t="s">
        <v>472</v>
      </c>
      <c r="C452" s="4"/>
      <c r="D452" s="4" t="s">
        <v>2544</v>
      </c>
      <c r="E452" s="4" t="s">
        <v>2545</v>
      </c>
      <c r="F452" s="4" t="s">
        <v>2546</v>
      </c>
      <c r="G452" s="5" t="str">
        <f>IFERROR(__xludf.DUMMYFUNCTION("GOOGLETRANSLATE(D452,""ca"",""es"")"),"macizo")</f>
        <v>macizo</v>
      </c>
      <c r="H452" s="4" t="s">
        <v>2547</v>
      </c>
      <c r="I452" s="4" t="s">
        <v>2548</v>
      </c>
      <c r="J452" s="4" t="s">
        <v>2549</v>
      </c>
      <c r="K452" s="4" t="s">
        <v>2548</v>
      </c>
      <c r="L452" s="4" t="s">
        <v>2548</v>
      </c>
      <c r="M452" s="4" t="s">
        <v>2550</v>
      </c>
      <c r="N452" s="4" t="s">
        <v>2551</v>
      </c>
      <c r="O452" s="4" t="s">
        <v>2552</v>
      </c>
    </row>
    <row r="453">
      <c r="A453" s="4">
        <v>351.0</v>
      </c>
      <c r="B453" s="4" t="s">
        <v>472</v>
      </c>
      <c r="C453" s="4"/>
      <c r="D453" s="4" t="s">
        <v>2553</v>
      </c>
      <c r="E453" s="4" t="s">
        <v>2554</v>
      </c>
      <c r="F453" s="4" t="s">
        <v>2553</v>
      </c>
      <c r="G453" s="5" t="str">
        <f>IFERROR(__xludf.DUMMYFUNCTION("GOOGLETRANSLATE(D453,""ca"",""es"")"),"bajo")</f>
        <v>bajo</v>
      </c>
      <c r="H453" s="4" t="s">
        <v>2555</v>
      </c>
      <c r="I453" s="4" t="s">
        <v>2556</v>
      </c>
    </row>
    <row r="454">
      <c r="A454" s="4">
        <v>352.0</v>
      </c>
      <c r="B454" s="4" t="s">
        <v>472</v>
      </c>
      <c r="C454" s="4"/>
      <c r="D454" s="4" t="s">
        <v>2557</v>
      </c>
      <c r="E454" s="4" t="s">
        <v>2558</v>
      </c>
      <c r="F454" s="4" t="s">
        <v>2559</v>
      </c>
      <c r="G454" s="5" t="str">
        <f>IFERROR(__xludf.DUMMYFUNCTION("GOOGLETRANSLATE(D454,""ca"",""es"")"),"colchón")</f>
        <v>colchón</v>
      </c>
    </row>
    <row r="455">
      <c r="A455" s="4">
        <v>353.0</v>
      </c>
      <c r="B455" s="4" t="s">
        <v>472</v>
      </c>
      <c r="C455" s="4"/>
      <c r="D455" s="4" t="s">
        <v>2560</v>
      </c>
      <c r="E455" s="4" t="s">
        <v>2561</v>
      </c>
      <c r="F455" s="4" t="s">
        <v>2562</v>
      </c>
      <c r="G455" s="5" t="str">
        <f>IFERROR(__xludf.DUMMYFUNCTION("GOOGLETRANSLATE(D455,""ca"",""es"")"),"colchón")</f>
        <v>colchón</v>
      </c>
      <c r="H455" s="4" t="s">
        <v>2563</v>
      </c>
    </row>
    <row r="456">
      <c r="A456" s="4">
        <v>354.0</v>
      </c>
      <c r="B456" s="4" t="s">
        <v>472</v>
      </c>
      <c r="C456" s="4"/>
      <c r="D456" s="4" t="s">
        <v>2564</v>
      </c>
      <c r="E456" s="4" t="s">
        <v>2565</v>
      </c>
      <c r="F456" s="4" t="s">
        <v>2564</v>
      </c>
      <c r="G456" s="5" t="str">
        <f>IFERROR(__xludf.DUMMYFUNCTION("GOOGLETRANSLATE(D456,""ca"",""es"")"),"matamala")</f>
        <v>matamala</v>
      </c>
    </row>
    <row r="457">
      <c r="A457" s="4">
        <v>355.0</v>
      </c>
      <c r="B457" s="4" t="s">
        <v>472</v>
      </c>
      <c r="C457" s="4"/>
      <c r="D457" s="4" t="s">
        <v>2566</v>
      </c>
      <c r="E457" s="4" t="s">
        <v>2567</v>
      </c>
      <c r="F457" s="4" t="s">
        <v>2566</v>
      </c>
      <c r="G457" s="5" t="str">
        <f>IFERROR(__xludf.DUMMYFUNCTION("GOOGLETRANSLATE(D457,""ca"",""es"")"),"matar")</f>
        <v>matar</v>
      </c>
      <c r="H457" s="4" t="s">
        <v>2568</v>
      </c>
      <c r="I457" s="4" t="s">
        <v>2569</v>
      </c>
      <c r="J457" s="4" t="s">
        <v>2570</v>
      </c>
      <c r="K457" s="4" t="s">
        <v>2570</v>
      </c>
      <c r="L457" s="4" t="s">
        <v>2570</v>
      </c>
      <c r="M457" s="4" t="s">
        <v>2570</v>
      </c>
    </row>
    <row r="458">
      <c r="A458" s="4">
        <v>356.0</v>
      </c>
      <c r="B458" s="4" t="s">
        <v>472</v>
      </c>
      <c r="C458" s="4"/>
      <c r="D458" s="4" t="s">
        <v>2571</v>
      </c>
      <c r="E458" s="4" t="s">
        <v>2572</v>
      </c>
      <c r="F458" s="4" t="s">
        <v>2571</v>
      </c>
      <c r="G458" s="5" t="str">
        <f>IFERROR(__xludf.DUMMYFUNCTION("GOOGLETRANSLATE(D458,""ca"",""es"")"),"Mañana")</f>
        <v>Mañana</v>
      </c>
    </row>
    <row r="459">
      <c r="A459" s="4">
        <v>357.0</v>
      </c>
      <c r="B459" s="4" t="s">
        <v>472</v>
      </c>
      <c r="C459" s="4"/>
      <c r="D459" s="4" t="s">
        <v>2573</v>
      </c>
      <c r="E459" s="4" t="s">
        <v>2574</v>
      </c>
      <c r="F459" s="4" t="s">
        <v>2575</v>
      </c>
      <c r="G459" s="5" t="str">
        <f>IFERROR(__xludf.DUMMYFUNCTION("GOOGLETRANSLATE(D459,""ca"",""es"")"),"Mañana")</f>
        <v>Mañana</v>
      </c>
      <c r="H459" s="4" t="s">
        <v>2576</v>
      </c>
      <c r="I459" s="4" t="s">
        <v>2577</v>
      </c>
      <c r="J459" s="4" t="s">
        <v>2578</v>
      </c>
      <c r="K459" s="4" t="s">
        <v>2579</v>
      </c>
    </row>
    <row r="460">
      <c r="A460" s="4">
        <v>358.0</v>
      </c>
      <c r="B460" s="4" t="s">
        <v>472</v>
      </c>
      <c r="C460" s="4"/>
      <c r="D460" s="4" t="s">
        <v>2580</v>
      </c>
      <c r="E460" s="4" t="s">
        <v>2581</v>
      </c>
      <c r="F460" s="4" t="s">
        <v>2582</v>
      </c>
      <c r="G460" s="5" t="str">
        <f>IFERROR(__xludf.DUMMYFUNCTION("GOOGLETRANSLATE(D460,""ca"",""es"")"),"matiz")</f>
        <v>matiz</v>
      </c>
      <c r="H460" s="4" t="s">
        <v>2583</v>
      </c>
      <c r="I460" s="4" t="s">
        <v>2584</v>
      </c>
      <c r="J460" s="4" t="s">
        <v>2585</v>
      </c>
      <c r="K460" s="4" t="s">
        <v>2586</v>
      </c>
      <c r="L460" s="4" t="s">
        <v>2587</v>
      </c>
      <c r="M460" s="4" t="s">
        <v>2588</v>
      </c>
      <c r="N460" s="4" t="s">
        <v>2589</v>
      </c>
      <c r="O460" s="4" t="s">
        <v>2590</v>
      </c>
      <c r="P460" s="4" t="s">
        <v>2591</v>
      </c>
      <c r="Q460" s="4" t="s">
        <v>2592</v>
      </c>
      <c r="R460" s="4" t="s">
        <v>2593</v>
      </c>
      <c r="S460" s="4" t="s">
        <v>2594</v>
      </c>
      <c r="T460" s="4" t="s">
        <v>2595</v>
      </c>
      <c r="U460" s="4" t="s">
        <v>2596</v>
      </c>
    </row>
    <row r="461">
      <c r="A461" s="4">
        <v>359.0</v>
      </c>
      <c r="B461" s="4" t="s">
        <v>472</v>
      </c>
      <c r="C461" s="4"/>
      <c r="D461" s="4" t="s">
        <v>2597</v>
      </c>
      <c r="E461" s="4" t="s">
        <v>2524</v>
      </c>
      <c r="F461" s="4" t="s">
        <v>2525</v>
      </c>
      <c r="G461" s="5" t="str">
        <f>IFERROR(__xludf.DUMMYFUNCTION("GOOGLETRANSLATE(D461,""ca"",""es"")"),"Mazo")</f>
        <v>Mazo</v>
      </c>
      <c r="H461" s="4" t="s">
        <v>2598</v>
      </c>
    </row>
    <row r="462">
      <c r="A462" s="4">
        <v>360.0</v>
      </c>
      <c r="B462" s="4" t="s">
        <v>472</v>
      </c>
      <c r="C462" s="4"/>
      <c r="D462" s="4" t="s">
        <v>342</v>
      </c>
      <c r="E462" s="4" t="s">
        <v>341</v>
      </c>
      <c r="F462" s="4" t="s">
        <v>342</v>
      </c>
      <c r="G462" s="5" t="str">
        <f>IFERROR(__xludf.DUMMYFUNCTION("GOOGLETRANSLATE(D462,""ca"",""es"")"),"yo")</f>
        <v>yo</v>
      </c>
      <c r="H462" s="4" t="s">
        <v>367</v>
      </c>
      <c r="I462" s="4" t="s">
        <v>342</v>
      </c>
    </row>
    <row r="463">
      <c r="A463" s="4">
        <v>361.0</v>
      </c>
      <c r="B463" s="4" t="s">
        <v>472</v>
      </c>
      <c r="C463" s="4"/>
      <c r="D463" s="4" t="s">
        <v>2599</v>
      </c>
      <c r="E463" s="4" t="s">
        <v>2600</v>
      </c>
      <c r="F463" s="4" t="s">
        <v>2601</v>
      </c>
      <c r="G463" s="5" t="str">
        <f>IFERROR(__xludf.DUMMYFUNCTION("GOOGLETRANSLATE(D463,""ca"",""es"")"),"poco")</f>
        <v>poco</v>
      </c>
      <c r="H463" s="4" t="s">
        <v>2602</v>
      </c>
      <c r="I463" s="4" t="s">
        <v>2603</v>
      </c>
      <c r="J463" s="4" t="s">
        <v>2604</v>
      </c>
      <c r="K463" s="4" t="s">
        <v>2605</v>
      </c>
      <c r="L463" s="4" t="s">
        <v>2606</v>
      </c>
      <c r="M463" s="4" t="s">
        <v>2607</v>
      </c>
      <c r="N463" s="4" t="s">
        <v>2608</v>
      </c>
      <c r="O463" s="4" t="s">
        <v>2609</v>
      </c>
      <c r="P463" s="4" t="s">
        <v>2610</v>
      </c>
      <c r="Q463" s="4" t="s">
        <v>2611</v>
      </c>
      <c r="R463" s="4" t="s">
        <v>2612</v>
      </c>
      <c r="S463" s="4" t="s">
        <v>2599</v>
      </c>
      <c r="T463" s="4" t="s">
        <v>2613</v>
      </c>
    </row>
    <row r="464">
      <c r="A464" s="4">
        <v>362.0</v>
      </c>
      <c r="B464" s="4" t="s">
        <v>472</v>
      </c>
      <c r="C464" s="4"/>
      <c r="D464" s="4" t="s">
        <v>2614</v>
      </c>
      <c r="E464" s="4" t="s">
        <v>2615</v>
      </c>
      <c r="F464" s="4" t="s">
        <v>2616</v>
      </c>
      <c r="G464" s="5" t="str">
        <f>IFERROR(__xludf.DUMMYFUNCTION("GOOGLETRANSLATE(D464,""ca"",""es"")"),"mono")</f>
        <v>mono</v>
      </c>
      <c r="H464" s="4" t="s">
        <v>2617</v>
      </c>
      <c r="I464" s="4" t="s">
        <v>2618</v>
      </c>
    </row>
    <row r="465">
      <c r="A465" s="4">
        <v>363.0</v>
      </c>
      <c r="B465" s="4" t="s">
        <v>472</v>
      </c>
      <c r="C465" s="4"/>
      <c r="D465" s="4" t="s">
        <v>2619</v>
      </c>
      <c r="E465" s="4" t="s">
        <v>2620</v>
      </c>
      <c r="F465" s="4" t="s">
        <v>2621</v>
      </c>
      <c r="G465" s="5" t="str">
        <f>IFERROR(__xludf.DUMMYFUNCTION("GOOGLETRANSLATE(D465,""ca"",""es"")"),"monos")</f>
        <v>monos</v>
      </c>
    </row>
    <row r="466">
      <c r="A466" s="4">
        <v>364.0</v>
      </c>
      <c r="B466" s="4" t="s">
        <v>472</v>
      </c>
      <c r="C466" s="4"/>
      <c r="D466" s="4" t="s">
        <v>2622</v>
      </c>
      <c r="E466" s="4" t="s">
        <v>2623</v>
      </c>
      <c r="F466" s="4" t="s">
        <v>2622</v>
      </c>
      <c r="G466" s="5" t="str">
        <f>IFERROR(__xludf.DUMMYFUNCTION("GOOGLETRANSLATE(D466,""ca"",""es"")"),"mil")</f>
        <v>mil</v>
      </c>
      <c r="H466" s="4" t="s">
        <v>2624</v>
      </c>
      <c r="I466" s="4" t="s">
        <v>2625</v>
      </c>
      <c r="J466" s="4">
        <v>1000.0</v>
      </c>
      <c r="K466" s="4" t="s">
        <v>2626</v>
      </c>
      <c r="L466" s="4" t="s">
        <v>2627</v>
      </c>
      <c r="M466" s="4" t="s">
        <v>2622</v>
      </c>
      <c r="N466" s="4" t="s">
        <v>2624</v>
      </c>
      <c r="O466" s="4" t="s">
        <v>2625</v>
      </c>
      <c r="P466" s="4">
        <v>1000.0</v>
      </c>
      <c r="Q466" s="4" t="s">
        <v>2628</v>
      </c>
      <c r="R466" s="4" t="s">
        <v>2629</v>
      </c>
      <c r="S466" s="4" t="s">
        <v>2630</v>
      </c>
      <c r="T466" s="4" t="s">
        <v>2631</v>
      </c>
      <c r="U466" s="4" t="s">
        <v>2632</v>
      </c>
      <c r="V466" s="4" t="s">
        <v>2633</v>
      </c>
      <c r="W466" s="4" t="s">
        <v>2634</v>
      </c>
    </row>
    <row r="467">
      <c r="A467" s="4">
        <v>365.0</v>
      </c>
      <c r="B467" s="4" t="s">
        <v>472</v>
      </c>
      <c r="C467" s="4"/>
      <c r="D467" s="4" t="s">
        <v>2635</v>
      </c>
      <c r="E467" s="4" t="s">
        <v>2636</v>
      </c>
      <c r="F467" s="4" t="s">
        <v>2635</v>
      </c>
      <c r="G467" s="5" t="str">
        <f>IFERROR(__xludf.DUMMYFUNCTION("GOOGLETRANSLATE(D467,""ca"",""es"")"),"Milana")</f>
        <v>Milana</v>
      </c>
    </row>
    <row r="468">
      <c r="A468" s="4">
        <v>366.0</v>
      </c>
      <c r="B468" s="4" t="s">
        <v>472</v>
      </c>
      <c r="C468" s="4"/>
      <c r="D468" s="4" t="s">
        <v>2637</v>
      </c>
      <c r="E468" s="4" t="s">
        <v>2638</v>
      </c>
      <c r="F468" s="4" t="s">
        <v>2637</v>
      </c>
      <c r="G468" s="5" t="str">
        <f>IFERROR(__xludf.DUMMYFUNCTION("GOOGLETRANSLATE(D468,""ca"",""es"")"),"militar")</f>
        <v>militar</v>
      </c>
    </row>
    <row r="469">
      <c r="A469" s="4">
        <v>367.0</v>
      </c>
      <c r="B469" s="4" t="s">
        <v>472</v>
      </c>
      <c r="C469" s="4"/>
      <c r="D469" s="4" t="s">
        <v>2639</v>
      </c>
      <c r="E469" s="4" t="s">
        <v>2638</v>
      </c>
      <c r="F469" s="4" t="s">
        <v>2637</v>
      </c>
      <c r="G469" s="5" t="str">
        <f>IFERROR(__xludf.DUMMYFUNCTION("GOOGLETRANSLATE(D469,""ca"",""es"")"),"militar")</f>
        <v>militar</v>
      </c>
      <c r="H469" s="4" t="s">
        <v>2640</v>
      </c>
      <c r="I469" s="4" t="s">
        <v>2641</v>
      </c>
      <c r="J469" s="4" t="s">
        <v>2641</v>
      </c>
      <c r="K469" s="4" t="s">
        <v>2641</v>
      </c>
      <c r="L469" s="4" t="s">
        <v>2642</v>
      </c>
      <c r="M469" s="4" t="s">
        <v>2643</v>
      </c>
      <c r="N469" s="4" t="s">
        <v>1856</v>
      </c>
      <c r="O469" s="4" t="s">
        <v>2644</v>
      </c>
    </row>
    <row r="470">
      <c r="A470" s="4">
        <v>368.0</v>
      </c>
      <c r="B470" s="4" t="s">
        <v>472</v>
      </c>
      <c r="C470" s="4"/>
      <c r="D470" s="4" t="s">
        <v>2639</v>
      </c>
      <c r="E470" s="4" t="s">
        <v>2645</v>
      </c>
      <c r="F470" s="4" t="s">
        <v>2639</v>
      </c>
      <c r="G470" s="5" t="str">
        <f>IFERROR(__xludf.DUMMYFUNCTION("GOOGLETRANSLATE(D470,""ca"",""es"")"),"militar")</f>
        <v>militar</v>
      </c>
      <c r="H470" s="4" t="s">
        <v>2640</v>
      </c>
      <c r="I470" s="4" t="s">
        <v>2641</v>
      </c>
      <c r="J470" s="4" t="s">
        <v>2641</v>
      </c>
      <c r="K470" s="4" t="s">
        <v>2641</v>
      </c>
      <c r="L470" s="4" t="s">
        <v>2642</v>
      </c>
      <c r="M470" s="4" t="s">
        <v>2643</v>
      </c>
      <c r="N470" s="4" t="s">
        <v>1856</v>
      </c>
      <c r="O470" s="4" t="s">
        <v>2644</v>
      </c>
    </row>
    <row r="471">
      <c r="A471" s="4">
        <v>369.0</v>
      </c>
      <c r="B471" s="4" t="s">
        <v>472</v>
      </c>
      <c r="C471" s="4"/>
      <c r="D471" s="4" t="s">
        <v>2646</v>
      </c>
      <c r="E471" s="4" t="s">
        <v>2647</v>
      </c>
      <c r="F471" s="4" t="s">
        <v>2648</v>
      </c>
      <c r="G471" s="5" t="str">
        <f>IFERROR(__xludf.DUMMYFUNCTION("GOOGLETRANSLATE(D471,""ca"",""es"")"),"milito")</f>
        <v>milito</v>
      </c>
    </row>
    <row r="472">
      <c r="A472" s="4">
        <v>370.0</v>
      </c>
      <c r="B472" s="4" t="s">
        <v>472</v>
      </c>
      <c r="C472" s="4"/>
      <c r="D472" s="4" t="s">
        <v>2027</v>
      </c>
      <c r="E472" s="4" t="s">
        <v>2649</v>
      </c>
      <c r="F472" s="4" t="s">
        <v>2027</v>
      </c>
      <c r="G472" s="5" t="str">
        <f>IFERROR(__xludf.DUMMYFUNCTION("GOOGLETRANSLATE(D472,""ca"",""es"")"),"mijo")</f>
        <v>mijo</v>
      </c>
      <c r="H472" s="4" t="s">
        <v>2650</v>
      </c>
      <c r="I472" s="4" t="s">
        <v>2650</v>
      </c>
    </row>
    <row r="473">
      <c r="A473" s="4">
        <v>371.0</v>
      </c>
      <c r="B473" s="4" t="s">
        <v>472</v>
      </c>
      <c r="C473" s="4"/>
      <c r="D473" s="4" t="s">
        <v>2651</v>
      </c>
      <c r="E473" s="4" t="s">
        <v>2652</v>
      </c>
      <c r="F473" s="4" t="s">
        <v>2651</v>
      </c>
      <c r="G473" s="5" t="str">
        <f>IFERROR(__xludf.DUMMYFUNCTION("GOOGLETRANSLATE(D473,""ca"",""es"")"),"milla")</f>
        <v>milla</v>
      </c>
      <c r="H473" s="4" t="s">
        <v>2653</v>
      </c>
      <c r="I473" s="4" t="s">
        <v>2654</v>
      </c>
      <c r="J473" s="4" t="s">
        <v>2655</v>
      </c>
      <c r="K473" s="4" t="s">
        <v>2656</v>
      </c>
      <c r="L473" s="4" t="s">
        <v>2657</v>
      </c>
      <c r="M473" s="4" t="s">
        <v>342</v>
      </c>
      <c r="N473" s="4" t="s">
        <v>2653</v>
      </c>
      <c r="O473" s="4" t="s">
        <v>2622</v>
      </c>
      <c r="P473" s="4" t="s">
        <v>2658</v>
      </c>
      <c r="Q473" s="4" t="s">
        <v>2653</v>
      </c>
      <c r="R473" s="4" t="s">
        <v>2659</v>
      </c>
      <c r="S473" s="4" t="s">
        <v>2660</v>
      </c>
      <c r="T473" s="4" t="s">
        <v>2653</v>
      </c>
      <c r="U473" s="4" t="s">
        <v>342</v>
      </c>
      <c r="V473" s="4" t="s">
        <v>2661</v>
      </c>
      <c r="W473" s="4" t="s">
        <v>2145</v>
      </c>
      <c r="X473" s="4" t="s">
        <v>2662</v>
      </c>
      <c r="Y473" s="4" t="s">
        <v>2663</v>
      </c>
      <c r="Z473" s="4" t="s">
        <v>2660</v>
      </c>
      <c r="AA473" s="4" t="s">
        <v>2661</v>
      </c>
      <c r="AB473" s="4" t="s">
        <v>2653</v>
      </c>
      <c r="AC473" s="4" t="s">
        <v>342</v>
      </c>
      <c r="AD473" s="4" t="s">
        <v>2664</v>
      </c>
      <c r="AE473" s="4" t="s">
        <v>2665</v>
      </c>
      <c r="AF473" s="4" t="s">
        <v>2666</v>
      </c>
      <c r="AG473" s="4" t="s">
        <v>2653</v>
      </c>
    </row>
    <row r="474">
      <c r="A474" s="4">
        <v>372.0</v>
      </c>
      <c r="B474" s="4" t="s">
        <v>472</v>
      </c>
      <c r="C474" s="4"/>
      <c r="D474" s="4" t="s">
        <v>2667</v>
      </c>
      <c r="E474" s="4" t="s">
        <v>2668</v>
      </c>
      <c r="F474" s="4" t="s">
        <v>2669</v>
      </c>
      <c r="G474" s="5" t="str">
        <f>IFERROR(__xludf.DUMMYFUNCTION("GOOGLETRANSLATE(D474,""ca"",""es"")"),"mejorar")</f>
        <v>mejorar</v>
      </c>
      <c r="H474" s="4" t="s">
        <v>2670</v>
      </c>
      <c r="I474" s="4" t="s">
        <v>2671</v>
      </c>
      <c r="J474" s="4" t="s">
        <v>2672</v>
      </c>
      <c r="K474" s="4" t="s">
        <v>2673</v>
      </c>
      <c r="L474" s="4" t="s">
        <v>2674</v>
      </c>
      <c r="M474" s="4" t="s">
        <v>2675</v>
      </c>
      <c r="N474" s="4" t="s">
        <v>2676</v>
      </c>
      <c r="O474" s="4" t="s">
        <v>2677</v>
      </c>
      <c r="P474" s="4" t="s">
        <v>2678</v>
      </c>
      <c r="Q474" s="4" t="s">
        <v>2673</v>
      </c>
      <c r="R474" s="4" t="s">
        <v>2674</v>
      </c>
      <c r="S474" s="4" t="s">
        <v>2679</v>
      </c>
      <c r="T474" s="4" t="s">
        <v>2675</v>
      </c>
      <c r="U474" s="4" t="s">
        <v>2676</v>
      </c>
      <c r="V474" s="4" t="s">
        <v>2680</v>
      </c>
      <c r="W474" s="4" t="s">
        <v>2681</v>
      </c>
      <c r="X474" s="4" t="s">
        <v>2682</v>
      </c>
      <c r="Y474" s="4" t="s">
        <v>995</v>
      </c>
      <c r="Z474" s="4" t="s">
        <v>2683</v>
      </c>
    </row>
    <row r="475">
      <c r="A475" s="4">
        <v>373.0</v>
      </c>
      <c r="B475" s="4" t="s">
        <v>472</v>
      </c>
      <c r="C475" s="4"/>
      <c r="D475" s="4" t="s">
        <v>2684</v>
      </c>
      <c r="E475" s="4" t="s">
        <v>2685</v>
      </c>
      <c r="F475" s="4" t="s">
        <v>2686</v>
      </c>
      <c r="G475" s="5" t="str">
        <f>IFERROR(__xludf.DUMMYFUNCTION("GOOGLETRANSLATE(D475,""ca"",""es"")"),"Milán")</f>
        <v>Milán</v>
      </c>
      <c r="H475" s="4" t="s">
        <v>2687</v>
      </c>
    </row>
    <row r="476">
      <c r="A476" s="4">
        <v>374.0</v>
      </c>
      <c r="B476" s="4" t="s">
        <v>472</v>
      </c>
      <c r="C476" s="4"/>
      <c r="D476" s="4" t="s">
        <v>2688</v>
      </c>
      <c r="E476" s="4" t="s">
        <v>2689</v>
      </c>
      <c r="F476" s="4" t="s">
        <v>2688</v>
      </c>
      <c r="G476" s="5" t="str">
        <f>IFERROR(__xludf.DUMMYFUNCTION("GOOGLETRANSLATE(D476,""ca"",""es"")"),"mímica")</f>
        <v>mímica</v>
      </c>
      <c r="H476" s="4" t="s">
        <v>2690</v>
      </c>
      <c r="I476" s="4" t="s">
        <v>2691</v>
      </c>
      <c r="J476" s="4" t="s">
        <v>2692</v>
      </c>
      <c r="K476" s="4" t="s">
        <v>2693</v>
      </c>
      <c r="L476" s="4" t="s">
        <v>2694</v>
      </c>
    </row>
    <row r="477">
      <c r="A477" s="4">
        <v>375.0</v>
      </c>
      <c r="B477" s="4" t="s">
        <v>472</v>
      </c>
      <c r="C477" s="4"/>
      <c r="D477" s="4" t="s">
        <v>2695</v>
      </c>
      <c r="E477" s="4" t="s">
        <v>2696</v>
      </c>
      <c r="F477" s="4" t="s">
        <v>2695</v>
      </c>
      <c r="G477" s="5" t="str">
        <f>IFERROR(__xludf.DUMMYFUNCTION("GOOGLETRANSLATE(D477,""ca"",""es"")"),"mía")</f>
        <v>mía</v>
      </c>
      <c r="H477" s="4" t="s">
        <v>648</v>
      </c>
      <c r="I477" s="4" t="s">
        <v>2697</v>
      </c>
      <c r="J477" s="4" t="s">
        <v>2698</v>
      </c>
      <c r="K477" s="4" t="s">
        <v>2698</v>
      </c>
    </row>
    <row r="478">
      <c r="A478" s="4">
        <v>376.0</v>
      </c>
      <c r="B478" s="4" t="s">
        <v>472</v>
      </c>
      <c r="C478" s="4"/>
      <c r="D478" s="4" t="s">
        <v>2699</v>
      </c>
      <c r="E478" s="4" t="s">
        <v>2696</v>
      </c>
      <c r="F478" s="4" t="s">
        <v>2695</v>
      </c>
      <c r="G478" s="5" t="str">
        <f>IFERROR(__xludf.DUMMYFUNCTION("GOOGLETRANSLATE(D478,""ca"",""es"")"),"socavar")</f>
        <v>socavar</v>
      </c>
      <c r="H478" s="4" t="s">
        <v>2700</v>
      </c>
      <c r="I478" s="4" t="s">
        <v>2698</v>
      </c>
    </row>
    <row r="479">
      <c r="A479" s="4">
        <v>377.0</v>
      </c>
      <c r="B479" s="4" t="s">
        <v>472</v>
      </c>
      <c r="C479" s="4"/>
      <c r="D479" s="4" t="s">
        <v>2699</v>
      </c>
      <c r="E479" s="4" t="s">
        <v>2701</v>
      </c>
      <c r="F479" s="4" t="s">
        <v>2699</v>
      </c>
      <c r="G479" s="5" t="str">
        <f>IFERROR(__xludf.DUMMYFUNCTION("GOOGLETRANSLATE(D479,""ca"",""es"")"),"socavar")</f>
        <v>socavar</v>
      </c>
      <c r="H479" s="4" t="s">
        <v>2700</v>
      </c>
      <c r="I479" s="4" t="s">
        <v>2698</v>
      </c>
    </row>
    <row r="480">
      <c r="A480" s="4">
        <v>378.0</v>
      </c>
      <c r="B480" s="4" t="s">
        <v>472</v>
      </c>
      <c r="C480" s="4"/>
      <c r="D480" s="4" t="s">
        <v>2702</v>
      </c>
      <c r="E480" s="4" t="s">
        <v>2703</v>
      </c>
      <c r="F480" s="4" t="s">
        <v>2702</v>
      </c>
      <c r="G480" s="5" t="str">
        <f>IFERROR(__xludf.DUMMYFUNCTION("GOOGLETRANSLATE(D480,""ca"",""es"")"),"mirar")</f>
        <v>mirar</v>
      </c>
    </row>
    <row r="481">
      <c r="A481" s="4">
        <v>379.0</v>
      </c>
      <c r="B481" s="4" t="s">
        <v>472</v>
      </c>
      <c r="C481" s="4"/>
      <c r="D481" s="4" t="s">
        <v>2704</v>
      </c>
      <c r="E481" s="4" t="s">
        <v>2705</v>
      </c>
      <c r="F481" s="4" t="s">
        <v>2706</v>
      </c>
      <c r="G481" s="5" t="str">
        <f>IFERROR(__xludf.DUMMYFUNCTION("GOOGLETRANSLATE(D481,""ca"",""es"")"),"espejo")</f>
        <v>espejo</v>
      </c>
      <c r="H481" s="4" t="s">
        <v>2707</v>
      </c>
    </row>
    <row r="482">
      <c r="A482" s="4">
        <v>380.0</v>
      </c>
      <c r="B482" s="4" t="s">
        <v>472</v>
      </c>
      <c r="C482" s="4"/>
      <c r="D482" s="4" t="s">
        <v>2704</v>
      </c>
      <c r="E482" s="4" t="s">
        <v>2708</v>
      </c>
      <c r="F482" s="4" t="s">
        <v>2704</v>
      </c>
      <c r="G482" s="5" t="str">
        <f>IFERROR(__xludf.DUMMYFUNCTION("GOOGLETRANSLATE(D482,""ca"",""es"")"),"espejo")</f>
        <v>espejo</v>
      </c>
      <c r="H482" s="4" t="s">
        <v>2707</v>
      </c>
    </row>
    <row r="483">
      <c r="A483" s="4">
        <v>381.0</v>
      </c>
      <c r="B483" s="4" t="s">
        <v>472</v>
      </c>
      <c r="C483" s="4"/>
      <c r="D483" s="4" t="s">
        <v>2709</v>
      </c>
      <c r="E483" s="4" t="s">
        <v>2710</v>
      </c>
      <c r="F483" s="4" t="s">
        <v>2711</v>
      </c>
      <c r="G483" s="5" t="str">
        <f>IFERROR(__xludf.DUMMYFUNCTION("GOOGLETRANSLATE(D483,""ca"",""es"")"),"señorita")</f>
        <v>señorita</v>
      </c>
    </row>
    <row r="484">
      <c r="A484" s="4">
        <v>382.0</v>
      </c>
      <c r="B484" s="4" t="s">
        <v>472</v>
      </c>
      <c r="C484" s="4"/>
      <c r="D484" s="4" t="s">
        <v>2712</v>
      </c>
      <c r="E484" s="4" t="s">
        <v>2713</v>
      </c>
      <c r="F484" s="4" t="s">
        <v>2714</v>
      </c>
      <c r="G484" s="5" t="str">
        <f>IFERROR(__xludf.DUMMYFUNCTION("GOOGLETRANSLATE(D484,""ca"",""es"")"),"Servicio")</f>
        <v>Servicio</v>
      </c>
      <c r="H484" s="4" t="s">
        <v>2715</v>
      </c>
      <c r="I484" s="4" t="s">
        <v>2715</v>
      </c>
    </row>
    <row r="485">
      <c r="A485" s="4">
        <v>383.0</v>
      </c>
      <c r="B485" s="4" t="s">
        <v>472</v>
      </c>
      <c r="C485" s="4"/>
      <c r="D485" s="4" t="s">
        <v>2716</v>
      </c>
      <c r="E485" s="4" t="s">
        <v>2717</v>
      </c>
      <c r="F485" s="4" t="s">
        <v>2718</v>
      </c>
      <c r="G485" s="5" t="str">
        <f>IFERROR(__xludf.DUMMYFUNCTION("GOOGLETRANSLATE(D485,""ca"",""es"")"),"misión")</f>
        <v>misión</v>
      </c>
    </row>
    <row r="486">
      <c r="A486" s="4">
        <v>384.0</v>
      </c>
      <c r="B486" s="4" t="s">
        <v>472</v>
      </c>
      <c r="C486" s="4"/>
      <c r="D486" s="4" t="s">
        <v>2719</v>
      </c>
      <c r="E486" s="4" t="s">
        <v>2720</v>
      </c>
      <c r="F486" s="4" t="s">
        <v>2721</v>
      </c>
      <c r="G486" s="5" t="str">
        <f>IFERROR(__xludf.DUMMYFUNCTION("GOOGLETRANSLATE(D486,""ca"",""es"")"),"mezcla")</f>
        <v>mezcla</v>
      </c>
      <c r="H486" s="4" t="s">
        <v>2722</v>
      </c>
      <c r="I486" s="4" t="s">
        <v>2723</v>
      </c>
      <c r="J486" s="4" t="s">
        <v>2724</v>
      </c>
      <c r="K486" s="4" t="s">
        <v>2725</v>
      </c>
      <c r="L486" s="4" t="s">
        <v>2726</v>
      </c>
    </row>
    <row r="487">
      <c r="A487" s="4">
        <v>385.0</v>
      </c>
      <c r="B487" s="4" t="s">
        <v>472</v>
      </c>
      <c r="C487" s="4"/>
      <c r="D487" s="4" t="s">
        <v>2727</v>
      </c>
      <c r="E487" s="4" t="s">
        <v>2728</v>
      </c>
      <c r="F487" s="4" t="s">
        <v>370</v>
      </c>
      <c r="G487" s="5" t="str">
        <f>IFERROR(__xludf.DUMMYFUNCTION("GOOGLETRANSLATE(D487,""ca"",""es"")"),"metro")</f>
        <v>metro</v>
      </c>
    </row>
    <row r="488">
      <c r="A488" s="4">
        <v>386.0</v>
      </c>
      <c r="B488" s="4" t="s">
        <v>472</v>
      </c>
      <c r="C488" s="4"/>
      <c r="D488" s="4" t="s">
        <v>2729</v>
      </c>
      <c r="E488" s="4" t="s">
        <v>2730</v>
      </c>
      <c r="F488" s="4" t="s">
        <v>2731</v>
      </c>
      <c r="G488" s="5" t="str">
        <f>IFERROR(__xludf.DUMMYFUNCTION("GOOGLETRANSLATE(D488,""ca"",""es"")"),"moixí")</f>
        <v>moixí</v>
      </c>
    </row>
    <row r="489">
      <c r="A489" s="4">
        <v>387.0</v>
      </c>
      <c r="B489" s="4" t="s">
        <v>472</v>
      </c>
      <c r="C489" s="4"/>
      <c r="D489" s="4" t="s">
        <v>2732</v>
      </c>
      <c r="E489" s="4" t="s">
        <v>2733</v>
      </c>
      <c r="F489" s="4" t="s">
        <v>2734</v>
      </c>
      <c r="G489" s="5" t="str">
        <f>IFERROR(__xludf.DUMMYFUNCTION("GOOGLETRANSLATE(D489,""ca"",""es"")"),"molino")</f>
        <v>molino</v>
      </c>
    </row>
    <row r="490">
      <c r="A490" s="4">
        <v>388.0</v>
      </c>
      <c r="B490" s="4" t="s">
        <v>472</v>
      </c>
      <c r="C490" s="4"/>
      <c r="D490" s="4" t="s">
        <v>2735</v>
      </c>
      <c r="E490" s="4" t="s">
        <v>2736</v>
      </c>
      <c r="F490" s="4" t="s">
        <v>2737</v>
      </c>
      <c r="G490" s="5" t="str">
        <f>IFERROR(__xludf.DUMMYFUNCTION("GOOGLETRANSLATE(D490,""ca"",""es"")"),"mundo")</f>
        <v>mundo</v>
      </c>
    </row>
    <row r="491">
      <c r="A491" s="4">
        <v>389.0</v>
      </c>
      <c r="B491" s="4" t="s">
        <v>472</v>
      </c>
      <c r="C491" s="4"/>
      <c r="D491" s="4" t="s">
        <v>2738</v>
      </c>
      <c r="E491" s="4" t="s">
        <v>2739</v>
      </c>
      <c r="F491" s="4" t="s">
        <v>2740</v>
      </c>
      <c r="G491" s="5" t="str">
        <f>IFERROR(__xludf.DUMMYFUNCTION("GOOGLETRANSLATE(D491,""ca"",""es"")"),"monolítico")</f>
        <v>monolítico</v>
      </c>
    </row>
    <row r="492">
      <c r="A492" s="4">
        <v>390.0</v>
      </c>
      <c r="B492" s="4" t="s">
        <v>472</v>
      </c>
      <c r="C492" s="4"/>
      <c r="D492" s="4" t="s">
        <v>2741</v>
      </c>
      <c r="E492" s="4" t="s">
        <v>2742</v>
      </c>
      <c r="F492" s="4" t="s">
        <v>2743</v>
      </c>
      <c r="G492" s="5" t="str">
        <f>IFERROR(__xludf.DUMMYFUNCTION("GOOGLETRANSLATE(D492,""ca"",""es"")"),"moral")</f>
        <v>moral</v>
      </c>
      <c r="H492" s="4" t="s">
        <v>2741</v>
      </c>
      <c r="I492" s="4" t="s">
        <v>2744</v>
      </c>
      <c r="J492" s="4" t="s">
        <v>2745</v>
      </c>
      <c r="K492" s="4" t="s">
        <v>2746</v>
      </c>
      <c r="L492" s="4" t="s">
        <v>2747</v>
      </c>
      <c r="M492" s="4" t="s">
        <v>2741</v>
      </c>
      <c r="N492" s="4" t="s">
        <v>2748</v>
      </c>
      <c r="O492" s="4" t="s">
        <v>2749</v>
      </c>
      <c r="P492" s="4" t="s">
        <v>2750</v>
      </c>
      <c r="Q492" s="4" t="s">
        <v>2751</v>
      </c>
      <c r="R492" s="4" t="s">
        <v>2752</v>
      </c>
      <c r="S492" s="4" t="s">
        <v>2746</v>
      </c>
    </row>
    <row r="493">
      <c r="A493" s="4">
        <v>391.0</v>
      </c>
      <c r="B493" s="4" t="s">
        <v>472</v>
      </c>
      <c r="C493" s="4"/>
      <c r="D493" s="4" t="s">
        <v>2753</v>
      </c>
      <c r="E493" s="4" t="s">
        <v>2754</v>
      </c>
      <c r="F493" s="4" t="s">
        <v>2755</v>
      </c>
      <c r="G493" s="5" t="str">
        <f>IFERROR(__xludf.DUMMYFUNCTION("GOOGLETRANSLATE(D493,""ca"",""es"")"),"morir")</f>
        <v>morir</v>
      </c>
      <c r="H493" s="4" t="s">
        <v>2756</v>
      </c>
      <c r="I493" s="4" t="s">
        <v>2757</v>
      </c>
      <c r="J493" s="4" t="s">
        <v>2758</v>
      </c>
      <c r="K493" s="4" t="s">
        <v>2759</v>
      </c>
      <c r="L493" s="4" t="s">
        <v>2760</v>
      </c>
      <c r="M493" s="4" t="s">
        <v>2761</v>
      </c>
      <c r="N493" s="4" t="s">
        <v>2756</v>
      </c>
      <c r="O493" s="4" t="s">
        <v>2756</v>
      </c>
      <c r="P493" s="4" t="s">
        <v>2762</v>
      </c>
      <c r="Q493" s="4" t="s">
        <v>2763</v>
      </c>
      <c r="R493" s="4" t="s">
        <v>637</v>
      </c>
      <c r="S493" s="4" t="s">
        <v>2764</v>
      </c>
      <c r="T493" s="4" t="s">
        <v>2765</v>
      </c>
      <c r="U493" s="4" t="s">
        <v>2766</v>
      </c>
      <c r="V493" s="4" t="s">
        <v>647</v>
      </c>
      <c r="W493" s="4" t="s">
        <v>2767</v>
      </c>
      <c r="X493" s="4" t="s">
        <v>2768</v>
      </c>
      <c r="Y493" s="4" t="s">
        <v>2769</v>
      </c>
      <c r="Z493" s="4" t="s">
        <v>2770</v>
      </c>
      <c r="AA493" s="4" t="s">
        <v>2771</v>
      </c>
      <c r="AB493" s="4" t="s">
        <v>2772</v>
      </c>
      <c r="AC493" s="4" t="s">
        <v>2773</v>
      </c>
      <c r="AD493" s="4" t="s">
        <v>2774</v>
      </c>
      <c r="AE493" s="4" t="s">
        <v>2775</v>
      </c>
      <c r="AF493" s="4" t="s">
        <v>2776</v>
      </c>
    </row>
    <row r="494">
      <c r="A494" s="4">
        <v>392.0</v>
      </c>
      <c r="B494" s="4" t="s">
        <v>472</v>
      </c>
      <c r="C494" s="4"/>
      <c r="D494" s="4" t="s">
        <v>2777</v>
      </c>
      <c r="E494" s="4" t="s">
        <v>2778</v>
      </c>
      <c r="F494" s="4" t="s">
        <v>2779</v>
      </c>
      <c r="G494" s="5" t="str">
        <f>IFERROR(__xludf.DUMMYFUNCTION("GOOGLETRANSLATE(D494,""ca"",""es"")"),"disturbio")</f>
        <v>disturbio</v>
      </c>
      <c r="H494" s="4" t="s">
        <v>2780</v>
      </c>
      <c r="I494" s="4" t="s">
        <v>2781</v>
      </c>
      <c r="J494" s="4" t="s">
        <v>2782</v>
      </c>
    </row>
    <row r="495">
      <c r="A495" s="4">
        <v>393.0</v>
      </c>
      <c r="B495" s="4" t="s">
        <v>472</v>
      </c>
      <c r="C495" s="4"/>
      <c r="D495" s="4" t="s">
        <v>2783</v>
      </c>
      <c r="E495" s="4" t="s">
        <v>2784</v>
      </c>
      <c r="F495" s="4" t="s">
        <v>2783</v>
      </c>
      <c r="G495" s="5" t="str">
        <f>IFERROR(__xludf.DUMMYFUNCTION("GOOGLETRANSLATE(D495,""ca"",""es"")"),"mula")</f>
        <v>mula</v>
      </c>
      <c r="H495" s="4" t="s">
        <v>2785</v>
      </c>
    </row>
    <row r="496">
      <c r="A496" s="4">
        <v>394.0</v>
      </c>
      <c r="B496" s="4" t="s">
        <v>472</v>
      </c>
      <c r="C496" s="4"/>
      <c r="D496" s="4" t="s">
        <v>2786</v>
      </c>
      <c r="E496" s="4" t="s">
        <v>2787</v>
      </c>
      <c r="F496" s="4" t="s">
        <v>2786</v>
      </c>
      <c r="G496" s="5" t="str">
        <f>IFERROR(__xludf.DUMMYFUNCTION("GOOGLETRANSLATE(D496,""ca"",""es"")"),"mula")</f>
        <v>mula</v>
      </c>
      <c r="H496" s="4" t="s">
        <v>2785</v>
      </c>
    </row>
    <row r="497">
      <c r="A497" s="4">
        <v>395.0</v>
      </c>
      <c r="B497" s="4" t="s">
        <v>472</v>
      </c>
      <c r="C497" s="4"/>
      <c r="D497" s="4" t="s">
        <v>2788</v>
      </c>
      <c r="E497" s="4" t="s">
        <v>2787</v>
      </c>
      <c r="F497" s="4" t="s">
        <v>2786</v>
      </c>
      <c r="G497" s="5" t="str">
        <f>IFERROR(__xludf.DUMMYFUNCTION("GOOGLETRANSLATE(D497,""ca"",""es"")"),"botella")</f>
        <v>botella</v>
      </c>
    </row>
    <row r="498">
      <c r="A498" s="4">
        <v>396.0</v>
      </c>
      <c r="B498" s="4" t="s">
        <v>472</v>
      </c>
      <c r="C498" s="4"/>
      <c r="D498" s="4" t="s">
        <v>2788</v>
      </c>
      <c r="E498" s="4" t="s">
        <v>2789</v>
      </c>
      <c r="F498" s="4" t="s">
        <v>2788</v>
      </c>
      <c r="G498" s="5" t="str">
        <f>IFERROR(__xludf.DUMMYFUNCTION("GOOGLETRANSLATE(D498,""ca"",""es"")"),"botella")</f>
        <v>botella</v>
      </c>
    </row>
    <row r="499">
      <c r="A499" s="4">
        <v>397.0</v>
      </c>
      <c r="B499" s="4" t="s">
        <v>472</v>
      </c>
      <c r="C499" s="4"/>
      <c r="D499" s="4" t="s">
        <v>2790</v>
      </c>
      <c r="E499" s="4" t="s">
        <v>2791</v>
      </c>
      <c r="F499" s="4" t="s">
        <v>2792</v>
      </c>
      <c r="G499" s="5" t="str">
        <f>IFERROR(__xludf.DUMMYFUNCTION("GOOGLETRANSLATE(D499,""ca"",""es"")"),"clasificar")</f>
        <v>clasificar</v>
      </c>
    </row>
    <row r="500">
      <c r="A500" s="4">
        <v>398.0</v>
      </c>
      <c r="B500" s="4" t="s">
        <v>472</v>
      </c>
      <c r="C500" s="4"/>
      <c r="D500" s="4" t="s">
        <v>2793</v>
      </c>
      <c r="E500" s="4" t="s">
        <v>2794</v>
      </c>
      <c r="F500" s="4" t="s">
        <v>2795</v>
      </c>
      <c r="G500" s="5" t="str">
        <f>IFERROR(__xludf.DUMMYFUNCTION("GOOGLETRANSLATE(D500,""ca"",""es"")"),"aderezo")</f>
        <v>aderezo</v>
      </c>
      <c r="H500" s="4" t="s">
        <v>2796</v>
      </c>
      <c r="I500" s="4" t="s">
        <v>994</v>
      </c>
      <c r="J500" s="4" t="s">
        <v>587</v>
      </c>
      <c r="K500" s="4" t="s">
        <v>2797</v>
      </c>
      <c r="L500" s="4" t="s">
        <v>579</v>
      </c>
      <c r="M500" s="4" t="s">
        <v>2798</v>
      </c>
      <c r="N500" s="4" t="s">
        <v>585</v>
      </c>
      <c r="O500" s="4" t="s">
        <v>2799</v>
      </c>
      <c r="P500" s="4" t="s">
        <v>2800</v>
      </c>
      <c r="Q500" s="4" t="s">
        <v>2801</v>
      </c>
      <c r="R500" s="4" t="s">
        <v>2802</v>
      </c>
      <c r="S500" s="4" t="s">
        <v>584</v>
      </c>
      <c r="T500" s="4" t="s">
        <v>587</v>
      </c>
      <c r="U500" s="4" t="s">
        <v>2797</v>
      </c>
      <c r="V500" s="4" t="s">
        <v>2803</v>
      </c>
      <c r="W500" s="4" t="s">
        <v>2804</v>
      </c>
      <c r="X500" s="4" t="s">
        <v>2805</v>
      </c>
      <c r="Y500" s="4" t="s">
        <v>2806</v>
      </c>
      <c r="Z500" s="4" t="s">
        <v>2807</v>
      </c>
      <c r="AA500" s="4" t="s">
        <v>2808</v>
      </c>
      <c r="AB500" s="4" t="s">
        <v>2809</v>
      </c>
      <c r="AC500" s="4" t="s">
        <v>2799</v>
      </c>
      <c r="AD500" s="4" t="s">
        <v>583</v>
      </c>
      <c r="AE500" s="4" t="s">
        <v>584</v>
      </c>
      <c r="AF500" s="4" t="s">
        <v>585</v>
      </c>
      <c r="AG500" s="4" t="s">
        <v>586</v>
      </c>
      <c r="AH500" s="4" t="s">
        <v>587</v>
      </c>
      <c r="AI500" s="4" t="s">
        <v>579</v>
      </c>
    </row>
    <row r="501">
      <c r="A501" s="4">
        <v>399.0</v>
      </c>
      <c r="B501" s="4" t="s">
        <v>472</v>
      </c>
      <c r="C501" s="4"/>
      <c r="D501" s="4" t="s">
        <v>2793</v>
      </c>
      <c r="E501" s="4" t="s">
        <v>2810</v>
      </c>
      <c r="F501" s="4" t="s">
        <v>2793</v>
      </c>
      <c r="G501" s="5" t="str">
        <f>IFERROR(__xludf.DUMMYFUNCTION("GOOGLETRANSLATE(D501,""ca"",""es"")"),"aderezo")</f>
        <v>aderezo</v>
      </c>
      <c r="H501" s="4" t="s">
        <v>2796</v>
      </c>
      <c r="I501" s="4" t="s">
        <v>994</v>
      </c>
      <c r="J501" s="4" t="s">
        <v>587</v>
      </c>
      <c r="K501" s="4" t="s">
        <v>2797</v>
      </c>
      <c r="L501" s="4" t="s">
        <v>579</v>
      </c>
      <c r="M501" s="4" t="s">
        <v>2798</v>
      </c>
      <c r="N501" s="4" t="s">
        <v>585</v>
      </c>
      <c r="O501" s="4" t="s">
        <v>2799</v>
      </c>
      <c r="P501" s="4" t="s">
        <v>2800</v>
      </c>
      <c r="Q501" s="4" t="s">
        <v>2801</v>
      </c>
      <c r="R501" s="4" t="s">
        <v>2802</v>
      </c>
      <c r="S501" s="4" t="s">
        <v>584</v>
      </c>
      <c r="T501" s="4" t="s">
        <v>587</v>
      </c>
      <c r="U501" s="4" t="s">
        <v>2797</v>
      </c>
      <c r="V501" s="4" t="s">
        <v>2803</v>
      </c>
      <c r="W501" s="4" t="s">
        <v>2804</v>
      </c>
      <c r="X501" s="4" t="s">
        <v>2805</v>
      </c>
      <c r="Y501" s="4" t="s">
        <v>2806</v>
      </c>
      <c r="Z501" s="4" t="s">
        <v>2807</v>
      </c>
      <c r="AA501" s="4" t="s">
        <v>2808</v>
      </c>
      <c r="AB501" s="4" t="s">
        <v>2809</v>
      </c>
      <c r="AC501" s="4" t="s">
        <v>2799</v>
      </c>
      <c r="AD501" s="4" t="s">
        <v>583</v>
      </c>
      <c r="AE501" s="4" t="s">
        <v>584</v>
      </c>
      <c r="AF501" s="4" t="s">
        <v>585</v>
      </c>
      <c r="AG501" s="4" t="s">
        <v>586</v>
      </c>
      <c r="AH501" s="4" t="s">
        <v>587</v>
      </c>
      <c r="AI501" s="4" t="s">
        <v>579</v>
      </c>
    </row>
    <row r="502">
      <c r="A502" s="4">
        <v>400.0</v>
      </c>
      <c r="B502" s="4" t="s">
        <v>472</v>
      </c>
      <c r="C502" s="4"/>
      <c r="D502" s="4" t="s">
        <v>2811</v>
      </c>
      <c r="E502" s="4" t="s">
        <v>2812</v>
      </c>
      <c r="F502" s="4" t="s">
        <v>2813</v>
      </c>
      <c r="G502" s="5" t="str">
        <f>IFERROR(__xludf.DUMMYFUNCTION("GOOGLETRANSLATE(D502,""ca"",""es"")"),"Mtianized, es un todo, un todo, un mustón.")</f>
        <v>Mtianized, es un todo, un todo, un mustón.</v>
      </c>
    </row>
    <row r="503">
      <c r="A503" s="4">
        <v>401.0</v>
      </c>
      <c r="B503" s="4" t="s">
        <v>472</v>
      </c>
      <c r="C503" s="4"/>
      <c r="D503" s="4" t="s">
        <v>2814</v>
      </c>
      <c r="E503" s="4" t="s">
        <v>2815</v>
      </c>
      <c r="F503" s="4" t="s">
        <v>2816</v>
      </c>
      <c r="G503" s="5" t="str">
        <f>IFERROR(__xludf.DUMMYFUNCTION("GOOGLETRANSLATE(D503,""ca"",""es"")"),"municipal")</f>
        <v>municipal</v>
      </c>
      <c r="H503" s="4" t="s">
        <v>2814</v>
      </c>
      <c r="I503" s="4" t="s">
        <v>2814</v>
      </c>
      <c r="J503" s="4" t="s">
        <v>2817</v>
      </c>
      <c r="K503" s="4" t="s">
        <v>2818</v>
      </c>
    </row>
    <row r="504">
      <c r="A504" s="4">
        <v>402.0</v>
      </c>
      <c r="B504" s="4" t="s">
        <v>472</v>
      </c>
      <c r="C504" s="4"/>
      <c r="D504" s="4" t="s">
        <v>2819</v>
      </c>
      <c r="E504" s="4" t="s">
        <v>2820</v>
      </c>
      <c r="F504" s="4" t="s">
        <v>2821</v>
      </c>
      <c r="G504" s="5" t="str">
        <f>IFERROR(__xludf.DUMMYFUNCTION("GOOGLETRANSLATE(D504,""ca"",""es"")"),"municipio")</f>
        <v>municipio</v>
      </c>
      <c r="H504" s="4" t="s">
        <v>2822</v>
      </c>
    </row>
    <row r="505">
      <c r="A505" s="4">
        <v>403.0</v>
      </c>
      <c r="B505" s="4" t="s">
        <v>472</v>
      </c>
      <c r="C505" s="4"/>
      <c r="D505" s="4" t="s">
        <v>2823</v>
      </c>
      <c r="E505" s="4" t="s">
        <v>2736</v>
      </c>
      <c r="F505" s="4" t="s">
        <v>2737</v>
      </c>
      <c r="G505" s="5" t="str">
        <f>IFERROR(__xludf.DUMMYFUNCTION("GOOGLETRANSLATE(D505,""ca"",""es"")"),"ancho")</f>
        <v>ancho</v>
      </c>
      <c r="H505" s="4" t="s">
        <v>483</v>
      </c>
      <c r="I505" s="4" t="s">
        <v>484</v>
      </c>
      <c r="J505" s="4" t="s">
        <v>2824</v>
      </c>
      <c r="K505" s="4" t="s">
        <v>2825</v>
      </c>
      <c r="L505" s="4" t="s">
        <v>2826</v>
      </c>
      <c r="M505" s="4" t="s">
        <v>1734</v>
      </c>
      <c r="N505" s="4" t="s">
        <v>781</v>
      </c>
      <c r="O505" s="4" t="s">
        <v>1736</v>
      </c>
      <c r="P505" s="4" t="s">
        <v>1737</v>
      </c>
      <c r="Q505" s="4" t="s">
        <v>1738</v>
      </c>
      <c r="R505" s="4" t="s">
        <v>1739</v>
      </c>
      <c r="S505" s="4" t="s">
        <v>1740</v>
      </c>
      <c r="T505" s="4" t="s">
        <v>1741</v>
      </c>
      <c r="U505" s="4" t="s">
        <v>484</v>
      </c>
      <c r="V505" s="4" t="s">
        <v>1742</v>
      </c>
      <c r="W505" s="4" t="s">
        <v>1743</v>
      </c>
      <c r="X505" s="4" t="s">
        <v>1744</v>
      </c>
      <c r="Y505" s="4" t="s">
        <v>1745</v>
      </c>
      <c r="Z505" s="4" t="s">
        <v>1746</v>
      </c>
      <c r="AA505" s="4" t="s">
        <v>1747</v>
      </c>
      <c r="AB505" s="4" t="s">
        <v>1748</v>
      </c>
      <c r="AC505" s="4" t="s">
        <v>1749</v>
      </c>
      <c r="AD505" s="4" t="s">
        <v>1750</v>
      </c>
      <c r="AE505" s="4" t="s">
        <v>483</v>
      </c>
      <c r="AF505" s="4" t="s">
        <v>1751</v>
      </c>
      <c r="AG505" s="4" t="s">
        <v>1752</v>
      </c>
      <c r="AH505" s="4" t="s">
        <v>1753</v>
      </c>
      <c r="AI505" s="4" t="s">
        <v>1754</v>
      </c>
      <c r="AJ505" s="4" t="s">
        <v>1755</v>
      </c>
      <c r="AK505" s="4" t="s">
        <v>1756</v>
      </c>
      <c r="AL505" s="4" t="s">
        <v>1757</v>
      </c>
      <c r="AM505" s="4" t="s">
        <v>482</v>
      </c>
      <c r="AN505" s="4" t="s">
        <v>1758</v>
      </c>
      <c r="AO505" s="4" t="s">
        <v>780</v>
      </c>
      <c r="AP505" s="4" t="s">
        <v>1759</v>
      </c>
      <c r="AQ505" s="4" t="s">
        <v>1760</v>
      </c>
      <c r="AR505" s="4" t="s">
        <v>1761</v>
      </c>
      <c r="AS505" s="4" t="s">
        <v>1762</v>
      </c>
      <c r="AT505" s="4" t="s">
        <v>1763</v>
      </c>
      <c r="AU505" s="4" t="s">
        <v>1764</v>
      </c>
      <c r="AV505" s="4" t="s">
        <v>1765</v>
      </c>
      <c r="AW505" s="4" t="s">
        <v>1766</v>
      </c>
      <c r="AX505" s="4" t="s">
        <v>1767</v>
      </c>
      <c r="AY505" s="4" t="s">
        <v>1768</v>
      </c>
      <c r="AZ505" s="4" t="s">
        <v>1769</v>
      </c>
      <c r="BA505" s="4" t="s">
        <v>1770</v>
      </c>
      <c r="BB505" s="4" t="s">
        <v>1771</v>
      </c>
      <c r="BC505" s="4" t="s">
        <v>1772</v>
      </c>
      <c r="BD505" s="4" t="s">
        <v>1773</v>
      </c>
    </row>
    <row r="506">
      <c r="A506" s="4">
        <v>404.0</v>
      </c>
      <c r="B506" s="4" t="s">
        <v>472</v>
      </c>
      <c r="C506" s="4"/>
      <c r="D506" s="4" t="s">
        <v>2827</v>
      </c>
      <c r="E506" s="4" t="s">
        <v>2828</v>
      </c>
      <c r="F506" s="4" t="s">
        <v>2829</v>
      </c>
      <c r="G506" s="5" t="str">
        <f>IFERROR(__xludf.DUMMYFUNCTION("GOOGLETRANSLATE(D506,""ca"",""es"")"),"Leche")</f>
        <v>Leche</v>
      </c>
      <c r="H506" s="4" t="s">
        <v>2830</v>
      </c>
      <c r="I506" s="4" t="s">
        <v>2830</v>
      </c>
    </row>
    <row r="507">
      <c r="A507" s="4">
        <v>405.0</v>
      </c>
      <c r="B507" s="4" t="s">
        <v>472</v>
      </c>
      <c r="C507" s="4"/>
      <c r="D507" s="4" t="s">
        <v>2827</v>
      </c>
      <c r="E507" s="4" t="s">
        <v>2831</v>
      </c>
      <c r="F507" s="4" t="s">
        <v>2832</v>
      </c>
      <c r="G507" s="5" t="str">
        <f>IFERROR(__xludf.DUMMYFUNCTION("GOOGLETRANSLATE(D507,""ca"",""es"")"),"Leche")</f>
        <v>Leche</v>
      </c>
      <c r="H507" s="4" t="s">
        <v>2830</v>
      </c>
      <c r="I507" s="4" t="s">
        <v>2830</v>
      </c>
    </row>
    <row r="508">
      <c r="A508" s="4">
        <v>406.0</v>
      </c>
      <c r="B508" s="4" t="s">
        <v>472</v>
      </c>
      <c r="C508" s="4"/>
      <c r="D508" s="4" t="s">
        <v>2833</v>
      </c>
      <c r="E508" s="4" t="s">
        <v>2834</v>
      </c>
      <c r="F508" s="4" t="s">
        <v>2833</v>
      </c>
      <c r="G508" s="5" t="str">
        <f>IFERROR(__xludf.DUMMYFUNCTION("GOOGLETRANSLATE(D508,""ca"",""es"")"),"pared")</f>
        <v>pared</v>
      </c>
      <c r="H508" s="4" t="s">
        <v>2835</v>
      </c>
      <c r="I508" s="4" t="s">
        <v>2835</v>
      </c>
    </row>
    <row r="509">
      <c r="A509" s="4">
        <v>407.0</v>
      </c>
      <c r="B509" s="4" t="s">
        <v>472</v>
      </c>
      <c r="C509" s="4"/>
      <c r="D509" s="4" t="s">
        <v>2743</v>
      </c>
      <c r="E509" s="4" t="s">
        <v>2742</v>
      </c>
      <c r="F509" s="4" t="s">
        <v>2743</v>
      </c>
      <c r="G509" s="5" t="str">
        <f>IFERROR(__xludf.DUMMYFUNCTION("GOOGLETRANSLATE(D509,""ca"",""es"")"),"mural")</f>
        <v>mural</v>
      </c>
      <c r="H509" s="4" t="s">
        <v>2743</v>
      </c>
      <c r="I509" s="4" t="s">
        <v>2836</v>
      </c>
    </row>
    <row r="510">
      <c r="A510" s="4">
        <v>408.0</v>
      </c>
      <c r="B510" s="4" t="s">
        <v>472</v>
      </c>
      <c r="C510" s="4"/>
      <c r="D510" s="4" t="s">
        <v>2837</v>
      </c>
      <c r="E510" s="4" t="s">
        <v>2838</v>
      </c>
      <c r="F510" s="4" t="s">
        <v>2837</v>
      </c>
      <c r="G510" s="5" t="str">
        <f>IFERROR(__xludf.DUMMYFUNCTION("GOOGLETRANSLATE(D510,""ca"",""es"")"),"Muro")</f>
        <v>Muro</v>
      </c>
      <c r="H510" s="4" t="s">
        <v>2839</v>
      </c>
      <c r="I510" s="4" t="s">
        <v>2840</v>
      </c>
      <c r="J510" s="4" t="s">
        <v>2835</v>
      </c>
    </row>
    <row r="511">
      <c r="A511" s="4">
        <v>409.0</v>
      </c>
      <c r="B511" s="4" t="s">
        <v>472</v>
      </c>
      <c r="C511" s="4"/>
      <c r="D511" s="4" t="s">
        <v>2841</v>
      </c>
      <c r="E511" s="4" t="s">
        <v>2842</v>
      </c>
      <c r="F511" s="4" t="s">
        <v>2843</v>
      </c>
      <c r="G511" s="5" t="str">
        <f>IFERROR(__xludf.DUMMYFUNCTION("GOOGLETRANSLATE(D511,""ca"",""es"")"),"Murat")</f>
        <v>Murat</v>
      </c>
    </row>
    <row r="512">
      <c r="A512" s="4">
        <v>410.0</v>
      </c>
      <c r="B512" s="4" t="s">
        <v>472</v>
      </c>
      <c r="C512" s="4"/>
      <c r="D512" s="4" t="s">
        <v>2841</v>
      </c>
      <c r="E512" s="4" t="s">
        <v>2844</v>
      </c>
      <c r="F512" s="4" t="s">
        <v>2841</v>
      </c>
      <c r="G512" s="5" t="str">
        <f>IFERROR(__xludf.DUMMYFUNCTION("GOOGLETRANSLATE(D512,""ca"",""es"")"),"Murat")</f>
        <v>Murat</v>
      </c>
    </row>
    <row r="513">
      <c r="A513" s="4">
        <v>411.0</v>
      </c>
      <c r="B513" s="4" t="s">
        <v>472</v>
      </c>
      <c r="C513" s="4"/>
      <c r="D513" s="4" t="s">
        <v>2845</v>
      </c>
      <c r="E513" s="4" t="s">
        <v>2846</v>
      </c>
      <c r="F513" s="4" t="s">
        <v>2847</v>
      </c>
      <c r="G513" s="5" t="str">
        <f>IFERROR(__xludf.DUMMYFUNCTION("GOOGLETRANSLATE(D513,""ca"",""es"")"),"mussa")</f>
        <v>mussa</v>
      </c>
    </row>
    <row r="514">
      <c r="A514" s="4">
        <v>412.0</v>
      </c>
      <c r="B514" s="4" t="s">
        <v>472</v>
      </c>
      <c r="C514" s="4"/>
      <c r="D514" s="4" t="s">
        <v>2848</v>
      </c>
      <c r="E514" s="4" t="s">
        <v>2849</v>
      </c>
      <c r="F514" s="4" t="s">
        <v>2850</v>
      </c>
      <c r="G514" s="5" t="str">
        <f>IFERROR(__xludf.DUMMYFUNCTION("GOOGLETRANSLATE(D514,""ca"",""es"")"),"metro")</f>
        <v>metro</v>
      </c>
      <c r="H514" s="4" t="s">
        <v>2851</v>
      </c>
    </row>
    <row r="515">
      <c r="A515" s="4">
        <v>413.0</v>
      </c>
      <c r="B515" s="4" t="s">
        <v>472</v>
      </c>
      <c r="C515" s="4"/>
      <c r="D515" s="4" t="s">
        <v>2848</v>
      </c>
      <c r="E515" s="4" t="s">
        <v>2852</v>
      </c>
      <c r="F515" s="4" t="s">
        <v>2848</v>
      </c>
      <c r="G515" s="5" t="str">
        <f>IFERROR(__xludf.DUMMYFUNCTION("GOOGLETRANSLATE(D515,""ca"",""es"")"),"metro")</f>
        <v>metro</v>
      </c>
      <c r="H515" s="4" t="s">
        <v>2851</v>
      </c>
    </row>
    <row r="516">
      <c r="A516" s="4">
        <v>414.0</v>
      </c>
      <c r="B516" s="4" t="s">
        <v>472</v>
      </c>
      <c r="C516" s="4"/>
      <c r="D516" s="4" t="s">
        <v>2853</v>
      </c>
      <c r="E516" s="4" t="s">
        <v>2854</v>
      </c>
      <c r="F516" s="4" t="s">
        <v>2853</v>
      </c>
      <c r="G516" s="5" t="str">
        <f>IFERROR(__xludf.DUMMYFUNCTION("GOOGLETRANSLATE(D516,""ca"",""es"")"),"mutual")</f>
        <v>mutual</v>
      </c>
      <c r="H516" s="4" t="s">
        <v>2855</v>
      </c>
      <c r="I516" s="4" t="s">
        <v>1541</v>
      </c>
      <c r="J516" s="4" t="s">
        <v>1529</v>
      </c>
      <c r="K516" s="4" t="s">
        <v>1541</v>
      </c>
    </row>
    <row r="517">
      <c r="A517" s="4">
        <v>415.0</v>
      </c>
      <c r="B517" s="4" t="s">
        <v>472</v>
      </c>
      <c r="C517" s="4"/>
      <c r="D517" s="4" t="s">
        <v>2856</v>
      </c>
      <c r="E517" s="4" t="s">
        <v>2279</v>
      </c>
      <c r="F517" s="4" t="s">
        <v>2278</v>
      </c>
      <c r="G517" s="5" t="str">
        <f>IFERROR(__xludf.DUMMYFUNCTION("GOOGLETRANSLATE(D517,""ca"",""es"")"),"mano")</f>
        <v>mano</v>
      </c>
      <c r="H517" s="4" t="s">
        <v>1234</v>
      </c>
      <c r="I517" s="4" t="s">
        <v>1235</v>
      </c>
      <c r="J517" s="4" t="s">
        <v>1236</v>
      </c>
      <c r="K517" s="4" t="s">
        <v>2857</v>
      </c>
      <c r="L517" s="4" t="s">
        <v>1235</v>
      </c>
      <c r="M517" s="4" t="s">
        <v>1239</v>
      </c>
      <c r="N517" s="4" t="s">
        <v>2858</v>
      </c>
      <c r="O517" s="4" t="s">
        <v>2859</v>
      </c>
      <c r="P517" s="4" t="s">
        <v>2860</v>
      </c>
      <c r="Q517" s="4" t="s">
        <v>2861</v>
      </c>
      <c r="R517" s="4" t="s">
        <v>2858</v>
      </c>
      <c r="S517" s="4" t="s">
        <v>1737</v>
      </c>
    </row>
    <row r="518">
      <c r="A518" s="4">
        <v>416.0</v>
      </c>
      <c r="B518" s="4" t="s">
        <v>472</v>
      </c>
      <c r="C518" s="4"/>
      <c r="D518" s="4" t="s">
        <v>2862</v>
      </c>
      <c r="E518" s="4" t="s">
        <v>2863</v>
      </c>
      <c r="F518" s="4" t="s">
        <v>2864</v>
      </c>
      <c r="G518" s="5" t="str">
        <f>IFERROR(__xludf.DUMMYFUNCTION("GOOGLETRANSLATE(D518,""ca"",""es"")"),"mancha")</f>
        <v>mancha</v>
      </c>
      <c r="H518" s="4" t="s">
        <v>2865</v>
      </c>
      <c r="I518" s="4" t="s">
        <v>2866</v>
      </c>
      <c r="J518" s="4" t="s">
        <v>2867</v>
      </c>
      <c r="K518" s="4" t="s">
        <v>2298</v>
      </c>
      <c r="L518" s="4" t="s">
        <v>2868</v>
      </c>
      <c r="M518" s="4" t="s">
        <v>2869</v>
      </c>
      <c r="N518" s="4" t="s">
        <v>2870</v>
      </c>
      <c r="O518" s="4" t="s">
        <v>2293</v>
      </c>
    </row>
    <row r="519">
      <c r="A519" s="4">
        <v>417.0</v>
      </c>
      <c r="B519" s="4" t="s">
        <v>472</v>
      </c>
      <c r="C519" s="4"/>
      <c r="D519" s="4" t="s">
        <v>2871</v>
      </c>
      <c r="E519" s="4" t="s">
        <v>2872</v>
      </c>
      <c r="F519" s="4" t="s">
        <v>2873</v>
      </c>
      <c r="G519" s="5" t="str">
        <f>IFERROR(__xludf.DUMMYFUNCTION("GOOGLETRANSLATE(D519,""ca"",""es"")"),"máquina")</f>
        <v>máquina</v>
      </c>
      <c r="H519" s="4" t="s">
        <v>2874</v>
      </c>
      <c r="I519" s="4" t="s">
        <v>2874</v>
      </c>
      <c r="J519" s="4" t="s">
        <v>2875</v>
      </c>
      <c r="K519" s="4" t="s">
        <v>2874</v>
      </c>
    </row>
    <row r="520">
      <c r="A520" s="4">
        <v>418.0</v>
      </c>
      <c r="B520" s="4" t="s">
        <v>472</v>
      </c>
      <c r="C520" s="4"/>
      <c r="D520" s="4" t="s">
        <v>2876</v>
      </c>
      <c r="E520" s="4" t="s">
        <v>2877</v>
      </c>
      <c r="F520" s="4" t="s">
        <v>2878</v>
      </c>
      <c r="G520" s="5" t="str">
        <f>IFERROR(__xludf.DUMMYFUNCTION("GOOGLETRANSLATE(D520,""ca"",""es"")"),"imitar")</f>
        <v>imitar</v>
      </c>
    </row>
    <row r="521">
      <c r="A521" s="4">
        <v>419.0</v>
      </c>
      <c r="B521" s="4" t="s">
        <v>472</v>
      </c>
      <c r="C521" s="4"/>
      <c r="D521" s="4" t="s">
        <v>2879</v>
      </c>
      <c r="E521" s="4" t="s">
        <v>2880</v>
      </c>
      <c r="F521" s="4" t="s">
        <v>2881</v>
      </c>
      <c r="G521" s="5" t="str">
        <f>IFERROR(__xludf.DUMMYFUNCTION("GOOGLETRANSLATE(D521,""ca"",""es"")"),"mimetismo")</f>
        <v>mimetismo</v>
      </c>
      <c r="H521" s="4" t="s">
        <v>2690</v>
      </c>
      <c r="I521" s="4" t="s">
        <v>2882</v>
      </c>
      <c r="J521" s="4" t="s">
        <v>2883</v>
      </c>
      <c r="K521" s="4" t="s">
        <v>2884</v>
      </c>
      <c r="L521" s="4" t="s">
        <v>2885</v>
      </c>
      <c r="M521" s="4" t="s">
        <v>2886</v>
      </c>
      <c r="N521" s="4" t="s">
        <v>2887</v>
      </c>
    </row>
    <row r="522">
      <c r="A522" s="4">
        <v>420.0</v>
      </c>
      <c r="B522" s="4" t="s">
        <v>472</v>
      </c>
      <c r="C522" s="4"/>
      <c r="D522" s="4" t="s">
        <v>2888</v>
      </c>
      <c r="E522" s="4" t="s">
        <v>2889</v>
      </c>
      <c r="F522" s="4" t="s">
        <v>2890</v>
      </c>
      <c r="G522" s="5" t="str">
        <f>IFERROR(__xludf.DUMMYFUNCTION("GOOGLETRANSLATE(D522,""ca"",""es"")"),"mínimo")</f>
        <v>mínimo</v>
      </c>
      <c r="H522" s="4" t="s">
        <v>2891</v>
      </c>
      <c r="I522" s="4" t="s">
        <v>2892</v>
      </c>
      <c r="J522" s="4" t="s">
        <v>2893</v>
      </c>
      <c r="K522" s="4" t="s">
        <v>2894</v>
      </c>
      <c r="L522" s="4" t="s">
        <v>2895</v>
      </c>
      <c r="M522" s="4" t="s">
        <v>2896</v>
      </c>
      <c r="N522" s="4" t="s">
        <v>2897</v>
      </c>
      <c r="O522" s="4" t="s">
        <v>2898</v>
      </c>
      <c r="P522" s="4" t="s">
        <v>2899</v>
      </c>
      <c r="Q522" s="4" t="s">
        <v>2900</v>
      </c>
      <c r="R522" s="4" t="s">
        <v>2897</v>
      </c>
      <c r="S522" s="4" t="s">
        <v>2897</v>
      </c>
      <c r="T522" s="4" t="s">
        <v>2901</v>
      </c>
    </row>
    <row r="523">
      <c r="A523" s="4">
        <v>421.0</v>
      </c>
      <c r="B523" s="4" t="s">
        <v>472</v>
      </c>
      <c r="C523" s="4"/>
      <c r="D523" s="4" t="s">
        <v>2902</v>
      </c>
      <c r="E523" s="4" t="s">
        <v>2903</v>
      </c>
      <c r="F523" s="4" t="s">
        <v>2904</v>
      </c>
      <c r="G523" s="5" t="str">
        <f>IFERROR(__xludf.DUMMYFUNCTION("GOOGLETRANSLATE(D523,""ca"",""es"")"),"mínimo")</f>
        <v>mínimo</v>
      </c>
    </row>
    <row r="524">
      <c r="A524" s="4">
        <v>422.0</v>
      </c>
      <c r="B524" s="4" t="s">
        <v>472</v>
      </c>
      <c r="C524" s="4"/>
      <c r="D524" s="4" t="s">
        <v>2905</v>
      </c>
      <c r="E524" s="4" t="s">
        <v>2906</v>
      </c>
      <c r="F524" s="4" t="s">
        <v>2907</v>
      </c>
      <c r="G524" s="5" t="str">
        <f>IFERROR(__xludf.DUMMYFUNCTION("GOOGLETRANSLATE(D524,""ca"",""es"")"),"mítico")</f>
        <v>mítico</v>
      </c>
    </row>
    <row r="525">
      <c r="A525" s="4">
        <v>423.0</v>
      </c>
      <c r="B525" s="4" t="s">
        <v>472</v>
      </c>
      <c r="C525" s="4"/>
      <c r="D525" s="4" t="s">
        <v>374</v>
      </c>
      <c r="E525" s="4" t="s">
        <v>373</v>
      </c>
      <c r="F525" s="4" t="s">
        <v>374</v>
      </c>
      <c r="G525" s="5" t="str">
        <f>IFERROR(__xludf.DUMMYFUNCTION("GOOGLETRANSLATE(D525,""ca"",""es"")"),"ninguna")</f>
        <v>ninguna</v>
      </c>
      <c r="H525" s="4" t="s">
        <v>2908</v>
      </c>
      <c r="I525" s="4" t="s">
        <v>2909</v>
      </c>
      <c r="J525" s="4" t="s">
        <v>2910</v>
      </c>
    </row>
    <row r="526">
      <c r="A526" s="4">
        <v>424.0</v>
      </c>
      <c r="B526" s="4" t="s">
        <v>472</v>
      </c>
      <c r="E526" s="4" t="s">
        <v>2911</v>
      </c>
      <c r="F526" s="4" t="s">
        <v>2912</v>
      </c>
      <c r="G526" s="5" t="str">
        <f>IFERROR(__xludf.DUMMYFUNCTION("GOOGLETRANSLATE(D526,""ca"",""es"")"),"#VALUE!")</f>
        <v>#VALUE!</v>
      </c>
      <c r="H526" s="4" t="s">
        <v>2913</v>
      </c>
      <c r="I526" s="4" t="s">
        <v>2914</v>
      </c>
      <c r="J526" s="4" t="s">
        <v>2915</v>
      </c>
      <c r="K526" s="4" t="s">
        <v>2916</v>
      </c>
      <c r="L526" s="4" t="s">
        <v>2917</v>
      </c>
      <c r="M526" s="4" t="s">
        <v>2918</v>
      </c>
      <c r="N526" s="4" t="s">
        <v>2919</v>
      </c>
      <c r="O526" s="4" t="s">
        <v>2920</v>
      </c>
      <c r="P526" s="4" t="s">
        <v>2921</v>
      </c>
      <c r="Q526" s="4" t="s">
        <v>2921</v>
      </c>
      <c r="R526" s="4" t="s">
        <v>2916</v>
      </c>
      <c r="S526" s="4" t="s">
        <v>2922</v>
      </c>
    </row>
    <row r="527">
      <c r="A527" s="4">
        <v>425.0</v>
      </c>
      <c r="B527" s="4" t="s">
        <v>472</v>
      </c>
      <c r="C527" s="4"/>
      <c r="D527" s="4" t="s">
        <v>2923</v>
      </c>
      <c r="E527" s="4" t="s">
        <v>2924</v>
      </c>
      <c r="F527" s="4" t="s">
        <v>2923</v>
      </c>
      <c r="G527" s="5" t="str">
        <f>IFERROR(__xludf.DUMMYFUNCTION("GOOGLETRANSLATE(D527,""ca"",""es"")"),"enano")</f>
        <v>enano</v>
      </c>
    </row>
    <row r="528">
      <c r="A528" s="4">
        <v>426.0</v>
      </c>
      <c r="B528" s="4" t="s">
        <v>472</v>
      </c>
      <c r="C528" s="4"/>
      <c r="D528" s="4" t="s">
        <v>2925</v>
      </c>
      <c r="E528" s="4" t="s">
        <v>2926</v>
      </c>
      <c r="F528" s="4" t="s">
        <v>2927</v>
      </c>
      <c r="G528" s="5" t="str">
        <f>IFERROR(__xludf.DUMMYFUNCTION("GOOGLETRANSLATE(D528,""ca"",""es"")"),"nano")</f>
        <v>nano</v>
      </c>
    </row>
    <row r="529">
      <c r="A529" s="4">
        <v>427.0</v>
      </c>
      <c r="B529" s="4" t="s">
        <v>472</v>
      </c>
      <c r="C529" s="4"/>
      <c r="D529" s="4" t="s">
        <v>2928</v>
      </c>
      <c r="E529" s="4" t="s">
        <v>2929</v>
      </c>
      <c r="F529" s="4" t="s">
        <v>2928</v>
      </c>
      <c r="G529" s="5" t="str">
        <f>IFERROR(__xludf.DUMMYFUNCTION("GOOGLETRANSLATE(D529,""ca"",""es"")"),"nabo")</f>
        <v>nabo</v>
      </c>
      <c r="H529" s="4" t="s">
        <v>2930</v>
      </c>
      <c r="I529" s="4" t="s">
        <v>2930</v>
      </c>
      <c r="J529" s="4" t="s">
        <v>2931</v>
      </c>
      <c r="K529" s="4" t="s">
        <v>2932</v>
      </c>
    </row>
    <row r="530">
      <c r="A530" s="4">
        <v>428.0</v>
      </c>
      <c r="B530" s="4" t="s">
        <v>472</v>
      </c>
      <c r="C530" s="4"/>
      <c r="D530" s="4" t="s">
        <v>380</v>
      </c>
      <c r="E530" s="4" t="s">
        <v>379</v>
      </c>
      <c r="F530" s="4" t="s">
        <v>380</v>
      </c>
      <c r="G530" s="5" t="str">
        <f>IFERROR(__xludf.DUMMYFUNCTION("GOOGLETRANSLATE(D530,""ca"",""es"")"),"nariz")</f>
        <v>nariz</v>
      </c>
      <c r="H530" s="4" t="s">
        <v>2933</v>
      </c>
      <c r="I530" s="4" t="s">
        <v>2934</v>
      </c>
      <c r="J530" s="4" t="s">
        <v>2933</v>
      </c>
    </row>
    <row r="531">
      <c r="A531" s="4">
        <v>429.0</v>
      </c>
      <c r="B531" s="4" t="s">
        <v>472</v>
      </c>
      <c r="C531" s="4"/>
      <c r="D531" s="4" t="s">
        <v>2935</v>
      </c>
      <c r="E531" s="4" t="s">
        <v>2936</v>
      </c>
      <c r="F531" s="4" t="s">
        <v>2935</v>
      </c>
      <c r="G531" s="5" t="str">
        <f>IFERROR(__xludf.DUMMYFUNCTION("GOOGLETRANSLATE(D531,""ca"",""es"")"),"crema")</f>
        <v>crema</v>
      </c>
      <c r="H531" s="4" t="s">
        <v>2937</v>
      </c>
    </row>
    <row r="532">
      <c r="A532" s="4">
        <v>430.0</v>
      </c>
      <c r="B532" s="4" t="s">
        <v>472</v>
      </c>
      <c r="C532" s="4"/>
      <c r="D532" s="4" t="s">
        <v>2938</v>
      </c>
      <c r="E532" s="4" t="s">
        <v>2939</v>
      </c>
      <c r="F532" s="4" t="s">
        <v>2938</v>
      </c>
      <c r="G532" s="5" t="str">
        <f>IFERROR(__xludf.DUMMYFUNCTION("GOOGLETRANSLATE(D532,""ca"",""es"")"),"ciudad natal")</f>
        <v>ciudad natal</v>
      </c>
      <c r="H532" s="4" t="s">
        <v>2940</v>
      </c>
      <c r="I532" s="4" t="s">
        <v>2941</v>
      </c>
    </row>
    <row r="533">
      <c r="A533" s="4">
        <v>431.0</v>
      </c>
      <c r="B533" s="4" t="s">
        <v>472</v>
      </c>
      <c r="C533" s="4"/>
      <c r="D533" s="4" t="s">
        <v>2942</v>
      </c>
      <c r="E533" s="4" t="s">
        <v>2943</v>
      </c>
      <c r="F533" s="4" t="s">
        <v>2944</v>
      </c>
      <c r="G533" s="5" t="str">
        <f>IFERROR(__xludf.DUMMYFUNCTION("GOOGLETRANSLATE(D533,""ca"",""es"")"),"nacimiento")</f>
        <v>nacimiento</v>
      </c>
      <c r="H533" s="4" t="s">
        <v>2945</v>
      </c>
      <c r="I533" s="4" t="s">
        <v>2945</v>
      </c>
      <c r="J533" s="4" t="s">
        <v>2946</v>
      </c>
    </row>
    <row r="534">
      <c r="A534" s="4">
        <v>432.0</v>
      </c>
      <c r="B534" s="4" t="s">
        <v>472</v>
      </c>
      <c r="C534" s="4"/>
      <c r="D534" s="4" t="s">
        <v>2947</v>
      </c>
      <c r="E534" s="4" t="s">
        <v>2948</v>
      </c>
      <c r="F534" s="4" t="s">
        <v>2947</v>
      </c>
      <c r="G534" s="5" t="str">
        <f>IFERROR(__xludf.DUMMYFUNCTION("GOOGLETRANSLATE(D534,""ca"",""es"")"),"naturaleza")</f>
        <v>naturaleza</v>
      </c>
      <c r="H534" s="4" t="s">
        <v>2949</v>
      </c>
      <c r="I534" s="4" t="s">
        <v>2949</v>
      </c>
      <c r="J534" s="4" t="s">
        <v>2949</v>
      </c>
      <c r="K534" s="4" t="s">
        <v>2950</v>
      </c>
      <c r="L534" s="4" t="s">
        <v>2951</v>
      </c>
      <c r="M534" s="4" t="s">
        <v>2952</v>
      </c>
      <c r="N534" s="4" t="s">
        <v>2953</v>
      </c>
      <c r="O534" s="4" t="s">
        <v>2954</v>
      </c>
      <c r="P534" s="4" t="s">
        <v>2955</v>
      </c>
      <c r="Q534" s="4" t="s">
        <v>2956</v>
      </c>
      <c r="R534" s="4" t="s">
        <v>2957</v>
      </c>
      <c r="S534" s="4" t="s">
        <v>2958</v>
      </c>
    </row>
    <row r="535">
      <c r="A535" s="4">
        <v>433.0</v>
      </c>
      <c r="B535" s="4" t="s">
        <v>472</v>
      </c>
      <c r="C535" s="4"/>
      <c r="D535" s="4" t="s">
        <v>2959</v>
      </c>
      <c r="E535" s="4" t="s">
        <v>2960</v>
      </c>
      <c r="F535" s="4" t="s">
        <v>2959</v>
      </c>
      <c r="G535" s="5" t="str">
        <f>IFERROR(__xludf.DUMMYFUNCTION("GOOGLETRANSLATE(D535,""ca"",""es"")"),"natural")</f>
        <v>natural</v>
      </c>
      <c r="H535" s="4" t="s">
        <v>2961</v>
      </c>
      <c r="I535" s="4" t="s">
        <v>2962</v>
      </c>
      <c r="J535" s="4" t="s">
        <v>2959</v>
      </c>
      <c r="K535" s="4" t="s">
        <v>2963</v>
      </c>
      <c r="L535" s="4" t="s">
        <v>2964</v>
      </c>
      <c r="M535" s="4" t="s">
        <v>2965</v>
      </c>
      <c r="N535" s="4" t="s">
        <v>2966</v>
      </c>
      <c r="O535" s="4" t="s">
        <v>2967</v>
      </c>
      <c r="P535" s="4" t="s">
        <v>2968</v>
      </c>
      <c r="Q535" s="4" t="s">
        <v>2969</v>
      </c>
      <c r="R535" s="4" t="s">
        <v>2959</v>
      </c>
      <c r="S535" s="4" t="s">
        <v>2959</v>
      </c>
      <c r="T535" s="4" t="s">
        <v>2959</v>
      </c>
      <c r="U535" s="4" t="s">
        <v>2959</v>
      </c>
      <c r="V535" s="4" t="s">
        <v>2959</v>
      </c>
      <c r="W535" s="4" t="s">
        <v>2959</v>
      </c>
      <c r="X535" s="4" t="s">
        <v>2959</v>
      </c>
      <c r="Y535" s="4" t="s">
        <v>2963</v>
      </c>
      <c r="Z535" s="4" t="s">
        <v>2970</v>
      </c>
      <c r="AA535" s="4" t="s">
        <v>2971</v>
      </c>
    </row>
    <row r="536">
      <c r="A536" s="4">
        <v>434.0</v>
      </c>
      <c r="B536" s="4" t="s">
        <v>472</v>
      </c>
      <c r="C536" s="4"/>
      <c r="D536" s="4" t="s">
        <v>389</v>
      </c>
      <c r="E536" s="4" t="s">
        <v>388</v>
      </c>
      <c r="F536" s="4" t="s">
        <v>389</v>
      </c>
      <c r="G536" s="5" t="str">
        <f>IFERROR(__xludf.DUMMYFUNCTION("GOOGLETRANSLATE(D536,""ca"",""es"")"),"o")</f>
        <v>o</v>
      </c>
      <c r="H536" s="4" t="s">
        <v>2972</v>
      </c>
    </row>
    <row r="537">
      <c r="A537" s="4">
        <v>435.0</v>
      </c>
      <c r="B537" s="4" t="s">
        <v>472</v>
      </c>
      <c r="C537" s="4"/>
      <c r="D537" s="4" t="s">
        <v>2973</v>
      </c>
      <c r="E537" s="4" t="s">
        <v>2974</v>
      </c>
      <c r="F537" s="4" t="s">
        <v>2975</v>
      </c>
      <c r="G537" s="5" t="str">
        <f>IFERROR(__xludf.DUMMYFUNCTION("GOOGLETRANSLATE(D537,""ca"",""es"")"),"nici")</f>
        <v>nici</v>
      </c>
    </row>
    <row r="538">
      <c r="A538" s="4">
        <v>436.0</v>
      </c>
      <c r="B538" s="4" t="s">
        <v>472</v>
      </c>
      <c r="C538" s="4"/>
      <c r="D538" s="4" t="s">
        <v>2976</v>
      </c>
      <c r="E538" s="4" t="s">
        <v>2977</v>
      </c>
      <c r="F538" s="4" t="s">
        <v>2976</v>
      </c>
      <c r="G538" s="5" t="str">
        <f>IFERROR(__xludf.DUMMYFUNCTION("GOOGLETRANSLATE(D538,""ca"",""es"")"),"Nilo")</f>
        <v>Nilo</v>
      </c>
      <c r="H538" s="4" t="s">
        <v>2978</v>
      </c>
      <c r="I538" s="4" t="s">
        <v>2979</v>
      </c>
    </row>
    <row r="539">
      <c r="A539" s="4">
        <v>437.0</v>
      </c>
      <c r="B539" s="4" t="s">
        <v>472</v>
      </c>
      <c r="C539" s="4"/>
      <c r="D539" s="4" t="s">
        <v>2980</v>
      </c>
      <c r="E539" s="4" t="s">
        <v>2981</v>
      </c>
      <c r="F539" s="4" t="s">
        <v>2980</v>
      </c>
      <c r="G539" s="5" t="str">
        <f>IFERROR(__xludf.DUMMYFUNCTION("GOOGLETRANSLATE(D539,""ca"",""es"")"),"niño")</f>
        <v>niño</v>
      </c>
    </row>
    <row r="540">
      <c r="A540" s="4">
        <v>438.0</v>
      </c>
      <c r="B540" s="4" t="s">
        <v>472</v>
      </c>
      <c r="C540" s="4"/>
      <c r="D540" s="4" t="s">
        <v>2982</v>
      </c>
      <c r="E540" s="4" t="s">
        <v>2983</v>
      </c>
      <c r="F540" s="4" t="s">
        <v>2982</v>
      </c>
      <c r="G540" s="5" t="str">
        <f>IFERROR(__xludf.DUMMYFUNCTION("GOOGLETRANSLATE(D540,""ca"",""es"")"),"muñeca")</f>
        <v>muñeca</v>
      </c>
      <c r="H540" s="4" t="s">
        <v>2984</v>
      </c>
      <c r="I540" s="4" t="s">
        <v>2985</v>
      </c>
    </row>
    <row r="541">
      <c r="A541" s="4">
        <v>439.0</v>
      </c>
      <c r="B541" s="4" t="s">
        <v>472</v>
      </c>
      <c r="C541" s="4"/>
      <c r="D541" s="4" t="s">
        <v>2986</v>
      </c>
      <c r="E541" s="4" t="s">
        <v>2987</v>
      </c>
      <c r="F541" s="4" t="s">
        <v>2988</v>
      </c>
      <c r="G541" s="5" t="str">
        <f>IFERROR(__xludf.DUMMYFUNCTION("GOOGLETRANSLATE(D541,""ca"",""es"")"),"agradable")</f>
        <v>agradable</v>
      </c>
    </row>
    <row r="542">
      <c r="A542" s="4">
        <v>440.0</v>
      </c>
      <c r="B542" s="4" t="s">
        <v>472</v>
      </c>
      <c r="C542" s="4"/>
      <c r="D542" s="4" t="s">
        <v>2989</v>
      </c>
      <c r="E542" s="4" t="s">
        <v>2990</v>
      </c>
      <c r="F542" s="4" t="s">
        <v>2991</v>
      </c>
      <c r="G542" s="5" t="str">
        <f>IFERROR(__xludf.DUMMYFUNCTION("GOOGLETRANSLATE(D542,""ca"",""es"")"),"nominal")</f>
        <v>nominal</v>
      </c>
    </row>
    <row r="543">
      <c r="A543" s="4">
        <v>441.0</v>
      </c>
      <c r="B543" s="4" t="s">
        <v>472</v>
      </c>
      <c r="C543" s="4"/>
      <c r="D543" s="4" t="s">
        <v>2992</v>
      </c>
      <c r="E543" s="4" t="s">
        <v>2993</v>
      </c>
      <c r="F543" s="4" t="s">
        <v>2994</v>
      </c>
      <c r="G543" s="5" t="str">
        <f>IFERROR(__xludf.DUMMYFUNCTION("GOOGLETRANSLATE(D543,""ca"",""es"")"),"nombrar")</f>
        <v>nombrar</v>
      </c>
      <c r="H543" s="4" t="s">
        <v>2995</v>
      </c>
      <c r="I543" s="4" t="s">
        <v>2996</v>
      </c>
      <c r="J543" s="4" t="s">
        <v>2997</v>
      </c>
      <c r="K543" s="4" t="s">
        <v>2998</v>
      </c>
      <c r="L543" s="4" t="s">
        <v>1438</v>
      </c>
      <c r="M543" s="4" t="s">
        <v>2995</v>
      </c>
      <c r="N543" s="4" t="s">
        <v>2999</v>
      </c>
      <c r="O543" s="4" t="s">
        <v>1438</v>
      </c>
      <c r="P543" s="4" t="s">
        <v>2995</v>
      </c>
      <c r="Q543" s="4" t="s">
        <v>3000</v>
      </c>
      <c r="R543" s="4" t="s">
        <v>2995</v>
      </c>
      <c r="S543" s="4" t="s">
        <v>3001</v>
      </c>
    </row>
    <row r="544">
      <c r="A544" s="4">
        <v>442.0</v>
      </c>
      <c r="B544" s="4" t="s">
        <v>472</v>
      </c>
      <c r="C544" s="4"/>
      <c r="D544" s="4" t="s">
        <v>3002</v>
      </c>
      <c r="E544" s="4" t="s">
        <v>3003</v>
      </c>
      <c r="F544" s="4" t="s">
        <v>3004</v>
      </c>
      <c r="G544" s="5" t="str">
        <f>IFERROR(__xludf.DUMMYFUNCTION("GOOGLETRANSLATE(D544,""ca"",""es"")"),"Nota")</f>
        <v>Nota</v>
      </c>
      <c r="H544" s="4" t="s">
        <v>3005</v>
      </c>
      <c r="I544" s="4" t="s">
        <v>3006</v>
      </c>
      <c r="J544" s="4" t="s">
        <v>3007</v>
      </c>
      <c r="K544" s="4" t="s">
        <v>3008</v>
      </c>
      <c r="L544" s="4" t="s">
        <v>3009</v>
      </c>
      <c r="M544" s="4" t="s">
        <v>3009</v>
      </c>
      <c r="N544" s="4" t="s">
        <v>3010</v>
      </c>
      <c r="O544" s="4" t="s">
        <v>3011</v>
      </c>
      <c r="P544" s="4" t="s">
        <v>3005</v>
      </c>
      <c r="Q544" s="4" t="s">
        <v>3005</v>
      </c>
    </row>
    <row r="545">
      <c r="A545" s="4">
        <v>443.0</v>
      </c>
      <c r="B545" s="4" t="s">
        <v>472</v>
      </c>
      <c r="C545" s="4"/>
      <c r="D545" s="4" t="s">
        <v>3012</v>
      </c>
      <c r="E545" s="4" t="s">
        <v>3013</v>
      </c>
      <c r="F545" s="4" t="s">
        <v>3014</v>
      </c>
      <c r="G545" s="5" t="str">
        <f>IFERROR(__xludf.DUMMYFUNCTION("GOOGLETRANSLATE(D545,""ca"",""es"")"),"notario")</f>
        <v>notario</v>
      </c>
      <c r="H545" s="4" t="s">
        <v>3015</v>
      </c>
      <c r="I545" s="4" t="s">
        <v>3016</v>
      </c>
      <c r="J545" s="4" t="s">
        <v>3017</v>
      </c>
    </row>
    <row r="546">
      <c r="A546" s="4">
        <v>444.0</v>
      </c>
      <c r="B546" s="4" t="s">
        <v>472</v>
      </c>
      <c r="C546" s="4"/>
      <c r="D546" s="4" t="s">
        <v>2972</v>
      </c>
      <c r="E546" s="4" t="s">
        <v>3018</v>
      </c>
      <c r="F546" s="4" t="s">
        <v>2972</v>
      </c>
      <c r="G546" s="5" t="str">
        <f>IFERROR(__xludf.DUMMYFUNCTION("GOOGLETRANSLATE(D546,""ca"",""es"")"),"desnudo")</f>
        <v>desnudo</v>
      </c>
      <c r="H546" s="4" t="s">
        <v>3019</v>
      </c>
      <c r="I546" s="4" t="s">
        <v>3020</v>
      </c>
      <c r="J546" s="4" t="s">
        <v>3021</v>
      </c>
      <c r="K546" s="4" t="s">
        <v>3022</v>
      </c>
      <c r="L546" s="4" t="s">
        <v>3023</v>
      </c>
      <c r="M546" s="4" t="s">
        <v>3024</v>
      </c>
      <c r="N546" s="4" t="s">
        <v>3025</v>
      </c>
      <c r="O546" s="4" t="s">
        <v>3026</v>
      </c>
      <c r="P546" s="4" t="s">
        <v>3027</v>
      </c>
      <c r="Q546" s="4" t="s">
        <v>3028</v>
      </c>
      <c r="R546" s="4" t="s">
        <v>3029</v>
      </c>
      <c r="S546" s="4" t="s">
        <v>3030</v>
      </c>
      <c r="T546" s="4" t="s">
        <v>3031</v>
      </c>
      <c r="U546" s="4" t="s">
        <v>3032</v>
      </c>
      <c r="V546" s="4" t="s">
        <v>3033</v>
      </c>
      <c r="W546" s="4" t="s">
        <v>3034</v>
      </c>
      <c r="X546" s="4" t="s">
        <v>3022</v>
      </c>
      <c r="Y546" s="4" t="s">
        <v>3035</v>
      </c>
      <c r="Z546" s="4" t="s">
        <v>3022</v>
      </c>
      <c r="AA546" s="4" t="s">
        <v>3036</v>
      </c>
      <c r="AB546" s="4" t="s">
        <v>3022</v>
      </c>
    </row>
    <row r="547">
      <c r="A547" s="4">
        <v>445.0</v>
      </c>
      <c r="B547" s="4" t="s">
        <v>472</v>
      </c>
      <c r="C547" s="4"/>
      <c r="D547" s="4" t="s">
        <v>3037</v>
      </c>
      <c r="E547" s="4" t="s">
        <v>3038</v>
      </c>
      <c r="F547" s="4" t="s">
        <v>3039</v>
      </c>
      <c r="G547" s="5" t="str">
        <f>IFERROR(__xludf.DUMMYFUNCTION("GOOGLETRANSLATE(D547,""ca"",""es"")"),"cuello")</f>
        <v>cuello</v>
      </c>
      <c r="H547" s="4" t="s">
        <v>3040</v>
      </c>
      <c r="I547" s="4" t="s">
        <v>3041</v>
      </c>
      <c r="J547" s="4" t="s">
        <v>3042</v>
      </c>
    </row>
    <row r="548">
      <c r="A548" s="4">
        <v>446.0</v>
      </c>
      <c r="B548" s="4" t="s">
        <v>472</v>
      </c>
      <c r="C548" s="4"/>
      <c r="D548" s="4" t="s">
        <v>3043</v>
      </c>
      <c r="E548" s="4" t="s">
        <v>3044</v>
      </c>
      <c r="F548" s="4" t="s">
        <v>3043</v>
      </c>
      <c r="G548" s="5" t="str">
        <f>IFERROR(__xludf.DUMMYFUNCTION("GOOGLETRANSLATE(D548,""ca"",""es"")"),"vacío")</f>
        <v>vacío</v>
      </c>
      <c r="I548" s="4" t="s">
        <v>3045</v>
      </c>
    </row>
    <row r="549">
      <c r="A549" s="4">
        <v>447.0</v>
      </c>
      <c r="B549" s="4" t="s">
        <v>472</v>
      </c>
      <c r="C549" s="4"/>
      <c r="D549" s="4" t="s">
        <v>3046</v>
      </c>
      <c r="E549" s="4" t="s">
        <v>3047</v>
      </c>
      <c r="F549" s="4" t="s">
        <v>3046</v>
      </c>
      <c r="G549" s="5" t="str">
        <f>IFERROR(__xludf.DUMMYFUNCTION("GOOGLETRANSLATE(D549,""ca"",""es"")"),"nudo")</f>
        <v>nudo</v>
      </c>
      <c r="H549" s="4" t="s">
        <v>2145</v>
      </c>
      <c r="I549" s="4" t="s">
        <v>3048</v>
      </c>
      <c r="J549" s="4" t="s">
        <v>3049</v>
      </c>
      <c r="K549" s="4" t="s">
        <v>3050</v>
      </c>
      <c r="L549" s="4" t="s">
        <v>3051</v>
      </c>
      <c r="M549" s="4" t="s">
        <v>2660</v>
      </c>
      <c r="N549" s="4" t="s">
        <v>2653</v>
      </c>
      <c r="O549" s="4" t="s">
        <v>342</v>
      </c>
      <c r="P549" s="4" t="s">
        <v>2661</v>
      </c>
      <c r="Q549" s="4" t="s">
        <v>2145</v>
      </c>
      <c r="R549" s="4" t="s">
        <v>2662</v>
      </c>
      <c r="S549" s="4" t="s">
        <v>2663</v>
      </c>
      <c r="T549" s="4" t="s">
        <v>2145</v>
      </c>
      <c r="U549" s="4" t="s">
        <v>3052</v>
      </c>
      <c r="V549" s="4" t="s">
        <v>2145</v>
      </c>
    </row>
    <row r="550">
      <c r="A550" s="4">
        <v>448.0</v>
      </c>
      <c r="B550" s="4" t="s">
        <v>472</v>
      </c>
      <c r="C550" s="4"/>
      <c r="D550" s="4" t="s">
        <v>3053</v>
      </c>
      <c r="E550" s="4" t="s">
        <v>3054</v>
      </c>
      <c r="F550" s="4" t="s">
        <v>3055</v>
      </c>
      <c r="G550" s="5" t="str">
        <f>IFERROR(__xludf.DUMMYFUNCTION("GOOGLETRANSLATE(D550,""ca"",""es"")"),"nyam")</f>
        <v>nyam</v>
      </c>
      <c r="H550" s="4" t="s">
        <v>3056</v>
      </c>
    </row>
    <row r="551">
      <c r="A551" s="4">
        <v>449.0</v>
      </c>
      <c r="B551" s="4" t="s">
        <v>472</v>
      </c>
      <c r="C551" s="4"/>
      <c r="D551" s="4" t="s">
        <v>3057</v>
      </c>
      <c r="E551" s="4" t="s">
        <v>3058</v>
      </c>
      <c r="F551" s="4" t="s">
        <v>3059</v>
      </c>
      <c r="G551" s="5" t="str">
        <f>IFERROR(__xludf.DUMMYFUNCTION("GOOGLETRANSLATE(D551,""ca"",""es"")"),"nabo")</f>
        <v>nabo</v>
      </c>
      <c r="H551" s="4" t="s">
        <v>3060</v>
      </c>
      <c r="I551" s="4" t="s">
        <v>3061</v>
      </c>
      <c r="J551" s="4" t="s">
        <v>3062</v>
      </c>
      <c r="K551" s="4" t="s">
        <v>3063</v>
      </c>
    </row>
    <row r="552">
      <c r="A552" s="4">
        <v>450.0</v>
      </c>
      <c r="B552" s="4" t="s">
        <v>472</v>
      </c>
      <c r="C552" s="4"/>
      <c r="D552" s="4" t="s">
        <v>3064</v>
      </c>
      <c r="E552" s="4" t="s">
        <v>3065</v>
      </c>
      <c r="F552" s="4" t="s">
        <v>3066</v>
      </c>
      <c r="G552" s="5" t="str">
        <f>IFERROR(__xludf.DUMMYFUNCTION("GOOGLETRANSLATE(D552,""ca"",""es"")"),"nyu")</f>
        <v>nyu</v>
      </c>
      <c r="H552" s="4" t="s">
        <v>3067</v>
      </c>
      <c r="I552" s="4" t="s">
        <v>3068</v>
      </c>
    </row>
    <row r="553">
      <c r="A553" s="4">
        <v>451.0</v>
      </c>
      <c r="B553" s="4" t="s">
        <v>472</v>
      </c>
      <c r="C553" s="4"/>
      <c r="D553" s="4" t="s">
        <v>3069</v>
      </c>
      <c r="E553" s="4" t="s">
        <v>3070</v>
      </c>
      <c r="F553" s="4" t="s">
        <v>3071</v>
      </c>
      <c r="G553" s="5" t="str">
        <f>IFERROR(__xludf.DUMMYFUNCTION("GOOGLETRANSLATE(D553,""ca"",""es"")"),"alquitrán")</f>
        <v>alquitrán</v>
      </c>
      <c r="H553" s="4" t="s">
        <v>3069</v>
      </c>
      <c r="I553" s="4" t="s">
        <v>3072</v>
      </c>
      <c r="J553" s="4" t="s">
        <v>3073</v>
      </c>
      <c r="K553" s="4" t="s">
        <v>3074</v>
      </c>
      <c r="L553" s="4" t="s">
        <v>3069</v>
      </c>
      <c r="M553" s="4" t="s">
        <v>3072</v>
      </c>
      <c r="N553" s="4" t="s">
        <v>3073</v>
      </c>
      <c r="O553" s="4" t="s">
        <v>3075</v>
      </c>
      <c r="P553" s="4" t="s">
        <v>3076</v>
      </c>
      <c r="Q553" s="4" t="s">
        <v>3069</v>
      </c>
    </row>
    <row r="554">
      <c r="A554" s="4">
        <v>452.0</v>
      </c>
      <c r="B554" s="4" t="s">
        <v>472</v>
      </c>
      <c r="C554" s="4"/>
      <c r="D554" s="4" t="s">
        <v>3077</v>
      </c>
      <c r="E554" s="4" t="s">
        <v>3078</v>
      </c>
      <c r="F554" s="4" t="s">
        <v>3079</v>
      </c>
      <c r="G554" s="5" t="str">
        <f>IFERROR(__xludf.DUMMYFUNCTION("GOOGLETRANSLATE(D554,""ca"",""es"")"),"ocupar")</f>
        <v>ocupar</v>
      </c>
      <c r="H554" s="4" t="s">
        <v>878</v>
      </c>
      <c r="I554" s="4" t="s">
        <v>3080</v>
      </c>
      <c r="J554" s="4" t="s">
        <v>3081</v>
      </c>
      <c r="K554" s="4" t="s">
        <v>3082</v>
      </c>
      <c r="L554" s="4" t="s">
        <v>3083</v>
      </c>
      <c r="M554" s="4" t="s">
        <v>3082</v>
      </c>
      <c r="N554" s="4" t="s">
        <v>3084</v>
      </c>
      <c r="O554" s="4" t="s">
        <v>3081</v>
      </c>
      <c r="P554" s="4" t="s">
        <v>3085</v>
      </c>
      <c r="Q554" s="4" t="s">
        <v>3082</v>
      </c>
      <c r="R554" s="4" t="s">
        <v>3086</v>
      </c>
      <c r="S554" s="4" t="s">
        <v>3087</v>
      </c>
      <c r="T554" s="4" t="s">
        <v>3088</v>
      </c>
      <c r="U554" s="4" t="s">
        <v>3089</v>
      </c>
      <c r="V554" s="4" t="s">
        <v>3090</v>
      </c>
      <c r="W554" s="4" t="s">
        <v>3091</v>
      </c>
    </row>
    <row r="555">
      <c r="A555" s="4">
        <v>453.0</v>
      </c>
      <c r="B555" s="4" t="s">
        <v>472</v>
      </c>
      <c r="C555" s="4"/>
      <c r="D555" s="4" t="s">
        <v>3092</v>
      </c>
      <c r="E555" s="4" t="s">
        <v>3093</v>
      </c>
      <c r="F555" s="4" t="s">
        <v>3094</v>
      </c>
      <c r="G555" s="5" t="str">
        <f>IFERROR(__xludf.DUMMYFUNCTION("GOOGLETRANSLATE(D555,""ca"",""es"")"),"aceitoso")</f>
        <v>aceitoso</v>
      </c>
      <c r="H555" s="4" t="s">
        <v>3095</v>
      </c>
      <c r="I555" s="4" t="s">
        <v>3095</v>
      </c>
      <c r="J555" s="4" t="s">
        <v>3096</v>
      </c>
    </row>
    <row r="556">
      <c r="A556" s="4">
        <v>454.0</v>
      </c>
      <c r="B556" s="4" t="s">
        <v>472</v>
      </c>
      <c r="C556" s="4"/>
      <c r="D556" s="4" t="s">
        <v>3097</v>
      </c>
      <c r="E556" s="4" t="s">
        <v>3098</v>
      </c>
      <c r="F556" s="4" t="s">
        <v>3099</v>
      </c>
      <c r="G556" s="5" t="str">
        <f>IFERROR(__xludf.DUMMYFUNCTION("GOOGLETRANSLATE(D556,""ca"",""es"")"),"Olimpo")</f>
        <v>Olimpo</v>
      </c>
      <c r="H556" s="4" t="s">
        <v>3100</v>
      </c>
      <c r="I556" s="4" t="s">
        <v>3101</v>
      </c>
      <c r="J556" s="4" t="s">
        <v>3102</v>
      </c>
      <c r="K556" s="4" t="s">
        <v>3103</v>
      </c>
    </row>
    <row r="557">
      <c r="A557" s="4">
        <v>455.0</v>
      </c>
      <c r="B557" s="4" t="s">
        <v>472</v>
      </c>
      <c r="C557" s="4"/>
      <c r="D557" s="4" t="s">
        <v>3104</v>
      </c>
      <c r="E557" s="4" t="s">
        <v>3105</v>
      </c>
      <c r="F557" s="4" t="s">
        <v>3106</v>
      </c>
      <c r="G557" s="5" t="str">
        <f>IFERROR(__xludf.DUMMYFUNCTION("GOOGLETRANSLATE(D557,""ca"",""es"")"),"oler")</f>
        <v>oler</v>
      </c>
      <c r="H557" s="4" t="s">
        <v>3107</v>
      </c>
      <c r="I557" s="4" t="s">
        <v>3108</v>
      </c>
      <c r="J557" s="4" t="s">
        <v>3109</v>
      </c>
      <c r="K557" s="4" t="s">
        <v>3109</v>
      </c>
      <c r="L557" s="4" t="s">
        <v>3109</v>
      </c>
      <c r="M557" s="4" t="s">
        <v>3110</v>
      </c>
      <c r="N557" s="4" t="s">
        <v>2933</v>
      </c>
      <c r="O557" s="4" t="s">
        <v>1801</v>
      </c>
      <c r="P557" s="4" t="s">
        <v>3111</v>
      </c>
      <c r="Q557" s="4" t="s">
        <v>3112</v>
      </c>
      <c r="R557" s="4" t="s">
        <v>3113</v>
      </c>
      <c r="S557" s="4" t="s">
        <v>3114</v>
      </c>
    </row>
    <row r="558">
      <c r="A558" s="4">
        <v>456.0</v>
      </c>
      <c r="B558" s="4" t="s">
        <v>472</v>
      </c>
      <c r="C558" s="4"/>
      <c r="D558" s="4" t="s">
        <v>3115</v>
      </c>
      <c r="E558" s="4" t="s">
        <v>3116</v>
      </c>
      <c r="F558" s="4" t="s">
        <v>3117</v>
      </c>
      <c r="G558" s="5" t="str">
        <f>IFERROR(__xludf.DUMMYFUNCTION("GOOGLETRANSLATE(D558,""ca"",""es"")"),"Omán")</f>
        <v>Omán</v>
      </c>
      <c r="H558" s="4" t="s">
        <v>3118</v>
      </c>
      <c r="I558" s="4" t="s">
        <v>3119</v>
      </c>
      <c r="J558" s="4" t="s">
        <v>3120</v>
      </c>
    </row>
    <row r="559">
      <c r="A559" s="4">
        <v>457.0</v>
      </c>
      <c r="B559" s="4" t="s">
        <v>472</v>
      </c>
      <c r="C559" s="4"/>
      <c r="D559" s="4" t="s">
        <v>3121</v>
      </c>
      <c r="E559" s="4" t="s">
        <v>3122</v>
      </c>
      <c r="F559" s="4" t="s">
        <v>3123</v>
      </c>
      <c r="G559" s="5" t="str">
        <f>IFERROR(__xludf.DUMMYFUNCTION("GOOGLETRANSLATE(D559,""ca"",""es"")"),"opaco")</f>
        <v>opaco</v>
      </c>
      <c r="H559" s="4" t="s">
        <v>3124</v>
      </c>
    </row>
    <row r="560">
      <c r="A560" s="4">
        <v>458.0</v>
      </c>
      <c r="B560" s="4" t="s">
        <v>472</v>
      </c>
      <c r="C560" s="4"/>
      <c r="D560" s="4" t="s">
        <v>3125</v>
      </c>
      <c r="E560" s="4" t="s">
        <v>3126</v>
      </c>
      <c r="F560" s="4" t="s">
        <v>3127</v>
      </c>
      <c r="G560" s="5" t="str">
        <f>IFERROR(__xludf.DUMMYFUNCTION("GOOGLETRANSLATE(D560,""ca"",""es"")"),"juez")</f>
        <v>juez</v>
      </c>
      <c r="H560" s="4" t="s">
        <v>3128</v>
      </c>
      <c r="I560" s="4" t="s">
        <v>3129</v>
      </c>
      <c r="J560" s="4" t="s">
        <v>3130</v>
      </c>
    </row>
    <row r="561">
      <c r="A561" s="4">
        <v>459.0</v>
      </c>
      <c r="B561" s="4" t="s">
        <v>472</v>
      </c>
      <c r="C561" s="4"/>
      <c r="D561" s="4" t="s">
        <v>3131</v>
      </c>
      <c r="E561" s="4" t="s">
        <v>3132</v>
      </c>
      <c r="F561" s="4" t="s">
        <v>3133</v>
      </c>
      <c r="G561" s="5" t="str">
        <f>IFERROR(__xludf.DUMMYFUNCTION("GOOGLETRANSLATE(D561,""ca"",""es"")"),"Yo opto")</f>
        <v>Yo opto</v>
      </c>
    </row>
    <row r="562">
      <c r="A562" s="4">
        <v>460.0</v>
      </c>
      <c r="B562" s="4" t="s">
        <v>472</v>
      </c>
      <c r="C562" s="4"/>
      <c r="D562" s="4" t="s">
        <v>3134</v>
      </c>
      <c r="E562" s="4" t="s">
        <v>3135</v>
      </c>
      <c r="F562" s="4" t="s">
        <v>3136</v>
      </c>
      <c r="G562" s="5" t="str">
        <f>IFERROR(__xludf.DUMMYFUNCTION("GOOGLETRANSLATE(D562,""ca"",""es"")"),"oral")</f>
        <v>oral</v>
      </c>
      <c r="H562" s="4" t="s">
        <v>3134</v>
      </c>
      <c r="I562" s="4" t="s">
        <v>3134</v>
      </c>
      <c r="J562" s="4" t="s">
        <v>3134</v>
      </c>
      <c r="K562" s="4" t="s">
        <v>3134</v>
      </c>
      <c r="L562" s="4" t="s">
        <v>3137</v>
      </c>
      <c r="M562" s="4" t="s">
        <v>3138</v>
      </c>
      <c r="N562" s="4" t="s">
        <v>3139</v>
      </c>
      <c r="O562" s="4" t="s">
        <v>3140</v>
      </c>
    </row>
    <row r="563">
      <c r="A563" s="4">
        <v>461.0</v>
      </c>
      <c r="B563" s="4" t="s">
        <v>472</v>
      </c>
      <c r="C563" s="4"/>
      <c r="D563" s="4" t="s">
        <v>3141</v>
      </c>
      <c r="E563" s="4" t="s">
        <v>3142</v>
      </c>
      <c r="F563" s="4" t="s">
        <v>3143</v>
      </c>
      <c r="G563" s="5" t="str">
        <f>IFERROR(__xludf.DUMMYFUNCTION("GOOGLETRANSLATE(D563,""ca"",""es"")"),"zar")</f>
        <v>zar</v>
      </c>
    </row>
    <row r="564">
      <c r="A564" s="4">
        <v>462.0</v>
      </c>
      <c r="B564" s="4" t="s">
        <v>472</v>
      </c>
      <c r="C564" s="4"/>
      <c r="D564" s="4" t="s">
        <v>3144</v>
      </c>
      <c r="E564" s="4" t="s">
        <v>3145</v>
      </c>
      <c r="F564" s="4" t="s">
        <v>3146</v>
      </c>
      <c r="G564" s="5" t="str">
        <f>IFERROR(__xludf.DUMMYFUNCTION("GOOGLETRANSLATE(D564,""ca"",""es"")"),"orinar")</f>
        <v>orinar</v>
      </c>
    </row>
    <row r="565">
      <c r="A565" s="4">
        <v>463.0</v>
      </c>
      <c r="B565" s="4" t="s">
        <v>472</v>
      </c>
      <c r="C565" s="4"/>
      <c r="D565" s="4" t="s">
        <v>3147</v>
      </c>
      <c r="E565" s="4" t="s">
        <v>3148</v>
      </c>
      <c r="F565" s="4" t="s">
        <v>3147</v>
      </c>
      <c r="G565" s="5" t="str">
        <f>IFERROR(__xludf.DUMMYFUNCTION("GOOGLETRANSLATE(D565,""ca"",""es"")"),"pan de molde")</f>
        <v>pan de molde</v>
      </c>
      <c r="H565" s="4" t="s">
        <v>3149</v>
      </c>
      <c r="I565" s="4" t="s">
        <v>3150</v>
      </c>
      <c r="J565" s="4" t="s">
        <v>3151</v>
      </c>
      <c r="K565" s="4" t="s">
        <v>3152</v>
      </c>
      <c r="L565" s="4" t="s">
        <v>3153</v>
      </c>
    </row>
    <row r="566">
      <c r="A566" s="4">
        <v>464.0</v>
      </c>
      <c r="B566" s="4" t="s">
        <v>472</v>
      </c>
      <c r="C566" s="4"/>
      <c r="D566" s="4" t="s">
        <v>3154</v>
      </c>
      <c r="E566" s="4" t="s">
        <v>3155</v>
      </c>
      <c r="F566" s="4" t="s">
        <v>3156</v>
      </c>
      <c r="G566" s="5" t="str">
        <f>IFERROR(__xludf.DUMMYFUNCTION("GOOGLETRANSLATE(D566,""ca"",""es"")"),"pato")</f>
        <v>pato</v>
      </c>
      <c r="H566" s="4" t="s">
        <v>3157</v>
      </c>
    </row>
    <row r="567">
      <c r="A567" s="4">
        <v>465.0</v>
      </c>
      <c r="B567" s="4" t="s">
        <v>472</v>
      </c>
      <c r="C567" s="4"/>
      <c r="D567" s="4" t="s">
        <v>3158</v>
      </c>
      <c r="E567" s="4" t="s">
        <v>3159</v>
      </c>
      <c r="F567" s="4" t="s">
        <v>3160</v>
      </c>
      <c r="G567" s="5" t="str">
        <f>IFERROR(__xludf.DUMMYFUNCTION("GOOGLETRANSLATE(D567,""ca"",""es"")"),"tipo")</f>
        <v>tipo</v>
      </c>
    </row>
    <row r="568">
      <c r="A568" s="4">
        <v>466.0</v>
      </c>
      <c r="B568" s="4" t="s">
        <v>472</v>
      </c>
      <c r="C568" s="4"/>
      <c r="D568" s="4" t="s">
        <v>3161</v>
      </c>
      <c r="E568" s="4" t="s">
        <v>3162</v>
      </c>
      <c r="F568" s="4" t="s">
        <v>3161</v>
      </c>
      <c r="G568" s="5" t="str">
        <f>IFERROR(__xludf.DUMMYFUNCTION("GOOGLETRANSLATE(D568,""ca"",""es"")"),"correo")</f>
        <v>correo</v>
      </c>
      <c r="H568" s="4" t="s">
        <v>3163</v>
      </c>
      <c r="I568" s="4" t="s">
        <v>3164</v>
      </c>
      <c r="J568" s="4" t="s">
        <v>3165</v>
      </c>
      <c r="K568" s="4" t="s">
        <v>3166</v>
      </c>
      <c r="L568" s="4" t="s">
        <v>3167</v>
      </c>
      <c r="M568" s="4" t="s">
        <v>3168</v>
      </c>
      <c r="N568" s="4" t="s">
        <v>3169</v>
      </c>
      <c r="O568" s="4" t="s">
        <v>3170</v>
      </c>
      <c r="P568" s="4" t="s">
        <v>3171</v>
      </c>
      <c r="Q568" s="4" t="s">
        <v>3169</v>
      </c>
      <c r="R568" s="4" t="s">
        <v>3168</v>
      </c>
      <c r="S568" s="4" t="s">
        <v>3172</v>
      </c>
    </row>
    <row r="569">
      <c r="A569" s="4">
        <v>467.0</v>
      </c>
      <c r="B569" s="4" t="s">
        <v>472</v>
      </c>
      <c r="C569" s="4"/>
      <c r="D569" s="4" t="s">
        <v>3173</v>
      </c>
      <c r="E569" s="4" t="s">
        <v>3174</v>
      </c>
      <c r="F569" s="4" t="s">
        <v>3173</v>
      </c>
      <c r="G569" s="5" t="str">
        <f>IFERROR(__xludf.DUMMYFUNCTION("GOOGLETRANSLATE(D569,""ca"",""es"")"),"pala")</f>
        <v>pala</v>
      </c>
      <c r="H569" s="4" t="s">
        <v>3175</v>
      </c>
      <c r="I569" s="4" t="s">
        <v>3176</v>
      </c>
    </row>
    <row r="570">
      <c r="A570" s="4">
        <v>468.0</v>
      </c>
      <c r="B570" s="4" t="s">
        <v>472</v>
      </c>
      <c r="C570" s="4"/>
      <c r="D570" s="4" t="s">
        <v>3177</v>
      </c>
      <c r="E570" s="4" t="s">
        <v>3178</v>
      </c>
      <c r="F570" s="4" t="s">
        <v>3177</v>
      </c>
      <c r="G570" s="5" t="str">
        <f>IFERROR(__xludf.DUMMYFUNCTION("GOOGLETRANSLATE(D570,""ca"",""es"")"),"palatal")</f>
        <v>palatal</v>
      </c>
      <c r="H570" s="4" t="s">
        <v>3177</v>
      </c>
    </row>
    <row r="571">
      <c r="A571" s="4">
        <v>469.0</v>
      </c>
      <c r="B571" s="4" t="s">
        <v>472</v>
      </c>
      <c r="C571" s="4"/>
      <c r="D571" s="4" t="s">
        <v>3179</v>
      </c>
      <c r="E571" s="4" t="s">
        <v>3180</v>
      </c>
      <c r="F571" s="4" t="s">
        <v>3179</v>
      </c>
      <c r="G571" s="5" t="str">
        <f>IFERROR(__xludf.DUMMYFUNCTION("GOOGLETRANSLATE(D571,""ca"",""es"")"),"palatina")</f>
        <v>palatina</v>
      </c>
    </row>
    <row r="572">
      <c r="A572" s="4">
        <v>470.0</v>
      </c>
      <c r="B572" s="4" t="s">
        <v>472</v>
      </c>
      <c r="C572" s="4"/>
      <c r="D572" s="4" t="s">
        <v>3181</v>
      </c>
      <c r="E572" s="4" t="s">
        <v>3182</v>
      </c>
      <c r="F572" s="4" t="s">
        <v>3183</v>
      </c>
      <c r="G572" s="5" t="str">
        <f>IFERROR(__xludf.DUMMYFUNCTION("GOOGLETRANSLATE(D572,""ca"",""es"")"),"palatino")</f>
        <v>palatino</v>
      </c>
    </row>
    <row r="573">
      <c r="A573" s="4">
        <v>471.0</v>
      </c>
      <c r="B573" s="4" t="s">
        <v>472</v>
      </c>
      <c r="C573" s="4"/>
      <c r="D573" s="4" t="s">
        <v>3184</v>
      </c>
      <c r="E573" s="4" t="s">
        <v>3185</v>
      </c>
      <c r="F573" s="4" t="s">
        <v>3184</v>
      </c>
      <c r="G573" s="5" t="str">
        <f>IFERROR(__xludf.DUMMYFUNCTION("GOOGLETRANSLATE(D573,""ca"",""es"")"),"pali")</f>
        <v>pali</v>
      </c>
    </row>
    <row r="574">
      <c r="A574" s="4">
        <v>472.0</v>
      </c>
      <c r="B574" s="4" t="s">
        <v>472</v>
      </c>
      <c r="C574" s="4"/>
      <c r="D574" s="4" t="s">
        <v>3186</v>
      </c>
      <c r="E574" s="4" t="s">
        <v>3187</v>
      </c>
      <c r="F574" s="4" t="s">
        <v>3186</v>
      </c>
      <c r="G574" s="5" t="str">
        <f>IFERROR(__xludf.DUMMYFUNCTION("GOOGLETRANSLATE(D574,""ca"",""es"")"),"Paja")</f>
        <v>Paja</v>
      </c>
      <c r="H574" s="4" t="s">
        <v>3188</v>
      </c>
      <c r="I574" s="4" t="s">
        <v>3189</v>
      </c>
      <c r="J574" s="4" t="s">
        <v>3190</v>
      </c>
      <c r="K574" s="4" t="s">
        <v>3191</v>
      </c>
      <c r="L574" s="4" t="s">
        <v>3192</v>
      </c>
      <c r="M574" s="4" t="s">
        <v>3193</v>
      </c>
      <c r="N574" s="4" t="s">
        <v>3194</v>
      </c>
      <c r="O574" s="4" t="s">
        <v>3195</v>
      </c>
      <c r="P574" s="4" t="s">
        <v>3196</v>
      </c>
      <c r="Q574" s="4" t="s">
        <v>3197</v>
      </c>
    </row>
    <row r="575">
      <c r="A575" s="4">
        <v>473.0</v>
      </c>
      <c r="B575" s="4" t="s">
        <v>472</v>
      </c>
      <c r="C575" s="4"/>
      <c r="D575" s="4" t="s">
        <v>3198</v>
      </c>
      <c r="E575" s="4" t="s">
        <v>3199</v>
      </c>
      <c r="F575" s="4" t="s">
        <v>3200</v>
      </c>
      <c r="G575" s="5" t="str">
        <f>IFERROR(__xludf.DUMMYFUNCTION("GOOGLETRANSLATE(D575,""ca"",""es"")"),"payaso")</f>
        <v>payaso</v>
      </c>
    </row>
    <row r="576">
      <c r="A576" s="4">
        <v>474.0</v>
      </c>
      <c r="B576" s="4" t="s">
        <v>472</v>
      </c>
      <c r="C576" s="4"/>
      <c r="D576" s="4" t="s">
        <v>3201</v>
      </c>
      <c r="E576" s="4" t="s">
        <v>3202</v>
      </c>
      <c r="F576" s="4" t="s">
        <v>3203</v>
      </c>
      <c r="G576" s="5" t="str">
        <f>IFERROR(__xludf.DUMMYFUNCTION("GOOGLETRANSLATE(D576,""ca"",""es"")"),"golpeando")</f>
        <v>golpeando</v>
      </c>
      <c r="H576" s="4" t="s">
        <v>3204</v>
      </c>
      <c r="I576" s="4" t="s">
        <v>3205</v>
      </c>
      <c r="J576" s="4" t="s">
        <v>3206</v>
      </c>
      <c r="K576" s="4" t="s">
        <v>3207</v>
      </c>
      <c r="L576" s="4" t="s">
        <v>3208</v>
      </c>
      <c r="M576" s="4" t="s">
        <v>3209</v>
      </c>
      <c r="N576" s="4" t="s">
        <v>3210</v>
      </c>
      <c r="O576" s="4" t="s">
        <v>3211</v>
      </c>
      <c r="P576" s="4" t="s">
        <v>3212</v>
      </c>
      <c r="Q576" s="4" t="s">
        <v>3213</v>
      </c>
      <c r="R576" s="4" t="s">
        <v>3205</v>
      </c>
      <c r="S576" s="4" t="s">
        <v>3214</v>
      </c>
      <c r="T576" s="4" t="s">
        <v>3215</v>
      </c>
      <c r="U576" s="4" t="s">
        <v>3207</v>
      </c>
      <c r="V576" s="4" t="s">
        <v>2568</v>
      </c>
      <c r="W576" s="4" t="s">
        <v>3209</v>
      </c>
      <c r="X576" s="4" t="s">
        <v>3216</v>
      </c>
      <c r="Y576" s="4" t="s">
        <v>3217</v>
      </c>
      <c r="Z576" s="4" t="s">
        <v>3218</v>
      </c>
      <c r="AA576" s="4" t="s">
        <v>3219</v>
      </c>
    </row>
    <row r="577">
      <c r="A577" s="4">
        <v>475.0</v>
      </c>
      <c r="B577" s="4" t="s">
        <v>472</v>
      </c>
      <c r="C577" s="4"/>
      <c r="D577" s="4" t="s">
        <v>3220</v>
      </c>
      <c r="E577" s="4" t="s">
        <v>3221</v>
      </c>
      <c r="F577" s="4" t="s">
        <v>3222</v>
      </c>
      <c r="G577" s="5" t="str">
        <f>IFERROR(__xludf.DUMMYFUNCTION("GOOGLETRANSLATE(D577,""ca"",""es"")"),"palo")</f>
        <v>palo</v>
      </c>
      <c r="H577" s="4" t="s">
        <v>3223</v>
      </c>
      <c r="I577" s="4" t="s">
        <v>3224</v>
      </c>
      <c r="J577" s="4" t="s">
        <v>3225</v>
      </c>
      <c r="K577" s="4" t="s">
        <v>3226</v>
      </c>
      <c r="L577" s="4" t="s">
        <v>3227</v>
      </c>
      <c r="M577" s="4" t="s">
        <v>3228</v>
      </c>
      <c r="N577" s="4" t="s">
        <v>3229</v>
      </c>
      <c r="O577" s="4" t="s">
        <v>3230</v>
      </c>
      <c r="P577" s="4" t="s">
        <v>3231</v>
      </c>
      <c r="Q577" s="4" t="s">
        <v>3008</v>
      </c>
      <c r="R577" s="4" t="s">
        <v>3232</v>
      </c>
      <c r="S577" s="4" t="s">
        <v>3233</v>
      </c>
      <c r="T577" s="4" t="s">
        <v>3234</v>
      </c>
      <c r="U577" s="4" t="s">
        <v>3235</v>
      </c>
      <c r="V577" s="4" t="s">
        <v>3236</v>
      </c>
      <c r="W577" s="4" t="s">
        <v>3237</v>
      </c>
      <c r="X577" s="4" t="s">
        <v>3238</v>
      </c>
      <c r="Y577" s="4" t="s">
        <v>3239</v>
      </c>
      <c r="Z577" s="4" t="s">
        <v>3240</v>
      </c>
      <c r="AA577" s="4" t="s">
        <v>3241</v>
      </c>
      <c r="AB577" s="4" t="s">
        <v>3242</v>
      </c>
      <c r="AC577" s="4" t="s">
        <v>3243</v>
      </c>
      <c r="AD577" s="4" t="s">
        <v>3244</v>
      </c>
      <c r="AE577" s="4" t="s">
        <v>3245</v>
      </c>
      <c r="AF577" s="4" t="s">
        <v>3246</v>
      </c>
      <c r="AG577" s="4" t="s">
        <v>3247</v>
      </c>
      <c r="AH577" s="4" t="s">
        <v>3248</v>
      </c>
      <c r="AI577" s="4" t="s">
        <v>3249</v>
      </c>
      <c r="AJ577" s="4" t="s">
        <v>3250</v>
      </c>
      <c r="AK577" s="4" t="s">
        <v>3251</v>
      </c>
      <c r="AL577" s="4" t="s">
        <v>3252</v>
      </c>
      <c r="AM577" s="4" t="s">
        <v>3253</v>
      </c>
      <c r="AN577" s="4" t="s">
        <v>3254</v>
      </c>
      <c r="AO577" s="4" t="s">
        <v>3255</v>
      </c>
      <c r="AP577" s="4" t="s">
        <v>3256</v>
      </c>
    </row>
    <row r="578">
      <c r="A578" s="4">
        <v>476.0</v>
      </c>
      <c r="B578" s="4" t="s">
        <v>472</v>
      </c>
      <c r="C578" s="4"/>
      <c r="D578" s="4" t="s">
        <v>3257</v>
      </c>
      <c r="E578" s="4" t="s">
        <v>3258</v>
      </c>
      <c r="F578" s="4" t="s">
        <v>3257</v>
      </c>
      <c r="G578" s="5" t="str">
        <f>IFERROR(__xludf.DUMMYFUNCTION("GOOGLETRANSLATE(D578,""ca"",""es"")"),"poco")</f>
        <v>poco</v>
      </c>
    </row>
    <row r="579">
      <c r="A579" s="4">
        <v>477.0</v>
      </c>
      <c r="B579" s="4" t="s">
        <v>472</v>
      </c>
      <c r="C579" s="4"/>
      <c r="D579" s="4" t="s">
        <v>3259</v>
      </c>
      <c r="E579" s="4" t="s">
        <v>3260</v>
      </c>
      <c r="F579" s="4" t="s">
        <v>3259</v>
      </c>
      <c r="G579" s="5" t="str">
        <f>IFERROR(__xludf.DUMMYFUNCTION("GOOGLETRANSLATE(D579,""ca"",""es"")"),"cordurismo")</f>
        <v>cordurismo</v>
      </c>
      <c r="H579" s="4" t="s">
        <v>3261</v>
      </c>
      <c r="I579" s="4" t="s">
        <v>3262</v>
      </c>
    </row>
    <row r="580">
      <c r="A580" s="4">
        <v>478.0</v>
      </c>
      <c r="B580" s="4" t="s">
        <v>472</v>
      </c>
      <c r="C580" s="4"/>
      <c r="D580" s="4" t="s">
        <v>3263</v>
      </c>
      <c r="E580" s="4" t="s">
        <v>3264</v>
      </c>
      <c r="F580" s="4" t="s">
        <v>3265</v>
      </c>
      <c r="G580" s="5" t="str">
        <f>IFERROR(__xludf.DUMMYFUNCTION("GOOGLETRANSLATE(D580,""ca"",""es"")"),"pamán")</f>
        <v>pamán</v>
      </c>
      <c r="H580" s="4" t="s">
        <v>3266</v>
      </c>
      <c r="I580" s="4" t="s">
        <v>3267</v>
      </c>
      <c r="J580" s="4" t="s">
        <v>3268</v>
      </c>
      <c r="K580" s="4" t="s">
        <v>3269</v>
      </c>
      <c r="L580" s="4" t="s">
        <v>2505</v>
      </c>
      <c r="M580" s="4" t="s">
        <v>3270</v>
      </c>
      <c r="N580" s="4" t="s">
        <v>3271</v>
      </c>
      <c r="O580" s="4" t="s">
        <v>3268</v>
      </c>
      <c r="P580" s="4" t="s">
        <v>3272</v>
      </c>
      <c r="Q580" s="4" t="s">
        <v>3273</v>
      </c>
      <c r="R580" s="4" t="s">
        <v>3274</v>
      </c>
      <c r="S580" s="4" t="s">
        <v>3275</v>
      </c>
    </row>
    <row r="581">
      <c r="A581" s="4">
        <v>479.0</v>
      </c>
      <c r="B581" s="4" t="s">
        <v>472</v>
      </c>
      <c r="C581" s="4"/>
      <c r="D581" s="4" t="s">
        <v>3276</v>
      </c>
      <c r="E581" s="4" t="s">
        <v>3277</v>
      </c>
      <c r="F581" s="4" t="s">
        <v>3278</v>
      </c>
      <c r="G581" s="5" t="str">
        <f>IFERROR(__xludf.DUMMYFUNCTION("GOOGLETRANSLATE(D581,""ca"",""es"")"),"pánico")</f>
        <v>pánico</v>
      </c>
    </row>
    <row r="582">
      <c r="A582" s="4">
        <v>480.0</v>
      </c>
      <c r="B582" s="4" t="s">
        <v>472</v>
      </c>
      <c r="C582" s="4"/>
      <c r="D582" s="4" t="s">
        <v>3279</v>
      </c>
      <c r="E582" s="4" t="s">
        <v>3280</v>
      </c>
      <c r="F582" s="4" t="s">
        <v>3281</v>
      </c>
      <c r="G582" s="5" t="str">
        <f>IFERROR(__xludf.DUMMYFUNCTION("GOOGLETRANSLATE(D582,""ca"",""es"")"),"cerradura de la puerta")</f>
        <v>cerradura de la puerta</v>
      </c>
      <c r="H582" s="4" t="s">
        <v>3282</v>
      </c>
      <c r="I582" s="4" t="s">
        <v>3282</v>
      </c>
    </row>
    <row r="583">
      <c r="A583" s="4">
        <v>481.0</v>
      </c>
      <c r="B583" s="4" t="s">
        <v>472</v>
      </c>
      <c r="C583" s="4"/>
      <c r="D583" s="4" t="s">
        <v>3283</v>
      </c>
      <c r="E583" s="4" t="s">
        <v>3284</v>
      </c>
      <c r="F583" s="4" t="s">
        <v>3285</v>
      </c>
      <c r="G583" s="5" t="str">
        <f>IFERROR(__xludf.DUMMYFUNCTION("GOOGLETRANSLATE(D583,""ca"",""es"")"),"pan de molde")</f>
        <v>pan de molde</v>
      </c>
      <c r="H583" s="4" t="s">
        <v>3286</v>
      </c>
      <c r="I583" s="4" t="s">
        <v>3287</v>
      </c>
      <c r="J583" s="4" t="s">
        <v>3288</v>
      </c>
      <c r="K583" s="4" t="s">
        <v>3289</v>
      </c>
      <c r="L583" s="4" t="s">
        <v>3290</v>
      </c>
      <c r="M583" s="4" t="s">
        <v>3291</v>
      </c>
    </row>
    <row r="584">
      <c r="A584" s="4">
        <v>482.0</v>
      </c>
      <c r="B584" s="4" t="s">
        <v>472</v>
      </c>
      <c r="C584" s="4"/>
      <c r="D584" s="4" t="s">
        <v>3292</v>
      </c>
      <c r="E584" s="4" t="s">
        <v>3293</v>
      </c>
      <c r="F584" s="4" t="s">
        <v>3292</v>
      </c>
      <c r="G584" s="5" t="str">
        <f>IFERROR(__xludf.DUMMYFUNCTION("GOOGLETRANSLATE(D584,""ca"",""es"")"),"papá padre")</f>
        <v>papá padre</v>
      </c>
      <c r="H584" s="4" t="s">
        <v>3294</v>
      </c>
      <c r="I584" s="4" t="s">
        <v>3295</v>
      </c>
      <c r="J584" s="4" t="s">
        <v>3296</v>
      </c>
      <c r="K584" s="4" t="s">
        <v>3147</v>
      </c>
      <c r="L584" s="4" t="s">
        <v>3292</v>
      </c>
      <c r="M584" s="4" t="s">
        <v>3297</v>
      </c>
      <c r="N584" s="4" t="s">
        <v>3298</v>
      </c>
      <c r="O584" s="4" t="s">
        <v>3299</v>
      </c>
      <c r="P584" s="4" t="s">
        <v>3300</v>
      </c>
      <c r="Q584" s="4" t="s">
        <v>3301</v>
      </c>
      <c r="R584" s="4" t="s">
        <v>3302</v>
      </c>
      <c r="S584" s="4" t="s">
        <v>3303</v>
      </c>
      <c r="T584" s="4" t="s">
        <v>3304</v>
      </c>
      <c r="U584" s="4" t="s">
        <v>3305</v>
      </c>
      <c r="V584" s="4" t="s">
        <v>3306</v>
      </c>
      <c r="W584" s="4" t="s">
        <v>3307</v>
      </c>
      <c r="X584" s="4" t="s">
        <v>3308</v>
      </c>
    </row>
    <row r="585">
      <c r="A585" s="4">
        <v>483.0</v>
      </c>
      <c r="B585" s="4" t="s">
        <v>472</v>
      </c>
      <c r="C585" s="4"/>
      <c r="D585" s="4" t="s">
        <v>3309</v>
      </c>
      <c r="E585" s="4" t="s">
        <v>3310</v>
      </c>
      <c r="F585" s="4" t="s">
        <v>3311</v>
      </c>
      <c r="G585" s="5" t="str">
        <f>IFERROR(__xludf.DUMMYFUNCTION("GOOGLETRANSLATE(D585,""ca"",""es"")"),"papaya")</f>
        <v>papaya</v>
      </c>
      <c r="H585" s="4" t="s">
        <v>3312</v>
      </c>
      <c r="I585" s="4" t="s">
        <v>3313</v>
      </c>
      <c r="J585" s="4" t="s">
        <v>3311</v>
      </c>
    </row>
    <row r="586">
      <c r="A586" s="4">
        <v>484.0</v>
      </c>
      <c r="B586" s="4" t="s">
        <v>472</v>
      </c>
      <c r="C586" s="4"/>
      <c r="D586" s="4" t="s">
        <v>3314</v>
      </c>
      <c r="E586" s="4" t="s">
        <v>3315</v>
      </c>
      <c r="F586" s="4" t="s">
        <v>3314</v>
      </c>
      <c r="G586" s="5" t="str">
        <f>IFERROR(__xludf.DUMMYFUNCTION("GOOGLETRANSLATE(D586,""ca"",""es"")"),"papal")</f>
        <v>papal</v>
      </c>
      <c r="H586" s="4" t="s">
        <v>3314</v>
      </c>
      <c r="I586" s="4" t="s">
        <v>3316</v>
      </c>
      <c r="J586" s="4" t="s">
        <v>3317</v>
      </c>
      <c r="K586" s="4" t="s">
        <v>3318</v>
      </c>
    </row>
    <row r="587">
      <c r="A587" s="4">
        <v>485.0</v>
      </c>
      <c r="B587" s="4" t="s">
        <v>472</v>
      </c>
      <c r="C587" s="4"/>
      <c r="D587" s="4" t="s">
        <v>3319</v>
      </c>
      <c r="E587" s="4" t="s">
        <v>3320</v>
      </c>
      <c r="F587" s="4" t="s">
        <v>3319</v>
      </c>
      <c r="G587" s="5" t="str">
        <f>IFERROR(__xludf.DUMMYFUNCTION("GOOGLETRANSLATE(D587,""ca"",""es"")"),"garrapata")</f>
        <v>garrapata</v>
      </c>
    </row>
    <row r="588">
      <c r="A588" s="4">
        <v>486.0</v>
      </c>
      <c r="B588" s="4" t="s">
        <v>472</v>
      </c>
      <c r="C588" s="4"/>
      <c r="D588" s="4" t="s">
        <v>3321</v>
      </c>
      <c r="E588" s="4" t="s">
        <v>3322</v>
      </c>
      <c r="F588" s="4" t="s">
        <v>3323</v>
      </c>
      <c r="G588" s="5" t="str">
        <f>IFERROR(__xludf.DUMMYFUNCTION("GOOGLETRANSLATE(D588,""ca"",""es"")"),"papú")</f>
        <v>papú</v>
      </c>
    </row>
    <row r="589">
      <c r="A589" s="4">
        <v>487.0</v>
      </c>
      <c r="B589" s="4" t="s">
        <v>472</v>
      </c>
      <c r="C589" s="4"/>
      <c r="D589" s="4" t="s">
        <v>3324</v>
      </c>
      <c r="E589" s="4" t="s">
        <v>3325</v>
      </c>
      <c r="F589" s="4" t="s">
        <v>3326</v>
      </c>
      <c r="G589" s="5" t="str">
        <f>IFERROR(__xludf.DUMMYFUNCTION("GOOGLETRANSLATE(D589,""ca"",""es"")"),"paralítico")</f>
        <v>paralítico</v>
      </c>
      <c r="H589" s="4" t="s">
        <v>3327</v>
      </c>
    </row>
    <row r="590">
      <c r="A590" s="4">
        <v>488.0</v>
      </c>
      <c r="B590" s="4" t="s">
        <v>472</v>
      </c>
      <c r="C590" s="4"/>
      <c r="D590" s="4" t="s">
        <v>3328</v>
      </c>
      <c r="E590" s="4" t="s">
        <v>3329</v>
      </c>
      <c r="F590" s="4" t="s">
        <v>3330</v>
      </c>
      <c r="G590" s="5" t="str">
        <f>IFERROR(__xludf.DUMMYFUNCTION("GOOGLETRANSLATE(D590,""ca"",""es"")"),"paralítico")</f>
        <v>paralítico</v>
      </c>
    </row>
    <row r="591">
      <c r="A591" s="4">
        <v>489.0</v>
      </c>
      <c r="B591" s="4" t="s">
        <v>472</v>
      </c>
      <c r="C591" s="4"/>
      <c r="D591" s="4" t="s">
        <v>3331</v>
      </c>
      <c r="E591" s="4" t="s">
        <v>3332</v>
      </c>
      <c r="F591" s="4" t="s">
        <v>3333</v>
      </c>
      <c r="G591" s="5" t="str">
        <f>IFERROR(__xludf.DUMMYFUNCTION("GOOGLETRANSLATE(D591,""ca"",""es"")"),"trampa")</f>
        <v>trampa</v>
      </c>
      <c r="H591" s="4" t="s">
        <v>3334</v>
      </c>
      <c r="I591" s="4" t="s">
        <v>3335</v>
      </c>
      <c r="J591" s="4" t="s">
        <v>3336</v>
      </c>
      <c r="K591" s="4" t="s">
        <v>3337</v>
      </c>
      <c r="L591" s="4" t="s">
        <v>3338</v>
      </c>
      <c r="M591" s="4" t="s">
        <v>3339</v>
      </c>
      <c r="N591" s="4" t="s">
        <v>3340</v>
      </c>
      <c r="O591" s="4" t="s">
        <v>3341</v>
      </c>
      <c r="P591" s="4" t="s">
        <v>3342</v>
      </c>
      <c r="Q591" s="4" t="s">
        <v>3343</v>
      </c>
    </row>
    <row r="592">
      <c r="A592" s="4">
        <v>490.0</v>
      </c>
      <c r="B592" s="4" t="s">
        <v>472</v>
      </c>
      <c r="C592" s="4"/>
      <c r="D592" s="4" t="s">
        <v>3344</v>
      </c>
      <c r="E592" s="4" t="s">
        <v>3345</v>
      </c>
      <c r="F592" s="4" t="s">
        <v>3344</v>
      </c>
      <c r="G592" s="5" t="str">
        <f>IFERROR(__xludf.DUMMYFUNCTION("GOOGLETRANSLATE(D592,""ca"",""es"")"),"deténgase")</f>
        <v>deténgase</v>
      </c>
      <c r="H592" s="4" t="s">
        <v>2757</v>
      </c>
      <c r="I592" s="4" t="s">
        <v>2758</v>
      </c>
      <c r="J592" s="4" t="s">
        <v>2759</v>
      </c>
      <c r="K592" s="4" t="s">
        <v>2760</v>
      </c>
      <c r="L592" s="4" t="s">
        <v>2761</v>
      </c>
      <c r="M592" s="4" t="s">
        <v>945</v>
      </c>
      <c r="N592" s="4" t="s">
        <v>945</v>
      </c>
      <c r="O592" s="4" t="s">
        <v>948</v>
      </c>
      <c r="P592" s="4" t="s">
        <v>947</v>
      </c>
      <c r="Q592" s="4" t="s">
        <v>945</v>
      </c>
      <c r="R592" s="4" t="s">
        <v>948</v>
      </c>
      <c r="S592" s="4" t="s">
        <v>326</v>
      </c>
      <c r="T592" s="4" t="s">
        <v>949</v>
      </c>
      <c r="U592" s="4" t="s">
        <v>950</v>
      </c>
      <c r="V592" s="4" t="s">
        <v>945</v>
      </c>
      <c r="W592" s="4" t="s">
        <v>951</v>
      </c>
      <c r="X592" s="4" t="s">
        <v>952</v>
      </c>
      <c r="Y592" s="4" t="s">
        <v>953</v>
      </c>
      <c r="Z592" s="4" t="s">
        <v>3346</v>
      </c>
      <c r="AA592" s="4" t="s">
        <v>945</v>
      </c>
      <c r="AB592" s="4" t="s">
        <v>953</v>
      </c>
      <c r="AC592" s="4" t="s">
        <v>3347</v>
      </c>
      <c r="AD592" s="4" t="s">
        <v>3348</v>
      </c>
      <c r="AE592" s="4" t="s">
        <v>3349</v>
      </c>
    </row>
    <row r="593">
      <c r="A593" s="4">
        <v>491.0</v>
      </c>
      <c r="B593" s="4" t="s">
        <v>472</v>
      </c>
      <c r="C593" s="4"/>
      <c r="D593" s="4" t="s">
        <v>3350</v>
      </c>
      <c r="E593" s="4" t="s">
        <v>3351</v>
      </c>
      <c r="F593" s="4" t="s">
        <v>3350</v>
      </c>
      <c r="G593" s="5" t="str">
        <f>IFERROR(__xludf.DUMMYFUNCTION("GOOGLETRANSLATE(D593,""ca"",""es"")"),"París")</f>
        <v>París</v>
      </c>
      <c r="H593" s="4" t="s">
        <v>3352</v>
      </c>
      <c r="I593" s="4" t="s">
        <v>3353</v>
      </c>
    </row>
    <row r="594">
      <c r="A594" s="4">
        <v>492.0</v>
      </c>
      <c r="B594" s="4" t="s">
        <v>472</v>
      </c>
      <c r="C594" s="4"/>
      <c r="D594" s="4" t="s">
        <v>3354</v>
      </c>
      <c r="E594" s="4" t="s">
        <v>3355</v>
      </c>
      <c r="F594" s="4" t="s">
        <v>3356</v>
      </c>
      <c r="G594" s="5" t="str">
        <f>IFERROR(__xludf.DUMMYFUNCTION("GOOGLETRANSLATE(D594,""ca"",""es"")"),"paro")</f>
        <v>paro</v>
      </c>
    </row>
    <row r="595">
      <c r="A595" s="4">
        <v>493.0</v>
      </c>
      <c r="B595" s="4" t="s">
        <v>472</v>
      </c>
      <c r="C595" s="4"/>
      <c r="D595" s="4" t="s">
        <v>3357</v>
      </c>
      <c r="E595" s="4" t="s">
        <v>3351</v>
      </c>
      <c r="F595" s="4" t="s">
        <v>3350</v>
      </c>
      <c r="G595" s="5" t="str">
        <f>IFERROR(__xludf.DUMMYFUNCTION("GOOGLETRANSLATE(D595,""ca"",""es"")"),"París")</f>
        <v>París</v>
      </c>
      <c r="H595" s="4" t="s">
        <v>3352</v>
      </c>
      <c r="I595" s="4" t="s">
        <v>3358</v>
      </c>
      <c r="J595" s="4" t="s">
        <v>3359</v>
      </c>
      <c r="K595" s="4" t="s">
        <v>3360</v>
      </c>
    </row>
    <row r="596">
      <c r="A596" s="4">
        <v>494.0</v>
      </c>
      <c r="B596" s="4" t="s">
        <v>472</v>
      </c>
      <c r="C596" s="4"/>
      <c r="D596" s="4" t="s">
        <v>3361</v>
      </c>
      <c r="E596" s="4" t="s">
        <v>3362</v>
      </c>
      <c r="F596" s="4" t="s">
        <v>3361</v>
      </c>
      <c r="G596" s="5" t="str">
        <f>IFERROR(__xludf.DUMMYFUNCTION("GOOGLETRANSLATE(D596,""ca"",""es"")"),"paso")</f>
        <v>paso</v>
      </c>
      <c r="H596" s="4" t="s">
        <v>639</v>
      </c>
      <c r="I596" s="4" t="s">
        <v>3363</v>
      </c>
      <c r="J596" s="4" t="s">
        <v>3364</v>
      </c>
      <c r="K596" s="4" t="s">
        <v>3365</v>
      </c>
      <c r="L596" s="4" t="s">
        <v>3366</v>
      </c>
      <c r="M596" s="4" t="s">
        <v>3367</v>
      </c>
      <c r="N596" s="4" t="s">
        <v>3368</v>
      </c>
      <c r="O596" s="4" t="s">
        <v>3363</v>
      </c>
      <c r="P596" s="4" t="s">
        <v>3369</v>
      </c>
      <c r="Q596" s="4" t="s">
        <v>3370</v>
      </c>
      <c r="R596" s="4" t="s">
        <v>3371</v>
      </c>
      <c r="S596" s="4" t="s">
        <v>3363</v>
      </c>
      <c r="T596" s="4" t="s">
        <v>3366</v>
      </c>
      <c r="U596" s="4" t="s">
        <v>3372</v>
      </c>
      <c r="V596" s="4" t="s">
        <v>3373</v>
      </c>
      <c r="W596" s="4" t="s">
        <v>3374</v>
      </c>
      <c r="X596" s="4" t="s">
        <v>3365</v>
      </c>
      <c r="Y596" s="4" t="s">
        <v>3369</v>
      </c>
      <c r="Z596" s="4" t="s">
        <v>3375</v>
      </c>
      <c r="AA596" s="4" t="s">
        <v>3376</v>
      </c>
      <c r="AB596" s="4" t="s">
        <v>2764</v>
      </c>
      <c r="AC596" s="4" t="s">
        <v>3377</v>
      </c>
      <c r="AD596" s="4" t="s">
        <v>3378</v>
      </c>
      <c r="AE596" s="4" t="s">
        <v>3379</v>
      </c>
      <c r="AF596" s="4" t="s">
        <v>3380</v>
      </c>
      <c r="AG596" s="4" t="s">
        <v>3381</v>
      </c>
      <c r="AH596" s="4" t="s">
        <v>3365</v>
      </c>
      <c r="AI596" s="4" t="s">
        <v>647</v>
      </c>
      <c r="AJ596" s="4" t="s">
        <v>3382</v>
      </c>
      <c r="AK596" s="4" t="s">
        <v>3383</v>
      </c>
      <c r="AL596" s="4" t="s">
        <v>3381</v>
      </c>
      <c r="AM596" s="4" t="s">
        <v>3366</v>
      </c>
      <c r="AN596" s="4" t="s">
        <v>3365</v>
      </c>
      <c r="AO596" s="4" t="s">
        <v>3367</v>
      </c>
      <c r="AP596" s="4" t="s">
        <v>3366</v>
      </c>
      <c r="AQ596" s="4" t="s">
        <v>3384</v>
      </c>
    </row>
    <row r="597">
      <c r="A597" s="4">
        <v>495.0</v>
      </c>
      <c r="B597" s="4" t="s">
        <v>472</v>
      </c>
      <c r="C597" s="4"/>
      <c r="D597" s="4" t="s">
        <v>3385</v>
      </c>
      <c r="E597" s="4" t="s">
        <v>3386</v>
      </c>
      <c r="F597" s="4" t="s">
        <v>3387</v>
      </c>
      <c r="G597" s="5" t="str">
        <f>IFERROR(__xludf.DUMMYFUNCTION("GOOGLETRANSLATE(D597,""ca"",""es"")"),"ocurrir")</f>
        <v>ocurrir</v>
      </c>
      <c r="H597" s="4" t="s">
        <v>3365</v>
      </c>
      <c r="I597" s="4" t="s">
        <v>3381</v>
      </c>
      <c r="J597" s="4" t="s">
        <v>3380</v>
      </c>
      <c r="K597" s="4" t="s">
        <v>3381</v>
      </c>
      <c r="L597" s="4" t="s">
        <v>3365</v>
      </c>
      <c r="M597" s="4" t="s">
        <v>3381</v>
      </c>
      <c r="N597" s="4" t="s">
        <v>3366</v>
      </c>
      <c r="O597" s="4" t="s">
        <v>3365</v>
      </c>
      <c r="P597" s="4" t="s">
        <v>3367</v>
      </c>
    </row>
    <row r="598">
      <c r="A598" s="4">
        <v>496.0</v>
      </c>
      <c r="B598" s="4" t="s">
        <v>472</v>
      </c>
      <c r="C598" s="4"/>
      <c r="D598" s="4" t="s">
        <v>3388</v>
      </c>
      <c r="E598" s="4" t="s">
        <v>3389</v>
      </c>
      <c r="F598" s="4" t="s">
        <v>3390</v>
      </c>
      <c r="G598" s="5" t="str">
        <f>IFERROR(__xludf.DUMMYFUNCTION("GOOGLETRANSLATE(D598,""ca"",""es"")"),"pretil")</f>
        <v>pretil</v>
      </c>
      <c r="H598" s="4" t="s">
        <v>3391</v>
      </c>
      <c r="I598" s="4" t="s">
        <v>3392</v>
      </c>
      <c r="J598" s="4" t="s">
        <v>3393</v>
      </c>
    </row>
    <row r="599">
      <c r="A599" s="4">
        <v>497.0</v>
      </c>
      <c r="B599" s="4" t="s">
        <v>472</v>
      </c>
      <c r="C599" s="4"/>
      <c r="D599" s="4" t="s">
        <v>3394</v>
      </c>
      <c r="E599" s="4" t="s">
        <v>3395</v>
      </c>
      <c r="F599" s="4" t="s">
        <v>3396</v>
      </c>
      <c r="G599" s="5" t="str">
        <f>IFERROR(__xludf.DUMMYFUNCTION("GOOGLETRANSLATE(D599,""ca"",""es"")"),"pasar")</f>
        <v>pasar</v>
      </c>
      <c r="H599" s="4" t="s">
        <v>3397</v>
      </c>
      <c r="I599" s="4" t="s">
        <v>3398</v>
      </c>
      <c r="J599" s="4" t="s">
        <v>3399</v>
      </c>
      <c r="K599" s="4" t="s">
        <v>3400</v>
      </c>
      <c r="L599" s="4" t="s">
        <v>3401</v>
      </c>
      <c r="M599" s="4" t="s">
        <v>3402</v>
      </c>
      <c r="N599" s="4" t="s">
        <v>647</v>
      </c>
      <c r="O599" s="4" t="s">
        <v>3403</v>
      </c>
      <c r="P599" s="4" t="s">
        <v>3404</v>
      </c>
      <c r="Q599" s="4" t="s">
        <v>3405</v>
      </c>
      <c r="R599" s="4" t="s">
        <v>3406</v>
      </c>
      <c r="S599" s="4" t="s">
        <v>3398</v>
      </c>
      <c r="T599" s="4" t="s">
        <v>3407</v>
      </c>
      <c r="U599" s="4" t="s">
        <v>3408</v>
      </c>
      <c r="V599" s="4" t="s">
        <v>3398</v>
      </c>
      <c r="W599" s="4" t="s">
        <v>3409</v>
      </c>
      <c r="X599" s="4" t="s">
        <v>3410</v>
      </c>
      <c r="Y599" s="4" t="s">
        <v>3409</v>
      </c>
      <c r="Z599" s="4" t="s">
        <v>3410</v>
      </c>
      <c r="AA599" s="4" t="s">
        <v>3411</v>
      </c>
      <c r="AB599" s="4" t="s">
        <v>3412</v>
      </c>
      <c r="AC599" s="4" t="s">
        <v>3413</v>
      </c>
      <c r="AD599" s="4" t="s">
        <v>646</v>
      </c>
      <c r="AE599" s="4" t="s">
        <v>3414</v>
      </c>
      <c r="AF599" s="4" t="s">
        <v>647</v>
      </c>
      <c r="AG599" s="4" t="s">
        <v>3415</v>
      </c>
      <c r="AH599" s="4" t="s">
        <v>647</v>
      </c>
      <c r="AI599" s="4" t="s">
        <v>3416</v>
      </c>
      <c r="AJ599" s="4" t="s">
        <v>3417</v>
      </c>
      <c r="AK599" s="4" t="s">
        <v>3418</v>
      </c>
      <c r="AL599" s="4" t="s">
        <v>3419</v>
      </c>
      <c r="AM599" s="4" t="s">
        <v>3420</v>
      </c>
      <c r="AN599" s="4" t="s">
        <v>3421</v>
      </c>
      <c r="AO599" s="4" t="s">
        <v>647</v>
      </c>
      <c r="AP599" s="4" t="s">
        <v>647</v>
      </c>
      <c r="AQ599" s="4" t="s">
        <v>3422</v>
      </c>
      <c r="AR599" s="4" t="s">
        <v>647</v>
      </c>
      <c r="AS599" s="4" t="s">
        <v>2858</v>
      </c>
      <c r="AT599" s="4" t="s">
        <v>3423</v>
      </c>
      <c r="AU599" s="4" t="s">
        <v>1496</v>
      </c>
      <c r="AV599" s="4" t="s">
        <v>3424</v>
      </c>
      <c r="AW599" s="4" t="s">
        <v>1503</v>
      </c>
      <c r="AX599" s="4" t="s">
        <v>647</v>
      </c>
      <c r="AY599" s="4" t="s">
        <v>3398</v>
      </c>
      <c r="AZ599" s="4" t="s">
        <v>3402</v>
      </c>
      <c r="BA599" s="4" t="s">
        <v>646</v>
      </c>
      <c r="BB599" s="4" t="s">
        <v>637</v>
      </c>
      <c r="BC599" s="4" t="s">
        <v>647</v>
      </c>
      <c r="BD599" s="4" t="s">
        <v>648</v>
      </c>
      <c r="BE599" s="4" t="s">
        <v>649</v>
      </c>
      <c r="BF599" s="4" t="s">
        <v>3425</v>
      </c>
      <c r="BG599" s="4" t="s">
        <v>647</v>
      </c>
      <c r="BH599" s="4" t="s">
        <v>3426</v>
      </c>
    </row>
    <row r="600">
      <c r="A600" s="4">
        <v>498.0</v>
      </c>
      <c r="B600" s="4" t="s">
        <v>472</v>
      </c>
      <c r="C600" s="4"/>
      <c r="D600" s="4" t="s">
        <v>3427</v>
      </c>
      <c r="E600" s="4" t="s">
        <v>3428</v>
      </c>
      <c r="F600" s="4" t="s">
        <v>3429</v>
      </c>
      <c r="G600" s="5" t="str">
        <f>IFERROR(__xludf.DUMMYFUNCTION("GOOGLETRANSLATE(D600,""ca"",""es"")"),"pasar")</f>
        <v>pasar</v>
      </c>
    </row>
    <row r="601">
      <c r="A601" s="4">
        <v>499.0</v>
      </c>
      <c r="B601" s="4" t="s">
        <v>472</v>
      </c>
      <c r="C601" s="4"/>
      <c r="D601" s="4" t="s">
        <v>3430</v>
      </c>
      <c r="E601" s="4" t="s">
        <v>3431</v>
      </c>
      <c r="F601" s="4" t="s">
        <v>3430</v>
      </c>
      <c r="G601" s="5" t="str">
        <f>IFERROR(__xludf.DUMMYFUNCTION("GOOGLETRANSLATE(D601,""ca"",""es"")"),"papa")</f>
        <v>papa</v>
      </c>
      <c r="H601" s="4" t="s">
        <v>3432</v>
      </c>
      <c r="I601" s="4" t="s">
        <v>2724</v>
      </c>
      <c r="J601" s="4" t="s">
        <v>2725</v>
      </c>
      <c r="K601" s="4" t="s">
        <v>3433</v>
      </c>
      <c r="L601" s="4" t="s">
        <v>3434</v>
      </c>
      <c r="M601" s="4" t="s">
        <v>3435</v>
      </c>
      <c r="N601" s="4" t="s">
        <v>3436</v>
      </c>
      <c r="O601" s="4" t="s">
        <v>3437</v>
      </c>
      <c r="P601" s="4" t="s">
        <v>3438</v>
      </c>
      <c r="Q601" s="4" t="s">
        <v>3439</v>
      </c>
      <c r="R601" s="4" t="s">
        <v>3440</v>
      </c>
      <c r="S601" s="4" t="s">
        <v>3441</v>
      </c>
    </row>
    <row r="602">
      <c r="A602" s="4">
        <v>500.0</v>
      </c>
      <c r="B602" s="4" t="s">
        <v>472</v>
      </c>
      <c r="C602" s="4"/>
      <c r="D602" s="4" t="s">
        <v>3442</v>
      </c>
      <c r="E602" s="4" t="s">
        <v>3443</v>
      </c>
      <c r="F602" s="4" t="s">
        <v>3442</v>
      </c>
      <c r="G602" s="5" t="str">
        <f>IFERROR(__xludf.DUMMYFUNCTION("GOOGLETRANSLATE(D602,""ca"",""es"")"),"patio")</f>
        <v>patio</v>
      </c>
      <c r="H602" s="4" t="s">
        <v>3444</v>
      </c>
      <c r="I602" s="4" t="s">
        <v>3445</v>
      </c>
      <c r="J602" s="4" t="s">
        <v>3446</v>
      </c>
      <c r="K602" s="4" t="s">
        <v>3447</v>
      </c>
    </row>
    <row r="603">
      <c r="A603" s="4">
        <v>501.0</v>
      </c>
      <c r="B603" s="4" t="s">
        <v>472</v>
      </c>
      <c r="C603" s="4"/>
      <c r="D603" s="4" t="s">
        <v>3448</v>
      </c>
      <c r="E603" s="4" t="s">
        <v>3449</v>
      </c>
      <c r="F603" s="4" t="s">
        <v>3448</v>
      </c>
      <c r="G603" s="5" t="str">
        <f>IFERROR(__xludf.DUMMYFUNCTION("GOOGLETRANSLATE(D603,""ca"",""es"")"),"Nosotros sufrimos")</f>
        <v>Nosotros sufrimos</v>
      </c>
    </row>
    <row r="604">
      <c r="A604" s="4">
        <v>502.0</v>
      </c>
      <c r="B604" s="4" t="s">
        <v>472</v>
      </c>
      <c r="C604" s="4"/>
      <c r="D604" s="4" t="s">
        <v>3450</v>
      </c>
      <c r="E604" s="4" t="s">
        <v>3451</v>
      </c>
      <c r="F604" s="4" t="s">
        <v>3450</v>
      </c>
      <c r="G604" s="5" t="str">
        <f>IFERROR(__xludf.DUMMYFUNCTION("GOOGLETRANSLATE(D604,""ca"",""es"")"),"sufrir")</f>
        <v>sufrir</v>
      </c>
      <c r="H604" s="4" t="s">
        <v>311</v>
      </c>
      <c r="I604" s="4" t="s">
        <v>3452</v>
      </c>
      <c r="J604" s="4" t="s">
        <v>3452</v>
      </c>
      <c r="K604" s="4" t="s">
        <v>3452</v>
      </c>
      <c r="L604" s="4" t="s">
        <v>2326</v>
      </c>
      <c r="M604" s="4" t="s">
        <v>2349</v>
      </c>
      <c r="N604" s="4" t="s">
        <v>3452</v>
      </c>
    </row>
    <row r="605">
      <c r="A605" s="4">
        <v>503.0</v>
      </c>
      <c r="B605" s="4" t="s">
        <v>472</v>
      </c>
      <c r="C605" s="4"/>
      <c r="D605" s="4" t="s">
        <v>230</v>
      </c>
      <c r="E605" s="4" t="s">
        <v>229</v>
      </c>
      <c r="F605" s="4" t="s">
        <v>230</v>
      </c>
      <c r="G605" s="5" t="str">
        <f>IFERROR(__xludf.DUMMYFUNCTION("GOOGLETRANSLATE(D605,""ca"",""es"")"),"Pino")</f>
        <v>Pino</v>
      </c>
      <c r="H605" s="4" t="s">
        <v>3453</v>
      </c>
      <c r="I605" s="4" t="s">
        <v>230</v>
      </c>
      <c r="J605" s="4" t="s">
        <v>3454</v>
      </c>
      <c r="K605" s="4" t="s">
        <v>3455</v>
      </c>
      <c r="L605" s="4" t="s">
        <v>3456</v>
      </c>
      <c r="M605" s="4" t="s">
        <v>3454</v>
      </c>
      <c r="N605" s="4" t="s">
        <v>230</v>
      </c>
    </row>
    <row r="606">
      <c r="A606" s="4">
        <v>504.0</v>
      </c>
      <c r="B606" s="4" t="s">
        <v>472</v>
      </c>
      <c r="C606" s="4"/>
      <c r="D606" s="4" t="s">
        <v>3457</v>
      </c>
      <c r="E606" s="4" t="s">
        <v>3458</v>
      </c>
      <c r="F606" s="4" t="s">
        <v>266</v>
      </c>
      <c r="G606" s="5" t="str">
        <f>IFERROR(__xludf.DUMMYFUNCTION("GOOGLETRANSLATE(D606,""ca"",""es"")"),"elegir")</f>
        <v>elegir</v>
      </c>
      <c r="H606" s="4" t="s">
        <v>3459</v>
      </c>
      <c r="I606" s="4" t="s">
        <v>3460</v>
      </c>
      <c r="J606" s="4" t="s">
        <v>3461</v>
      </c>
      <c r="K606" s="4" t="s">
        <v>3459</v>
      </c>
      <c r="L606" s="4" t="s">
        <v>3462</v>
      </c>
      <c r="M606" s="4" t="s">
        <v>3463</v>
      </c>
      <c r="N606" s="4" t="s">
        <v>1400</v>
      </c>
      <c r="O606" s="4" t="s">
        <v>1401</v>
      </c>
      <c r="P606" s="4" t="s">
        <v>1402</v>
      </c>
      <c r="Q606" s="4" t="s">
        <v>1403</v>
      </c>
      <c r="R606" s="4" t="s">
        <v>425</v>
      </c>
      <c r="S606" s="4" t="s">
        <v>1404</v>
      </c>
    </row>
    <row r="607">
      <c r="A607" s="4">
        <v>505.0</v>
      </c>
      <c r="B607" s="4" t="s">
        <v>472</v>
      </c>
      <c r="C607" s="4"/>
      <c r="D607" s="4" t="s">
        <v>3464</v>
      </c>
      <c r="E607" s="4" t="s">
        <v>235</v>
      </c>
      <c r="F607" s="4" t="s">
        <v>236</v>
      </c>
      <c r="G607" s="5" t="str">
        <f>IFERROR(__xludf.DUMMYFUNCTION("GOOGLETRANSLATE(D607,""ca"",""es"")"),"pileta")</f>
        <v>pileta</v>
      </c>
      <c r="H607" s="4" t="s">
        <v>3465</v>
      </c>
      <c r="I607" s="4" t="s">
        <v>3466</v>
      </c>
      <c r="J607" s="4" t="s">
        <v>3466</v>
      </c>
    </row>
    <row r="608">
      <c r="A608" s="4">
        <v>506.0</v>
      </c>
      <c r="B608" s="4" t="s">
        <v>472</v>
      </c>
      <c r="C608" s="4"/>
      <c r="D608" s="4" t="s">
        <v>3467</v>
      </c>
      <c r="E608" s="4" t="s">
        <v>244</v>
      </c>
      <c r="F608" s="4" t="s">
        <v>245</v>
      </c>
      <c r="G608" s="5" t="str">
        <f>IFERROR(__xludf.DUMMYFUNCTION("GOOGLETRANSLATE(D608,""ca"",""es"")"),"picante")</f>
        <v>picante</v>
      </c>
      <c r="H608" s="4" t="s">
        <v>405</v>
      </c>
      <c r="I608" s="4" t="s">
        <v>3468</v>
      </c>
      <c r="J608" s="4" t="s">
        <v>3469</v>
      </c>
      <c r="K608" s="4" t="s">
        <v>3470</v>
      </c>
      <c r="L608" s="4" t="s">
        <v>3471</v>
      </c>
      <c r="M608" s="4" t="s">
        <v>3472</v>
      </c>
      <c r="N608" s="4" t="s">
        <v>3473</v>
      </c>
      <c r="O608" s="4" t="s">
        <v>3474</v>
      </c>
      <c r="P608" s="4" t="s">
        <v>3475</v>
      </c>
      <c r="Q608" s="4" t="s">
        <v>3476</v>
      </c>
      <c r="R608" s="4" t="s">
        <v>3475</v>
      </c>
      <c r="S608" s="4" t="s">
        <v>3477</v>
      </c>
      <c r="T608" s="4" t="s">
        <v>3478</v>
      </c>
      <c r="U608" s="4" t="s">
        <v>3474</v>
      </c>
      <c r="V608" s="4" t="s">
        <v>3479</v>
      </c>
    </row>
    <row r="609">
      <c r="A609" s="4">
        <v>507.0</v>
      </c>
      <c r="B609" s="4" t="s">
        <v>472</v>
      </c>
      <c r="C609" s="4"/>
      <c r="D609" s="4" t="s">
        <v>3480</v>
      </c>
      <c r="E609" s="4" t="s">
        <v>235</v>
      </c>
      <c r="F609" s="4" t="s">
        <v>236</v>
      </c>
      <c r="G609" s="5" t="str">
        <f>IFERROR(__xludf.DUMMYFUNCTION("GOOGLETRANSLATE(D609,""ca"",""es"")"),"picar")</f>
        <v>picar</v>
      </c>
      <c r="H609" s="4" t="s">
        <v>3459</v>
      </c>
      <c r="I609" s="4" t="s">
        <v>3481</v>
      </c>
      <c r="J609" s="4" t="s">
        <v>3169</v>
      </c>
      <c r="K609" s="4" t="s">
        <v>3482</v>
      </c>
      <c r="L609" s="4" t="s">
        <v>3483</v>
      </c>
      <c r="M609" s="4" t="s">
        <v>3484</v>
      </c>
      <c r="N609" s="4" t="s">
        <v>1750</v>
      </c>
      <c r="O609" s="4" t="s">
        <v>3485</v>
      </c>
      <c r="P609" s="4" t="s">
        <v>3459</v>
      </c>
      <c r="Q609" s="4" t="s">
        <v>3486</v>
      </c>
      <c r="R609" s="4" t="s">
        <v>3487</v>
      </c>
      <c r="S609" s="4" t="s">
        <v>3487</v>
      </c>
      <c r="T609" s="4" t="s">
        <v>789</v>
      </c>
      <c r="U609" s="4" t="s">
        <v>3488</v>
      </c>
      <c r="V609" s="4" t="s">
        <v>788</v>
      </c>
      <c r="W609" s="4" t="s">
        <v>3489</v>
      </c>
      <c r="X609" s="4" t="s">
        <v>3490</v>
      </c>
      <c r="Y609" s="4" t="s">
        <v>789</v>
      </c>
      <c r="Z609" s="4" t="s">
        <v>3491</v>
      </c>
      <c r="AA609" s="4" t="s">
        <v>3492</v>
      </c>
      <c r="AB609" s="4" t="s">
        <v>3493</v>
      </c>
      <c r="AC609" s="4" t="s">
        <v>3494</v>
      </c>
      <c r="AD609" s="4" t="s">
        <v>3495</v>
      </c>
      <c r="AE609" s="4" t="s">
        <v>3462</v>
      </c>
      <c r="AF609" s="4" t="s">
        <v>3496</v>
      </c>
      <c r="AG609" s="4" t="s">
        <v>3497</v>
      </c>
      <c r="AH609" s="4" t="s">
        <v>3169</v>
      </c>
      <c r="AI609" s="4" t="s">
        <v>3169</v>
      </c>
      <c r="AJ609" s="4" t="s">
        <v>3498</v>
      </c>
      <c r="AK609" s="4" t="s">
        <v>3499</v>
      </c>
      <c r="AL609" s="4" t="s">
        <v>3482</v>
      </c>
      <c r="AM609" s="4" t="s">
        <v>3500</v>
      </c>
      <c r="AN609" s="4" t="s">
        <v>3497</v>
      </c>
      <c r="AO609" s="4" t="s">
        <v>3493</v>
      </c>
      <c r="AP609" s="4" t="s">
        <v>3501</v>
      </c>
      <c r="AQ609" s="4" t="s">
        <v>3501</v>
      </c>
      <c r="AR609" s="4" t="s">
        <v>2349</v>
      </c>
      <c r="AS609" s="4" t="s">
        <v>3502</v>
      </c>
      <c r="AT609" s="4" t="s">
        <v>2326</v>
      </c>
      <c r="AU609" s="4" t="s">
        <v>3497</v>
      </c>
      <c r="AV609" s="4" t="s">
        <v>3482</v>
      </c>
      <c r="AW609" s="4" t="s">
        <v>3503</v>
      </c>
      <c r="AX609" s="4" t="s">
        <v>3493</v>
      </c>
      <c r="AY609" s="4" t="s">
        <v>3504</v>
      </c>
      <c r="AZ609" s="4" t="s">
        <v>3505</v>
      </c>
    </row>
    <row r="610">
      <c r="A610" s="4">
        <v>508.0</v>
      </c>
      <c r="B610" s="4" t="s">
        <v>472</v>
      </c>
      <c r="C610" s="4"/>
      <c r="D610" s="4" t="s">
        <v>3480</v>
      </c>
      <c r="E610" s="4" t="s">
        <v>3506</v>
      </c>
      <c r="F610" s="4" t="s">
        <v>3507</v>
      </c>
      <c r="G610" s="5" t="str">
        <f>IFERROR(__xludf.DUMMYFUNCTION("GOOGLETRANSLATE(D610,""ca"",""es"")"),"picar")</f>
        <v>picar</v>
      </c>
      <c r="H610" s="4" t="s">
        <v>3459</v>
      </c>
      <c r="I610" s="4" t="s">
        <v>3481</v>
      </c>
      <c r="J610" s="4" t="s">
        <v>3169</v>
      </c>
      <c r="K610" s="4" t="s">
        <v>3482</v>
      </c>
      <c r="L610" s="4" t="s">
        <v>3483</v>
      </c>
      <c r="M610" s="4" t="s">
        <v>3484</v>
      </c>
      <c r="N610" s="4" t="s">
        <v>1750</v>
      </c>
      <c r="O610" s="4" t="s">
        <v>3485</v>
      </c>
      <c r="P610" s="4" t="s">
        <v>3459</v>
      </c>
      <c r="Q610" s="4" t="s">
        <v>3486</v>
      </c>
      <c r="R610" s="4" t="s">
        <v>3487</v>
      </c>
      <c r="S610" s="4" t="s">
        <v>3487</v>
      </c>
      <c r="T610" s="4" t="s">
        <v>789</v>
      </c>
      <c r="U610" s="4" t="s">
        <v>3488</v>
      </c>
      <c r="V610" s="4" t="s">
        <v>788</v>
      </c>
      <c r="W610" s="4" t="s">
        <v>3489</v>
      </c>
      <c r="X610" s="4" t="s">
        <v>3490</v>
      </c>
      <c r="Y610" s="4" t="s">
        <v>789</v>
      </c>
      <c r="Z610" s="4" t="s">
        <v>3491</v>
      </c>
      <c r="AA610" s="4" t="s">
        <v>3492</v>
      </c>
      <c r="AB610" s="4" t="s">
        <v>3493</v>
      </c>
      <c r="AC610" s="4" t="s">
        <v>3494</v>
      </c>
      <c r="AD610" s="4" t="s">
        <v>3495</v>
      </c>
      <c r="AE610" s="4" t="s">
        <v>3462</v>
      </c>
      <c r="AF610" s="4" t="s">
        <v>3496</v>
      </c>
      <c r="AG610" s="4" t="s">
        <v>3497</v>
      </c>
      <c r="AH610" s="4" t="s">
        <v>3169</v>
      </c>
      <c r="AI610" s="4" t="s">
        <v>3169</v>
      </c>
      <c r="AJ610" s="4" t="s">
        <v>3498</v>
      </c>
      <c r="AK610" s="4" t="s">
        <v>3499</v>
      </c>
      <c r="AL610" s="4" t="s">
        <v>3482</v>
      </c>
      <c r="AM610" s="4" t="s">
        <v>3500</v>
      </c>
      <c r="AN610" s="4" t="s">
        <v>3497</v>
      </c>
      <c r="AO610" s="4" t="s">
        <v>3493</v>
      </c>
      <c r="AP610" s="4" t="s">
        <v>3501</v>
      </c>
      <c r="AQ610" s="4" t="s">
        <v>3501</v>
      </c>
      <c r="AR610" s="4" t="s">
        <v>2349</v>
      </c>
      <c r="AS610" s="4" t="s">
        <v>3502</v>
      </c>
      <c r="AT610" s="4" t="s">
        <v>2326</v>
      </c>
      <c r="AU610" s="4" t="s">
        <v>3497</v>
      </c>
      <c r="AV610" s="4" t="s">
        <v>3482</v>
      </c>
      <c r="AW610" s="4" t="s">
        <v>3503</v>
      </c>
      <c r="AX610" s="4" t="s">
        <v>3493</v>
      </c>
      <c r="AY610" s="4" t="s">
        <v>3504</v>
      </c>
      <c r="AZ610" s="4" t="s">
        <v>3505</v>
      </c>
    </row>
    <row r="611">
      <c r="A611" s="4">
        <v>509.0</v>
      </c>
      <c r="B611" s="4" t="s">
        <v>472</v>
      </c>
      <c r="C611" s="4"/>
      <c r="D611" s="4" t="s">
        <v>3508</v>
      </c>
      <c r="E611" s="4" t="s">
        <v>3509</v>
      </c>
      <c r="F611" s="4" t="s">
        <v>3510</v>
      </c>
      <c r="G611" s="5" t="str">
        <f>IFERROR(__xludf.DUMMYFUNCTION("GOOGLETRANSLATE(D611,""ca"",""es"")"),"Picassa")</f>
        <v>Picassa</v>
      </c>
    </row>
    <row r="612">
      <c r="A612" s="4">
        <v>510.0</v>
      </c>
      <c r="B612" s="4" t="s">
        <v>472</v>
      </c>
      <c r="C612" s="4"/>
      <c r="D612" s="4" t="s">
        <v>3511</v>
      </c>
      <c r="E612" s="4" t="s">
        <v>3512</v>
      </c>
      <c r="F612" s="4" t="s">
        <v>3513</v>
      </c>
      <c r="G612" s="5" t="str">
        <f>IFERROR(__xludf.DUMMYFUNCTION("GOOGLETRANSLATE(D612,""ca"",""es"")"),"cima")</f>
        <v>cima</v>
      </c>
      <c r="H612" s="4" t="s">
        <v>856</v>
      </c>
    </row>
    <row r="613">
      <c r="A613" s="4">
        <v>511.0</v>
      </c>
      <c r="B613" s="4" t="s">
        <v>472</v>
      </c>
      <c r="C613" s="4"/>
      <c r="D613" s="4" t="s">
        <v>3514</v>
      </c>
      <c r="E613" s="4" t="s">
        <v>3515</v>
      </c>
      <c r="F613" s="4" t="s">
        <v>3516</v>
      </c>
      <c r="G613" s="5" t="str">
        <f>IFERROR(__xludf.DUMMYFUNCTION("GOOGLETRANSLATE(D613,""ca"",""es"")"),"ticest")</f>
        <v>ticest</v>
      </c>
      <c r="H613" s="4" t="s">
        <v>3517</v>
      </c>
      <c r="I613" s="4" t="s">
        <v>3518</v>
      </c>
      <c r="J613" s="4" t="s">
        <v>2543</v>
      </c>
    </row>
    <row r="614">
      <c r="A614" s="4">
        <v>512.0</v>
      </c>
      <c r="B614" s="4" t="s">
        <v>472</v>
      </c>
      <c r="C614" s="4"/>
      <c r="D614" s="4" t="s">
        <v>3519</v>
      </c>
      <c r="E614" s="4" t="s">
        <v>3520</v>
      </c>
      <c r="F614" s="4" t="s">
        <v>3519</v>
      </c>
      <c r="G614" s="5" t="str">
        <f>IFERROR(__xludf.DUMMYFUNCTION("GOOGLETRANSLATE(D614,""ca"",""es"")"),"pila")</f>
        <v>pila</v>
      </c>
      <c r="H614" s="4" t="s">
        <v>3521</v>
      </c>
      <c r="I614" s="4" t="s">
        <v>3522</v>
      </c>
      <c r="J614" s="4" t="s">
        <v>483</v>
      </c>
      <c r="K614" s="4" t="s">
        <v>484</v>
      </c>
      <c r="L614" s="4" t="s">
        <v>2824</v>
      </c>
      <c r="M614" s="4" t="s">
        <v>2825</v>
      </c>
      <c r="N614" s="4" t="s">
        <v>2826</v>
      </c>
      <c r="O614" s="4" t="s">
        <v>1734</v>
      </c>
      <c r="P614" s="4" t="s">
        <v>482</v>
      </c>
      <c r="Q614" s="4" t="s">
        <v>1736</v>
      </c>
      <c r="R614" s="4" t="s">
        <v>1737</v>
      </c>
      <c r="S614" s="4" t="s">
        <v>1738</v>
      </c>
      <c r="T614" s="4" t="s">
        <v>1739</v>
      </c>
      <c r="U614" s="4" t="s">
        <v>1740</v>
      </c>
      <c r="V614" s="4" t="s">
        <v>1741</v>
      </c>
      <c r="W614" s="4" t="s">
        <v>484</v>
      </c>
      <c r="X614" s="4" t="s">
        <v>1742</v>
      </c>
      <c r="Y614" s="4" t="s">
        <v>1743</v>
      </c>
      <c r="Z614" s="4" t="s">
        <v>1744</v>
      </c>
      <c r="AA614" s="4" t="s">
        <v>1745</v>
      </c>
      <c r="AB614" s="4" t="s">
        <v>1746</v>
      </c>
      <c r="AC614" s="4" t="s">
        <v>1747</v>
      </c>
      <c r="AD614" s="4" t="s">
        <v>1748</v>
      </c>
      <c r="AE614" s="4" t="s">
        <v>1749</v>
      </c>
      <c r="AF614" s="4" t="s">
        <v>1750</v>
      </c>
      <c r="AG614" s="4" t="s">
        <v>483</v>
      </c>
      <c r="AH614" s="4" t="s">
        <v>1751</v>
      </c>
      <c r="AI614" s="4" t="s">
        <v>1752</v>
      </c>
      <c r="AJ614" s="4" t="s">
        <v>1753</v>
      </c>
      <c r="AK614" s="4" t="s">
        <v>1754</v>
      </c>
      <c r="AL614" s="4" t="s">
        <v>1755</v>
      </c>
      <c r="AM614" s="4" t="s">
        <v>1756</v>
      </c>
      <c r="AN614" s="4" t="s">
        <v>1757</v>
      </c>
      <c r="AO614" s="4" t="s">
        <v>482</v>
      </c>
      <c r="AP614" s="4" t="s">
        <v>1758</v>
      </c>
      <c r="AQ614" s="4" t="s">
        <v>780</v>
      </c>
      <c r="AR614" s="4" t="s">
        <v>1759</v>
      </c>
      <c r="AS614" s="4" t="s">
        <v>1760</v>
      </c>
      <c r="AT614" s="4" t="s">
        <v>1761</v>
      </c>
      <c r="AU614" s="4" t="s">
        <v>1762</v>
      </c>
      <c r="AV614" s="4" t="s">
        <v>1763</v>
      </c>
      <c r="AW614" s="4" t="s">
        <v>1764</v>
      </c>
      <c r="AX614" s="4" t="s">
        <v>1765</v>
      </c>
      <c r="AY614" s="4" t="s">
        <v>1766</v>
      </c>
      <c r="AZ614" s="4" t="s">
        <v>1767</v>
      </c>
      <c r="BA614" s="4" t="s">
        <v>1768</v>
      </c>
      <c r="BB614" s="4" t="s">
        <v>1769</v>
      </c>
      <c r="BC614" s="4" t="s">
        <v>1770</v>
      </c>
      <c r="BD614" s="4" t="s">
        <v>1771</v>
      </c>
      <c r="BE614" s="4" t="s">
        <v>1772</v>
      </c>
      <c r="BF614" s="4" t="s">
        <v>1773</v>
      </c>
    </row>
    <row r="615">
      <c r="A615" s="4">
        <v>513.0</v>
      </c>
      <c r="B615" s="4" t="s">
        <v>472</v>
      </c>
      <c r="C615" s="4"/>
      <c r="D615" s="4" t="s">
        <v>3523</v>
      </c>
      <c r="E615" s="4" t="s">
        <v>3520</v>
      </c>
      <c r="F615" s="4" t="s">
        <v>3519</v>
      </c>
      <c r="G615" s="5" t="str">
        <f>IFERROR(__xludf.DUMMYFUNCTION("GOOGLETRANSLATE(D615,""ca"",""es"")"),"pilar")</f>
        <v>pilar</v>
      </c>
      <c r="H615" s="4" t="s">
        <v>3524</v>
      </c>
      <c r="I615" s="4" t="s">
        <v>3525</v>
      </c>
      <c r="J615" s="4" t="s">
        <v>3524</v>
      </c>
      <c r="K615" s="4" t="s">
        <v>3525</v>
      </c>
      <c r="L615" s="4" t="s">
        <v>3526</v>
      </c>
      <c r="M615" s="4" t="s">
        <v>3526</v>
      </c>
      <c r="N615" s="4" t="s">
        <v>3525</v>
      </c>
      <c r="O615" s="4" t="s">
        <v>3527</v>
      </c>
    </row>
    <row r="616">
      <c r="A616" s="4">
        <v>514.0</v>
      </c>
      <c r="B616" s="4" t="s">
        <v>472</v>
      </c>
      <c r="C616" s="4"/>
      <c r="D616" s="4" t="s">
        <v>3523</v>
      </c>
      <c r="E616" s="4" t="s">
        <v>3528</v>
      </c>
      <c r="F616" s="4" t="s">
        <v>3523</v>
      </c>
      <c r="G616" s="5" t="str">
        <f>IFERROR(__xludf.DUMMYFUNCTION("GOOGLETRANSLATE(D616,""ca"",""es"")"),"pilar")</f>
        <v>pilar</v>
      </c>
      <c r="H616" s="4" t="s">
        <v>3524</v>
      </c>
      <c r="I616" s="4" t="s">
        <v>3525</v>
      </c>
      <c r="J616" s="4" t="s">
        <v>3524</v>
      </c>
      <c r="K616" s="4" t="s">
        <v>3525</v>
      </c>
      <c r="L616" s="4" t="s">
        <v>3526</v>
      </c>
      <c r="M616" s="4" t="s">
        <v>3526</v>
      </c>
      <c r="N616" s="4" t="s">
        <v>3525</v>
      </c>
      <c r="O616" s="4" t="s">
        <v>3527</v>
      </c>
    </row>
    <row r="617">
      <c r="A617" s="4">
        <v>515.0</v>
      </c>
      <c r="B617" s="4" t="s">
        <v>472</v>
      </c>
      <c r="C617" s="4"/>
      <c r="D617" s="4" t="s">
        <v>3525</v>
      </c>
      <c r="E617" s="4" t="s">
        <v>3529</v>
      </c>
      <c r="F617" s="4" t="s">
        <v>3530</v>
      </c>
      <c r="G617" s="5" t="str">
        <f>IFERROR(__xludf.DUMMYFUNCTION("GOOGLETRANSLATE(D617,""ca"",""es"")"),"pepinillo")</f>
        <v>pepinillo</v>
      </c>
      <c r="H617" s="4" t="s">
        <v>1785</v>
      </c>
      <c r="I617" s="4" t="s">
        <v>3531</v>
      </c>
    </row>
    <row r="618">
      <c r="A618" s="4">
        <v>516.0</v>
      </c>
      <c r="B618" s="4" t="s">
        <v>472</v>
      </c>
      <c r="C618" s="4"/>
      <c r="D618" s="4" t="s">
        <v>3525</v>
      </c>
      <c r="E618" s="4" t="s">
        <v>3532</v>
      </c>
      <c r="F618" s="4" t="s">
        <v>3525</v>
      </c>
      <c r="G618" s="5" t="str">
        <f>IFERROR(__xludf.DUMMYFUNCTION("GOOGLETRANSLATE(D618,""ca"",""es"")"),"pepinillo")</f>
        <v>pepinillo</v>
      </c>
      <c r="H618" s="4" t="s">
        <v>1785</v>
      </c>
      <c r="I618" s="4" t="s">
        <v>3531</v>
      </c>
    </row>
    <row r="619">
      <c r="A619" s="4">
        <v>517.0</v>
      </c>
      <c r="B619" s="4" t="s">
        <v>472</v>
      </c>
      <c r="C619" s="4"/>
      <c r="D619" s="4" t="s">
        <v>3533</v>
      </c>
      <c r="E619" s="4" t="s">
        <v>3534</v>
      </c>
      <c r="F619" s="4" t="s">
        <v>3535</v>
      </c>
      <c r="G619" s="5" t="str">
        <f>IFERROR(__xludf.DUMMYFUNCTION("GOOGLETRANSLATE(D619,""ca"",""es"")"),"piloto")</f>
        <v>piloto</v>
      </c>
      <c r="H619" s="4" t="s">
        <v>3536</v>
      </c>
      <c r="I619" s="4" t="s">
        <v>3537</v>
      </c>
      <c r="J619" s="4" t="s">
        <v>371</v>
      </c>
      <c r="K619" s="4" t="s">
        <v>3538</v>
      </c>
      <c r="L619" s="4" t="s">
        <v>3537</v>
      </c>
    </row>
    <row r="620">
      <c r="A620" s="4">
        <v>518.0</v>
      </c>
      <c r="B620" s="4" t="s">
        <v>472</v>
      </c>
      <c r="C620" s="4"/>
      <c r="D620" s="4" t="s">
        <v>3170</v>
      </c>
      <c r="E620" s="4" t="s">
        <v>3539</v>
      </c>
      <c r="F620" s="4" t="s">
        <v>3170</v>
      </c>
      <c r="G620" s="5" t="str">
        <f>IFERROR(__xludf.DUMMYFUNCTION("GOOGLETRANSLATE(D620,""ca"",""es"")"),"alfiler")</f>
        <v>alfiler</v>
      </c>
      <c r="H620" s="4" t="s">
        <v>3170</v>
      </c>
    </row>
    <row r="621">
      <c r="A621" s="4">
        <v>519.0</v>
      </c>
      <c r="B621" s="4" t="s">
        <v>472</v>
      </c>
      <c r="C621" s="4"/>
      <c r="D621" s="4" t="s">
        <v>3540</v>
      </c>
      <c r="E621" s="4" t="s">
        <v>3541</v>
      </c>
      <c r="F621" s="4" t="s">
        <v>3542</v>
      </c>
      <c r="G621" s="5" t="str">
        <f>IFERROR(__xludf.DUMMYFUNCTION("GOOGLETRANSLATE(D621,""ca"",""es"")"),"alfiler")</f>
        <v>alfiler</v>
      </c>
    </row>
    <row r="622">
      <c r="A622" s="4">
        <v>520.0</v>
      </c>
      <c r="B622" s="4" t="s">
        <v>472</v>
      </c>
      <c r="C622" s="4"/>
      <c r="D622" s="4" t="s">
        <v>3543</v>
      </c>
      <c r="E622" s="4" t="s">
        <v>3544</v>
      </c>
      <c r="F622" s="4" t="s">
        <v>3545</v>
      </c>
      <c r="G622" s="5" t="str">
        <f>IFERROR(__xludf.DUMMYFUNCTION("GOOGLETRANSLATE(D622,""ca"",""es"")"),"piña")</f>
        <v>piña</v>
      </c>
      <c r="H622" s="4" t="s">
        <v>3546</v>
      </c>
      <c r="I622" s="4" t="s">
        <v>3547</v>
      </c>
      <c r="J622" s="4" t="s">
        <v>3548</v>
      </c>
    </row>
    <row r="623">
      <c r="A623" s="4">
        <v>521.0</v>
      </c>
      <c r="B623" s="4" t="s">
        <v>472</v>
      </c>
      <c r="C623" s="4"/>
      <c r="D623" s="4" t="s">
        <v>3549</v>
      </c>
      <c r="E623" s="4" t="s">
        <v>3550</v>
      </c>
      <c r="F623" s="4" t="s">
        <v>3551</v>
      </c>
      <c r="G623" s="5" t="str">
        <f>IFERROR(__xludf.DUMMYFUNCTION("GOOGLETRANSLATE(D623,""ca"",""es"")"),"pintar")</f>
        <v>pintar</v>
      </c>
      <c r="H623" s="4" t="s">
        <v>3552</v>
      </c>
    </row>
    <row r="624">
      <c r="A624" s="4">
        <v>522.0</v>
      </c>
      <c r="B624" s="4" t="s">
        <v>472</v>
      </c>
      <c r="C624" s="4"/>
      <c r="D624" s="4" t="s">
        <v>3553</v>
      </c>
      <c r="E624" s="4" t="s">
        <v>3554</v>
      </c>
      <c r="F624" s="4" t="s">
        <v>3553</v>
      </c>
      <c r="G624" s="5" t="str">
        <f>IFERROR(__xludf.DUMMYFUNCTION("GOOGLETRANSLATE(D624,""ca"",""es"")"),"tubo")</f>
        <v>tubo</v>
      </c>
      <c r="H624" s="4" t="s">
        <v>3555</v>
      </c>
      <c r="I624" s="4" t="s">
        <v>3556</v>
      </c>
    </row>
    <row r="625">
      <c r="A625" s="4">
        <v>523.0</v>
      </c>
      <c r="B625" s="4" t="s">
        <v>472</v>
      </c>
      <c r="C625" s="4"/>
      <c r="D625" s="4" t="s">
        <v>3557</v>
      </c>
      <c r="E625" s="4" t="s">
        <v>3554</v>
      </c>
      <c r="F625" s="4" t="s">
        <v>3553</v>
      </c>
      <c r="G625" s="5" t="str">
        <f>IFERROR(__xludf.DUMMYFUNCTION("GOOGLETRANSLATE(D625,""ca"",""es"")"),"tubo")</f>
        <v>tubo</v>
      </c>
    </row>
    <row r="626">
      <c r="A626" s="4">
        <v>524.0</v>
      </c>
      <c r="B626" s="4" t="s">
        <v>472</v>
      </c>
      <c r="C626" s="4"/>
      <c r="D626" s="4" t="s">
        <v>3557</v>
      </c>
      <c r="E626" s="4" t="s">
        <v>3558</v>
      </c>
      <c r="F626" s="4" t="s">
        <v>3557</v>
      </c>
      <c r="G626" s="5" t="str">
        <f>IFERROR(__xludf.DUMMYFUNCTION("GOOGLETRANSLATE(D626,""ca"",""es"")"),"tubo")</f>
        <v>tubo</v>
      </c>
    </row>
    <row r="627">
      <c r="A627" s="4">
        <v>525.0</v>
      </c>
      <c r="B627" s="4" t="s">
        <v>472</v>
      </c>
      <c r="C627" s="4"/>
      <c r="D627" s="4" t="s">
        <v>3559</v>
      </c>
      <c r="E627" s="4" t="s">
        <v>3560</v>
      </c>
      <c r="F627" s="4" t="s">
        <v>3559</v>
      </c>
      <c r="G627" s="5" t="str">
        <f>IFERROR(__xludf.DUMMYFUNCTION("GOOGLETRANSLATE(D627,""ca"",""es"")"),"pirata")</f>
        <v>pirata</v>
      </c>
      <c r="H627" s="4" t="s">
        <v>3561</v>
      </c>
      <c r="I627" s="4" t="s">
        <v>3562</v>
      </c>
      <c r="J627" s="4" t="s">
        <v>3563</v>
      </c>
      <c r="K627" s="4" t="s">
        <v>3564</v>
      </c>
      <c r="L627" s="4" t="s">
        <v>3565</v>
      </c>
      <c r="M627" s="4" t="s">
        <v>3566</v>
      </c>
      <c r="N627" s="4" t="s">
        <v>3567</v>
      </c>
      <c r="O627" s="4" t="s">
        <v>3568</v>
      </c>
      <c r="P627" s="4" t="s">
        <v>3569</v>
      </c>
      <c r="Q627" s="4" t="s">
        <v>3562</v>
      </c>
    </row>
    <row r="628">
      <c r="A628" s="4">
        <v>526.0</v>
      </c>
      <c r="B628" s="4" t="s">
        <v>472</v>
      </c>
      <c r="C628" s="4"/>
      <c r="D628" s="4" t="s">
        <v>3570</v>
      </c>
      <c r="E628" s="4" t="s">
        <v>3571</v>
      </c>
      <c r="F628" s="4" t="s">
        <v>3570</v>
      </c>
      <c r="G628" s="5" t="str">
        <f>IFERROR(__xludf.DUMMYFUNCTION("GOOGLETRANSLATE(D628,""ca"",""es"")"),"plano")</f>
        <v>plano</v>
      </c>
      <c r="H628" s="4" t="s">
        <v>3572</v>
      </c>
      <c r="I628" s="4" t="s">
        <v>2186</v>
      </c>
      <c r="J628" s="4" t="s">
        <v>3573</v>
      </c>
      <c r="K628" s="4" t="s">
        <v>2125</v>
      </c>
      <c r="L628" s="4" t="s">
        <v>3574</v>
      </c>
      <c r="M628" s="4" t="s">
        <v>3575</v>
      </c>
      <c r="N628" s="4" t="s">
        <v>3576</v>
      </c>
      <c r="O628" s="4" t="s">
        <v>3577</v>
      </c>
      <c r="P628" s="4" t="s">
        <v>3578</v>
      </c>
      <c r="Q628" s="4" t="s">
        <v>2187</v>
      </c>
      <c r="R628" s="4" t="s">
        <v>3579</v>
      </c>
      <c r="S628" s="4" t="s">
        <v>3580</v>
      </c>
    </row>
    <row r="629">
      <c r="A629" s="4">
        <v>527.0</v>
      </c>
      <c r="B629" s="4" t="s">
        <v>472</v>
      </c>
      <c r="C629" s="4"/>
      <c r="D629" s="4" t="s">
        <v>3581</v>
      </c>
      <c r="E629" s="4" t="s">
        <v>3582</v>
      </c>
      <c r="F629" s="4" t="s">
        <v>3583</v>
      </c>
      <c r="G629" s="5" t="str">
        <f>IFERROR(__xludf.DUMMYFUNCTION("GOOGLETRANSLATE(D629,""ca"",""es"")"),"piscina")</f>
        <v>piscina</v>
      </c>
      <c r="H629" s="4" t="s">
        <v>3584</v>
      </c>
      <c r="I629" s="4" t="s">
        <v>3585</v>
      </c>
      <c r="J629" s="4" t="s">
        <v>3586</v>
      </c>
    </row>
    <row r="630">
      <c r="A630" s="4">
        <v>528.0</v>
      </c>
      <c r="B630" s="4" t="s">
        <v>472</v>
      </c>
      <c r="C630" s="4"/>
      <c r="D630" s="4" t="s">
        <v>395</v>
      </c>
      <c r="E630" s="4" t="s">
        <v>394</v>
      </c>
      <c r="F630" s="4" t="s">
        <v>395</v>
      </c>
      <c r="G630" s="5" t="str">
        <f>IFERROR(__xludf.DUMMYFUNCTION("GOOGLETRANSLATE(D630,""ca"",""es"")"),"Agave")</f>
        <v>Agave</v>
      </c>
      <c r="H630" s="4" t="s">
        <v>395</v>
      </c>
      <c r="I630" s="4" t="s">
        <v>3587</v>
      </c>
      <c r="J630" s="4" t="s">
        <v>3588</v>
      </c>
      <c r="K630" s="4" t="s">
        <v>3589</v>
      </c>
      <c r="L630" s="4" t="s">
        <v>3590</v>
      </c>
      <c r="M630" s="4" t="s">
        <v>3591</v>
      </c>
      <c r="N630" s="4" t="s">
        <v>3592</v>
      </c>
    </row>
    <row r="631">
      <c r="A631" s="4">
        <v>529.0</v>
      </c>
      <c r="B631" s="4" t="s">
        <v>472</v>
      </c>
      <c r="C631" s="4"/>
      <c r="D631" s="4" t="s">
        <v>3593</v>
      </c>
      <c r="E631" s="4" t="s">
        <v>3594</v>
      </c>
      <c r="F631" s="4" t="s">
        <v>3595</v>
      </c>
      <c r="G631" s="5" t="str">
        <f>IFERROR(__xludf.DUMMYFUNCTION("GOOGLETRANSLATE(D631,""ca"",""es"")"),"pixa")</f>
        <v>pixa</v>
      </c>
      <c r="H631" s="4" t="s">
        <v>3596</v>
      </c>
      <c r="I631" s="4" t="s">
        <v>3497</v>
      </c>
      <c r="J631" s="4" t="s">
        <v>3597</v>
      </c>
      <c r="K631" s="4" t="s">
        <v>3598</v>
      </c>
      <c r="L631" s="4" t="s">
        <v>3599</v>
      </c>
      <c r="M631" s="4" t="s">
        <v>3600</v>
      </c>
      <c r="N631" s="4" t="s">
        <v>3601</v>
      </c>
      <c r="O631" s="4" t="s">
        <v>3602</v>
      </c>
    </row>
    <row r="632">
      <c r="A632" s="4">
        <v>530.0</v>
      </c>
      <c r="B632" s="4" t="s">
        <v>472</v>
      </c>
      <c r="C632" s="4"/>
      <c r="D632" s="4" t="s">
        <v>3603</v>
      </c>
      <c r="E632" s="4" t="s">
        <v>3594</v>
      </c>
      <c r="F632" s="4" t="s">
        <v>3595</v>
      </c>
      <c r="G632" s="5" t="str">
        <f>IFERROR(__xludf.DUMMYFUNCTION("GOOGLETRANSLATE(D632,""ca"",""es"")"),"sencillo")</f>
        <v>sencillo</v>
      </c>
    </row>
    <row r="633">
      <c r="A633" s="4">
        <v>531.0</v>
      </c>
      <c r="B633" s="4" t="s">
        <v>472</v>
      </c>
      <c r="C633" s="4"/>
      <c r="D633" s="4" t="s">
        <v>3603</v>
      </c>
      <c r="E633" s="4" t="s">
        <v>3604</v>
      </c>
      <c r="F633" s="4" t="s">
        <v>3605</v>
      </c>
      <c r="G633" s="5" t="str">
        <f>IFERROR(__xludf.DUMMYFUNCTION("GOOGLETRANSLATE(D633,""ca"",""es"")"),"sencillo")</f>
        <v>sencillo</v>
      </c>
    </row>
    <row r="634">
      <c r="A634" s="4">
        <v>532.0</v>
      </c>
      <c r="B634" s="4" t="s">
        <v>472</v>
      </c>
      <c r="C634" s="4"/>
      <c r="D634" s="4" t="s">
        <v>3606</v>
      </c>
      <c r="E634" s="4" t="s">
        <v>3607</v>
      </c>
      <c r="F634" s="4" t="s">
        <v>3608</v>
      </c>
      <c r="G634" s="5" t="str">
        <f>IFERROR(__xludf.DUMMYFUNCTION("GOOGLETRANSLATE(D634,""ca"",""es"")"),"polar")</f>
        <v>polar</v>
      </c>
      <c r="H634" s="4" t="s">
        <v>3609</v>
      </c>
      <c r="I634" s="4" t="s">
        <v>3610</v>
      </c>
      <c r="J634" s="4" t="s">
        <v>3611</v>
      </c>
      <c r="K634" s="4" t="s">
        <v>3612</v>
      </c>
      <c r="L634" s="4" t="s">
        <v>3613</v>
      </c>
      <c r="M634" s="4" t="s">
        <v>3606</v>
      </c>
    </row>
    <row r="635">
      <c r="A635" s="4">
        <v>533.0</v>
      </c>
      <c r="B635" s="4" t="s">
        <v>472</v>
      </c>
      <c r="C635" s="4"/>
      <c r="D635" s="4" t="s">
        <v>3614</v>
      </c>
      <c r="E635" s="4" t="s">
        <v>3615</v>
      </c>
      <c r="F635" s="4" t="s">
        <v>3616</v>
      </c>
      <c r="G635" s="5" t="str">
        <f>IFERROR(__xludf.DUMMYFUNCTION("GOOGLETRANSLATE(D635,""ca"",""es"")"),"polaco")</f>
        <v>polaco</v>
      </c>
      <c r="H635" s="4" t="s">
        <v>3617</v>
      </c>
      <c r="I635" s="4" t="s">
        <v>3618</v>
      </c>
      <c r="J635" s="4" t="s">
        <v>3619</v>
      </c>
      <c r="K635" s="4" t="s">
        <v>3620</v>
      </c>
      <c r="L635" s="4" t="s">
        <v>3621</v>
      </c>
      <c r="M635" s="4" t="s">
        <v>3617</v>
      </c>
      <c r="N635" s="4" t="s">
        <v>3622</v>
      </c>
      <c r="O635" s="4" t="s">
        <v>3623</v>
      </c>
      <c r="P635" s="4" t="s">
        <v>3624</v>
      </c>
      <c r="Q635" s="4" t="s">
        <v>3617</v>
      </c>
      <c r="R635" s="4" t="s">
        <v>3625</v>
      </c>
      <c r="S635" s="4" t="s">
        <v>3626</v>
      </c>
      <c r="T635" s="4" t="s">
        <v>3627</v>
      </c>
      <c r="U635" s="4" t="s">
        <v>599</v>
      </c>
      <c r="V635" s="4" t="s">
        <v>3628</v>
      </c>
      <c r="W635" s="4" t="s">
        <v>3629</v>
      </c>
      <c r="X635" s="4" t="s">
        <v>3630</v>
      </c>
      <c r="Y635" s="4" t="s">
        <v>3631</v>
      </c>
      <c r="Z635" s="4" t="s">
        <v>3632</v>
      </c>
      <c r="AA635" s="4" t="s">
        <v>3633</v>
      </c>
      <c r="AB635" s="4" t="s">
        <v>3634</v>
      </c>
      <c r="AC635" s="4" t="s">
        <v>3625</v>
      </c>
      <c r="AD635" s="4" t="s">
        <v>3626</v>
      </c>
      <c r="AE635" s="4" t="s">
        <v>2584</v>
      </c>
    </row>
    <row r="636">
      <c r="A636" s="4">
        <v>534.0</v>
      </c>
      <c r="B636" s="4" t="s">
        <v>472</v>
      </c>
      <c r="C636" s="4"/>
      <c r="D636" s="4" t="s">
        <v>3635</v>
      </c>
      <c r="E636" s="4" t="s">
        <v>3636</v>
      </c>
      <c r="F636" s="4" t="s">
        <v>3637</v>
      </c>
      <c r="G636" s="5" t="str">
        <f>IFERROR(__xludf.DUMMYFUNCTION("GOOGLETRANSLATE(D636,""ca"",""es"")"),"hurgir")</f>
        <v>hurgir</v>
      </c>
      <c r="H636" s="4" t="s">
        <v>3638</v>
      </c>
    </row>
    <row r="637">
      <c r="A637" s="4">
        <v>535.0</v>
      </c>
      <c r="B637" s="4" t="s">
        <v>472</v>
      </c>
      <c r="C637" s="4"/>
      <c r="D637" s="4" t="s">
        <v>3639</v>
      </c>
      <c r="E637" s="4" t="s">
        <v>3640</v>
      </c>
      <c r="F637" s="4" t="s">
        <v>3641</v>
      </c>
      <c r="G637" s="5" t="str">
        <f>IFERROR(__xludf.DUMMYFUNCTION("GOOGLETRANSLATE(D637,""ca"",""es"")"),"pulga")</f>
        <v>pulga</v>
      </c>
    </row>
    <row r="638">
      <c r="A638" s="4">
        <v>536.0</v>
      </c>
      <c r="B638" s="4" t="s">
        <v>472</v>
      </c>
      <c r="C638" s="4"/>
      <c r="D638" s="4" t="s">
        <v>3642</v>
      </c>
      <c r="E638" s="4" t="s">
        <v>3643</v>
      </c>
      <c r="F638" s="4" t="s">
        <v>3644</v>
      </c>
      <c r="G638" s="5" t="str">
        <f>IFERROR(__xludf.DUMMYFUNCTION("GOOGLETRANSLATE(D638,""ca"",""es"")"),"político")</f>
        <v>político</v>
      </c>
      <c r="H638" s="4" t="s">
        <v>3645</v>
      </c>
      <c r="I638" s="4" t="s">
        <v>3645</v>
      </c>
      <c r="J638" s="4" t="s">
        <v>3645</v>
      </c>
      <c r="K638" s="4" t="s">
        <v>3646</v>
      </c>
      <c r="L638" s="4" t="s">
        <v>3647</v>
      </c>
      <c r="M638" s="4" t="s">
        <v>3648</v>
      </c>
      <c r="N638" s="4" t="s">
        <v>3649</v>
      </c>
      <c r="O638" s="4" t="s">
        <v>3646</v>
      </c>
    </row>
    <row r="639">
      <c r="A639" s="4">
        <v>537.0</v>
      </c>
      <c r="B639" s="4" t="s">
        <v>472</v>
      </c>
      <c r="C639" s="4"/>
      <c r="D639" s="4" t="s">
        <v>3650</v>
      </c>
      <c r="E639" s="4" t="s">
        <v>3651</v>
      </c>
      <c r="F639" s="4" t="s">
        <v>3652</v>
      </c>
      <c r="G639" s="5" t="str">
        <f>IFERROR(__xludf.DUMMYFUNCTION("GOOGLETRANSLATE(D639,""ca"",""es"")"),"temeroso")</f>
        <v>temeroso</v>
      </c>
      <c r="H639" s="4" t="s">
        <v>3653</v>
      </c>
      <c r="I639" s="4" t="s">
        <v>3654</v>
      </c>
      <c r="J639" s="4" t="s">
        <v>3653</v>
      </c>
      <c r="K639" s="4" t="s">
        <v>3655</v>
      </c>
      <c r="L639" s="4" t="s">
        <v>3656</v>
      </c>
      <c r="M639" s="4" t="s">
        <v>3657</v>
      </c>
      <c r="N639" s="4" t="s">
        <v>3658</v>
      </c>
      <c r="O639" s="4" t="s">
        <v>3659</v>
      </c>
      <c r="P639" s="4" t="s">
        <v>3660</v>
      </c>
      <c r="Q639" s="4" t="s">
        <v>3661</v>
      </c>
      <c r="R639" s="4" t="s">
        <v>3662</v>
      </c>
      <c r="S639" s="4" t="s">
        <v>3663</v>
      </c>
      <c r="T639" s="4" t="s">
        <v>3664</v>
      </c>
      <c r="U639" s="4" t="s">
        <v>3659</v>
      </c>
    </row>
    <row r="640">
      <c r="A640" s="4">
        <v>538.0</v>
      </c>
      <c r="B640" s="4" t="s">
        <v>472</v>
      </c>
      <c r="C640" s="4"/>
      <c r="D640" s="4" t="s">
        <v>3665</v>
      </c>
      <c r="E640" s="4" t="s">
        <v>3666</v>
      </c>
      <c r="F640" s="4" t="s">
        <v>3667</v>
      </c>
      <c r="G640" s="5" t="str">
        <f>IFERROR(__xludf.DUMMYFUNCTION("GOOGLETRANSLATE(D640,""ca"",""es"")"),"potasio")</f>
        <v>potasio</v>
      </c>
      <c r="H640" s="4" t="s">
        <v>3668</v>
      </c>
      <c r="I640" s="4" t="s">
        <v>2629</v>
      </c>
      <c r="J640" s="4" t="s">
        <v>3669</v>
      </c>
    </row>
    <row r="641">
      <c r="A641" s="4">
        <v>539.0</v>
      </c>
      <c r="B641" s="4" t="s">
        <v>472</v>
      </c>
      <c r="C641" s="4"/>
      <c r="D641" s="4" t="s">
        <v>3670</v>
      </c>
      <c r="E641" s="4" t="s">
        <v>3671</v>
      </c>
      <c r="F641" s="4" t="s">
        <v>3672</v>
      </c>
      <c r="G641" s="5" t="str">
        <f>IFERROR(__xludf.DUMMYFUNCTION("GOOGLETRANSLATE(D641,""ca"",""es"")"),"potasio")</f>
        <v>potasio</v>
      </c>
    </row>
    <row r="642">
      <c r="A642" s="4">
        <v>540.0</v>
      </c>
      <c r="B642" s="4" t="s">
        <v>472</v>
      </c>
      <c r="C642" s="4"/>
      <c r="D642" s="4" t="s">
        <v>3673</v>
      </c>
      <c r="E642" s="4" t="s">
        <v>3674</v>
      </c>
      <c r="F642" s="4" t="s">
        <v>3675</v>
      </c>
      <c r="G642" s="5" t="str">
        <f>IFERROR(__xludf.DUMMYFUNCTION("GOOGLETRANSLATE(D642,""ca"",""es"")"),"puedo")</f>
        <v>puedo</v>
      </c>
    </row>
    <row r="643">
      <c r="A643" s="4">
        <v>541.0</v>
      </c>
      <c r="B643" s="4" t="s">
        <v>472</v>
      </c>
      <c r="C643" s="4"/>
      <c r="D643" s="4" t="s">
        <v>3676</v>
      </c>
      <c r="E643" s="4" t="s">
        <v>3677</v>
      </c>
      <c r="F643" s="4" t="s">
        <v>697</v>
      </c>
      <c r="G643" s="5" t="str">
        <f>IFERROR(__xludf.DUMMYFUNCTION("GOOGLETRANSLATE(D643,""ca"",""es"")"),"puix")</f>
        <v>puix</v>
      </c>
    </row>
    <row r="644">
      <c r="A644" s="4">
        <v>542.0</v>
      </c>
      <c r="B644" s="4" t="s">
        <v>472</v>
      </c>
      <c r="C644" s="4"/>
      <c r="D644" s="4" t="s">
        <v>3678</v>
      </c>
      <c r="E644" s="4" t="s">
        <v>3679</v>
      </c>
      <c r="F644" s="4" t="s">
        <v>3678</v>
      </c>
      <c r="G644" s="5" t="str">
        <f>IFERROR(__xludf.DUMMYFUNCTION("GOOGLETRANSLATE(D644,""ca"",""es"")"),"puma")</f>
        <v>puma</v>
      </c>
      <c r="H644" s="4" t="s">
        <v>3680</v>
      </c>
      <c r="I644" s="4" t="s">
        <v>3678</v>
      </c>
      <c r="J644" s="4" t="s">
        <v>3681</v>
      </c>
      <c r="K644" s="4" t="s">
        <v>3682</v>
      </c>
      <c r="L644" s="4" t="s">
        <v>3683</v>
      </c>
      <c r="M644" s="4" t="s">
        <v>3684</v>
      </c>
      <c r="N644" s="4" t="s">
        <v>3685</v>
      </c>
    </row>
    <row r="645">
      <c r="A645" s="4">
        <v>543.0</v>
      </c>
      <c r="B645" s="4" t="s">
        <v>472</v>
      </c>
      <c r="C645" s="4"/>
      <c r="D645" s="4" t="s">
        <v>3686</v>
      </c>
      <c r="E645" s="4" t="s">
        <v>3687</v>
      </c>
      <c r="F645" s="4" t="s">
        <v>3688</v>
      </c>
      <c r="G645" s="5" t="str">
        <f>IFERROR(__xludf.DUMMYFUNCTION("GOOGLETRANSLATE(D645,""ca"",""es"")"),"pumicita")</f>
        <v>pumicita</v>
      </c>
    </row>
    <row r="646">
      <c r="A646" s="4">
        <v>544.0</v>
      </c>
      <c r="B646" s="4" t="s">
        <v>472</v>
      </c>
      <c r="C646" s="4"/>
      <c r="D646" s="4" t="s">
        <v>3689</v>
      </c>
      <c r="E646" s="4" t="s">
        <v>3690</v>
      </c>
      <c r="F646" s="4" t="s">
        <v>3691</v>
      </c>
      <c r="G646" s="5" t="str">
        <f>IFERROR(__xludf.DUMMYFUNCTION("GOOGLETRANSLATE(D646,""ca"",""es"")"),"penalizar")</f>
        <v>penalizar</v>
      </c>
      <c r="H646" s="4" t="s">
        <v>3692</v>
      </c>
      <c r="I646" s="4" t="s">
        <v>3693</v>
      </c>
      <c r="J646" s="4" t="s">
        <v>3694</v>
      </c>
      <c r="K646" s="4" t="s">
        <v>3695</v>
      </c>
      <c r="L646" s="4" t="s">
        <v>3696</v>
      </c>
      <c r="M646" s="4" t="s">
        <v>3697</v>
      </c>
      <c r="N646" s="4" t="s">
        <v>3698</v>
      </c>
      <c r="O646" s="4" t="s">
        <v>3699</v>
      </c>
    </row>
    <row r="647">
      <c r="A647" s="4">
        <v>545.0</v>
      </c>
      <c r="B647" s="4" t="s">
        <v>472</v>
      </c>
      <c r="C647" s="4"/>
      <c r="D647" s="4" t="s">
        <v>3689</v>
      </c>
      <c r="E647" s="4" t="s">
        <v>3700</v>
      </c>
      <c r="F647" s="4" t="s">
        <v>3689</v>
      </c>
      <c r="G647" s="5" t="str">
        <f>IFERROR(__xludf.DUMMYFUNCTION("GOOGLETRANSLATE(D647,""ca"",""es"")"),"penalizar")</f>
        <v>penalizar</v>
      </c>
      <c r="H647" s="4" t="s">
        <v>3692</v>
      </c>
      <c r="I647" s="4" t="s">
        <v>3693</v>
      </c>
      <c r="J647" s="4" t="s">
        <v>3694</v>
      </c>
      <c r="K647" s="4" t="s">
        <v>3695</v>
      </c>
      <c r="L647" s="4" t="s">
        <v>3696</v>
      </c>
      <c r="M647" s="4" t="s">
        <v>3697</v>
      </c>
      <c r="N647" s="4" t="s">
        <v>3698</v>
      </c>
      <c r="O647" s="4" t="s">
        <v>3699</v>
      </c>
    </row>
    <row r="648">
      <c r="A648" s="4">
        <v>546.0</v>
      </c>
      <c r="B648" s="4" t="s">
        <v>472</v>
      </c>
      <c r="C648" s="4"/>
      <c r="D648" s="4" t="s">
        <v>3701</v>
      </c>
      <c r="E648" s="4" t="s">
        <v>3702</v>
      </c>
      <c r="F648" s="4" t="s">
        <v>3703</v>
      </c>
      <c r="G648" s="5" t="str">
        <f>IFERROR(__xludf.DUMMYFUNCTION("GOOGLETRANSLATE(D648,""ca"",""es"")"),"punto")</f>
        <v>punto</v>
      </c>
      <c r="H648" s="4" t="s">
        <v>3704</v>
      </c>
      <c r="I648" s="4" t="s">
        <v>3705</v>
      </c>
      <c r="J648" s="4" t="s">
        <v>3706</v>
      </c>
      <c r="K648" s="4" t="s">
        <v>3705</v>
      </c>
      <c r="L648" s="4" t="s">
        <v>3707</v>
      </c>
      <c r="M648" s="4" t="s">
        <v>3708</v>
      </c>
      <c r="N648" s="4" t="s">
        <v>3709</v>
      </c>
      <c r="O648" s="4" t="s">
        <v>3705</v>
      </c>
      <c r="P648" s="4" t="s">
        <v>3710</v>
      </c>
      <c r="Q648" s="4" t="s">
        <v>945</v>
      </c>
      <c r="R648" s="4" t="s">
        <v>3711</v>
      </c>
      <c r="S648" s="4" t="s">
        <v>3712</v>
      </c>
      <c r="T648" s="4" t="s">
        <v>3713</v>
      </c>
      <c r="U648" s="4" t="s">
        <v>3714</v>
      </c>
      <c r="V648" s="4" t="s">
        <v>3705</v>
      </c>
      <c r="W648" s="4" t="s">
        <v>3705</v>
      </c>
      <c r="X648" s="4" t="s">
        <v>3715</v>
      </c>
      <c r="Y648" s="4" t="s">
        <v>2187</v>
      </c>
      <c r="Z648" s="4" t="s">
        <v>3716</v>
      </c>
      <c r="AA648" s="4" t="s">
        <v>3705</v>
      </c>
    </row>
    <row r="649">
      <c r="A649" s="4">
        <v>547.0</v>
      </c>
      <c r="B649" s="4" t="s">
        <v>472</v>
      </c>
      <c r="C649" s="4"/>
      <c r="D649" s="4" t="s">
        <v>3717</v>
      </c>
      <c r="E649" s="4" t="s">
        <v>3718</v>
      </c>
      <c r="F649" s="4" t="s">
        <v>3719</v>
      </c>
      <c r="G649" s="5" t="str">
        <f>IFERROR(__xludf.DUMMYFUNCTION("GOOGLETRANSLATE(D649,""ca"",""es"")"),"puño")</f>
        <v>puño</v>
      </c>
      <c r="H649" s="4" t="s">
        <v>3720</v>
      </c>
      <c r="I649" s="4" t="s">
        <v>3721</v>
      </c>
      <c r="J649" s="4" t="s">
        <v>3722</v>
      </c>
      <c r="K649" s="4" t="s">
        <v>3723</v>
      </c>
    </row>
    <row r="650">
      <c r="A650" s="4">
        <v>548.0</v>
      </c>
      <c r="B650" s="4" t="s">
        <v>472</v>
      </c>
      <c r="C650" s="4"/>
      <c r="D650" s="4" t="s">
        <v>3724</v>
      </c>
      <c r="E650" s="4" t="s">
        <v>3725</v>
      </c>
      <c r="F650" s="4" t="s">
        <v>3726</v>
      </c>
      <c r="G650" s="5" t="str">
        <f>IFERROR(__xludf.DUMMYFUNCTION("GOOGLETRANSLATE(D650,""ca"",""es"")"),"daga")</f>
        <v>daga</v>
      </c>
      <c r="H650" s="4" t="s">
        <v>3727</v>
      </c>
      <c r="I650" s="4" t="s">
        <v>3728</v>
      </c>
    </row>
    <row r="651">
      <c r="A651" s="4">
        <v>549.0</v>
      </c>
      <c r="B651" s="4" t="s">
        <v>472</v>
      </c>
      <c r="C651" s="4"/>
      <c r="D651" s="4" t="s">
        <v>3729</v>
      </c>
      <c r="E651" s="4" t="s">
        <v>3730</v>
      </c>
      <c r="F651" s="4" t="s">
        <v>3731</v>
      </c>
      <c r="G651" s="5" t="str">
        <f>IFERROR(__xludf.DUMMYFUNCTION("GOOGLETRANSLATE(D651,""ca"",""es"")"),"punción")</f>
        <v>punción</v>
      </c>
      <c r="H651" s="4" t="s">
        <v>3496</v>
      </c>
      <c r="I651" s="4" t="s">
        <v>3497</v>
      </c>
      <c r="J651" s="4" t="s">
        <v>3169</v>
      </c>
      <c r="K651" s="4" t="s">
        <v>3169</v>
      </c>
    </row>
    <row r="652">
      <c r="A652" s="4">
        <v>550.0</v>
      </c>
      <c r="B652" s="4" t="s">
        <v>472</v>
      </c>
      <c r="C652" s="4"/>
      <c r="D652" s="4" t="s">
        <v>3729</v>
      </c>
      <c r="E652" s="4" t="s">
        <v>3732</v>
      </c>
      <c r="F652" s="4" t="s">
        <v>3733</v>
      </c>
      <c r="G652" s="5" t="str">
        <f>IFERROR(__xludf.DUMMYFUNCTION("GOOGLETRANSLATE(D652,""ca"",""es"")"),"punción")</f>
        <v>punción</v>
      </c>
      <c r="H652" s="4" t="s">
        <v>3496</v>
      </c>
      <c r="I652" s="4" t="s">
        <v>3497</v>
      </c>
      <c r="J652" s="4" t="s">
        <v>3169</v>
      </c>
      <c r="K652" s="4" t="s">
        <v>3169</v>
      </c>
    </row>
    <row r="653">
      <c r="A653" s="4">
        <v>551.0</v>
      </c>
      <c r="B653" s="4" t="s">
        <v>472</v>
      </c>
      <c r="C653" s="4"/>
      <c r="D653" s="4" t="s">
        <v>3734</v>
      </c>
      <c r="E653" s="4" t="s">
        <v>3735</v>
      </c>
      <c r="F653" s="4" t="s">
        <v>3734</v>
      </c>
      <c r="G653" s="5" t="str">
        <f>IFERROR(__xludf.DUMMYFUNCTION("GOOGLETRANSLATE(D653,""ca"",""es"")"),"alumno")</f>
        <v>alumno</v>
      </c>
      <c r="H653" s="4" t="s">
        <v>3736</v>
      </c>
    </row>
    <row r="654">
      <c r="A654" s="4">
        <v>552.0</v>
      </c>
      <c r="B654" s="4" t="s">
        <v>472</v>
      </c>
      <c r="C654" s="4"/>
      <c r="D654" s="4" t="s">
        <v>3737</v>
      </c>
      <c r="E654" s="4" t="s">
        <v>3738</v>
      </c>
      <c r="F654" s="4" t="s">
        <v>3737</v>
      </c>
      <c r="G654" s="5" t="str">
        <f>IFERROR(__xludf.DUMMYFUNCTION("GOOGLETRANSLATE(D654,""ca"",""es"")"),"puro")</f>
        <v>puro</v>
      </c>
      <c r="H654" s="4" t="s">
        <v>3739</v>
      </c>
      <c r="I654" s="4" t="s">
        <v>3740</v>
      </c>
      <c r="J654" s="4" t="s">
        <v>3741</v>
      </c>
      <c r="K654" s="4" t="s">
        <v>3742</v>
      </c>
      <c r="L654" s="4" t="s">
        <v>3743</v>
      </c>
      <c r="M654" s="4" t="s">
        <v>3744</v>
      </c>
      <c r="N654" s="4" t="s">
        <v>3739</v>
      </c>
      <c r="O654" s="4" t="s">
        <v>3745</v>
      </c>
      <c r="P654" s="4" t="s">
        <v>3746</v>
      </c>
      <c r="Q654" s="4" t="s">
        <v>3739</v>
      </c>
      <c r="R654" s="4" t="s">
        <v>3747</v>
      </c>
    </row>
    <row r="655">
      <c r="A655" s="4">
        <v>553.0</v>
      </c>
      <c r="B655" s="4" t="s">
        <v>472</v>
      </c>
      <c r="C655" s="4"/>
      <c r="D655" s="4" t="s">
        <v>3748</v>
      </c>
      <c r="E655" s="4" t="s">
        <v>3749</v>
      </c>
      <c r="F655" s="4" t="s">
        <v>3748</v>
      </c>
      <c r="G655" s="5" t="str">
        <f>IFERROR(__xludf.DUMMYFUNCTION("GOOGLETRANSLATE(D655,""ca"",""es"")"),"pureza")</f>
        <v>pureza</v>
      </c>
    </row>
    <row r="656">
      <c r="A656" s="4">
        <v>554.0</v>
      </c>
      <c r="B656" s="4" t="s">
        <v>472</v>
      </c>
      <c r="C656" s="4"/>
      <c r="D656" s="4" t="s">
        <v>3750</v>
      </c>
      <c r="E656" s="4" t="s">
        <v>3751</v>
      </c>
      <c r="F656" s="4" t="s">
        <v>3752</v>
      </c>
      <c r="G656" s="5" t="str">
        <f>IFERROR(__xludf.DUMMYFUNCTION("GOOGLETRANSLATE(D656,""ca"",""es"")"),"puritano")</f>
        <v>puritano</v>
      </c>
      <c r="H656" s="4" t="s">
        <v>405</v>
      </c>
      <c r="I656" s="4" t="s">
        <v>3753</v>
      </c>
      <c r="J656" s="4" t="s">
        <v>3754</v>
      </c>
      <c r="K656" s="4" t="s">
        <v>3755</v>
      </c>
      <c r="L656" s="4" t="s">
        <v>3756</v>
      </c>
      <c r="M656" s="4" t="s">
        <v>3756</v>
      </c>
    </row>
    <row r="657">
      <c r="A657" s="4">
        <v>555.0</v>
      </c>
      <c r="B657" s="4" t="s">
        <v>472</v>
      </c>
      <c r="C657" s="4"/>
      <c r="D657" s="4" t="s">
        <v>3757</v>
      </c>
      <c r="E657" s="4" t="s">
        <v>3758</v>
      </c>
      <c r="F657" s="4" t="s">
        <v>3759</v>
      </c>
      <c r="G657" s="5" t="str">
        <f>IFERROR(__xludf.DUMMYFUNCTION("GOOGLETRANSLATE(D657,""ca"",""es"")"),"estiércol líquido")</f>
        <v>estiércol líquido</v>
      </c>
    </row>
    <row r="658">
      <c r="A658" s="4">
        <v>556.0</v>
      </c>
      <c r="B658" s="4" t="s">
        <v>472</v>
      </c>
      <c r="C658" s="4"/>
      <c r="D658" s="4" t="s">
        <v>3760</v>
      </c>
      <c r="E658" s="4" t="s">
        <v>3761</v>
      </c>
      <c r="F658" s="4" t="s">
        <v>3762</v>
      </c>
      <c r="G658" s="5" t="str">
        <f>IFERROR(__xludf.DUMMYFUNCTION("GOOGLETRANSLATE(D658,""ca"",""es"")"),"puro")</f>
        <v>puro</v>
      </c>
    </row>
    <row r="659">
      <c r="A659" s="4">
        <v>557.0</v>
      </c>
      <c r="B659" s="4" t="s">
        <v>472</v>
      </c>
      <c r="C659" s="4"/>
      <c r="D659" s="4" t="s">
        <v>3763</v>
      </c>
      <c r="E659" s="4" t="s">
        <v>3764</v>
      </c>
      <c r="F659" s="4" t="s">
        <v>3765</v>
      </c>
      <c r="G659" s="5" t="str">
        <f>IFERROR(__xludf.DUMMYFUNCTION("GOOGLETRANSLATE(D659,""ca"",""es"")"),"puro")</f>
        <v>puro</v>
      </c>
    </row>
    <row r="660">
      <c r="A660" s="4">
        <v>558.0</v>
      </c>
      <c r="B660" s="4" t="s">
        <v>472</v>
      </c>
      <c r="C660" s="4"/>
      <c r="D660" s="4" t="s">
        <v>3766</v>
      </c>
      <c r="E660" s="4" t="s">
        <v>3767</v>
      </c>
      <c r="F660" s="4" t="s">
        <v>3766</v>
      </c>
      <c r="G660" s="5" t="str">
        <f>IFERROR(__xludf.DUMMYFUNCTION("GOOGLETRANSLATE(D660,""ca"",""es"")"),"pus")</f>
        <v>pus</v>
      </c>
      <c r="H660" s="4" t="s">
        <v>3766</v>
      </c>
      <c r="I660" s="4" t="s">
        <v>3768</v>
      </c>
      <c r="J660" s="4" t="s">
        <v>3769</v>
      </c>
      <c r="K660" s="4" t="s">
        <v>3770</v>
      </c>
      <c r="L660" s="4" t="s">
        <v>3771</v>
      </c>
      <c r="M660" s="4" t="s">
        <v>3772</v>
      </c>
    </row>
    <row r="661">
      <c r="A661" s="4">
        <v>559.0</v>
      </c>
      <c r="B661" s="4" t="s">
        <v>472</v>
      </c>
      <c r="C661" s="4"/>
      <c r="D661" s="4" t="s">
        <v>3773</v>
      </c>
      <c r="E661" s="4" t="s">
        <v>3774</v>
      </c>
      <c r="F661" s="4" t="s">
        <v>3773</v>
      </c>
      <c r="G661" s="5" t="str">
        <f>IFERROR(__xludf.DUMMYFUNCTION("GOOGLETRANSLATE(D661,""ca"",""es"")"),"puta")</f>
        <v>puta</v>
      </c>
      <c r="H661" s="4" t="s">
        <v>3775</v>
      </c>
      <c r="I661" s="4" t="s">
        <v>3776</v>
      </c>
      <c r="J661" s="4" t="s">
        <v>3777</v>
      </c>
      <c r="K661" s="4" t="s">
        <v>3778</v>
      </c>
      <c r="L661" s="4" t="s">
        <v>3779</v>
      </c>
      <c r="M661" s="4" t="s">
        <v>3780</v>
      </c>
      <c r="N661" s="4" t="s">
        <v>3781</v>
      </c>
    </row>
    <row r="662">
      <c r="A662" s="4">
        <v>560.0</v>
      </c>
      <c r="B662" s="4" t="s">
        <v>472</v>
      </c>
      <c r="C662" s="4"/>
      <c r="D662" s="4" t="s">
        <v>3782</v>
      </c>
      <c r="E662" s="4" t="s">
        <v>3783</v>
      </c>
      <c r="F662" s="4" t="s">
        <v>3782</v>
      </c>
      <c r="G662" s="5" t="str">
        <f>IFERROR(__xludf.DUMMYFUNCTION("GOOGLETRANSLATE(D662,""ca"",""es"")"),"sede")</f>
        <v>sede</v>
      </c>
    </row>
    <row r="663">
      <c r="A663" s="4">
        <v>561.0</v>
      </c>
      <c r="B663" s="4" t="s">
        <v>472</v>
      </c>
      <c r="C663" s="4"/>
      <c r="D663" s="4" t="s">
        <v>3784</v>
      </c>
      <c r="E663" s="4" t="s">
        <v>3785</v>
      </c>
      <c r="F663" s="4" t="s">
        <v>3786</v>
      </c>
      <c r="G663" s="5" t="str">
        <f>IFERROR(__xludf.DUMMYFUNCTION("GOOGLETRANSLATE(D663,""ca"",""es"")"),"pulga")</f>
        <v>pulga</v>
      </c>
      <c r="H663" s="4" t="s">
        <v>3787</v>
      </c>
    </row>
    <row r="664">
      <c r="A664" s="4">
        <v>562.0</v>
      </c>
      <c r="B664" s="4" t="s">
        <v>472</v>
      </c>
      <c r="C664" s="4"/>
      <c r="D664" s="4" t="s">
        <v>3788</v>
      </c>
      <c r="E664" s="4" t="s">
        <v>3789</v>
      </c>
      <c r="F664" s="4" t="s">
        <v>3790</v>
      </c>
      <c r="G664" s="5" t="str">
        <f>IFERROR(__xludf.DUMMYFUNCTION("GOOGLETRANSLATE(D664,""ca"",""es"")"),"pánico")</f>
        <v>pánico</v>
      </c>
      <c r="H664" s="4" t="s">
        <v>3791</v>
      </c>
      <c r="I664" s="4" t="s">
        <v>3792</v>
      </c>
      <c r="J664" s="4" t="s">
        <v>3793</v>
      </c>
      <c r="K664" s="4" t="s">
        <v>3791</v>
      </c>
      <c r="L664" s="4" t="s">
        <v>3794</v>
      </c>
    </row>
    <row r="665">
      <c r="A665" s="4">
        <v>563.0</v>
      </c>
      <c r="B665" s="4" t="s">
        <v>472</v>
      </c>
      <c r="C665" s="4"/>
      <c r="D665" s="4" t="s">
        <v>3795</v>
      </c>
      <c r="E665" s="4" t="s">
        <v>3796</v>
      </c>
      <c r="F665" s="4" t="s">
        <v>3797</v>
      </c>
      <c r="G665" s="5" t="str">
        <f>IFERROR(__xludf.DUMMYFUNCTION("GOOGLETRANSLATE(D665,""ca"",""es"")"),"quemaco")</f>
        <v>quemaco</v>
      </c>
    </row>
    <row r="666">
      <c r="A666" s="4">
        <v>564.0</v>
      </c>
      <c r="B666" s="4" t="s">
        <v>472</v>
      </c>
      <c r="C666" s="4"/>
      <c r="D666" s="4" t="s">
        <v>3798</v>
      </c>
      <c r="E666" s="4" t="s">
        <v>2013</v>
      </c>
      <c r="F666" s="4" t="s">
        <v>2014</v>
      </c>
      <c r="G666" s="5" t="str">
        <f>IFERROR(__xludf.DUMMYFUNCTION("GOOGLETRANSLATE(D666,""ca"",""es"")"),"quién")</f>
        <v>quién</v>
      </c>
    </row>
    <row r="667">
      <c r="A667" s="4">
        <v>565.0</v>
      </c>
      <c r="B667" s="4" t="s">
        <v>472</v>
      </c>
      <c r="C667" s="4"/>
      <c r="D667" s="4" t="s">
        <v>3799</v>
      </c>
      <c r="E667" s="4" t="s">
        <v>3800</v>
      </c>
      <c r="F667" s="4" t="s">
        <v>3801</v>
      </c>
      <c r="G667" s="5" t="str">
        <f>IFERROR(__xludf.DUMMYFUNCTION("GOOGLETRANSLATE(D667,""ca"",""es"")"),"kil")</f>
        <v>kil</v>
      </c>
    </row>
    <row r="668">
      <c r="A668" s="4">
        <v>566.0</v>
      </c>
      <c r="B668" s="4" t="s">
        <v>472</v>
      </c>
      <c r="C668" s="4"/>
      <c r="D668" s="4" t="s">
        <v>3802</v>
      </c>
      <c r="E668" s="4" t="s">
        <v>3803</v>
      </c>
      <c r="F668" s="4" t="s">
        <v>3804</v>
      </c>
      <c r="G668" s="5" t="str">
        <f>IFERROR(__xludf.DUMMYFUNCTION("GOOGLETRANSLATE(D668,""ca"",""es"")"),"quilla")</f>
        <v>quilla</v>
      </c>
      <c r="H668" s="4" t="s">
        <v>3805</v>
      </c>
      <c r="I668" s="4" t="s">
        <v>3805</v>
      </c>
    </row>
    <row r="669">
      <c r="A669" s="4">
        <v>567.0</v>
      </c>
      <c r="B669" s="4" t="s">
        <v>472</v>
      </c>
      <c r="C669" s="4"/>
      <c r="D669" s="4" t="s">
        <v>3806</v>
      </c>
      <c r="E669" s="4" t="s">
        <v>3807</v>
      </c>
      <c r="F669" s="4" t="s">
        <v>3808</v>
      </c>
      <c r="G669" s="5" t="str">
        <f>IFERROR(__xludf.DUMMYFUNCTION("GOOGLETRANSLATE(D669,""ca"",""es"")"),"kilo")</f>
        <v>kilo</v>
      </c>
      <c r="H669" s="4" t="s">
        <v>3809</v>
      </c>
      <c r="I669" s="4" t="s">
        <v>3810</v>
      </c>
      <c r="J669" s="4" t="s">
        <v>3811</v>
      </c>
    </row>
    <row r="670">
      <c r="A670" s="4">
        <v>568.0</v>
      </c>
      <c r="B670" s="4" t="s">
        <v>472</v>
      </c>
      <c r="C670" s="4"/>
      <c r="D670" s="4" t="s">
        <v>3812</v>
      </c>
      <c r="E670" s="4" t="s">
        <v>3813</v>
      </c>
      <c r="F670" s="4" t="s">
        <v>3814</v>
      </c>
      <c r="G670" s="5" t="str">
        <f>IFERROR(__xludf.DUMMYFUNCTION("GOOGLETRANSLATE(D670,""ca"",""es"")"),"quim")</f>
        <v>quim</v>
      </c>
    </row>
    <row r="671">
      <c r="A671" s="4">
        <v>569.0</v>
      </c>
      <c r="B671" s="4" t="s">
        <v>472</v>
      </c>
      <c r="C671" s="4"/>
      <c r="D671" s="4" t="s">
        <v>3815</v>
      </c>
      <c r="E671" s="4" t="s">
        <v>3816</v>
      </c>
      <c r="F671" s="4" t="s">
        <v>3817</v>
      </c>
      <c r="G671" s="5" t="str">
        <f>IFERROR(__xludf.DUMMYFUNCTION("GOOGLETRANSLATE(D671,""ca"",""es"")"),"Cuál")</f>
        <v>Cuál</v>
      </c>
    </row>
    <row r="672">
      <c r="A672" s="4">
        <v>570.0</v>
      </c>
      <c r="B672" s="4" t="s">
        <v>472</v>
      </c>
      <c r="C672" s="4"/>
      <c r="D672" s="4" t="s">
        <v>3818</v>
      </c>
      <c r="E672" s="4" t="s">
        <v>3819</v>
      </c>
      <c r="F672" s="4" t="s">
        <v>3820</v>
      </c>
      <c r="G672" s="5" t="str">
        <f>IFERROR(__xludf.DUMMYFUNCTION("GOOGLETRANSLATE(D672,""ca"",""es"")"),"cual")</f>
        <v>cual</v>
      </c>
      <c r="H672" s="4" t="s">
        <v>3821</v>
      </c>
      <c r="I672" s="4" t="s">
        <v>3822</v>
      </c>
      <c r="J672" s="4" t="s">
        <v>3823</v>
      </c>
      <c r="K672" s="4" t="s">
        <v>3824</v>
      </c>
    </row>
    <row r="673">
      <c r="A673" s="4">
        <v>571.0</v>
      </c>
      <c r="B673" s="4" t="s">
        <v>472</v>
      </c>
      <c r="C673" s="4"/>
      <c r="D673" s="4" t="s">
        <v>3825</v>
      </c>
      <c r="E673" s="4" t="s">
        <v>3816</v>
      </c>
      <c r="F673" s="4" t="s">
        <v>3817</v>
      </c>
      <c r="G673" s="5" t="str">
        <f>IFERROR(__xludf.DUMMYFUNCTION("GOOGLETRANSLATE(D673,""ca"",""es"")"),"puntaje")</f>
        <v>puntaje</v>
      </c>
    </row>
    <row r="674">
      <c r="A674" s="4">
        <v>572.0</v>
      </c>
      <c r="B674" s="4" t="s">
        <v>472</v>
      </c>
      <c r="C674" s="4"/>
      <c r="D674" s="4" t="s">
        <v>3826</v>
      </c>
      <c r="E674" s="4" t="s">
        <v>3827</v>
      </c>
      <c r="F674" s="4" t="s">
        <v>3828</v>
      </c>
      <c r="G674" s="5" t="str">
        <f>IFERROR(__xludf.DUMMYFUNCTION("GOOGLETRANSLATE(D674,""ca"",""es"")"),"Chicock")</f>
        <v>Chicock</v>
      </c>
      <c r="H674" s="4" t="s">
        <v>3829</v>
      </c>
    </row>
    <row r="675">
      <c r="A675" s="4">
        <v>573.0</v>
      </c>
      <c r="B675" s="4" t="s">
        <v>472</v>
      </c>
      <c r="C675" s="4"/>
      <c r="D675" s="4" t="s">
        <v>3830</v>
      </c>
      <c r="E675" s="4" t="s">
        <v>3831</v>
      </c>
      <c r="F675" s="4" t="s">
        <v>3832</v>
      </c>
      <c r="G675" s="5" t="str">
        <f>IFERROR(__xludf.DUMMYFUNCTION("GOOGLETRANSLATE(D675,""ca"",""es"")"),"quisón")</f>
        <v>quisón</v>
      </c>
    </row>
    <row r="676">
      <c r="A676" s="4">
        <v>574.0</v>
      </c>
      <c r="B676" s="4" t="s">
        <v>472</v>
      </c>
      <c r="C676" s="4"/>
      <c r="D676" s="4" t="s">
        <v>3833</v>
      </c>
      <c r="E676" s="4" t="s">
        <v>3834</v>
      </c>
      <c r="F676" s="4" t="s">
        <v>3835</v>
      </c>
      <c r="G676" s="5" t="str">
        <f>IFERROR(__xludf.DUMMYFUNCTION("GOOGLETRANSLATE(D676,""ca"",""es"")"),"prueba")</f>
        <v>prueba</v>
      </c>
    </row>
    <row r="677">
      <c r="A677" s="4">
        <v>575.0</v>
      </c>
      <c r="B677" s="4" t="s">
        <v>472</v>
      </c>
      <c r="C677" s="4"/>
      <c r="D677" s="4" t="s">
        <v>3836</v>
      </c>
      <c r="E677" s="4" t="s">
        <v>3834</v>
      </c>
      <c r="F677" s="4" t="s">
        <v>3835</v>
      </c>
      <c r="G677" s="5" t="str">
        <f>IFERROR(__xludf.DUMMYFUNCTION("GOOGLETRANSLATE(D677,""ca"",""es"")"),"privilegio")</f>
        <v>privilegio</v>
      </c>
    </row>
    <row r="678">
      <c r="A678" s="4">
        <v>576.0</v>
      </c>
      <c r="B678" s="4" t="s">
        <v>472</v>
      </c>
      <c r="C678" s="4"/>
      <c r="D678" s="4" t="s">
        <v>3836</v>
      </c>
      <c r="E678" s="4" t="s">
        <v>3837</v>
      </c>
      <c r="F678" s="4" t="s">
        <v>3838</v>
      </c>
      <c r="G678" s="5" t="str">
        <f>IFERROR(__xludf.DUMMYFUNCTION("GOOGLETRANSLATE(D678,""ca"",""es"")"),"privilegio")</f>
        <v>privilegio</v>
      </c>
    </row>
    <row r="679">
      <c r="A679" s="4">
        <v>577.0</v>
      </c>
      <c r="B679" s="4" t="s">
        <v>472</v>
      </c>
      <c r="C679" s="4"/>
      <c r="D679" s="4" t="s">
        <v>3839</v>
      </c>
      <c r="E679" s="4" t="s">
        <v>3840</v>
      </c>
      <c r="F679" s="4" t="s">
        <v>3841</v>
      </c>
      <c r="G679" s="5" t="str">
        <f>IFERROR(__xludf.DUMMYFUNCTION("GOOGLETRANSLATE(D679,""ca"",""es"")"),"quitina")</f>
        <v>quitina</v>
      </c>
      <c r="H679" s="4" t="s">
        <v>3842</v>
      </c>
    </row>
    <row r="680">
      <c r="A680" s="4">
        <v>578.0</v>
      </c>
      <c r="B680" s="4" t="s">
        <v>472</v>
      </c>
      <c r="C680" s="4"/>
      <c r="D680" s="4" t="s">
        <v>3843</v>
      </c>
      <c r="E680" s="4" t="s">
        <v>3844</v>
      </c>
      <c r="F680" s="4" t="s">
        <v>3845</v>
      </c>
      <c r="G680" s="5" t="str">
        <f>IFERROR(__xludf.DUMMYFUNCTION("GOOGLETRANSLATE(D680,""ca"",""es"")"),"quito")</f>
        <v>quito</v>
      </c>
      <c r="H680" s="4" t="s">
        <v>3846</v>
      </c>
      <c r="I680" s="4" t="s">
        <v>3847</v>
      </c>
    </row>
    <row r="681">
      <c r="A681" s="4">
        <v>579.0</v>
      </c>
      <c r="B681" s="4" t="s">
        <v>472</v>
      </c>
      <c r="C681" s="4"/>
      <c r="D681" s="4" t="s">
        <v>3848</v>
      </c>
      <c r="E681" s="4" t="s">
        <v>3849</v>
      </c>
      <c r="F681" s="4" t="s">
        <v>3850</v>
      </c>
      <c r="G681" s="5" t="str">
        <f>IFERROR(__xludf.DUMMYFUNCTION("GOOGLETRANSLATE(D681,""ca"",""es"")"),"químico")</f>
        <v>químico</v>
      </c>
      <c r="H681" s="4" t="s">
        <v>3851</v>
      </c>
      <c r="I681" s="4" t="s">
        <v>3852</v>
      </c>
      <c r="J681" s="4" t="s">
        <v>3851</v>
      </c>
      <c r="K681" s="4" t="s">
        <v>3853</v>
      </c>
    </row>
    <row r="682">
      <c r="A682" s="4">
        <v>580.0</v>
      </c>
      <c r="B682" s="4" t="s">
        <v>472</v>
      </c>
      <c r="C682" s="4"/>
      <c r="D682" s="4" t="s">
        <v>3854</v>
      </c>
      <c r="E682" s="4" t="s">
        <v>3855</v>
      </c>
      <c r="F682" s="4" t="s">
        <v>3856</v>
      </c>
      <c r="G682" s="5" t="str">
        <f>IFERROR(__xludf.DUMMYFUNCTION("GOOGLETRANSLATE(D682,""ca"",""es"")"),"químico")</f>
        <v>químico</v>
      </c>
      <c r="H682" s="4" t="s">
        <v>3857</v>
      </c>
      <c r="I682" s="4" t="s">
        <v>3858</v>
      </c>
      <c r="J682" s="4" t="s">
        <v>3857</v>
      </c>
      <c r="K682" s="4" t="s">
        <v>3859</v>
      </c>
      <c r="L682" s="4" t="s">
        <v>3860</v>
      </c>
    </row>
    <row r="683">
      <c r="A683" s="4">
        <v>581.0</v>
      </c>
      <c r="B683" s="4" t="s">
        <v>472</v>
      </c>
      <c r="C683" s="4"/>
      <c r="D683" s="4" t="s">
        <v>3861</v>
      </c>
      <c r="E683" s="4" t="s">
        <v>3862</v>
      </c>
      <c r="F683" s="4" t="s">
        <v>3861</v>
      </c>
      <c r="G683" s="5" t="str">
        <f>IFERROR(__xludf.DUMMYFUNCTION("GOOGLETRANSLATE(D683,""ca"",""es"")"),"saludable")</f>
        <v>saludable</v>
      </c>
      <c r="H683" s="4" t="s">
        <v>3863</v>
      </c>
      <c r="I683" s="4" t="s">
        <v>3864</v>
      </c>
      <c r="J683" s="4" t="s">
        <v>3865</v>
      </c>
    </row>
    <row r="684">
      <c r="A684" s="4">
        <v>582.0</v>
      </c>
      <c r="B684" s="4" t="s">
        <v>472</v>
      </c>
      <c r="C684" s="4"/>
      <c r="D684" s="4" t="s">
        <v>3866</v>
      </c>
      <c r="E684" s="4" t="s">
        <v>3867</v>
      </c>
      <c r="F684" s="4" t="s">
        <v>3868</v>
      </c>
      <c r="G684" s="5" t="str">
        <f>IFERROR(__xludf.DUMMYFUNCTION("GOOGLETRANSLATE(D684,""ca"",""es"")"),"bolsa")</f>
        <v>bolsa</v>
      </c>
      <c r="H684" s="4" t="s">
        <v>3866</v>
      </c>
      <c r="I684" s="4" t="s">
        <v>3869</v>
      </c>
      <c r="J684" s="4" t="s">
        <v>3870</v>
      </c>
      <c r="K684" s="4" t="s">
        <v>1785</v>
      </c>
      <c r="L684" s="4" t="s">
        <v>3871</v>
      </c>
    </row>
    <row r="685">
      <c r="A685" s="4">
        <v>583.0</v>
      </c>
      <c r="B685" s="4" t="s">
        <v>472</v>
      </c>
      <c r="C685" s="4"/>
      <c r="D685" s="4" t="s">
        <v>3872</v>
      </c>
      <c r="E685" s="4" t="s">
        <v>3873</v>
      </c>
      <c r="F685" s="4" t="s">
        <v>3874</v>
      </c>
      <c r="G685" s="5" t="str">
        <f>IFERROR(__xludf.DUMMYFUNCTION("GOOGLETRANSLATE(D685,""ca"",""es"")"),"sacrina")</f>
        <v>sacrina</v>
      </c>
      <c r="H685" s="4" t="s">
        <v>3875</v>
      </c>
    </row>
    <row r="686">
      <c r="A686" s="4">
        <v>584.0</v>
      </c>
      <c r="B686" s="4" t="s">
        <v>472</v>
      </c>
      <c r="C686" s="4"/>
      <c r="D686" s="4" t="s">
        <v>3876</v>
      </c>
      <c r="E686" s="4" t="s">
        <v>3877</v>
      </c>
      <c r="F686" s="4" t="s">
        <v>3878</v>
      </c>
      <c r="G686" s="5" t="str">
        <f>IFERROR(__xludf.DUMMYFUNCTION("GOOGLETRANSLATE(D686,""ca"",""es"")"),"sacarí")</f>
        <v>sacarí</v>
      </c>
    </row>
    <row r="687">
      <c r="A687" s="4">
        <v>585.0</v>
      </c>
      <c r="B687" s="4" t="s">
        <v>472</v>
      </c>
      <c r="C687" s="4"/>
      <c r="D687" s="4" t="s">
        <v>3879</v>
      </c>
      <c r="E687" s="4" t="s">
        <v>3880</v>
      </c>
      <c r="F687" s="4" t="s">
        <v>3881</v>
      </c>
      <c r="G687" s="5" t="str">
        <f>IFERROR(__xludf.DUMMYFUNCTION("GOOGLETRANSLATE(D687,""ca"",""es"")"),"sakhah")</f>
        <v>sakhah</v>
      </c>
    </row>
    <row r="688">
      <c r="A688" s="4">
        <v>586.0</v>
      </c>
      <c r="B688" s="4" t="s">
        <v>472</v>
      </c>
      <c r="C688" s="4"/>
      <c r="D688" s="4" t="s">
        <v>3882</v>
      </c>
      <c r="E688" s="4" t="s">
        <v>3883</v>
      </c>
      <c r="F688" s="4" t="s">
        <v>3882</v>
      </c>
      <c r="G688" s="5" t="str">
        <f>IFERROR(__xludf.DUMMYFUNCTION("GOOGLETRANSLATE(D688,""ca"",""es"")"),"sal")</f>
        <v>sal</v>
      </c>
      <c r="H688" s="4" t="s">
        <v>3884</v>
      </c>
      <c r="I688" s="4" t="s">
        <v>3885</v>
      </c>
      <c r="J688" s="4" t="s">
        <v>3886</v>
      </c>
      <c r="K688" s="4" t="s">
        <v>3887</v>
      </c>
      <c r="L688" s="4" t="s">
        <v>3888</v>
      </c>
      <c r="M688" s="4" t="s">
        <v>3889</v>
      </c>
      <c r="N688" s="4" t="s">
        <v>3887</v>
      </c>
    </row>
    <row r="689">
      <c r="A689" s="4">
        <v>587.0</v>
      </c>
      <c r="B689" s="4" t="s">
        <v>472</v>
      </c>
      <c r="C689" s="4"/>
      <c r="D689" s="4" t="s">
        <v>3890</v>
      </c>
      <c r="E689" s="4" t="s">
        <v>3891</v>
      </c>
      <c r="F689" s="4" t="s">
        <v>3890</v>
      </c>
      <c r="G689" s="5" t="str">
        <f>IFERROR(__xludf.DUMMYFUNCTION("GOOGLETRANSLATE(D689,""ca"",""es"")"),"pabellón")</f>
        <v>pabellón</v>
      </c>
      <c r="H689" s="4" t="s">
        <v>3892</v>
      </c>
      <c r="I689" s="4" t="s">
        <v>3893</v>
      </c>
      <c r="J689" s="4" t="s">
        <v>3894</v>
      </c>
      <c r="K689" s="4" t="s">
        <v>3895</v>
      </c>
      <c r="L689" s="4" t="s">
        <v>3896</v>
      </c>
      <c r="M689" s="4" t="s">
        <v>3897</v>
      </c>
      <c r="N689" s="4" t="s">
        <v>3898</v>
      </c>
      <c r="O689" s="4" t="s">
        <v>3897</v>
      </c>
      <c r="P689" s="4" t="s">
        <v>3898</v>
      </c>
      <c r="Q689" s="4" t="s">
        <v>3736</v>
      </c>
      <c r="R689" s="4" t="s">
        <v>3899</v>
      </c>
      <c r="S689" s="4" t="s">
        <v>3900</v>
      </c>
      <c r="T689" s="4" t="s">
        <v>3901</v>
      </c>
    </row>
    <row r="690">
      <c r="A690" s="4">
        <v>588.0</v>
      </c>
      <c r="B690" s="4" t="s">
        <v>472</v>
      </c>
      <c r="C690" s="4"/>
      <c r="D690" s="4" t="s">
        <v>3902</v>
      </c>
      <c r="E690" s="4" t="s">
        <v>3903</v>
      </c>
      <c r="F690" s="4" t="s">
        <v>3902</v>
      </c>
      <c r="G690" s="5" t="str">
        <f>IFERROR(__xludf.DUMMYFUNCTION("GOOGLETRANSLATE(D690,""ca"",""es"")"),"salami")</f>
        <v>salami</v>
      </c>
      <c r="H690" s="4" t="s">
        <v>3902</v>
      </c>
    </row>
    <row r="691">
      <c r="A691" s="4">
        <v>589.0</v>
      </c>
      <c r="B691" s="4" t="s">
        <v>472</v>
      </c>
      <c r="C691" s="4"/>
      <c r="D691" s="4" t="s">
        <v>3904</v>
      </c>
      <c r="E691" s="4" t="s">
        <v>3905</v>
      </c>
      <c r="F691" s="4" t="s">
        <v>3904</v>
      </c>
      <c r="G691" s="5" t="str">
        <f>IFERROR(__xludf.DUMMYFUNCTION("GOOGLETRANSLATE(D691,""ca"",""es"")"),"salmón")</f>
        <v>salmón</v>
      </c>
      <c r="H691" s="4" t="s">
        <v>3887</v>
      </c>
      <c r="I691" s="4" t="s">
        <v>3906</v>
      </c>
      <c r="J691" s="4" t="s">
        <v>3887</v>
      </c>
    </row>
    <row r="692">
      <c r="A692" s="4">
        <v>590.0</v>
      </c>
      <c r="B692" s="4" t="s">
        <v>472</v>
      </c>
      <c r="C692" s="4"/>
      <c r="D692" s="4" t="s">
        <v>3907</v>
      </c>
      <c r="E692" s="4" t="s">
        <v>3908</v>
      </c>
      <c r="F692" s="4" t="s">
        <v>3907</v>
      </c>
      <c r="G692" s="5" t="str">
        <f>IFERROR(__xludf.DUMMYFUNCTION("GOOGLETRANSLATE(D692,""ca"",""es"")"),"salario")</f>
        <v>salario</v>
      </c>
      <c r="H692" s="4" t="s">
        <v>3909</v>
      </c>
      <c r="I692" s="4" t="s">
        <v>3910</v>
      </c>
      <c r="J692" s="4" t="s">
        <v>3911</v>
      </c>
      <c r="K692" s="4" t="s">
        <v>3912</v>
      </c>
      <c r="L692" s="4" t="s">
        <v>3913</v>
      </c>
    </row>
    <row r="693">
      <c r="A693" s="4">
        <v>591.0</v>
      </c>
      <c r="B693" s="4" t="s">
        <v>472</v>
      </c>
      <c r="C693" s="4"/>
      <c r="D693" s="4" t="s">
        <v>3914</v>
      </c>
      <c r="E693" s="4" t="s">
        <v>3915</v>
      </c>
      <c r="F693" s="4" t="s">
        <v>3914</v>
      </c>
      <c r="G693" s="5" t="str">
        <f>IFERROR(__xludf.DUMMYFUNCTION("GOOGLETRANSLATE(D693,""ca"",""es"")"),"salina")</f>
        <v>salina</v>
      </c>
      <c r="H693" s="4" t="s">
        <v>3916</v>
      </c>
      <c r="I693" s="4" t="s">
        <v>3917</v>
      </c>
      <c r="J693" s="4" t="s">
        <v>3918</v>
      </c>
    </row>
    <row r="694">
      <c r="A694" s="4">
        <v>592.0</v>
      </c>
      <c r="B694" s="4" t="s">
        <v>472</v>
      </c>
      <c r="C694" s="4"/>
      <c r="D694" s="4" t="s">
        <v>3919</v>
      </c>
      <c r="E694" s="4" t="s">
        <v>3920</v>
      </c>
      <c r="F694" s="4" t="s">
        <v>3921</v>
      </c>
      <c r="G694" s="5" t="str">
        <f>IFERROR(__xludf.DUMMYFUNCTION("GOOGLETRANSLATE(D694,""ca"",""es"")"),"salón")</f>
        <v>salón</v>
      </c>
    </row>
    <row r="695">
      <c r="A695" s="4">
        <v>593.0</v>
      </c>
      <c r="B695" s="4" t="s">
        <v>472</v>
      </c>
      <c r="C695" s="4"/>
      <c r="D695" s="4" t="s">
        <v>3887</v>
      </c>
      <c r="E695" s="4" t="s">
        <v>3883</v>
      </c>
      <c r="F695" s="4" t="s">
        <v>3882</v>
      </c>
      <c r="G695" s="5" t="str">
        <f>IFERROR(__xludf.DUMMYFUNCTION("GOOGLETRANSLATE(D695,""ca"",""es"")"),"salto")</f>
        <v>salto</v>
      </c>
      <c r="H695" s="4" t="s">
        <v>3922</v>
      </c>
      <c r="I695" s="4" t="s">
        <v>3923</v>
      </c>
      <c r="J695" s="4" t="s">
        <v>3924</v>
      </c>
      <c r="K695" s="4" t="s">
        <v>3925</v>
      </c>
      <c r="L695" s="4" t="s">
        <v>3926</v>
      </c>
      <c r="M695" s="4" t="s">
        <v>3927</v>
      </c>
      <c r="N695" s="4" t="s">
        <v>3928</v>
      </c>
      <c r="O695" s="4" t="s">
        <v>2059</v>
      </c>
      <c r="P695" s="4" t="s">
        <v>3929</v>
      </c>
      <c r="Q695" s="4" t="s">
        <v>3930</v>
      </c>
      <c r="R695" s="4" t="s">
        <v>3931</v>
      </c>
      <c r="S695" s="4" t="s">
        <v>3925</v>
      </c>
      <c r="T695" s="4" t="s">
        <v>3922</v>
      </c>
      <c r="U695" s="4" t="s">
        <v>3925</v>
      </c>
      <c r="V695" s="4" t="s">
        <v>3922</v>
      </c>
      <c r="W695" s="4" t="s">
        <v>3928</v>
      </c>
    </row>
    <row r="696">
      <c r="A696" s="4">
        <v>594.0</v>
      </c>
      <c r="B696" s="4" t="s">
        <v>472</v>
      </c>
      <c r="C696" s="4"/>
      <c r="D696" s="4" t="s">
        <v>3932</v>
      </c>
      <c r="E696" s="4" t="s">
        <v>3933</v>
      </c>
      <c r="F696" s="4" t="s">
        <v>3932</v>
      </c>
      <c r="G696" s="5" t="str">
        <f>IFERROR(__xludf.DUMMYFUNCTION("GOOGLETRANSLATE(D696,""ca"",""es"")"),"samario")</f>
        <v>samario</v>
      </c>
      <c r="H696" s="4" t="s">
        <v>3934</v>
      </c>
      <c r="I696" s="4" t="s">
        <v>3935</v>
      </c>
      <c r="J696" s="4" t="s">
        <v>3936</v>
      </c>
    </row>
    <row r="697">
      <c r="A697" s="4">
        <v>595.0</v>
      </c>
      <c r="B697" s="4" t="s">
        <v>472</v>
      </c>
      <c r="C697" s="4"/>
      <c r="D697" s="4" t="s">
        <v>3937</v>
      </c>
      <c r="E697" s="4" t="s">
        <v>3938</v>
      </c>
      <c r="F697" s="4" t="s">
        <v>3937</v>
      </c>
      <c r="G697" s="5" t="str">
        <f>IFERROR(__xludf.DUMMYFUNCTION("GOOGLETRANSLATE(D697,""ca"",""es"")"),"san")</f>
        <v>san</v>
      </c>
    </row>
    <row r="698">
      <c r="A698" s="4">
        <v>596.0</v>
      </c>
      <c r="B698" s="4" t="s">
        <v>472</v>
      </c>
      <c r="C698" s="4"/>
      <c r="D698" s="4" t="s">
        <v>3939</v>
      </c>
      <c r="E698" s="4" t="s">
        <v>3940</v>
      </c>
      <c r="F698" s="4" t="s">
        <v>3939</v>
      </c>
      <c r="G698" s="5" t="str">
        <f>IFERROR(__xludf.DUMMYFUNCTION("GOOGLETRANSLATE(D698,""ca"",""es"")"),"sonido")</f>
        <v>sonido</v>
      </c>
    </row>
    <row r="699">
      <c r="A699" s="4">
        <v>597.0</v>
      </c>
      <c r="B699" s="4" t="s">
        <v>472</v>
      </c>
      <c r="C699" s="4"/>
      <c r="D699" s="4" t="s">
        <v>3941</v>
      </c>
      <c r="E699" s="4" t="s">
        <v>3942</v>
      </c>
      <c r="F699" s="4" t="s">
        <v>3941</v>
      </c>
      <c r="G699" s="5" t="str">
        <f>IFERROR(__xludf.DUMMYFUNCTION("GOOGLETRANSLATE(D699,""ca"",""es"")"),"sanitario")</f>
        <v>sanitario</v>
      </c>
      <c r="H699" s="4" t="s">
        <v>3943</v>
      </c>
      <c r="I699" s="4" t="s">
        <v>3944</v>
      </c>
      <c r="J699" s="4" t="s">
        <v>3945</v>
      </c>
      <c r="K699" s="4" t="s">
        <v>3946</v>
      </c>
      <c r="L699" s="4" t="s">
        <v>3947</v>
      </c>
    </row>
    <row r="700">
      <c r="A700" s="4">
        <v>598.0</v>
      </c>
      <c r="B700" s="4" t="s">
        <v>472</v>
      </c>
      <c r="C700" s="4"/>
      <c r="D700" s="4" t="s">
        <v>3948</v>
      </c>
      <c r="E700" s="4" t="s">
        <v>3949</v>
      </c>
      <c r="F700" s="4" t="s">
        <v>3950</v>
      </c>
      <c r="G700" s="5" t="str">
        <f>IFERROR(__xludf.DUMMYFUNCTION("GOOGLETRANSLATE(D700,""ca"",""es"")"),"sanción")</f>
        <v>sanción</v>
      </c>
    </row>
    <row r="701">
      <c r="A701" s="4">
        <v>599.0</v>
      </c>
      <c r="B701" s="4" t="s">
        <v>472</v>
      </c>
      <c r="C701" s="4"/>
      <c r="D701" s="4" t="s">
        <v>3951</v>
      </c>
      <c r="E701" s="4" t="s">
        <v>3952</v>
      </c>
      <c r="F701" s="4" t="s">
        <v>3951</v>
      </c>
      <c r="G701" s="5" t="str">
        <f>IFERROR(__xludf.DUMMYFUNCTION("GOOGLETRANSLATE(D701,""ca"",""es"")"),"saber")</f>
        <v>saber</v>
      </c>
    </row>
    <row r="702">
      <c r="A702" s="4">
        <v>600.0</v>
      </c>
      <c r="B702" s="4" t="s">
        <v>472</v>
      </c>
      <c r="C702" s="4"/>
      <c r="D702" s="4" t="s">
        <v>3953</v>
      </c>
      <c r="E702" s="4" t="s">
        <v>3954</v>
      </c>
      <c r="F702" s="4" t="s">
        <v>3955</v>
      </c>
      <c r="G702" s="5" t="str">
        <f>IFERROR(__xludf.DUMMYFUNCTION("GOOGLETRANSLATE(D702,""ca"",""es"")"),"sachis")</f>
        <v>sachis</v>
      </c>
    </row>
    <row r="703">
      <c r="A703" s="4">
        <v>601.0</v>
      </c>
      <c r="B703" s="4" t="s">
        <v>472</v>
      </c>
      <c r="C703" s="4"/>
      <c r="D703" s="4" t="s">
        <v>3956</v>
      </c>
      <c r="E703" s="4" t="s">
        <v>3957</v>
      </c>
      <c r="F703" s="4" t="s">
        <v>3956</v>
      </c>
      <c r="G703" s="5" t="str">
        <f>IFERROR(__xludf.DUMMYFUNCTION("GOOGLETRANSLATE(D703,""ca"",""es"")"),"saturación")</f>
        <v>saturación</v>
      </c>
    </row>
    <row r="704">
      <c r="A704" s="4">
        <v>602.0</v>
      </c>
      <c r="B704" s="4" t="s">
        <v>472</v>
      </c>
      <c r="C704" s="4"/>
      <c r="D704" s="4" t="s">
        <v>3958</v>
      </c>
      <c r="E704" s="4" t="s">
        <v>3959</v>
      </c>
      <c r="F704" s="4" t="s">
        <v>3958</v>
      </c>
      <c r="G704" s="5" t="str">
        <f>IFERROR(__xludf.DUMMYFUNCTION("GOOGLETRANSLATE(D704,""ca"",""es"")"),"saturar")</f>
        <v>saturar</v>
      </c>
      <c r="H704" s="4" t="s">
        <v>582</v>
      </c>
    </row>
    <row r="705">
      <c r="A705" s="4">
        <v>603.0</v>
      </c>
      <c r="B705" s="4" t="s">
        <v>472</v>
      </c>
      <c r="C705" s="4"/>
      <c r="D705" s="4" t="s">
        <v>3960</v>
      </c>
      <c r="E705" s="4" t="s">
        <v>3961</v>
      </c>
      <c r="F705" s="4" t="s">
        <v>3960</v>
      </c>
      <c r="G705" s="5" t="str">
        <f>IFERROR(__xludf.DUMMYFUNCTION("GOOGLETRANSLATE(D705,""ca"",""es"")"),"saturi")</f>
        <v>saturi</v>
      </c>
    </row>
    <row r="706">
      <c r="A706" s="4">
        <v>604.0</v>
      </c>
      <c r="B706" s="4" t="s">
        <v>472</v>
      </c>
      <c r="C706" s="4"/>
      <c r="D706" s="4" t="s">
        <v>3962</v>
      </c>
      <c r="E706" s="4" t="s">
        <v>3963</v>
      </c>
      <c r="F706" s="4" t="s">
        <v>3962</v>
      </c>
      <c r="G706" s="5" t="str">
        <f>IFERROR(__xludf.DUMMYFUNCTION("GOOGLETRANSLATE(D706,""ca"",""es"")"),"sábado")</f>
        <v>sábado</v>
      </c>
    </row>
    <row r="707">
      <c r="A707" s="4">
        <v>605.0</v>
      </c>
      <c r="B707" s="4" t="s">
        <v>472</v>
      </c>
      <c r="C707" s="4"/>
      <c r="D707" s="4" t="s">
        <v>3964</v>
      </c>
      <c r="E707" s="4" t="s">
        <v>3965</v>
      </c>
      <c r="F707" s="4" t="s">
        <v>3966</v>
      </c>
      <c r="G707" s="5" t="str">
        <f>IFERROR(__xludf.DUMMYFUNCTION("GOOGLETRANSLATE(D707,""ca"",""es"")"),"satánico")</f>
        <v>satánico</v>
      </c>
    </row>
    <row r="708">
      <c r="A708" s="4">
        <v>606.0</v>
      </c>
      <c r="B708" s="4" t="s">
        <v>472</v>
      </c>
      <c r="C708" s="4"/>
      <c r="D708" s="4" t="s">
        <v>3967</v>
      </c>
      <c r="E708" s="4" t="s">
        <v>3968</v>
      </c>
      <c r="F708" s="4" t="s">
        <v>3969</v>
      </c>
      <c r="G708" s="5" t="str">
        <f>IFERROR(__xludf.DUMMYFUNCTION("GOOGLETRANSLATE(D708,""ca"",""es"")"),"satírico")</f>
        <v>satírico</v>
      </c>
      <c r="H708" s="4" t="s">
        <v>3970</v>
      </c>
      <c r="I708" s="4" t="s">
        <v>3971</v>
      </c>
      <c r="J708" s="4" t="s">
        <v>3972</v>
      </c>
    </row>
    <row r="709">
      <c r="A709" s="4">
        <v>607.0</v>
      </c>
      <c r="B709" s="4" t="s">
        <v>472</v>
      </c>
      <c r="C709" s="4"/>
      <c r="D709" s="4" t="s">
        <v>401</v>
      </c>
      <c r="E709" s="4" t="s">
        <v>400</v>
      </c>
      <c r="F709" s="4" t="s">
        <v>401</v>
      </c>
      <c r="G709" s="5" t="str">
        <f>IFERROR(__xludf.DUMMYFUNCTION("GOOGLETRANSLATE(D709,""ca"",""es"")"),"Sí")</f>
        <v>Sí</v>
      </c>
      <c r="H709" s="4" t="s">
        <v>409</v>
      </c>
      <c r="I709" s="4" t="s">
        <v>3973</v>
      </c>
      <c r="J709" s="4" t="s">
        <v>3974</v>
      </c>
      <c r="K709" s="4" t="s">
        <v>422</v>
      </c>
      <c r="L709" s="4" t="s">
        <v>3975</v>
      </c>
      <c r="M709" s="4" t="s">
        <v>401</v>
      </c>
      <c r="N709" s="4" t="s">
        <v>982</v>
      </c>
      <c r="O709" s="4" t="s">
        <v>983</v>
      </c>
      <c r="P709" s="4" t="s">
        <v>3976</v>
      </c>
      <c r="Q709" s="4" t="s">
        <v>3977</v>
      </c>
      <c r="R709" s="4" t="s">
        <v>3978</v>
      </c>
    </row>
    <row r="710">
      <c r="A710" s="4">
        <v>608.0</v>
      </c>
      <c r="B710" s="4" t="s">
        <v>472</v>
      </c>
      <c r="C710" s="4"/>
      <c r="D710" s="4" t="s">
        <v>3979</v>
      </c>
      <c r="E710" s="4" t="s">
        <v>1391</v>
      </c>
      <c r="F710" s="4" t="s">
        <v>1392</v>
      </c>
      <c r="G710" s="5" t="str">
        <f>IFERROR(__xludf.DUMMYFUNCTION("GOOGLETRANSLATE(D710,""ca"",""es"")"),"silicio")</f>
        <v>silicio</v>
      </c>
      <c r="H710" s="4" t="s">
        <v>3976</v>
      </c>
      <c r="I710" s="4" t="s">
        <v>3977</v>
      </c>
      <c r="J710" s="4" t="s">
        <v>3978</v>
      </c>
    </row>
    <row r="711">
      <c r="A711" s="4">
        <v>609.0</v>
      </c>
      <c r="B711" s="4" t="s">
        <v>472</v>
      </c>
      <c r="C711" s="4"/>
      <c r="D711" s="4" t="s">
        <v>3980</v>
      </c>
      <c r="E711" s="4" t="s">
        <v>3981</v>
      </c>
      <c r="F711" s="4" t="s">
        <v>3980</v>
      </c>
      <c r="G711" s="5" t="str">
        <f>IFERROR(__xludf.DUMMYFUNCTION("GOOGLETRANSLATE(D711,""ca"",""es"")"),"mono")</f>
        <v>mono</v>
      </c>
      <c r="H711" s="4" t="s">
        <v>3982</v>
      </c>
      <c r="I711" s="4" t="s">
        <v>2617</v>
      </c>
      <c r="J711" s="4" t="s">
        <v>2618</v>
      </c>
    </row>
    <row r="712">
      <c r="A712" s="4">
        <v>610.0</v>
      </c>
      <c r="B712" s="4" t="s">
        <v>472</v>
      </c>
      <c r="C712" s="4"/>
      <c r="D712" s="4" t="s">
        <v>3983</v>
      </c>
      <c r="E712" s="4" t="s">
        <v>3984</v>
      </c>
      <c r="F712" s="4" t="s">
        <v>3985</v>
      </c>
      <c r="G712" s="5" t="str">
        <f>IFERROR(__xludf.DUMMYFUNCTION("GOOGLETRANSLATE(D712,""ca"",""es"")"),"similar")</f>
        <v>similar</v>
      </c>
      <c r="H712" s="4" t="s">
        <v>3986</v>
      </c>
      <c r="I712" s="4" t="s">
        <v>3987</v>
      </c>
      <c r="J712" s="4" t="s">
        <v>3983</v>
      </c>
      <c r="K712" s="4" t="s">
        <v>3988</v>
      </c>
      <c r="L712" s="4" t="s">
        <v>3983</v>
      </c>
    </row>
    <row r="713">
      <c r="A713" s="4">
        <v>611.0</v>
      </c>
      <c r="B713" s="4" t="s">
        <v>472</v>
      </c>
      <c r="C713" s="4"/>
      <c r="D713" s="4" t="s">
        <v>3983</v>
      </c>
      <c r="E713" s="4" t="s">
        <v>3989</v>
      </c>
      <c r="F713" s="4" t="s">
        <v>3983</v>
      </c>
      <c r="G713" s="5" t="str">
        <f>IFERROR(__xludf.DUMMYFUNCTION("GOOGLETRANSLATE(D713,""ca"",""es"")"),"similar")</f>
        <v>similar</v>
      </c>
      <c r="H713" s="4" t="s">
        <v>3986</v>
      </c>
      <c r="I713" s="4" t="s">
        <v>3987</v>
      </c>
      <c r="J713" s="4" t="s">
        <v>3983</v>
      </c>
      <c r="K713" s="4" t="s">
        <v>3988</v>
      </c>
      <c r="L713" s="4" t="s">
        <v>3983</v>
      </c>
    </row>
    <row r="714">
      <c r="A714" s="4">
        <v>612.0</v>
      </c>
      <c r="B714" s="4" t="s">
        <v>472</v>
      </c>
      <c r="C714" s="4"/>
      <c r="D714" s="4" t="s">
        <v>3990</v>
      </c>
      <c r="E714" s="4" t="s">
        <v>3991</v>
      </c>
      <c r="F714" s="4" t="s">
        <v>3992</v>
      </c>
      <c r="G714" s="5" t="str">
        <f>IFERROR(__xludf.DUMMYFUNCTION("GOOGLETRANSLATE(D714,""ca"",""es"")"),"simular")</f>
        <v>simular</v>
      </c>
      <c r="H714" s="4" t="s">
        <v>3993</v>
      </c>
      <c r="I714" s="4" t="s">
        <v>3994</v>
      </c>
      <c r="J714" s="4" t="s">
        <v>3995</v>
      </c>
      <c r="K714" s="4" t="s">
        <v>3996</v>
      </c>
      <c r="L714" s="4" t="s">
        <v>3997</v>
      </c>
      <c r="M714" s="4" t="s">
        <v>3998</v>
      </c>
      <c r="N714" s="4" t="s">
        <v>3999</v>
      </c>
      <c r="O714" s="4" t="s">
        <v>4000</v>
      </c>
    </row>
    <row r="715">
      <c r="A715" s="4">
        <v>613.0</v>
      </c>
      <c r="B715" s="4" t="s">
        <v>472</v>
      </c>
      <c r="C715" s="4"/>
      <c r="D715" s="4" t="s">
        <v>3990</v>
      </c>
      <c r="E715" s="4" t="s">
        <v>4001</v>
      </c>
      <c r="F715" s="4" t="s">
        <v>3990</v>
      </c>
      <c r="G715" s="5" t="str">
        <f>IFERROR(__xludf.DUMMYFUNCTION("GOOGLETRANSLATE(D715,""ca"",""es"")"),"simular")</f>
        <v>simular</v>
      </c>
      <c r="H715" s="4" t="s">
        <v>3993</v>
      </c>
      <c r="I715" s="4" t="s">
        <v>3994</v>
      </c>
      <c r="J715" s="4" t="s">
        <v>3995</v>
      </c>
      <c r="K715" s="4" t="s">
        <v>3996</v>
      </c>
      <c r="L715" s="4" t="s">
        <v>3997</v>
      </c>
      <c r="M715" s="4" t="s">
        <v>3998</v>
      </c>
      <c r="N715" s="4" t="s">
        <v>3999</v>
      </c>
      <c r="O715" s="4" t="s">
        <v>4000</v>
      </c>
    </row>
    <row r="716">
      <c r="A716" s="4">
        <v>614.0</v>
      </c>
      <c r="B716" s="4" t="s">
        <v>472</v>
      </c>
      <c r="C716" s="4"/>
      <c r="D716" s="4" t="s">
        <v>409</v>
      </c>
      <c r="E716" s="4" t="s">
        <v>4002</v>
      </c>
      <c r="F716" s="4" t="s">
        <v>409</v>
      </c>
      <c r="G716" s="5" t="str">
        <f>IFERROR(__xludf.DUMMYFUNCTION("GOOGLETRANSLATE(D716,""ca"",""es"")"),"seno")</f>
        <v>seno</v>
      </c>
      <c r="H716" s="4" t="s">
        <v>4003</v>
      </c>
      <c r="I716" s="4" t="s">
        <v>404</v>
      </c>
    </row>
    <row r="717">
      <c r="A717" s="4">
        <v>615.0</v>
      </c>
      <c r="B717" s="4" t="s">
        <v>472</v>
      </c>
      <c r="C717" s="4"/>
      <c r="D717" s="4" t="s">
        <v>4004</v>
      </c>
      <c r="E717" s="4" t="s">
        <v>4005</v>
      </c>
      <c r="F717" s="4" t="s">
        <v>4004</v>
      </c>
      <c r="G717" s="5" t="str">
        <f>IFERROR(__xludf.DUMMYFUNCTION("GOOGLETRANSLATE(D717,""ca"",""es"")"),"seis")</f>
        <v>seis</v>
      </c>
      <c r="H717" s="4" t="s">
        <v>4006</v>
      </c>
      <c r="I717" s="4">
        <v>6.0</v>
      </c>
      <c r="J717" s="4" t="s">
        <v>4007</v>
      </c>
      <c r="K717" s="4" t="s">
        <v>4008</v>
      </c>
      <c r="L717" s="4" t="s">
        <v>4009</v>
      </c>
      <c r="M717" s="4" t="s">
        <v>4006</v>
      </c>
      <c r="N717" s="4">
        <v>6.0</v>
      </c>
      <c r="O717" s="4" t="s">
        <v>4010</v>
      </c>
      <c r="P717" s="4" t="s">
        <v>4011</v>
      </c>
      <c r="Q717" s="4" t="s">
        <v>4012</v>
      </c>
      <c r="R717" s="4" t="s">
        <v>4013</v>
      </c>
      <c r="S717" s="4" t="s">
        <v>4014</v>
      </c>
      <c r="T717" s="4" t="s">
        <v>4015</v>
      </c>
      <c r="U717" s="4" t="s">
        <v>4016</v>
      </c>
      <c r="V717" s="4" t="s">
        <v>4017</v>
      </c>
      <c r="W717" s="4" t="s">
        <v>4018</v>
      </c>
    </row>
    <row r="718">
      <c r="A718" s="4">
        <v>616.0</v>
      </c>
      <c r="B718" s="4" t="s">
        <v>472</v>
      </c>
      <c r="C718" s="4"/>
      <c r="D718" s="4" t="s">
        <v>4019</v>
      </c>
      <c r="E718" s="4" t="s">
        <v>4020</v>
      </c>
      <c r="F718" s="4" t="s">
        <v>4019</v>
      </c>
      <c r="G718" s="5" t="str">
        <f>IFERROR(__xludf.DUMMYFUNCTION("GOOGLETRANSLATE(D718,""ca"",""es"")"),"sentar")</f>
        <v>sentar</v>
      </c>
    </row>
    <row r="719">
      <c r="A719" s="4">
        <v>617.0</v>
      </c>
      <c r="B719" s="4" t="s">
        <v>472</v>
      </c>
      <c r="C719" s="4"/>
      <c r="D719" s="4" t="s">
        <v>4021</v>
      </c>
      <c r="E719" s="4" t="s">
        <v>4022</v>
      </c>
      <c r="F719" s="4" t="s">
        <v>4023</v>
      </c>
      <c r="G719" s="5" t="str">
        <f>IFERROR(__xludf.DUMMYFUNCTION("GOOGLETRANSLATE(D719,""ca"",""es"")"),"sol")</f>
        <v>sol</v>
      </c>
    </row>
    <row r="720">
      <c r="A720" s="4">
        <v>618.0</v>
      </c>
      <c r="B720" s="4" t="s">
        <v>472</v>
      </c>
      <c r="C720" s="4"/>
      <c r="D720" s="4" t="s">
        <v>4024</v>
      </c>
      <c r="E720" s="4" t="s">
        <v>4025</v>
      </c>
      <c r="F720" s="4" t="s">
        <v>4026</v>
      </c>
      <c r="G720" s="5" t="str">
        <f>IFERROR(__xludf.DUMMYFUNCTION("GOOGLETRANSLATE(D720,""ca"",""es"")"),"solitario")</f>
        <v>solitario</v>
      </c>
      <c r="H720" s="4" t="s">
        <v>4027</v>
      </c>
      <c r="I720" s="4" t="s">
        <v>4028</v>
      </c>
      <c r="J720" s="4" t="s">
        <v>4029</v>
      </c>
      <c r="K720" s="4" t="s">
        <v>4030</v>
      </c>
      <c r="L720" s="4" t="s">
        <v>4031</v>
      </c>
      <c r="M720" s="4" t="s">
        <v>4032</v>
      </c>
      <c r="N720" s="4" t="s">
        <v>4033</v>
      </c>
      <c r="O720" s="4" t="s">
        <v>4034</v>
      </c>
      <c r="P720" s="4" t="s">
        <v>4035</v>
      </c>
      <c r="Q720" s="4" t="s">
        <v>4036</v>
      </c>
      <c r="R720" s="4" t="s">
        <v>4037</v>
      </c>
      <c r="S720" s="4" t="s">
        <v>4038</v>
      </c>
      <c r="T720" s="4" t="s">
        <v>4039</v>
      </c>
      <c r="U720" s="4" t="s">
        <v>4040</v>
      </c>
      <c r="V720" s="4" t="s">
        <v>4030</v>
      </c>
      <c r="W720" s="4" t="s">
        <v>4027</v>
      </c>
      <c r="X720" s="4" t="s">
        <v>4041</v>
      </c>
      <c r="Y720" s="4" t="s">
        <v>4042</v>
      </c>
      <c r="Z720" s="4" t="s">
        <v>4043</v>
      </c>
    </row>
    <row r="721">
      <c r="A721" s="4">
        <v>619.0</v>
      </c>
      <c r="B721" s="4" t="s">
        <v>472</v>
      </c>
      <c r="C721" s="4"/>
      <c r="D721" s="4" t="s">
        <v>4044</v>
      </c>
      <c r="E721" s="4" t="s">
        <v>4045</v>
      </c>
      <c r="F721" s="4" t="s">
        <v>4046</v>
      </c>
      <c r="G721" s="5" t="str">
        <f>IFERROR(__xludf.DUMMYFUNCTION("GOOGLETRANSLATE(D721,""ca"",""es"")"),"sol")</f>
        <v>sol</v>
      </c>
      <c r="H721" s="4" t="s">
        <v>4047</v>
      </c>
      <c r="I721" s="4" t="s">
        <v>4048</v>
      </c>
      <c r="J721" s="4" t="s">
        <v>4049</v>
      </c>
      <c r="K721" s="4" t="s">
        <v>4050</v>
      </c>
      <c r="L721" s="4" t="s">
        <v>4051</v>
      </c>
      <c r="M721" s="4" t="s">
        <v>4052</v>
      </c>
      <c r="N721" s="4" t="s">
        <v>4053</v>
      </c>
      <c r="O721" s="4" t="s">
        <v>4054</v>
      </c>
      <c r="P721" s="4" t="s">
        <v>4055</v>
      </c>
      <c r="Q721" s="4" t="s">
        <v>4056</v>
      </c>
      <c r="R721" s="4" t="s">
        <v>4057</v>
      </c>
    </row>
    <row r="722">
      <c r="A722" s="4">
        <v>620.0</v>
      </c>
      <c r="B722" s="4" t="s">
        <v>472</v>
      </c>
      <c r="C722" s="4"/>
      <c r="D722" s="4" t="s">
        <v>4058</v>
      </c>
      <c r="E722" s="4" t="s">
        <v>4022</v>
      </c>
      <c r="F722" s="4" t="s">
        <v>4023</v>
      </c>
      <c r="G722" s="5" t="str">
        <f>IFERROR(__xludf.DUMMYFUNCTION("GOOGLETRANSLATE(D722,""ca"",""es"")"),"Sunrah")</f>
        <v>Sunrah</v>
      </c>
    </row>
    <row r="723">
      <c r="A723" s="4">
        <v>621.0</v>
      </c>
      <c r="B723" s="4" t="s">
        <v>472</v>
      </c>
      <c r="C723" s="4"/>
      <c r="D723" s="4" t="s">
        <v>4059</v>
      </c>
      <c r="E723" s="4" t="s">
        <v>4060</v>
      </c>
      <c r="F723" s="4" t="s">
        <v>4061</v>
      </c>
      <c r="G723" s="5" t="str">
        <f>IFERROR(__xludf.DUMMYFUNCTION("GOOGLETRANSLATE(D723,""ca"",""es"")"),"somívico")</f>
        <v>somívico</v>
      </c>
    </row>
    <row r="724">
      <c r="A724" s="4">
        <v>622.0</v>
      </c>
      <c r="B724" s="4" t="s">
        <v>472</v>
      </c>
      <c r="C724" s="4"/>
      <c r="D724" s="4" t="s">
        <v>4062</v>
      </c>
      <c r="E724" s="4" t="s">
        <v>4063</v>
      </c>
      <c r="F724" s="4" t="s">
        <v>4064</v>
      </c>
      <c r="G724" s="5" t="str">
        <f>IFERROR(__xludf.DUMMYFUNCTION("GOOGLETRANSLATE(D724,""ca"",""es"")"),"sueño")</f>
        <v>sueño</v>
      </c>
      <c r="H724" s="4" t="s">
        <v>4065</v>
      </c>
      <c r="I724" s="4" t="s">
        <v>4066</v>
      </c>
    </row>
    <row r="725">
      <c r="A725" s="4">
        <v>623.0</v>
      </c>
      <c r="B725" s="4" t="s">
        <v>472</v>
      </c>
      <c r="C725" s="4"/>
      <c r="D725" s="4" t="s">
        <v>4067</v>
      </c>
      <c r="E725" s="4" t="s">
        <v>4068</v>
      </c>
      <c r="F725" s="4" t="s">
        <v>4069</v>
      </c>
      <c r="G725" s="5" t="str">
        <f>IFERROR(__xludf.DUMMYFUNCTION("GOOGLETRANSLATE(D725,""ca"",""es"")"),"somático")</f>
        <v>somático</v>
      </c>
      <c r="H725" s="4" t="s">
        <v>4070</v>
      </c>
      <c r="I725" s="4" t="s">
        <v>4071</v>
      </c>
      <c r="J725" s="4" t="s">
        <v>4072</v>
      </c>
      <c r="K725" s="4" t="s">
        <v>4073</v>
      </c>
    </row>
    <row r="726">
      <c r="A726" s="4">
        <v>624.0</v>
      </c>
      <c r="B726" s="4" t="s">
        <v>472</v>
      </c>
      <c r="C726" s="4"/>
      <c r="D726" s="4" t="s">
        <v>4074</v>
      </c>
      <c r="E726" s="4" t="s">
        <v>4075</v>
      </c>
      <c r="F726" s="4" t="s">
        <v>4076</v>
      </c>
      <c r="G726" s="5" t="str">
        <f>IFERROR(__xludf.DUMMYFUNCTION("GOOGLETRANSLATE(D726,""ca"",""es"")"),"sonido")</f>
        <v>sonido</v>
      </c>
    </row>
    <row r="727">
      <c r="A727" s="4">
        <v>625.0</v>
      </c>
      <c r="B727" s="4" t="s">
        <v>472</v>
      </c>
      <c r="C727" s="4"/>
      <c r="D727" s="4" t="s">
        <v>4077</v>
      </c>
      <c r="E727" s="4" t="s">
        <v>4078</v>
      </c>
      <c r="F727" s="4" t="s">
        <v>4079</v>
      </c>
      <c r="G727" s="5" t="str">
        <f>IFERROR(__xludf.DUMMYFUNCTION("GOOGLETRANSLATE(D727,""ca"",""es"")"),"sonido")</f>
        <v>sonido</v>
      </c>
      <c r="H727" s="4" t="s">
        <v>3865</v>
      </c>
      <c r="I727" s="4" t="s">
        <v>3865</v>
      </c>
      <c r="J727" s="4" t="s">
        <v>3865</v>
      </c>
      <c r="K727" s="4" t="s">
        <v>637</v>
      </c>
      <c r="L727" s="4" t="s">
        <v>3865</v>
      </c>
      <c r="M727" s="4" t="s">
        <v>4080</v>
      </c>
      <c r="N727" s="4" t="s">
        <v>4081</v>
      </c>
      <c r="O727" s="4" t="s">
        <v>4082</v>
      </c>
      <c r="P727" s="4" t="s">
        <v>4083</v>
      </c>
      <c r="Q727" s="4" t="s">
        <v>4084</v>
      </c>
      <c r="R727" s="4" t="s">
        <v>4080</v>
      </c>
      <c r="S727" s="4" t="s">
        <v>4085</v>
      </c>
      <c r="T727" s="4" t="s">
        <v>4086</v>
      </c>
      <c r="U727" s="4" t="s">
        <v>4087</v>
      </c>
      <c r="V727" s="4" t="s">
        <v>4088</v>
      </c>
      <c r="W727" s="4" t="s">
        <v>4089</v>
      </c>
      <c r="X727" s="4" t="s">
        <v>4090</v>
      </c>
      <c r="Y727" s="4" t="s">
        <v>4091</v>
      </c>
      <c r="Z727" s="4" t="s">
        <v>4092</v>
      </c>
      <c r="AA727" s="4" t="s">
        <v>4093</v>
      </c>
      <c r="AB727" s="4" t="s">
        <v>4077</v>
      </c>
      <c r="AC727" s="4" t="s">
        <v>4094</v>
      </c>
      <c r="AD727" s="4" t="s">
        <v>4095</v>
      </c>
    </row>
    <row r="728">
      <c r="A728" s="4">
        <v>626.0</v>
      </c>
      <c r="B728" s="4" t="s">
        <v>472</v>
      </c>
      <c r="C728" s="4"/>
      <c r="D728" s="4" t="s">
        <v>4096</v>
      </c>
      <c r="E728" s="4" t="s">
        <v>4097</v>
      </c>
      <c r="F728" s="4" t="s">
        <v>4098</v>
      </c>
      <c r="G728" s="5" t="str">
        <f>IFERROR(__xludf.DUMMYFUNCTION("GOOGLETRANSLATE(D728,""ca"",""es"")"),"cena")</f>
        <v>cena</v>
      </c>
      <c r="H728" s="4" t="s">
        <v>4099</v>
      </c>
      <c r="I728" s="4" t="s">
        <v>4100</v>
      </c>
      <c r="J728" s="4" t="s">
        <v>4101</v>
      </c>
      <c r="K728" s="4" t="s">
        <v>4101</v>
      </c>
      <c r="L728" s="4" t="s">
        <v>4102</v>
      </c>
    </row>
    <row r="729">
      <c r="A729" s="4">
        <v>627.0</v>
      </c>
      <c r="B729" s="4" t="s">
        <v>472</v>
      </c>
      <c r="C729" s="4"/>
      <c r="D729" s="4" t="s">
        <v>4103</v>
      </c>
      <c r="E729" s="4" t="s">
        <v>4097</v>
      </c>
      <c r="F729" s="4" t="s">
        <v>4098</v>
      </c>
      <c r="G729" s="5" t="str">
        <f>IFERROR(__xludf.DUMMYFUNCTION("GOOGLETRANSLATE(D729,""ca"",""es"")"),"topo")</f>
        <v>topo</v>
      </c>
    </row>
    <row r="730">
      <c r="A730" s="4">
        <v>628.0</v>
      </c>
      <c r="B730" s="4" t="s">
        <v>472</v>
      </c>
      <c r="C730" s="4"/>
      <c r="D730" s="4" t="s">
        <v>4104</v>
      </c>
      <c r="E730" s="4" t="s">
        <v>4105</v>
      </c>
      <c r="F730" s="4" t="s">
        <v>4106</v>
      </c>
      <c r="G730" s="5" t="str">
        <f>IFERROR(__xludf.DUMMYFUNCTION("GOOGLETRANSLATE(D730,""ca"",""es"")"),"lote")</f>
        <v>lote</v>
      </c>
      <c r="H730" s="4" t="s">
        <v>4107</v>
      </c>
    </row>
    <row r="731">
      <c r="A731" s="4">
        <v>629.0</v>
      </c>
      <c r="B731" s="4" t="s">
        <v>472</v>
      </c>
      <c r="C731" s="4"/>
      <c r="D731" s="4" t="s">
        <v>4108</v>
      </c>
      <c r="E731" s="4" t="s">
        <v>4109</v>
      </c>
      <c r="F731" s="4" t="s">
        <v>415</v>
      </c>
      <c r="G731" s="5" t="str">
        <f>IFERROR(__xludf.DUMMYFUNCTION("GOOGLETRANSLATE(D731,""ca"",""es"")"),"jugo")</f>
        <v>jugo</v>
      </c>
      <c r="H731" s="4" t="s">
        <v>4110</v>
      </c>
      <c r="I731" s="4" t="s">
        <v>4111</v>
      </c>
      <c r="J731" s="4" t="s">
        <v>4112</v>
      </c>
    </row>
    <row r="732">
      <c r="A732" s="4">
        <v>630.0</v>
      </c>
      <c r="B732" s="4" t="s">
        <v>472</v>
      </c>
      <c r="C732" s="4"/>
      <c r="D732" s="4" t="s">
        <v>4113</v>
      </c>
      <c r="E732" s="4" t="s">
        <v>4114</v>
      </c>
      <c r="F732" s="4" t="s">
        <v>4115</v>
      </c>
      <c r="G732" s="5" t="str">
        <f>IFERROR(__xludf.DUMMYFUNCTION("GOOGLETRANSLATE(D732,""ca"",""es"")"),"beber")</f>
        <v>beber</v>
      </c>
      <c r="H732" s="4" t="s">
        <v>584</v>
      </c>
      <c r="I732" s="4" t="s">
        <v>2798</v>
      </c>
    </row>
    <row r="733">
      <c r="A733" s="4">
        <v>631.0</v>
      </c>
      <c r="B733" s="4" t="s">
        <v>472</v>
      </c>
      <c r="C733" s="4"/>
      <c r="D733" s="4" t="s">
        <v>4113</v>
      </c>
      <c r="E733" s="4" t="s">
        <v>4116</v>
      </c>
      <c r="F733" s="4" t="s">
        <v>4117</v>
      </c>
      <c r="G733" s="5" t="str">
        <f>IFERROR(__xludf.DUMMYFUNCTION("GOOGLETRANSLATE(D733,""ca"",""es"")"),"beber")</f>
        <v>beber</v>
      </c>
      <c r="H733" s="4" t="s">
        <v>584</v>
      </c>
      <c r="I733" s="4" t="s">
        <v>2798</v>
      </c>
    </row>
    <row r="734">
      <c r="A734" s="4">
        <v>632.0</v>
      </c>
      <c r="B734" s="4" t="s">
        <v>472</v>
      </c>
      <c r="C734" s="4"/>
      <c r="D734" s="4" t="s">
        <v>4118</v>
      </c>
      <c r="E734" s="4" t="s">
        <v>4119</v>
      </c>
      <c r="F734" s="4" t="s">
        <v>4118</v>
      </c>
      <c r="G734" s="5" t="str">
        <f>IFERROR(__xludf.DUMMYFUNCTION("GOOGLETRANSLATE(D734,""ca"",""es"")"),"suma")</f>
        <v>suma</v>
      </c>
      <c r="H734" s="4" t="s">
        <v>4120</v>
      </c>
      <c r="I734" s="4" t="s">
        <v>4121</v>
      </c>
      <c r="J734" s="4" t="s">
        <v>4122</v>
      </c>
      <c r="K734" s="4" t="s">
        <v>4123</v>
      </c>
      <c r="L734" s="4" t="s">
        <v>4124</v>
      </c>
      <c r="M734" s="4" t="s">
        <v>4125</v>
      </c>
      <c r="N734" s="4" t="s">
        <v>4123</v>
      </c>
      <c r="O734" s="4" t="s">
        <v>4120</v>
      </c>
      <c r="P734" s="4" t="s">
        <v>4126</v>
      </c>
      <c r="Q734" s="4" t="s">
        <v>4123</v>
      </c>
      <c r="R734" s="4" t="s">
        <v>4127</v>
      </c>
      <c r="S734" s="4" t="s">
        <v>4124</v>
      </c>
      <c r="T734" s="4" t="s">
        <v>4128</v>
      </c>
    </row>
    <row r="735">
      <c r="A735" s="4">
        <v>633.0</v>
      </c>
      <c r="B735" s="4" t="s">
        <v>472</v>
      </c>
      <c r="C735" s="4"/>
      <c r="D735" s="4" t="s">
        <v>4129</v>
      </c>
      <c r="E735" s="4" t="s">
        <v>4130</v>
      </c>
      <c r="F735" s="4" t="s">
        <v>4131</v>
      </c>
      <c r="G735" s="5" t="str">
        <f>IFERROR(__xludf.DUMMYFUNCTION("GOOGLETRANSLATE(D735,""ca"",""es"")"),"Zumaque")</f>
        <v>Zumaque</v>
      </c>
      <c r="H735" s="4" t="s">
        <v>4129</v>
      </c>
      <c r="I735" s="4" t="s">
        <v>4132</v>
      </c>
      <c r="J735" s="4" t="s">
        <v>4133</v>
      </c>
    </row>
    <row r="736">
      <c r="A736" s="4">
        <v>634.0</v>
      </c>
      <c r="B736" s="4" t="s">
        <v>472</v>
      </c>
      <c r="C736" s="4"/>
      <c r="D736" s="4" t="s">
        <v>4134</v>
      </c>
      <c r="E736" s="4" t="s">
        <v>4119</v>
      </c>
      <c r="F736" s="4" t="s">
        <v>4118</v>
      </c>
      <c r="G736" s="5" t="str">
        <f>IFERROR(__xludf.DUMMYFUNCTION("GOOGLETRANSLATE(D736,""ca"",""es"")"),"agregar")</f>
        <v>agregar</v>
      </c>
      <c r="H736" s="4" t="s">
        <v>4135</v>
      </c>
      <c r="I736" s="4" t="s">
        <v>4136</v>
      </c>
      <c r="J736" s="4" t="s">
        <v>4137</v>
      </c>
      <c r="K736" s="4" t="s">
        <v>4125</v>
      </c>
      <c r="L736" s="4" t="s">
        <v>4138</v>
      </c>
      <c r="M736" s="4" t="s">
        <v>4139</v>
      </c>
      <c r="N736" s="4" t="s">
        <v>4123</v>
      </c>
      <c r="O736" s="4" t="s">
        <v>4140</v>
      </c>
      <c r="P736" s="4" t="s">
        <v>4141</v>
      </c>
      <c r="Q736" s="4" t="s">
        <v>4142</v>
      </c>
      <c r="R736" s="4" t="s">
        <v>4136</v>
      </c>
      <c r="S736" s="4" t="s">
        <v>4137</v>
      </c>
      <c r="T736" s="4" t="s">
        <v>4143</v>
      </c>
      <c r="U736" s="4" t="s">
        <v>4144</v>
      </c>
      <c r="V736" s="4" t="s">
        <v>4125</v>
      </c>
      <c r="W736" s="4" t="s">
        <v>4145</v>
      </c>
      <c r="X736" s="4" t="s">
        <v>4144</v>
      </c>
      <c r="Y736" s="4" t="s">
        <v>4146</v>
      </c>
      <c r="Z736" s="4" t="s">
        <v>4124</v>
      </c>
    </row>
    <row r="737">
      <c r="A737" s="4">
        <v>635.0</v>
      </c>
      <c r="B737" s="4" t="s">
        <v>472</v>
      </c>
      <c r="C737" s="4"/>
      <c r="D737" s="4" t="s">
        <v>4134</v>
      </c>
      <c r="E737" s="4" t="s">
        <v>4147</v>
      </c>
      <c r="F737" s="4" t="s">
        <v>4134</v>
      </c>
      <c r="G737" s="5" t="str">
        <f>IFERROR(__xludf.DUMMYFUNCTION("GOOGLETRANSLATE(D737,""ca"",""es"")"),"agregar")</f>
        <v>agregar</v>
      </c>
      <c r="H737" s="4" t="s">
        <v>4135</v>
      </c>
      <c r="I737" s="4" t="s">
        <v>4136</v>
      </c>
      <c r="J737" s="4" t="s">
        <v>4137</v>
      </c>
      <c r="K737" s="4" t="s">
        <v>4125</v>
      </c>
      <c r="L737" s="4" t="s">
        <v>4138</v>
      </c>
      <c r="M737" s="4" t="s">
        <v>4139</v>
      </c>
      <c r="N737" s="4" t="s">
        <v>4123</v>
      </c>
      <c r="O737" s="4" t="s">
        <v>4140</v>
      </c>
      <c r="P737" s="4" t="s">
        <v>4141</v>
      </c>
      <c r="Q737" s="4" t="s">
        <v>4142</v>
      </c>
      <c r="R737" s="4" t="s">
        <v>4136</v>
      </c>
      <c r="S737" s="4" t="s">
        <v>4137</v>
      </c>
      <c r="T737" s="4" t="s">
        <v>4143</v>
      </c>
      <c r="U737" s="4" t="s">
        <v>4144</v>
      </c>
      <c r="V737" s="4" t="s">
        <v>4125</v>
      </c>
      <c r="W737" s="4" t="s">
        <v>4145</v>
      </c>
      <c r="X737" s="4" t="s">
        <v>4144</v>
      </c>
      <c r="Y737" s="4" t="s">
        <v>4146</v>
      </c>
      <c r="Z737" s="4" t="s">
        <v>4124</v>
      </c>
    </row>
    <row r="738">
      <c r="A738" s="4">
        <v>636.0</v>
      </c>
      <c r="B738" s="4" t="s">
        <v>472</v>
      </c>
      <c r="C738" s="4"/>
      <c r="D738" s="4" t="s">
        <v>4148</v>
      </c>
      <c r="E738" s="4" t="s">
        <v>4149</v>
      </c>
      <c r="F738" s="4" t="s">
        <v>4148</v>
      </c>
      <c r="G738" s="5" t="str">
        <f>IFERROR(__xludf.DUMMYFUNCTION("GOOGLETRANSLATE(D738,""ca"",""es"")"),"resumen")</f>
        <v>resumen</v>
      </c>
      <c r="H738" s="4" t="s">
        <v>4150</v>
      </c>
      <c r="I738" s="4" t="s">
        <v>4151</v>
      </c>
    </row>
    <row r="739">
      <c r="A739" s="4">
        <v>637.0</v>
      </c>
      <c r="B739" s="4" t="s">
        <v>472</v>
      </c>
      <c r="C739" s="4"/>
      <c r="D739" s="4" t="s">
        <v>4152</v>
      </c>
      <c r="E739" s="4" t="s">
        <v>4153</v>
      </c>
      <c r="F739" s="4" t="s">
        <v>4152</v>
      </c>
      <c r="G739" s="5" t="str">
        <f>IFERROR(__xludf.DUMMYFUNCTION("GOOGLETRANSLATE(D739,""ca"",""es"")"),"supino")</f>
        <v>supino</v>
      </c>
    </row>
    <row r="740">
      <c r="A740" s="4">
        <v>638.0</v>
      </c>
      <c r="B740" s="4" t="s">
        <v>472</v>
      </c>
      <c r="C740" s="4"/>
      <c r="D740" s="4" t="s">
        <v>4154</v>
      </c>
      <c r="E740" s="4" t="s">
        <v>4155</v>
      </c>
      <c r="F740" s="4" t="s">
        <v>4156</v>
      </c>
      <c r="G740" s="5" t="str">
        <f>IFERROR(__xludf.DUMMYFUNCTION("GOOGLETRANSLATE(D740,""ca"",""es"")"),"supino")</f>
        <v>supino</v>
      </c>
    </row>
    <row r="741">
      <c r="A741" s="4">
        <v>639.0</v>
      </c>
      <c r="B741" s="4" t="s">
        <v>472</v>
      </c>
      <c r="C741" s="4"/>
      <c r="D741" s="4" t="s">
        <v>4157</v>
      </c>
      <c r="E741" s="4" t="s">
        <v>4158</v>
      </c>
      <c r="F741" s="4" t="s">
        <v>4157</v>
      </c>
      <c r="G741" s="5" t="str">
        <f>IFERROR(__xludf.DUMMYFUNCTION("GOOGLETRANSLATE(D741,""ca"",""es"")"),"rebaño")</f>
        <v>rebaño</v>
      </c>
    </row>
    <row r="742">
      <c r="A742" s="4">
        <v>640.0</v>
      </c>
      <c r="B742" s="4" t="s">
        <v>472</v>
      </c>
      <c r="C742" s="4"/>
      <c r="D742" s="4" t="s">
        <v>4159</v>
      </c>
      <c r="E742" s="4" t="s">
        <v>4158</v>
      </c>
      <c r="F742" s="4" t="s">
        <v>4157</v>
      </c>
      <c r="G742" s="5" t="str">
        <f>IFERROR(__xludf.DUMMYFUNCTION("GOOGLETRANSLATE(D742,""ca"",""es"")"),"flotar")</f>
        <v>flotar</v>
      </c>
      <c r="H742" s="4" t="s">
        <v>4160</v>
      </c>
      <c r="I742" s="4" t="s">
        <v>4160</v>
      </c>
      <c r="J742" s="4" t="s">
        <v>4161</v>
      </c>
      <c r="K742" s="4" t="s">
        <v>4162</v>
      </c>
      <c r="L742" s="4" t="s">
        <v>4163</v>
      </c>
      <c r="M742" s="4" t="s">
        <v>4160</v>
      </c>
      <c r="N742" s="4" t="s">
        <v>4164</v>
      </c>
      <c r="O742" s="4" t="s">
        <v>4165</v>
      </c>
      <c r="P742" s="4" t="s">
        <v>4166</v>
      </c>
      <c r="Q742" s="4" t="s">
        <v>4167</v>
      </c>
      <c r="R742" s="4" t="s">
        <v>4168</v>
      </c>
      <c r="S742" s="4" t="s">
        <v>4169</v>
      </c>
      <c r="T742" s="4" t="s">
        <v>4165</v>
      </c>
      <c r="U742" s="4" t="s">
        <v>4170</v>
      </c>
    </row>
    <row r="743">
      <c r="A743" s="4">
        <v>641.0</v>
      </c>
      <c r="B743" s="4" t="s">
        <v>472</v>
      </c>
      <c r="C743" s="4"/>
      <c r="D743" s="4" t="s">
        <v>4159</v>
      </c>
      <c r="E743" s="4" t="s">
        <v>4171</v>
      </c>
      <c r="F743" s="4" t="s">
        <v>4159</v>
      </c>
      <c r="G743" s="5" t="str">
        <f>IFERROR(__xludf.DUMMYFUNCTION("GOOGLETRANSLATE(D743,""ca"",""es"")"),"flotar")</f>
        <v>flotar</v>
      </c>
      <c r="H743" s="4" t="s">
        <v>4160</v>
      </c>
      <c r="I743" s="4" t="s">
        <v>4160</v>
      </c>
      <c r="J743" s="4" t="s">
        <v>4161</v>
      </c>
      <c r="K743" s="4" t="s">
        <v>4162</v>
      </c>
      <c r="L743" s="4" t="s">
        <v>4163</v>
      </c>
      <c r="M743" s="4" t="s">
        <v>4160</v>
      </c>
      <c r="N743" s="4" t="s">
        <v>4164</v>
      </c>
      <c r="O743" s="4" t="s">
        <v>4165</v>
      </c>
      <c r="P743" s="4" t="s">
        <v>4166</v>
      </c>
      <c r="Q743" s="4" t="s">
        <v>4167</v>
      </c>
      <c r="R743" s="4" t="s">
        <v>4168</v>
      </c>
      <c r="S743" s="4" t="s">
        <v>4169</v>
      </c>
      <c r="T743" s="4" t="s">
        <v>4165</v>
      </c>
      <c r="U743" s="4" t="s">
        <v>4170</v>
      </c>
    </row>
    <row r="744">
      <c r="A744" s="4">
        <v>642.0</v>
      </c>
      <c r="B744" s="4" t="s">
        <v>472</v>
      </c>
      <c r="C744" s="4"/>
      <c r="D744" s="4" t="s">
        <v>4172</v>
      </c>
      <c r="E744" s="4" t="s">
        <v>4173</v>
      </c>
      <c r="F744" s="4" t="s">
        <v>4172</v>
      </c>
      <c r="G744" s="5" t="str">
        <f>IFERROR(__xludf.DUMMYFUNCTION("GOOGLETRANSLATE(D744,""ca"",""es"")"),"flotar")</f>
        <v>flotar</v>
      </c>
    </row>
    <row r="745">
      <c r="A745" s="4">
        <v>643.0</v>
      </c>
      <c r="B745" s="4" t="s">
        <v>472</v>
      </c>
      <c r="C745" s="4"/>
      <c r="D745" s="4" t="s">
        <v>4174</v>
      </c>
      <c r="E745" s="4" t="s">
        <v>4175</v>
      </c>
      <c r="F745" s="4" t="s">
        <v>4176</v>
      </c>
      <c r="G745" s="5" t="str">
        <f>IFERROR(__xludf.DUMMYFUNCTION("GOOGLETRANSLATE(D745,""ca"",""es"")"),"corcho")</f>
        <v>corcho</v>
      </c>
      <c r="H745" s="4" t="s">
        <v>4177</v>
      </c>
    </row>
    <row r="746">
      <c r="A746" s="4">
        <v>644.0</v>
      </c>
      <c r="B746" s="4" t="s">
        <v>472</v>
      </c>
      <c r="C746" s="4"/>
      <c r="D746" s="4" t="s">
        <v>4178</v>
      </c>
      <c r="E746" s="4" t="s">
        <v>4179</v>
      </c>
      <c r="F746" s="4" t="s">
        <v>4180</v>
      </c>
      <c r="G746" s="5" t="str">
        <f>IFERROR(__xludf.DUMMYFUNCTION("GOOGLETRANSLATE(D746,""ca"",""es"")"),"Sur")</f>
        <v>Sur</v>
      </c>
    </row>
    <row r="747">
      <c r="A747" s="4">
        <v>645.0</v>
      </c>
      <c r="B747" s="4" t="s">
        <v>472</v>
      </c>
      <c r="C747" s="4"/>
      <c r="D747" s="4" t="s">
        <v>4181</v>
      </c>
      <c r="E747" s="4" t="s">
        <v>4182</v>
      </c>
      <c r="F747" s="4" t="s">
        <v>4183</v>
      </c>
      <c r="G747" s="5" t="str">
        <f>IFERROR(__xludf.DUMMYFUNCTION("GOOGLETRANSLATE(D747,""ca"",""es"")"),"despertar")</f>
        <v>despertar</v>
      </c>
    </row>
    <row r="748">
      <c r="A748" s="4">
        <v>646.0</v>
      </c>
      <c r="B748" s="4" t="s">
        <v>472</v>
      </c>
      <c r="C748" s="4"/>
      <c r="D748" s="4" t="s">
        <v>4181</v>
      </c>
      <c r="E748" s="4" t="s">
        <v>4184</v>
      </c>
      <c r="F748" s="4" t="s">
        <v>4185</v>
      </c>
      <c r="G748" s="5" t="str">
        <f>IFERROR(__xludf.DUMMYFUNCTION("GOOGLETRANSLATE(D748,""ca"",""es"")"),"despertar")</f>
        <v>despertar</v>
      </c>
    </row>
    <row r="749">
      <c r="A749" s="4">
        <v>647.0</v>
      </c>
      <c r="B749" s="4" t="s">
        <v>472</v>
      </c>
      <c r="C749" s="4"/>
      <c r="D749" s="4" t="s">
        <v>4186</v>
      </c>
      <c r="E749" s="4" t="s">
        <v>4187</v>
      </c>
      <c r="F749" s="4" t="s">
        <v>4186</v>
      </c>
      <c r="G749" s="5" t="str">
        <f>IFERROR(__xludf.DUMMYFUNCTION("GOOGLETRANSLATE(D749,""ca"",""es"")"),"puntada")</f>
        <v>puntada</v>
      </c>
      <c r="H749" s="4" t="s">
        <v>4188</v>
      </c>
      <c r="I749" s="4" t="s">
        <v>4189</v>
      </c>
      <c r="J749" s="4" t="s">
        <v>4190</v>
      </c>
      <c r="K749" s="4" t="s">
        <v>4189</v>
      </c>
      <c r="L749" s="4" t="s">
        <v>4186</v>
      </c>
      <c r="M749" s="4" t="s">
        <v>4191</v>
      </c>
    </row>
    <row r="750">
      <c r="A750" s="4">
        <v>648.0</v>
      </c>
      <c r="B750" s="4" t="s">
        <v>472</v>
      </c>
      <c r="C750" s="4"/>
      <c r="D750" s="4" t="s">
        <v>4192</v>
      </c>
      <c r="E750" s="4" t="s">
        <v>4187</v>
      </c>
      <c r="F750" s="4" t="s">
        <v>4186</v>
      </c>
      <c r="G750" s="5" t="str">
        <f>IFERROR(__xludf.DUMMYFUNCTION("GOOGLETRANSLATE(D750,""ca"",""es"")"),"sutura")</f>
        <v>sutura</v>
      </c>
    </row>
    <row r="751">
      <c r="A751" s="4">
        <v>649.0</v>
      </c>
      <c r="B751" s="4" t="s">
        <v>472</v>
      </c>
      <c r="C751" s="4"/>
      <c r="D751" s="4" t="s">
        <v>4192</v>
      </c>
      <c r="E751" s="4" t="s">
        <v>4193</v>
      </c>
      <c r="F751" s="4" t="s">
        <v>4192</v>
      </c>
      <c r="G751" s="5" t="str">
        <f>IFERROR(__xludf.DUMMYFUNCTION("GOOGLETRANSLATE(D751,""ca"",""es"")"),"sutura")</f>
        <v>sutura</v>
      </c>
    </row>
    <row r="752">
      <c r="A752" s="4">
        <v>650.0</v>
      </c>
      <c r="B752" s="4" t="s">
        <v>472</v>
      </c>
      <c r="C752" s="4"/>
      <c r="D752" s="4" t="s">
        <v>4194</v>
      </c>
      <c r="E752" s="4" t="s">
        <v>4195</v>
      </c>
      <c r="F752" s="4" t="s">
        <v>4196</v>
      </c>
      <c r="G752" s="5" t="str">
        <f>IFERROR(__xludf.DUMMYFUNCTION("GOOGLETRANSLATE(D752,""ca"",""es"")"),"sabio")</f>
        <v>sabio</v>
      </c>
    </row>
    <row r="753">
      <c r="A753" s="4">
        <v>651.0</v>
      </c>
      <c r="B753" s="4" t="s">
        <v>472</v>
      </c>
      <c r="C753" s="4"/>
      <c r="D753" s="4" t="s">
        <v>4197</v>
      </c>
      <c r="E753" s="4" t="s">
        <v>4198</v>
      </c>
      <c r="F753" s="4" t="s">
        <v>4199</v>
      </c>
      <c r="G753" s="5" t="str">
        <f>IFERROR(__xludf.DUMMYFUNCTION("GOOGLETRANSLATE(D753,""ca"",""es"")"),"sátira")</f>
        <v>sátira</v>
      </c>
      <c r="H753" s="4" t="s">
        <v>4200</v>
      </c>
      <c r="I753" s="4" t="s">
        <v>4201</v>
      </c>
      <c r="J753" s="4" t="s">
        <v>4200</v>
      </c>
      <c r="K753" s="4" t="s">
        <v>4202</v>
      </c>
      <c r="L753" s="4" t="s">
        <v>4203</v>
      </c>
      <c r="M753" s="4" t="s">
        <v>4204</v>
      </c>
    </row>
    <row r="754">
      <c r="A754" s="4">
        <v>652.0</v>
      </c>
      <c r="B754" s="4" t="s">
        <v>472</v>
      </c>
      <c r="C754" s="4"/>
      <c r="D754" s="4" t="s">
        <v>4197</v>
      </c>
      <c r="E754" s="4" t="s">
        <v>4205</v>
      </c>
      <c r="F754" s="4" t="s">
        <v>4206</v>
      </c>
      <c r="G754" s="5" t="str">
        <f>IFERROR(__xludf.DUMMYFUNCTION("GOOGLETRANSLATE(D754,""ca"",""es"")"),"sátira")</f>
        <v>sátira</v>
      </c>
      <c r="H754" s="4" t="s">
        <v>4200</v>
      </c>
      <c r="I754" s="4" t="s">
        <v>4201</v>
      </c>
      <c r="J754" s="4" t="s">
        <v>4200</v>
      </c>
      <c r="K754" s="4" t="s">
        <v>4202</v>
      </c>
      <c r="L754" s="4" t="s">
        <v>4203</v>
      </c>
      <c r="M754" s="4" t="s">
        <v>4204</v>
      </c>
    </row>
    <row r="755">
      <c r="A755" s="4">
        <v>653.0</v>
      </c>
      <c r="B755" s="4" t="s">
        <v>472</v>
      </c>
      <c r="C755" s="4"/>
      <c r="D755" s="4" t="s">
        <v>4207</v>
      </c>
      <c r="E755" s="4" t="s">
        <v>4208</v>
      </c>
      <c r="F755" s="4" t="s">
        <v>4209</v>
      </c>
      <c r="G755" s="5" t="str">
        <f>IFERROR(__xludf.DUMMYFUNCTION("GOOGLETRANSLATE(D755,""ca"",""es"")"),"sátira")</f>
        <v>sátira</v>
      </c>
      <c r="H755" s="4" t="s">
        <v>4210</v>
      </c>
      <c r="I755" s="4" t="s">
        <v>4211</v>
      </c>
      <c r="J755" s="4" t="s">
        <v>4212</v>
      </c>
      <c r="K755" s="4" t="s">
        <v>4213</v>
      </c>
    </row>
    <row r="756">
      <c r="A756" s="4">
        <v>654.0</v>
      </c>
      <c r="B756" s="4" t="s">
        <v>472</v>
      </c>
      <c r="C756" s="4"/>
      <c r="D756" s="4" t="s">
        <v>4214</v>
      </c>
      <c r="E756" s="4" t="s">
        <v>400</v>
      </c>
      <c r="F756" s="4" t="s">
        <v>401</v>
      </c>
      <c r="G756" s="5" t="str">
        <f>IFERROR(__xludf.DUMMYFUNCTION("GOOGLETRANSLATE(D756,""ca"",""es"")"),"Sí")</f>
        <v>Sí</v>
      </c>
      <c r="H756" s="4" t="s">
        <v>4215</v>
      </c>
    </row>
    <row r="757">
      <c r="A757" s="4">
        <v>655.0</v>
      </c>
      <c r="B757" s="4" t="s">
        <v>472</v>
      </c>
      <c r="C757" s="4"/>
      <c r="D757" s="4" t="s">
        <v>4216</v>
      </c>
      <c r="E757" s="4" t="s">
        <v>4217</v>
      </c>
      <c r="F757" s="4" t="s">
        <v>4218</v>
      </c>
      <c r="G757" s="5" t="str">
        <f>IFERROR(__xludf.DUMMYFUNCTION("GOOGLETRANSLATE(D757,""ca"",""es"")"),"símil")</f>
        <v>símil</v>
      </c>
      <c r="H757" s="4" t="s">
        <v>4219</v>
      </c>
    </row>
    <row r="758">
      <c r="A758" s="4">
        <v>656.0</v>
      </c>
      <c r="B758" s="4" t="s">
        <v>472</v>
      </c>
      <c r="C758" s="4"/>
      <c r="D758" s="4" t="s">
        <v>4220</v>
      </c>
      <c r="E758" s="4" t="s">
        <v>3984</v>
      </c>
      <c r="F758" s="4" t="s">
        <v>3985</v>
      </c>
      <c r="G758" s="5" t="str">
        <f>IFERROR(__xludf.DUMMYFUNCTION("GOOGLETRANSLATE(D758,""ca"",""es"")"),"pájaros")</f>
        <v>pájaros</v>
      </c>
    </row>
    <row r="759">
      <c r="A759" s="4">
        <v>657.0</v>
      </c>
      <c r="B759" s="4" t="s">
        <v>472</v>
      </c>
      <c r="C759" s="4"/>
      <c r="D759" s="4" t="s">
        <v>4221</v>
      </c>
      <c r="E759" s="4" t="s">
        <v>4222</v>
      </c>
      <c r="F759" s="4" t="s">
        <v>4223</v>
      </c>
      <c r="G759" s="5" t="str">
        <f>IFERROR(__xludf.DUMMYFUNCTION("GOOGLETRANSLATE(D759,""ca"",""es"")"),"contenido")</f>
        <v>contenido</v>
      </c>
    </row>
    <row r="760">
      <c r="A760" s="4">
        <v>658.0</v>
      </c>
      <c r="B760" s="4" t="s">
        <v>472</v>
      </c>
      <c r="C760" s="4"/>
      <c r="D760" s="4" t="s">
        <v>4224</v>
      </c>
      <c r="E760" s="4" t="s">
        <v>4225</v>
      </c>
      <c r="F760" s="4" t="s">
        <v>4226</v>
      </c>
      <c r="G760" s="5" t="str">
        <f>IFERROR(__xludf.DUMMYFUNCTION("GOOGLETRANSLATE(D760,""ca"",""es"")"),"mancha")</f>
        <v>mancha</v>
      </c>
      <c r="H760" s="4" t="s">
        <v>2865</v>
      </c>
      <c r="I760" s="4" t="s">
        <v>2866</v>
      </c>
      <c r="J760" s="4" t="s">
        <v>2867</v>
      </c>
      <c r="K760" s="4" t="s">
        <v>2298</v>
      </c>
      <c r="L760" s="4" t="s">
        <v>2868</v>
      </c>
      <c r="M760" s="4" t="s">
        <v>2298</v>
      </c>
      <c r="N760" s="4" t="s">
        <v>4227</v>
      </c>
      <c r="O760" s="4" t="s">
        <v>4228</v>
      </c>
      <c r="P760" s="4" t="s">
        <v>4229</v>
      </c>
      <c r="Q760" s="4" t="s">
        <v>2605</v>
      </c>
      <c r="R760" s="4" t="s">
        <v>4230</v>
      </c>
      <c r="S760" s="4" t="s">
        <v>4231</v>
      </c>
      <c r="T760" s="4" t="s">
        <v>2298</v>
      </c>
      <c r="U760" s="4" t="s">
        <v>2865</v>
      </c>
      <c r="V760" s="4" t="s">
        <v>4232</v>
      </c>
      <c r="W760" s="4" t="s">
        <v>2866</v>
      </c>
      <c r="X760" s="4" t="s">
        <v>2867</v>
      </c>
      <c r="Y760" s="4" t="s">
        <v>4233</v>
      </c>
      <c r="Z760" s="4" t="s">
        <v>3008</v>
      </c>
      <c r="AA760" s="4" t="s">
        <v>4234</v>
      </c>
      <c r="AB760" s="4" t="s">
        <v>4235</v>
      </c>
      <c r="AC760" s="4" t="s">
        <v>2868</v>
      </c>
      <c r="AD760" s="4" t="s">
        <v>4236</v>
      </c>
      <c r="AE760" s="4" t="s">
        <v>4237</v>
      </c>
    </row>
    <row r="761">
      <c r="A761" s="4">
        <v>659.0</v>
      </c>
      <c r="B761" s="4" t="s">
        <v>472</v>
      </c>
      <c r="C761" s="4"/>
      <c r="D761" s="4" t="s">
        <v>4238</v>
      </c>
      <c r="E761" s="4" t="s">
        <v>4239</v>
      </c>
      <c r="F761" s="4" t="s">
        <v>4240</v>
      </c>
      <c r="G761" s="5" t="str">
        <f>IFERROR(__xludf.DUMMYFUNCTION("GOOGLETRANSLATE(D761,""ca"",""es"")"),"frotis")</f>
        <v>frotis</v>
      </c>
      <c r="H761" s="4" t="s">
        <v>2868</v>
      </c>
      <c r="I761" s="4" t="s">
        <v>2293</v>
      </c>
      <c r="J761" s="4" t="s">
        <v>2294</v>
      </c>
      <c r="K761" s="4" t="s">
        <v>2295</v>
      </c>
      <c r="L761" s="4" t="s">
        <v>2296</v>
      </c>
      <c r="M761" s="4" t="s">
        <v>2297</v>
      </c>
      <c r="N761" s="4" t="s">
        <v>4241</v>
      </c>
      <c r="O761" s="4" t="s">
        <v>4242</v>
      </c>
      <c r="P761" s="4" t="s">
        <v>4053</v>
      </c>
      <c r="Q761" s="4" t="s">
        <v>4243</v>
      </c>
      <c r="R761" s="4" t="s">
        <v>2298</v>
      </c>
      <c r="S761" s="4" t="s">
        <v>2298</v>
      </c>
      <c r="T761" s="4" t="s">
        <v>4232</v>
      </c>
      <c r="U761" s="4" t="s">
        <v>2866</v>
      </c>
      <c r="V761" s="4" t="s">
        <v>2866</v>
      </c>
      <c r="W761" s="4" t="s">
        <v>4244</v>
      </c>
      <c r="X761" s="4" t="s">
        <v>4231</v>
      </c>
      <c r="Y761" s="4" t="s">
        <v>4245</v>
      </c>
      <c r="Z761" s="4" t="s">
        <v>2298</v>
      </c>
      <c r="AA761" s="4" t="s">
        <v>2605</v>
      </c>
      <c r="AB761" s="4" t="s">
        <v>4246</v>
      </c>
      <c r="AC761" s="4" t="s">
        <v>2865</v>
      </c>
      <c r="AD761" s="4" t="s">
        <v>4047</v>
      </c>
      <c r="AE761" s="4" t="s">
        <v>4048</v>
      </c>
      <c r="AF761" s="4" t="s">
        <v>4049</v>
      </c>
      <c r="AG761" s="4" t="s">
        <v>4050</v>
      </c>
      <c r="AH761" s="4" t="s">
        <v>4051</v>
      </c>
      <c r="AI761" s="4" t="s">
        <v>4052</v>
      </c>
    </row>
    <row r="762">
      <c r="A762" s="4">
        <v>660.0</v>
      </c>
      <c r="B762" s="4" t="s">
        <v>472</v>
      </c>
      <c r="C762" s="4"/>
      <c r="D762" s="4" t="s">
        <v>4247</v>
      </c>
      <c r="E762" s="4" t="s">
        <v>4248</v>
      </c>
      <c r="F762" s="4" t="s">
        <v>4249</v>
      </c>
      <c r="G762" s="5" t="str">
        <f>IFERROR(__xludf.DUMMYFUNCTION("GOOGLETRANSLATE(D762,""ca"",""es"")"),"taco")</f>
        <v>taco</v>
      </c>
      <c r="H762" s="4" t="s">
        <v>4247</v>
      </c>
    </row>
    <row r="763">
      <c r="A763" s="4">
        <v>661.0</v>
      </c>
      <c r="B763" s="4" t="s">
        <v>472</v>
      </c>
      <c r="C763" s="4"/>
      <c r="D763" s="4" t="s">
        <v>4250</v>
      </c>
      <c r="E763" s="4" t="s">
        <v>4225</v>
      </c>
      <c r="F763" s="4" t="s">
        <v>4226</v>
      </c>
      <c r="G763" s="5" t="str">
        <f>IFERROR(__xludf.DUMMYFUNCTION("GOOGLETRANSLATE(D763,""ca"",""es"")"),"mancha")</f>
        <v>mancha</v>
      </c>
    </row>
    <row r="764">
      <c r="A764" s="4">
        <v>662.0</v>
      </c>
      <c r="B764" s="4" t="s">
        <v>472</v>
      </c>
      <c r="C764" s="4"/>
      <c r="D764" s="4" t="s">
        <v>4251</v>
      </c>
      <c r="E764" s="4" t="s">
        <v>4252</v>
      </c>
      <c r="F764" s="4" t="s">
        <v>4251</v>
      </c>
      <c r="G764" s="5" t="str">
        <f>IFERROR(__xludf.DUMMYFUNCTION("GOOGLETRANSLATE(D764,""ca"",""es"")"),"tal")</f>
        <v>tal</v>
      </c>
      <c r="H764" s="4" t="s">
        <v>4253</v>
      </c>
    </row>
    <row r="765">
      <c r="A765" s="4">
        <v>663.0</v>
      </c>
      <c r="B765" s="4" t="s">
        <v>472</v>
      </c>
      <c r="C765" s="4"/>
      <c r="D765" s="4" t="s">
        <v>4254</v>
      </c>
      <c r="E765" s="4" t="s">
        <v>4255</v>
      </c>
      <c r="F765" s="4" t="s">
        <v>4254</v>
      </c>
      <c r="G765" s="5" t="str">
        <f>IFERROR(__xludf.DUMMYFUNCTION("GOOGLETRANSLATE(D765,""ca"",""es"")"),"colisionar")</f>
        <v>colisionar</v>
      </c>
    </row>
    <row r="766">
      <c r="A766" s="4">
        <v>664.0</v>
      </c>
      <c r="B766" s="4" t="s">
        <v>472</v>
      </c>
      <c r="C766" s="4"/>
      <c r="D766" s="4" t="s">
        <v>4256</v>
      </c>
      <c r="E766" s="4" t="s">
        <v>4257</v>
      </c>
      <c r="F766" s="4" t="s">
        <v>4258</v>
      </c>
      <c r="G766" s="5" t="str">
        <f>IFERROR(__xludf.DUMMYFUNCTION("GOOGLETRANSLATE(D766,""ca"",""es"")"),"Torre de vigilancia")</f>
        <v>Torre de vigilancia</v>
      </c>
      <c r="H766" s="4" t="s">
        <v>4259</v>
      </c>
      <c r="I766" s="4" t="s">
        <v>4260</v>
      </c>
      <c r="J766" s="4" t="s">
        <v>4261</v>
      </c>
      <c r="K766" s="4" t="s">
        <v>4262</v>
      </c>
      <c r="L766" s="4" t="s">
        <v>4263</v>
      </c>
    </row>
    <row r="767">
      <c r="A767" s="4">
        <v>665.0</v>
      </c>
      <c r="B767" s="4" t="s">
        <v>472</v>
      </c>
      <c r="C767" s="4"/>
      <c r="D767" s="4" t="s">
        <v>4264</v>
      </c>
      <c r="E767" s="4" t="s">
        <v>4265</v>
      </c>
      <c r="F767" s="4" t="s">
        <v>4264</v>
      </c>
      <c r="G767" s="5" t="str">
        <f>IFERROR(__xludf.DUMMYFUNCTION("GOOGLETRANSLATE(D767,""ca"",""es"")"),"Corte")</f>
        <v>Corte</v>
      </c>
    </row>
    <row r="768">
      <c r="A768" s="4">
        <v>666.0</v>
      </c>
      <c r="B768" s="4" t="s">
        <v>472</v>
      </c>
      <c r="C768" s="4"/>
      <c r="D768" s="4" t="s">
        <v>552</v>
      </c>
      <c r="E768" s="4" t="s">
        <v>4266</v>
      </c>
      <c r="F768" s="4" t="s">
        <v>552</v>
      </c>
      <c r="G768" s="5" t="str">
        <f>IFERROR(__xludf.DUMMYFUNCTION("GOOGLETRANSLATE(D768,""ca"",""es"")"),"rodaja")</f>
        <v>rodaja</v>
      </c>
      <c r="H768" s="4" t="s">
        <v>1250</v>
      </c>
      <c r="I768" s="4" t="s">
        <v>4267</v>
      </c>
      <c r="J768" s="4" t="s">
        <v>4268</v>
      </c>
      <c r="K768" s="4" t="s">
        <v>1250</v>
      </c>
      <c r="L768" s="4" t="s">
        <v>4267</v>
      </c>
      <c r="M768" s="4" t="s">
        <v>1250</v>
      </c>
      <c r="N768" s="4" t="s">
        <v>4267</v>
      </c>
      <c r="O768" s="4" t="s">
        <v>1250</v>
      </c>
      <c r="P768" s="4" t="s">
        <v>4267</v>
      </c>
      <c r="Q768" s="4" t="s">
        <v>4269</v>
      </c>
      <c r="R768" s="4" t="s">
        <v>4270</v>
      </c>
      <c r="S768" s="4" t="s">
        <v>4271</v>
      </c>
      <c r="T768" s="4" t="s">
        <v>1250</v>
      </c>
      <c r="U768" s="4" t="s">
        <v>4272</v>
      </c>
      <c r="V768" s="4" t="s">
        <v>4273</v>
      </c>
      <c r="W768" s="4" t="s">
        <v>4274</v>
      </c>
      <c r="X768" s="4" t="s">
        <v>4275</v>
      </c>
      <c r="Y768" s="4" t="s">
        <v>4082</v>
      </c>
      <c r="Z768" s="4" t="s">
        <v>4276</v>
      </c>
      <c r="AA768" s="4" t="s">
        <v>4277</v>
      </c>
      <c r="AB768" s="4" t="s">
        <v>4278</v>
      </c>
      <c r="AC768" s="4" t="s">
        <v>1250</v>
      </c>
      <c r="AD768" s="4" t="s">
        <v>4279</v>
      </c>
      <c r="AE768" s="4" t="s">
        <v>4280</v>
      </c>
      <c r="AF768" s="4" t="s">
        <v>1250</v>
      </c>
      <c r="AG768" s="4" t="s">
        <v>1250</v>
      </c>
      <c r="AH768" s="4" t="s">
        <v>3486</v>
      </c>
      <c r="AI768" s="4" t="s">
        <v>2602</v>
      </c>
      <c r="AJ768" s="4" t="s">
        <v>3486</v>
      </c>
      <c r="AK768" s="4" t="s">
        <v>4281</v>
      </c>
      <c r="AL768" s="4" t="s">
        <v>4282</v>
      </c>
      <c r="AM768" s="4" t="s">
        <v>3433</v>
      </c>
      <c r="AN768" s="4" t="s">
        <v>1250</v>
      </c>
      <c r="AO768" s="4" t="s">
        <v>4272</v>
      </c>
      <c r="AP768" s="4" t="s">
        <v>4283</v>
      </c>
      <c r="AQ768" s="4" t="s">
        <v>4281</v>
      </c>
    </row>
    <row r="769">
      <c r="A769" s="4">
        <v>667.0</v>
      </c>
      <c r="B769" s="4" t="s">
        <v>472</v>
      </c>
      <c r="C769" s="4"/>
      <c r="D769" s="4" t="s">
        <v>4284</v>
      </c>
      <c r="E769" s="4" t="s">
        <v>4285</v>
      </c>
      <c r="F769" s="4" t="s">
        <v>4284</v>
      </c>
      <c r="G769" s="5" t="str">
        <f>IFERROR(__xludf.DUMMYFUNCTION("GOOGLETRANSLATE(D769,""ca"",""es"")"),"reducir")</f>
        <v>reducir</v>
      </c>
      <c r="H769" s="4" t="s">
        <v>4286</v>
      </c>
      <c r="I769" s="4" t="s">
        <v>4287</v>
      </c>
      <c r="J769" s="4" t="s">
        <v>3492</v>
      </c>
      <c r="K769" s="4" t="s">
        <v>4288</v>
      </c>
      <c r="L769" s="4" t="s">
        <v>1250</v>
      </c>
      <c r="M769" s="4" t="s">
        <v>944</v>
      </c>
      <c r="N769" s="4" t="s">
        <v>4289</v>
      </c>
      <c r="O769" s="4" t="s">
        <v>4290</v>
      </c>
      <c r="P769" s="4" t="s">
        <v>2064</v>
      </c>
      <c r="Q769" s="4" t="s">
        <v>3392</v>
      </c>
      <c r="R769" s="4" t="s">
        <v>4291</v>
      </c>
      <c r="S769" s="4" t="s">
        <v>4292</v>
      </c>
      <c r="T769" s="4" t="s">
        <v>1250</v>
      </c>
      <c r="U769" s="4" t="s">
        <v>1002</v>
      </c>
      <c r="V769" s="4" t="s">
        <v>930</v>
      </c>
      <c r="W769" s="4" t="s">
        <v>4293</v>
      </c>
      <c r="X769" s="4" t="s">
        <v>4294</v>
      </c>
      <c r="Y769" s="4" t="s">
        <v>4295</v>
      </c>
      <c r="Z769" s="4" t="s">
        <v>3392</v>
      </c>
      <c r="AA769" s="4" t="s">
        <v>4296</v>
      </c>
      <c r="AB769" s="4" t="s">
        <v>4296</v>
      </c>
      <c r="AC769" s="4" t="s">
        <v>4297</v>
      </c>
      <c r="AD769" s="4" t="s">
        <v>3491</v>
      </c>
      <c r="AE769" s="4" t="s">
        <v>3492</v>
      </c>
      <c r="AF769" s="4" t="s">
        <v>4298</v>
      </c>
      <c r="AG769" s="4" t="s">
        <v>4299</v>
      </c>
      <c r="AH769" s="4" t="s">
        <v>928</v>
      </c>
      <c r="AI769" s="4" t="s">
        <v>4300</v>
      </c>
      <c r="AJ769" s="4" t="s">
        <v>4301</v>
      </c>
      <c r="AK769" s="4" t="s">
        <v>1250</v>
      </c>
      <c r="AL769" s="4" t="s">
        <v>4302</v>
      </c>
      <c r="AM769" s="4" t="s">
        <v>4303</v>
      </c>
      <c r="AN769" s="4" t="s">
        <v>4304</v>
      </c>
      <c r="AO769" s="4" t="s">
        <v>1250</v>
      </c>
      <c r="AP769" s="4" t="s">
        <v>1250</v>
      </c>
      <c r="AQ769" s="4" t="s">
        <v>4305</v>
      </c>
      <c r="AR769" s="4" t="s">
        <v>4306</v>
      </c>
    </row>
    <row r="770">
      <c r="A770" s="4">
        <v>668.0</v>
      </c>
      <c r="B770" s="4" t="s">
        <v>472</v>
      </c>
      <c r="C770" s="4"/>
      <c r="D770" s="4" t="s">
        <v>4307</v>
      </c>
      <c r="E770" s="4" t="s">
        <v>4308</v>
      </c>
      <c r="F770" s="4" t="s">
        <v>4307</v>
      </c>
      <c r="G770" s="5" t="str">
        <f>IFERROR(__xludf.DUMMYFUNCTION("GOOGLETRANSLATE(D770,""ca"",""es"")"),"fideos")</f>
        <v>fideos</v>
      </c>
      <c r="H770" s="4" t="s">
        <v>4309</v>
      </c>
    </row>
    <row r="771">
      <c r="A771" s="4">
        <v>669.0</v>
      </c>
      <c r="B771" s="4" t="s">
        <v>472</v>
      </c>
      <c r="C771" s="4"/>
      <c r="D771" s="4" t="s">
        <v>4310</v>
      </c>
      <c r="E771" s="4" t="s">
        <v>4311</v>
      </c>
      <c r="F771" s="4" t="s">
        <v>4310</v>
      </c>
      <c r="G771" s="5" t="str">
        <f>IFERROR(__xludf.DUMMYFUNCTION("GOOGLETRANSLATE(D771,""ca"",""es"")"),"asi que")</f>
        <v>asi que</v>
      </c>
    </row>
    <row r="772">
      <c r="A772" s="4">
        <v>670.0</v>
      </c>
      <c r="B772" s="4" t="s">
        <v>472</v>
      </c>
      <c r="C772" s="4"/>
      <c r="D772" s="4" t="s">
        <v>4312</v>
      </c>
      <c r="E772" s="4" t="s">
        <v>4311</v>
      </c>
      <c r="F772" s="4" t="s">
        <v>4310</v>
      </c>
      <c r="G772" s="5" t="str">
        <f>IFERROR(__xludf.DUMMYFUNCTION("GOOGLETRANSLATE(D772,""ca"",""es"")"),"como mucho")</f>
        <v>como mucho</v>
      </c>
    </row>
    <row r="773">
      <c r="A773" s="4">
        <v>671.0</v>
      </c>
      <c r="B773" s="4" t="s">
        <v>472</v>
      </c>
      <c r="C773" s="4"/>
      <c r="D773" s="4" t="s">
        <v>4313</v>
      </c>
      <c r="E773" s="4" t="s">
        <v>4314</v>
      </c>
      <c r="F773" s="4" t="s">
        <v>4315</v>
      </c>
      <c r="G773" s="5" t="str">
        <f>IFERROR(__xludf.DUMMYFUNCTION("GOOGLETRANSLATE(D773,""ca"",""es"")"),"tán")</f>
        <v>tán</v>
      </c>
    </row>
    <row r="774">
      <c r="A774" s="4">
        <v>672.0</v>
      </c>
      <c r="B774" s="4" t="s">
        <v>472</v>
      </c>
      <c r="C774" s="4"/>
      <c r="D774" s="4" t="s">
        <v>4316</v>
      </c>
      <c r="E774" s="4" t="s">
        <v>4317</v>
      </c>
      <c r="F774" s="4" t="s">
        <v>4318</v>
      </c>
      <c r="G774" s="5" t="str">
        <f>IFERROR(__xludf.DUMMYFUNCTION("GOOGLETRANSLATE(D774,""ca"",""es"")"),"tán")</f>
        <v>tán</v>
      </c>
      <c r="H774" s="4" t="s">
        <v>4319</v>
      </c>
      <c r="I774" s="4" t="s">
        <v>4320</v>
      </c>
    </row>
    <row r="775">
      <c r="A775" s="4">
        <v>673.0</v>
      </c>
      <c r="B775" s="4" t="s">
        <v>472</v>
      </c>
      <c r="C775" s="4"/>
      <c r="D775" s="4" t="s">
        <v>4321</v>
      </c>
      <c r="E775" s="4" t="s">
        <v>4322</v>
      </c>
      <c r="F775" s="4" t="s">
        <v>4321</v>
      </c>
      <c r="G775" s="5" t="str">
        <f>IFERROR(__xludf.DUMMYFUNCTION("GOOGLETRANSLATE(D775,""ca"",""es"")"),"tapón")</f>
        <v>tapón</v>
      </c>
      <c r="H775" s="4" t="s">
        <v>1208</v>
      </c>
      <c r="I775" s="4" t="s">
        <v>4323</v>
      </c>
      <c r="J775" s="4" t="s">
        <v>4324</v>
      </c>
      <c r="K775" s="4" t="s">
        <v>4325</v>
      </c>
      <c r="L775" s="4" t="s">
        <v>4326</v>
      </c>
      <c r="M775" s="4" t="s">
        <v>4327</v>
      </c>
      <c r="N775" s="4" t="s">
        <v>4328</v>
      </c>
      <c r="O775" s="4" t="s">
        <v>4329</v>
      </c>
    </row>
    <row r="776">
      <c r="A776" s="4">
        <v>674.0</v>
      </c>
      <c r="B776" s="4" t="s">
        <v>472</v>
      </c>
      <c r="C776" s="4"/>
      <c r="D776" s="4" t="s">
        <v>4330</v>
      </c>
      <c r="E776" s="4" t="s">
        <v>4331</v>
      </c>
      <c r="F776" s="4" t="s">
        <v>4330</v>
      </c>
      <c r="G776" s="5" t="str">
        <f>IFERROR(__xludf.DUMMYFUNCTION("GOOGLETRANSLATE(D776,""ca"",""es"")"),"cubrir")</f>
        <v>cubrir</v>
      </c>
      <c r="H776" s="4" t="s">
        <v>1403</v>
      </c>
      <c r="I776" s="4" t="s">
        <v>4332</v>
      </c>
      <c r="J776" s="4" t="s">
        <v>4333</v>
      </c>
      <c r="K776" s="4" t="s">
        <v>4334</v>
      </c>
      <c r="L776" s="4" t="s">
        <v>4335</v>
      </c>
      <c r="M776" s="4" t="s">
        <v>3477</v>
      </c>
      <c r="N776" s="4" t="s">
        <v>3478</v>
      </c>
      <c r="O776" s="4" t="s">
        <v>4330</v>
      </c>
      <c r="P776" s="4" t="s">
        <v>4336</v>
      </c>
      <c r="Q776" s="4" t="s">
        <v>4337</v>
      </c>
      <c r="R776" s="4" t="s">
        <v>4338</v>
      </c>
    </row>
    <row r="777">
      <c r="A777" s="4">
        <v>675.0</v>
      </c>
      <c r="B777" s="4" t="s">
        <v>472</v>
      </c>
      <c r="C777" s="4"/>
      <c r="D777" s="4" t="s">
        <v>4339</v>
      </c>
      <c r="E777" s="4" t="s">
        <v>4340</v>
      </c>
      <c r="F777" s="4" t="s">
        <v>4339</v>
      </c>
      <c r="G777" s="5" t="str">
        <f>IFERROR(__xludf.DUMMYFUNCTION("GOOGLETRANSLATE(D777,""ca"",""es"")"),"cubrir")</f>
        <v>cubrir</v>
      </c>
      <c r="H777" s="4" t="s">
        <v>4323</v>
      </c>
      <c r="I777" s="4" t="s">
        <v>4341</v>
      </c>
      <c r="J777" s="4" t="s">
        <v>4342</v>
      </c>
      <c r="K777" s="4" t="s">
        <v>4343</v>
      </c>
      <c r="L777" s="4" t="s">
        <v>4344</v>
      </c>
      <c r="M777" s="4" t="s">
        <v>4343</v>
      </c>
      <c r="N777" s="4" t="s">
        <v>4345</v>
      </c>
      <c r="O777" s="4" t="s">
        <v>4344</v>
      </c>
      <c r="P777" s="4" t="s">
        <v>4346</v>
      </c>
      <c r="Q777" s="4" t="s">
        <v>2073</v>
      </c>
    </row>
    <row r="778">
      <c r="A778" s="4">
        <v>676.0</v>
      </c>
      <c r="B778" s="4" t="s">
        <v>472</v>
      </c>
      <c r="C778" s="4"/>
      <c r="D778" s="4" t="s">
        <v>4347</v>
      </c>
      <c r="E778" s="4" t="s">
        <v>4348</v>
      </c>
      <c r="F778" s="4" t="s">
        <v>4347</v>
      </c>
      <c r="G778" s="5" t="str">
        <f>IFERROR(__xludf.DUMMYFUNCTION("GOOGLETRANSLATE(D778,""ca"",""es"")"),"tapir")</f>
        <v>tapir</v>
      </c>
      <c r="H778" s="4" t="s">
        <v>4347</v>
      </c>
    </row>
    <row r="779">
      <c r="A779" s="4">
        <v>677.0</v>
      </c>
      <c r="B779" s="4" t="s">
        <v>472</v>
      </c>
      <c r="C779" s="4"/>
      <c r="D779" s="4" t="s">
        <v>4349</v>
      </c>
      <c r="E779" s="4" t="s">
        <v>4350</v>
      </c>
      <c r="F779" s="4" t="s">
        <v>4351</v>
      </c>
      <c r="G779" s="5" t="str">
        <f>IFERROR(__xludf.DUMMYFUNCTION("GOOGLETRANSLATE(D779,""ca"",""es"")"),"carpintio")</f>
        <v>carpintio</v>
      </c>
      <c r="H779" s="4" t="s">
        <v>4352</v>
      </c>
      <c r="I779" s="4" t="s">
        <v>4353</v>
      </c>
    </row>
    <row r="780">
      <c r="A780" s="4">
        <v>678.0</v>
      </c>
      <c r="B780" s="4" t="s">
        <v>472</v>
      </c>
      <c r="C780" s="4"/>
      <c r="D780" s="4" t="s">
        <v>4354</v>
      </c>
      <c r="E780" s="4" t="s">
        <v>4355</v>
      </c>
      <c r="F780" s="4" t="s">
        <v>4356</v>
      </c>
      <c r="G780" s="5" t="str">
        <f>IFERROR(__xludf.DUMMYFUNCTION("GOOGLETRANSLATE(D780,""ca"",""es"")"),"taquilla")</f>
        <v>taquilla</v>
      </c>
      <c r="H780" s="4" t="s">
        <v>4357</v>
      </c>
      <c r="I780" s="4" t="s">
        <v>4358</v>
      </c>
      <c r="J780" s="4" t="s">
        <v>4359</v>
      </c>
      <c r="K780" s="4" t="s">
        <v>4360</v>
      </c>
    </row>
    <row r="781">
      <c r="A781" s="4">
        <v>679.0</v>
      </c>
      <c r="B781" s="4" t="s">
        <v>472</v>
      </c>
      <c r="C781" s="4"/>
      <c r="D781" s="4" t="s">
        <v>4361</v>
      </c>
      <c r="E781" s="4" t="s">
        <v>4362</v>
      </c>
      <c r="F781" s="4" t="s">
        <v>4361</v>
      </c>
      <c r="G781" s="5" t="str">
        <f>IFERROR(__xludf.DUMMYFUNCTION("GOOGLETRANSLATE(D781,""ca"",""es"")"),"Tara")</f>
        <v>Tara</v>
      </c>
      <c r="H781" s="4" t="s">
        <v>2869</v>
      </c>
      <c r="I781" s="4" t="s">
        <v>2870</v>
      </c>
      <c r="J781" s="4" t="s">
        <v>2293</v>
      </c>
      <c r="K781" s="4" t="s">
        <v>2870</v>
      </c>
      <c r="L781" s="4" t="s">
        <v>4363</v>
      </c>
      <c r="M781" s="4" t="s">
        <v>4364</v>
      </c>
    </row>
    <row r="782">
      <c r="A782" s="4">
        <v>680.0</v>
      </c>
      <c r="B782" s="4" t="s">
        <v>472</v>
      </c>
      <c r="C782" s="4"/>
      <c r="D782" s="4" t="s">
        <v>4365</v>
      </c>
      <c r="E782" s="4" t="s">
        <v>4366</v>
      </c>
      <c r="F782" s="4" t="s">
        <v>4365</v>
      </c>
      <c r="G782" s="5" t="str">
        <f>IFERROR(__xludf.DUMMYFUNCTION("GOOGLETRANSLATE(D782,""ca"",""es"")"),"asfalte")</f>
        <v>asfalte</v>
      </c>
      <c r="H782" s="4" t="s">
        <v>4367</v>
      </c>
      <c r="I782" s="4" t="s">
        <v>4368</v>
      </c>
      <c r="J782" s="4" t="s">
        <v>4369</v>
      </c>
      <c r="K782" s="4" t="s">
        <v>4370</v>
      </c>
      <c r="L782" s="4" t="s">
        <v>4371</v>
      </c>
      <c r="M782" s="4" t="s">
        <v>4372</v>
      </c>
      <c r="N782" s="4" t="s">
        <v>4373</v>
      </c>
      <c r="O782" s="4" t="s">
        <v>4374</v>
      </c>
    </row>
    <row r="783">
      <c r="A783" s="4">
        <v>681.0</v>
      </c>
      <c r="B783" s="4" t="s">
        <v>472</v>
      </c>
      <c r="C783" s="4"/>
      <c r="D783" s="4" t="s">
        <v>4375</v>
      </c>
      <c r="E783" s="4" t="s">
        <v>4376</v>
      </c>
      <c r="F783" s="4" t="s">
        <v>4377</v>
      </c>
      <c r="G783" s="5" t="str">
        <f>IFERROR(__xludf.DUMMYFUNCTION("GOOGLETRANSLATE(D783,""ca"",""es"")"),"cuenco")</f>
        <v>cuenco</v>
      </c>
      <c r="H783" s="4" t="s">
        <v>4378</v>
      </c>
      <c r="I783" s="4" t="s">
        <v>3236</v>
      </c>
    </row>
    <row r="784">
      <c r="A784" s="4">
        <v>682.0</v>
      </c>
      <c r="B784" s="4" t="s">
        <v>472</v>
      </c>
      <c r="C784" s="4"/>
      <c r="D784" s="4" t="s">
        <v>4379</v>
      </c>
      <c r="E784" s="4" t="s">
        <v>4380</v>
      </c>
      <c r="F784" s="4" t="s">
        <v>438</v>
      </c>
      <c r="G784" s="5" t="str">
        <f>IFERROR(__xludf.DUMMYFUNCTION("GOOGLETRANSLATE(D784,""ca"",""es"")"),"tic")</f>
        <v>tic</v>
      </c>
      <c r="H784" s="4" t="s">
        <v>4379</v>
      </c>
    </row>
    <row r="785">
      <c r="A785" s="4">
        <v>683.0</v>
      </c>
      <c r="B785" s="4" t="s">
        <v>472</v>
      </c>
      <c r="C785" s="4"/>
      <c r="D785" s="4" t="s">
        <v>4381</v>
      </c>
      <c r="E785" s="4" t="s">
        <v>4382</v>
      </c>
      <c r="F785" s="4" t="s">
        <v>4381</v>
      </c>
      <c r="G785" s="5" t="str">
        <f>IFERROR(__xludf.DUMMYFUNCTION("GOOGLETRANSLATE(D785,""ca"",""es"")"),"Tim")</f>
        <v>Tim</v>
      </c>
      <c r="H785" s="4" t="s">
        <v>4383</v>
      </c>
      <c r="I785" s="4" t="s">
        <v>4384</v>
      </c>
      <c r="J785" s="4" t="s">
        <v>4385</v>
      </c>
      <c r="K785" s="4" t="s">
        <v>4386</v>
      </c>
      <c r="L785" s="4" t="s">
        <v>4387</v>
      </c>
      <c r="M785" s="4" t="s">
        <v>4388</v>
      </c>
      <c r="N785" s="4" t="s">
        <v>2543</v>
      </c>
      <c r="O785" s="4" t="s">
        <v>1058</v>
      </c>
    </row>
    <row r="786">
      <c r="A786" s="4">
        <v>684.0</v>
      </c>
      <c r="B786" s="4" t="s">
        <v>472</v>
      </c>
      <c r="C786" s="4"/>
      <c r="D786" s="4" t="s">
        <v>4389</v>
      </c>
      <c r="E786" s="4" t="s">
        <v>4390</v>
      </c>
      <c r="F786" s="4" t="s">
        <v>4391</v>
      </c>
      <c r="G786" s="5" t="str">
        <f>IFERROR(__xludf.DUMMYFUNCTION("GOOGLETRANSLATE(D786,""ca"",""es"")"),"tinamu")</f>
        <v>tinamu</v>
      </c>
    </row>
    <row r="787">
      <c r="A787" s="4">
        <v>685.0</v>
      </c>
      <c r="B787" s="4" t="s">
        <v>472</v>
      </c>
      <c r="C787" s="4"/>
      <c r="D787" s="4" t="s">
        <v>4392</v>
      </c>
      <c r="E787" s="4" t="s">
        <v>4393</v>
      </c>
      <c r="F787" s="4" t="s">
        <v>4394</v>
      </c>
      <c r="G787" s="5" t="str">
        <f>IFERROR(__xludf.DUMMYFUNCTION("GOOGLETRANSLATE(D787,""ca"",""es"")"),"arbusto")</f>
        <v>arbusto</v>
      </c>
      <c r="H787" s="4" t="s">
        <v>4395</v>
      </c>
      <c r="I787" s="4" t="s">
        <v>4396</v>
      </c>
      <c r="J787" s="4" t="s">
        <v>4397</v>
      </c>
    </row>
    <row r="788">
      <c r="A788" s="4">
        <v>686.0</v>
      </c>
      <c r="B788" s="4" t="s">
        <v>472</v>
      </c>
      <c r="C788" s="4"/>
      <c r="D788" s="4" t="s">
        <v>425</v>
      </c>
      <c r="E788" s="4" t="s">
        <v>424</v>
      </c>
      <c r="F788" s="4" t="s">
        <v>425</v>
      </c>
      <c r="G788" s="5" t="str">
        <f>IFERROR(__xludf.DUMMYFUNCTION("GOOGLETRANSLATE(D788,""ca"",""es"")"),"típico")</f>
        <v>típico</v>
      </c>
      <c r="H788" s="4" t="s">
        <v>4398</v>
      </c>
      <c r="I788" s="4" t="s">
        <v>4399</v>
      </c>
      <c r="J788" s="4" t="s">
        <v>4400</v>
      </c>
      <c r="K788" s="4" t="s">
        <v>4401</v>
      </c>
      <c r="L788" s="4" t="s">
        <v>4402</v>
      </c>
      <c r="M788" s="4" t="s">
        <v>4403</v>
      </c>
      <c r="N788" s="4" t="s">
        <v>4404</v>
      </c>
      <c r="O788" s="4" t="s">
        <v>4405</v>
      </c>
      <c r="P788" s="4" t="s">
        <v>4406</v>
      </c>
      <c r="Q788" s="4" t="s">
        <v>4407</v>
      </c>
      <c r="R788" s="4" t="s">
        <v>4398</v>
      </c>
      <c r="S788" s="4" t="s">
        <v>4408</v>
      </c>
      <c r="T788" s="4" t="s">
        <v>4409</v>
      </c>
    </row>
    <row r="789">
      <c r="A789" s="4">
        <v>687.0</v>
      </c>
      <c r="B789" s="4" t="s">
        <v>472</v>
      </c>
      <c r="C789" s="4"/>
      <c r="D789" s="4" t="s">
        <v>4410</v>
      </c>
      <c r="E789" s="4" t="s">
        <v>4411</v>
      </c>
      <c r="F789" s="4" t="s">
        <v>4410</v>
      </c>
      <c r="G789" s="5" t="str">
        <f>IFERROR(__xludf.DUMMYFUNCTION("GOOGLETRANSLATE(D789,""ca"",""es"")"),"escribe")</f>
        <v>escribe</v>
      </c>
      <c r="H789" s="4" t="s">
        <v>4412</v>
      </c>
      <c r="I789" s="4" t="s">
        <v>4413</v>
      </c>
      <c r="J789" s="4" t="s">
        <v>4414</v>
      </c>
      <c r="K789" s="4" t="s">
        <v>1679</v>
      </c>
      <c r="L789" s="4" t="s">
        <v>4415</v>
      </c>
      <c r="M789" s="4" t="s">
        <v>4412</v>
      </c>
      <c r="N789" s="4" t="s">
        <v>4412</v>
      </c>
      <c r="O789" s="4" t="s">
        <v>4412</v>
      </c>
      <c r="P789" s="4" t="s">
        <v>4416</v>
      </c>
      <c r="Q789" s="4" t="s">
        <v>4417</v>
      </c>
      <c r="R789" s="4" t="s">
        <v>4412</v>
      </c>
      <c r="S789" s="4" t="s">
        <v>1337</v>
      </c>
    </row>
    <row r="790">
      <c r="A790" s="4">
        <v>688.0</v>
      </c>
      <c r="B790" s="4" t="s">
        <v>472</v>
      </c>
      <c r="C790" s="4"/>
      <c r="D790" s="4" t="s">
        <v>4418</v>
      </c>
      <c r="E790" s="4" t="s">
        <v>4419</v>
      </c>
      <c r="F790" s="4" t="s">
        <v>4418</v>
      </c>
      <c r="G790" s="5" t="str">
        <f>IFERROR(__xludf.DUMMYFUNCTION("GOOGLETRANSLATE(D790,""ca"",""es"")"),"banda")</f>
        <v>banda</v>
      </c>
      <c r="H790" s="4" t="s">
        <v>4420</v>
      </c>
      <c r="I790" s="4" t="s">
        <v>4421</v>
      </c>
      <c r="J790" s="4" t="s">
        <v>4422</v>
      </c>
      <c r="K790" s="4" t="s">
        <v>4423</v>
      </c>
      <c r="L790" s="4" t="s">
        <v>3397</v>
      </c>
    </row>
    <row r="791">
      <c r="A791" s="4">
        <v>689.0</v>
      </c>
      <c r="B791" s="4" t="s">
        <v>472</v>
      </c>
      <c r="C791" s="4"/>
      <c r="D791" s="4" t="s">
        <v>4424</v>
      </c>
      <c r="E791" s="4" t="s">
        <v>4425</v>
      </c>
      <c r="F791" s="4" t="s">
        <v>4426</v>
      </c>
      <c r="G791" s="5" t="str">
        <f>IFERROR(__xludf.DUMMYFUNCTION("GOOGLETRANSLATE(D791,""ca"",""es"")"),"muelle")</f>
        <v>muelle</v>
      </c>
    </row>
    <row r="792">
      <c r="A792" s="4">
        <v>690.0</v>
      </c>
      <c r="B792" s="4" t="s">
        <v>472</v>
      </c>
      <c r="C792" s="4"/>
      <c r="D792" s="4" t="s">
        <v>4427</v>
      </c>
      <c r="E792" s="4" t="s">
        <v>4419</v>
      </c>
      <c r="F792" s="4" t="s">
        <v>4418</v>
      </c>
      <c r="G792" s="5" t="str">
        <f>IFERROR(__xludf.DUMMYFUNCTION("GOOGLETRANSLATE(D792,""ca"",""es"")"),"lanzar")</f>
        <v>lanzar</v>
      </c>
      <c r="H792" s="4" t="s">
        <v>4428</v>
      </c>
      <c r="I792" s="4" t="s">
        <v>3168</v>
      </c>
      <c r="J792" s="4" t="s">
        <v>4429</v>
      </c>
      <c r="K792" s="4" t="s">
        <v>910</v>
      </c>
      <c r="L792" s="4" t="s">
        <v>4430</v>
      </c>
      <c r="M792" s="4" t="s">
        <v>4431</v>
      </c>
      <c r="N792" s="4" t="s">
        <v>4429</v>
      </c>
      <c r="O792" s="4" t="s">
        <v>4432</v>
      </c>
      <c r="P792" s="4" t="s">
        <v>4433</v>
      </c>
      <c r="Q792" s="4" t="s">
        <v>3414</v>
      </c>
      <c r="R792" s="4" t="s">
        <v>4434</v>
      </c>
      <c r="S792" s="4" t="s">
        <v>4435</v>
      </c>
      <c r="T792" s="4" t="s">
        <v>4436</v>
      </c>
      <c r="U792" s="4" t="s">
        <v>4437</v>
      </c>
      <c r="V792" s="4" t="s">
        <v>4438</v>
      </c>
      <c r="W792" s="4" t="s">
        <v>4437</v>
      </c>
      <c r="X792" s="4" t="s">
        <v>4439</v>
      </c>
      <c r="Y792" s="4" t="s">
        <v>4436</v>
      </c>
      <c r="Z792" s="4" t="s">
        <v>4438</v>
      </c>
      <c r="AA792" s="4" t="s">
        <v>4440</v>
      </c>
      <c r="AB792" s="4" t="s">
        <v>4441</v>
      </c>
      <c r="AC792" s="4" t="s">
        <v>4442</v>
      </c>
      <c r="AD792" s="4" t="s">
        <v>4443</v>
      </c>
      <c r="AE792" s="4" t="s">
        <v>4444</v>
      </c>
      <c r="AF792" s="4" t="s">
        <v>4445</v>
      </c>
      <c r="AG792" s="4" t="s">
        <v>4446</v>
      </c>
      <c r="AH792" s="4" t="s">
        <v>4430</v>
      </c>
      <c r="AI792" s="4" t="s">
        <v>4431</v>
      </c>
      <c r="AJ792" s="4" t="s">
        <v>4447</v>
      </c>
      <c r="AK792" s="4" t="s">
        <v>4431</v>
      </c>
      <c r="AL792" s="4" t="s">
        <v>4448</v>
      </c>
      <c r="AM792" s="4" t="s">
        <v>4449</v>
      </c>
      <c r="AN792" s="4" t="s">
        <v>4440</v>
      </c>
    </row>
    <row r="793">
      <c r="A793" s="4">
        <v>691.0</v>
      </c>
      <c r="B793" s="4" t="s">
        <v>472</v>
      </c>
      <c r="C793" s="4"/>
      <c r="D793" s="4" t="s">
        <v>4427</v>
      </c>
      <c r="E793" s="4" t="s">
        <v>4450</v>
      </c>
      <c r="F793" s="4" t="s">
        <v>4427</v>
      </c>
      <c r="G793" s="5" t="str">
        <f>IFERROR(__xludf.DUMMYFUNCTION("GOOGLETRANSLATE(D793,""ca"",""es"")"),"lanzar")</f>
        <v>lanzar</v>
      </c>
      <c r="H793" s="4" t="s">
        <v>4428</v>
      </c>
      <c r="I793" s="4" t="s">
        <v>3168</v>
      </c>
      <c r="J793" s="4" t="s">
        <v>4429</v>
      </c>
      <c r="K793" s="4" t="s">
        <v>910</v>
      </c>
      <c r="L793" s="4" t="s">
        <v>4430</v>
      </c>
      <c r="M793" s="4" t="s">
        <v>4431</v>
      </c>
      <c r="N793" s="4" t="s">
        <v>4429</v>
      </c>
      <c r="O793" s="4" t="s">
        <v>4432</v>
      </c>
      <c r="P793" s="4" t="s">
        <v>4433</v>
      </c>
      <c r="Q793" s="4" t="s">
        <v>3414</v>
      </c>
      <c r="R793" s="4" t="s">
        <v>4434</v>
      </c>
      <c r="S793" s="4" t="s">
        <v>4435</v>
      </c>
      <c r="T793" s="4" t="s">
        <v>4436</v>
      </c>
      <c r="U793" s="4" t="s">
        <v>4437</v>
      </c>
      <c r="V793" s="4" t="s">
        <v>4438</v>
      </c>
      <c r="W793" s="4" t="s">
        <v>4437</v>
      </c>
      <c r="X793" s="4" t="s">
        <v>4439</v>
      </c>
      <c r="Y793" s="4" t="s">
        <v>4436</v>
      </c>
      <c r="Z793" s="4" t="s">
        <v>4438</v>
      </c>
      <c r="AA793" s="4" t="s">
        <v>4440</v>
      </c>
      <c r="AB793" s="4" t="s">
        <v>4441</v>
      </c>
      <c r="AC793" s="4" t="s">
        <v>4442</v>
      </c>
      <c r="AD793" s="4" t="s">
        <v>4443</v>
      </c>
      <c r="AE793" s="4" t="s">
        <v>4444</v>
      </c>
      <c r="AF793" s="4" t="s">
        <v>4445</v>
      </c>
      <c r="AG793" s="4" t="s">
        <v>4446</v>
      </c>
      <c r="AH793" s="4" t="s">
        <v>4430</v>
      </c>
      <c r="AI793" s="4" t="s">
        <v>4431</v>
      </c>
      <c r="AJ793" s="4" t="s">
        <v>4447</v>
      </c>
      <c r="AK793" s="4" t="s">
        <v>4431</v>
      </c>
      <c r="AL793" s="4" t="s">
        <v>4448</v>
      </c>
      <c r="AM793" s="4" t="s">
        <v>4449</v>
      </c>
      <c r="AN793" s="4" t="s">
        <v>4440</v>
      </c>
    </row>
    <row r="794">
      <c r="A794" s="4">
        <v>692.0</v>
      </c>
      <c r="B794" s="4" t="s">
        <v>472</v>
      </c>
      <c r="C794" s="4"/>
      <c r="D794" s="4" t="s">
        <v>4451</v>
      </c>
      <c r="E794" s="4" t="s">
        <v>4452</v>
      </c>
      <c r="F794" s="4" t="s">
        <v>4453</v>
      </c>
      <c r="G794" s="5" t="str">
        <f>IFERROR(__xludf.DUMMYFUNCTION("GOOGLETRANSLATE(D794,""ca"",""es"")"),"camisa")</f>
        <v>camisa</v>
      </c>
    </row>
    <row r="795">
      <c r="A795" s="4">
        <v>693.0</v>
      </c>
      <c r="B795" s="4" t="s">
        <v>472</v>
      </c>
      <c r="C795" s="4"/>
      <c r="D795" s="4" t="s">
        <v>4454</v>
      </c>
      <c r="E795" s="4" t="s">
        <v>4419</v>
      </c>
      <c r="F795" s="4" t="s">
        <v>4418</v>
      </c>
      <c r="G795" s="5" t="str">
        <f>IFERROR(__xludf.DUMMYFUNCTION("GOOGLETRANSLATE(D795,""ca"",""es"")"),"tirano")</f>
        <v>tirano</v>
      </c>
      <c r="H795" s="4" t="s">
        <v>4455</v>
      </c>
      <c r="I795" s="4" t="s">
        <v>4456</v>
      </c>
      <c r="J795" s="4" t="s">
        <v>4457</v>
      </c>
      <c r="K795" s="4" t="s">
        <v>4458</v>
      </c>
      <c r="L795" s="4" t="s">
        <v>4459</v>
      </c>
    </row>
    <row r="796">
      <c r="A796" s="4">
        <v>694.0</v>
      </c>
      <c r="B796" s="4" t="s">
        <v>472</v>
      </c>
      <c r="C796" s="4"/>
      <c r="D796" s="4" t="s">
        <v>4460</v>
      </c>
      <c r="E796" s="4" t="s">
        <v>4461</v>
      </c>
      <c r="F796" s="4" t="s">
        <v>4462</v>
      </c>
      <c r="G796" s="5" t="str">
        <f>IFERROR(__xludf.DUMMYFUNCTION("GOOGLETRANSLATE(D796,""ca"",""es"")"),"tiránico")</f>
        <v>tiránico</v>
      </c>
    </row>
    <row r="797">
      <c r="A797" s="4">
        <v>695.0</v>
      </c>
      <c r="B797" s="4" t="s">
        <v>472</v>
      </c>
      <c r="C797" s="4"/>
      <c r="D797" s="4" t="s">
        <v>4463</v>
      </c>
      <c r="E797" s="4" t="s">
        <v>4464</v>
      </c>
      <c r="F797" s="4" t="s">
        <v>4463</v>
      </c>
      <c r="G797" s="5" t="str">
        <f>IFERROR(__xludf.DUMMYFUNCTION("GOOGLETRANSLATE(D797,""ca"",""es"")"),"tita")</f>
        <v>tita</v>
      </c>
    </row>
    <row r="798">
      <c r="A798" s="4">
        <v>696.0</v>
      </c>
      <c r="B798" s="4" t="s">
        <v>472</v>
      </c>
      <c r="C798" s="4"/>
      <c r="D798" s="4" t="s">
        <v>4465</v>
      </c>
      <c r="E798" s="4" t="s">
        <v>4466</v>
      </c>
      <c r="F798" s="4" t="s">
        <v>4465</v>
      </c>
      <c r="G798" s="5" t="str">
        <f>IFERROR(__xludf.DUMMYFUNCTION("GOOGLETRANSLATE(D798,""ca"",""es"")"),"titanio")</f>
        <v>titanio</v>
      </c>
      <c r="H798" s="4" t="s">
        <v>4467</v>
      </c>
      <c r="I798" s="4" t="s">
        <v>4468</v>
      </c>
      <c r="J798" s="4" t="s">
        <v>4469</v>
      </c>
    </row>
    <row r="799">
      <c r="A799" s="4">
        <v>697.0</v>
      </c>
      <c r="B799" s="4" t="s">
        <v>472</v>
      </c>
      <c r="C799" s="4"/>
      <c r="D799" s="4" t="s">
        <v>4470</v>
      </c>
      <c r="E799" s="4" t="s">
        <v>4471</v>
      </c>
      <c r="F799" s="4" t="s">
        <v>4470</v>
      </c>
      <c r="G799" s="5" t="str">
        <f>IFERROR(__xludf.DUMMYFUNCTION("GOOGLETRANSLATE(D799,""ca"",""es"")"),"calificar")</f>
        <v>calificar</v>
      </c>
    </row>
    <row r="800">
      <c r="A800" s="4">
        <v>698.0</v>
      </c>
      <c r="B800" s="4" t="s">
        <v>472</v>
      </c>
      <c r="C800" s="4"/>
      <c r="D800" s="4" t="s">
        <v>4472</v>
      </c>
      <c r="E800" s="4" t="s">
        <v>4471</v>
      </c>
      <c r="F800" s="4" t="s">
        <v>4470</v>
      </c>
      <c r="G800" s="5" t="str">
        <f>IFERROR(__xludf.DUMMYFUNCTION("GOOGLETRANSLATE(D800,""ca"",""es"")"),"titular")</f>
        <v>titular</v>
      </c>
      <c r="H800" s="4" t="s">
        <v>4473</v>
      </c>
      <c r="I800" s="4" t="s">
        <v>4474</v>
      </c>
      <c r="J800" s="4" t="s">
        <v>4475</v>
      </c>
      <c r="K800" s="4" t="s">
        <v>4476</v>
      </c>
      <c r="L800" s="4" t="s">
        <v>4477</v>
      </c>
    </row>
    <row r="801">
      <c r="A801" s="4">
        <v>699.0</v>
      </c>
      <c r="B801" s="4" t="s">
        <v>472</v>
      </c>
      <c r="C801" s="4"/>
      <c r="D801" s="4" t="s">
        <v>4472</v>
      </c>
      <c r="E801" s="4" t="s">
        <v>4478</v>
      </c>
      <c r="F801" s="4" t="s">
        <v>4472</v>
      </c>
      <c r="G801" s="5" t="str">
        <f>IFERROR(__xludf.DUMMYFUNCTION("GOOGLETRANSLATE(D801,""ca"",""es"")"),"titular")</f>
        <v>titular</v>
      </c>
      <c r="H801" s="4" t="s">
        <v>4473</v>
      </c>
      <c r="I801" s="4" t="s">
        <v>4474</v>
      </c>
      <c r="J801" s="4" t="s">
        <v>4475</v>
      </c>
      <c r="K801" s="4" t="s">
        <v>4476</v>
      </c>
      <c r="L801" s="4" t="s">
        <v>4477</v>
      </c>
    </row>
    <row r="802">
      <c r="A802" s="4">
        <v>700.0</v>
      </c>
      <c r="B802" s="4" t="s">
        <v>472</v>
      </c>
      <c r="C802" s="4"/>
      <c r="D802" s="4" t="s">
        <v>4479</v>
      </c>
      <c r="E802" s="4" t="s">
        <v>4480</v>
      </c>
      <c r="F802" s="4" t="s">
        <v>4481</v>
      </c>
      <c r="G802" s="5" t="str">
        <f>IFERROR(__xludf.DUMMYFUNCTION("GOOGLETRANSLATE(D802,""ca"",""es"")"),"título")</f>
        <v>título</v>
      </c>
    </row>
    <row r="803">
      <c r="A803" s="4">
        <v>701.0</v>
      </c>
      <c r="B803" s="4" t="s">
        <v>472</v>
      </c>
      <c r="C803" s="4"/>
      <c r="D803" s="4" t="s">
        <v>4482</v>
      </c>
      <c r="E803" s="4" t="s">
        <v>4464</v>
      </c>
      <c r="F803" s="4" t="s">
        <v>4463</v>
      </c>
      <c r="G803" s="5" t="str">
        <f>IFERROR(__xludf.DUMMYFUNCTION("GOOGLETRANSLATE(D803,""ca"",""es"")"),"tatán")</f>
        <v>tatán</v>
      </c>
      <c r="H803" s="4" t="s">
        <v>4483</v>
      </c>
      <c r="I803" s="4" t="s">
        <v>4484</v>
      </c>
      <c r="J803" s="4" t="s">
        <v>4485</v>
      </c>
      <c r="K803" s="4" t="s">
        <v>432</v>
      </c>
      <c r="L803" s="4" t="s">
        <v>434</v>
      </c>
      <c r="M803" s="4" t="s">
        <v>431</v>
      </c>
      <c r="N803" s="4" t="s">
        <v>432</v>
      </c>
      <c r="O803" s="4" t="s">
        <v>4486</v>
      </c>
      <c r="P803" s="4" t="s">
        <v>4485</v>
      </c>
      <c r="Q803" s="4" t="s">
        <v>4487</v>
      </c>
      <c r="R803" s="4" t="s">
        <v>4484</v>
      </c>
    </row>
    <row r="804">
      <c r="A804" s="4">
        <v>702.0</v>
      </c>
      <c r="B804" s="4" t="s">
        <v>472</v>
      </c>
      <c r="C804" s="4"/>
      <c r="D804" s="4" t="s">
        <v>4488</v>
      </c>
      <c r="E804" s="4" t="s">
        <v>4489</v>
      </c>
      <c r="F804" s="4" t="s">
        <v>4490</v>
      </c>
      <c r="G804" s="5" t="str">
        <f>IFERROR(__xludf.DUMMYFUNCTION("GOOGLETRANSLATE(D804,""ca"",""es"")"),"titina")</f>
        <v>titina</v>
      </c>
      <c r="H804" s="4" t="s">
        <v>4490</v>
      </c>
      <c r="I804" s="4" t="s">
        <v>4491</v>
      </c>
    </row>
    <row r="805">
      <c r="A805" s="4">
        <v>703.0</v>
      </c>
      <c r="B805" s="4" t="s">
        <v>472</v>
      </c>
      <c r="C805" s="4"/>
      <c r="D805" s="4" t="s">
        <v>4492</v>
      </c>
      <c r="E805" s="4" t="s">
        <v>4493</v>
      </c>
      <c r="F805" s="4" t="s">
        <v>4494</v>
      </c>
      <c r="G805" s="5" t="str">
        <f>IFERROR(__xludf.DUMMYFUNCTION("GOOGLETRANSLATE(D805,""ca"",""es"")"),"tocar")</f>
        <v>tocar</v>
      </c>
      <c r="H805" s="4" t="s">
        <v>4495</v>
      </c>
      <c r="I805" s="4" t="s">
        <v>3712</v>
      </c>
      <c r="J805" s="4" t="s">
        <v>1436</v>
      </c>
      <c r="K805" s="4" t="s">
        <v>3712</v>
      </c>
      <c r="L805" s="4" t="s">
        <v>4496</v>
      </c>
      <c r="M805" s="4" t="s">
        <v>3993</v>
      </c>
      <c r="N805" s="4" t="s">
        <v>3994</v>
      </c>
      <c r="O805" s="4" t="s">
        <v>4497</v>
      </c>
      <c r="P805" s="4" t="s">
        <v>4498</v>
      </c>
      <c r="Q805" s="4" t="s">
        <v>3994</v>
      </c>
      <c r="R805" s="4" t="s">
        <v>4499</v>
      </c>
      <c r="S805" s="4" t="s">
        <v>3994</v>
      </c>
      <c r="T805" s="4" t="s">
        <v>3994</v>
      </c>
      <c r="U805" s="4" t="s">
        <v>3712</v>
      </c>
      <c r="V805" s="4" t="s">
        <v>4080</v>
      </c>
      <c r="W805" s="4" t="s">
        <v>4081</v>
      </c>
      <c r="X805" s="4" t="s">
        <v>4080</v>
      </c>
      <c r="Y805" s="4" t="s">
        <v>4085</v>
      </c>
      <c r="Z805" s="4" t="s">
        <v>4086</v>
      </c>
      <c r="AA805" s="4" t="s">
        <v>4087</v>
      </c>
      <c r="AB805" s="4" t="s">
        <v>4088</v>
      </c>
      <c r="AC805" s="4" t="s">
        <v>4089</v>
      </c>
      <c r="AD805" s="4" t="s">
        <v>4090</v>
      </c>
      <c r="AE805" s="4" t="s">
        <v>4091</v>
      </c>
      <c r="AF805" s="4" t="s">
        <v>4500</v>
      </c>
      <c r="AG805" s="4" t="s">
        <v>4092</v>
      </c>
      <c r="AH805" s="4" t="s">
        <v>4080</v>
      </c>
      <c r="AI805" s="4" t="s">
        <v>4501</v>
      </c>
      <c r="AJ805" s="4" t="s">
        <v>4502</v>
      </c>
      <c r="AK805" s="4" t="s">
        <v>4502</v>
      </c>
      <c r="AL805" s="4" t="s">
        <v>637</v>
      </c>
      <c r="AM805" s="4" t="s">
        <v>3423</v>
      </c>
      <c r="AN805" s="4" t="s">
        <v>4503</v>
      </c>
      <c r="AO805" s="4" t="s">
        <v>3712</v>
      </c>
    </row>
    <row r="806">
      <c r="A806" s="4">
        <v>704.0</v>
      </c>
      <c r="B806" s="4" t="s">
        <v>472</v>
      </c>
      <c r="C806" s="4"/>
      <c r="D806" s="4" t="s">
        <v>4504</v>
      </c>
      <c r="E806" s="4" t="s">
        <v>4493</v>
      </c>
      <c r="F806" s="4" t="s">
        <v>4494</v>
      </c>
      <c r="G806" s="5" t="str">
        <f>IFERROR(__xludf.DUMMYFUNCTION("GOOGLETRANSLATE(D806,""ca"",""es"")"),"tocar")</f>
        <v>tocar</v>
      </c>
    </row>
    <row r="807">
      <c r="A807" s="4">
        <v>705.0</v>
      </c>
      <c r="B807" s="4" t="s">
        <v>472</v>
      </c>
      <c r="C807" s="4"/>
      <c r="D807" s="4" t="s">
        <v>4505</v>
      </c>
      <c r="E807" s="4" t="s">
        <v>4506</v>
      </c>
      <c r="F807" s="4" t="s">
        <v>4507</v>
      </c>
      <c r="G807" s="5" t="str">
        <f>IFERROR(__xludf.DUMMYFUNCTION("GOOGLETRANSLATE(D807,""ca"",""es"")"),"Thomas")</f>
        <v>Thomas</v>
      </c>
    </row>
    <row r="808">
      <c r="A808" s="4">
        <v>706.0</v>
      </c>
      <c r="B808" s="4" t="s">
        <v>472</v>
      </c>
      <c r="C808" s="4"/>
      <c r="D808" s="4" t="s">
        <v>4508</v>
      </c>
      <c r="E808" s="4" t="s">
        <v>4509</v>
      </c>
      <c r="F808" s="4" t="s">
        <v>4510</v>
      </c>
      <c r="G808" s="5" t="str">
        <f>IFERROR(__xludf.DUMMYFUNCTION("GOOGLETRANSLATE(D808,""ca"",""es"")"),"gorra")</f>
        <v>gorra</v>
      </c>
      <c r="H808" s="4" t="s">
        <v>1375</v>
      </c>
      <c r="I808" s="4" t="s">
        <v>945</v>
      </c>
    </row>
    <row r="809">
      <c r="A809" s="4">
        <v>707.0</v>
      </c>
      <c r="B809" s="4" t="s">
        <v>472</v>
      </c>
      <c r="C809" s="4"/>
      <c r="D809" s="4" t="s">
        <v>4511</v>
      </c>
      <c r="E809" s="4" t="s">
        <v>4512</v>
      </c>
      <c r="F809" s="4" t="s">
        <v>4513</v>
      </c>
      <c r="G809" s="5" t="str">
        <f>IFERROR(__xludf.DUMMYFUNCTION("GOOGLETRANSLATE(D809,""ca"",""es"")"),"correr")</f>
        <v>correr</v>
      </c>
      <c r="H809" s="4" t="s">
        <v>903</v>
      </c>
      <c r="I809" s="4" t="s">
        <v>856</v>
      </c>
      <c r="J809" s="4" t="s">
        <v>1605</v>
      </c>
      <c r="K809" s="4" t="s">
        <v>4514</v>
      </c>
      <c r="L809" s="4" t="s">
        <v>4515</v>
      </c>
      <c r="M809" s="4" t="s">
        <v>777</v>
      </c>
      <c r="N809" s="4" t="s">
        <v>4515</v>
      </c>
      <c r="O809" s="4" t="s">
        <v>943</v>
      </c>
      <c r="P809" s="4" t="s">
        <v>4516</v>
      </c>
      <c r="Q809" s="4" t="s">
        <v>4515</v>
      </c>
      <c r="R809" s="4" t="s">
        <v>4515</v>
      </c>
      <c r="S809" s="4" t="s">
        <v>856</v>
      </c>
      <c r="T809" s="4" t="s">
        <v>903</v>
      </c>
      <c r="U809" s="4" t="s">
        <v>4517</v>
      </c>
      <c r="V809" s="4" t="s">
        <v>4518</v>
      </c>
      <c r="W809" s="4" t="s">
        <v>4519</v>
      </c>
      <c r="X809" s="4" t="s">
        <v>4520</v>
      </c>
    </row>
    <row r="810">
      <c r="A810" s="4">
        <v>708.0</v>
      </c>
      <c r="B810" s="4" t="s">
        <v>472</v>
      </c>
      <c r="C810" s="4"/>
      <c r="D810" s="4" t="s">
        <v>4521</v>
      </c>
      <c r="E810" s="4" t="s">
        <v>4522</v>
      </c>
      <c r="F810" s="4" t="s">
        <v>4523</v>
      </c>
      <c r="G810" s="5" t="str">
        <f>IFERROR(__xludf.DUMMYFUNCTION("GOOGLETRANSLATE(D810,""ca"",""es"")"),"borde")</f>
        <v>borde</v>
      </c>
    </row>
    <row r="811">
      <c r="A811" s="4">
        <v>709.0</v>
      </c>
      <c r="B811" s="4" t="s">
        <v>472</v>
      </c>
      <c r="C811" s="4"/>
      <c r="D811" s="4" t="s">
        <v>4524</v>
      </c>
      <c r="E811" s="4" t="s">
        <v>4525</v>
      </c>
      <c r="F811" s="4" t="s">
        <v>4526</v>
      </c>
      <c r="G811" s="5" t="str">
        <f>IFERROR(__xludf.DUMMYFUNCTION("GOOGLETRANSLATE(D811,""ca"",""es"")"),"Tora")</f>
        <v>Tora</v>
      </c>
    </row>
    <row r="812">
      <c r="A812" s="4">
        <v>710.0</v>
      </c>
      <c r="B812" s="4" t="s">
        <v>472</v>
      </c>
      <c r="C812" s="4"/>
      <c r="D812" s="4" t="s">
        <v>4527</v>
      </c>
      <c r="E812" s="4" t="s">
        <v>4528</v>
      </c>
      <c r="F812" s="4" t="s">
        <v>4529</v>
      </c>
      <c r="G812" s="5" t="str">
        <f>IFERROR(__xludf.DUMMYFUNCTION("GOOGLETRANSLATE(D812,""ca"",""es"")"),"torácico")</f>
        <v>torácico</v>
      </c>
    </row>
    <row r="813">
      <c r="A813" s="4">
        <v>711.0</v>
      </c>
      <c r="B813" s="4" t="s">
        <v>472</v>
      </c>
      <c r="C813" s="4"/>
      <c r="D813" s="4" t="s">
        <v>4530</v>
      </c>
      <c r="E813" s="4" t="s">
        <v>4531</v>
      </c>
      <c r="F813" s="4" t="s">
        <v>4532</v>
      </c>
      <c r="G813" s="5" t="str">
        <f>IFERROR(__xludf.DUMMYFUNCTION("GOOGLETRANSLATE(D813,""ca"",""es"")"),"Turina")</f>
        <v>Turina</v>
      </c>
    </row>
    <row r="814">
      <c r="A814" s="4">
        <v>712.0</v>
      </c>
      <c r="B814" s="4" t="s">
        <v>472</v>
      </c>
      <c r="C814" s="4"/>
      <c r="D814" s="4" t="s">
        <v>4533</v>
      </c>
      <c r="E814" s="4" t="s">
        <v>4534</v>
      </c>
      <c r="F814" s="4" t="s">
        <v>4535</v>
      </c>
      <c r="G814" s="5" t="str">
        <f>IFERROR(__xludf.DUMMYFUNCTION("GOOGLETRANSLATE(D814,""ca"",""es"")"),"Cerro")</f>
        <v>Cerro</v>
      </c>
      <c r="H814" s="4" t="s">
        <v>4536</v>
      </c>
    </row>
    <row r="815">
      <c r="A815" s="4">
        <v>713.0</v>
      </c>
      <c r="B815" s="4" t="s">
        <v>472</v>
      </c>
      <c r="C815" s="4"/>
      <c r="D815" s="4" t="s">
        <v>4537</v>
      </c>
      <c r="E815" s="4" t="s">
        <v>4538</v>
      </c>
      <c r="F815" s="4" t="s">
        <v>4539</v>
      </c>
      <c r="G815" s="5" t="str">
        <f>IFERROR(__xludf.DUMMYFUNCTION("GOOGLETRANSLATE(D815,""ca"",""es"")"),"tos")</f>
        <v>tos</v>
      </c>
      <c r="H815" s="4" t="s">
        <v>4540</v>
      </c>
    </row>
    <row r="816">
      <c r="A816" s="4">
        <v>714.0</v>
      </c>
      <c r="B816" s="4" t="s">
        <v>472</v>
      </c>
      <c r="C816" s="4"/>
      <c r="D816" s="4" t="s">
        <v>4125</v>
      </c>
      <c r="E816" s="4" t="s">
        <v>4541</v>
      </c>
      <c r="F816" s="4" t="s">
        <v>4542</v>
      </c>
      <c r="G816" s="5" t="str">
        <f>IFERROR(__xludf.DUMMYFUNCTION("GOOGLETRANSLATE(D816,""ca"",""es"")"),"total")</f>
        <v>total</v>
      </c>
      <c r="H816" s="4" t="s">
        <v>4543</v>
      </c>
      <c r="I816" s="4" t="s">
        <v>4544</v>
      </c>
      <c r="J816" s="4" t="s">
        <v>4405</v>
      </c>
      <c r="K816" s="4" t="s">
        <v>4125</v>
      </c>
      <c r="L816" s="4" t="s">
        <v>4405</v>
      </c>
      <c r="M816" s="4" t="s">
        <v>4125</v>
      </c>
      <c r="N816" s="4" t="s">
        <v>4545</v>
      </c>
      <c r="O816" s="4" t="s">
        <v>4546</v>
      </c>
      <c r="P816" s="4" t="s">
        <v>4547</v>
      </c>
      <c r="Q816" s="4" t="s">
        <v>4548</v>
      </c>
      <c r="R816" s="4" t="s">
        <v>4549</v>
      </c>
      <c r="S816" s="4" t="s">
        <v>4550</v>
      </c>
      <c r="T816" s="4" t="s">
        <v>4551</v>
      </c>
      <c r="U816" s="4" t="s">
        <v>4552</v>
      </c>
      <c r="V816" s="4" t="s">
        <v>4123</v>
      </c>
      <c r="W816" s="4" t="s">
        <v>4125</v>
      </c>
      <c r="X816" s="4" t="s">
        <v>4553</v>
      </c>
      <c r="Y816" s="4" t="s">
        <v>4554</v>
      </c>
      <c r="Z816" s="4" t="s">
        <v>4123</v>
      </c>
      <c r="AA816" s="4" t="s">
        <v>4124</v>
      </c>
      <c r="AB816" s="4" t="s">
        <v>4125</v>
      </c>
    </row>
    <row r="817">
      <c r="A817" s="4">
        <v>715.0</v>
      </c>
      <c r="B817" s="4" t="s">
        <v>472</v>
      </c>
      <c r="C817" s="4"/>
      <c r="D817" s="4" t="s">
        <v>4555</v>
      </c>
      <c r="E817" s="4" t="s">
        <v>4556</v>
      </c>
      <c r="F817" s="4" t="s">
        <v>4555</v>
      </c>
      <c r="G817" s="5" t="str">
        <f>IFERROR(__xludf.DUMMYFUNCTION("GOOGLETRANSLATE(D817,""ca"",""es"")"),"tú")</f>
        <v>tú</v>
      </c>
    </row>
    <row r="818">
      <c r="A818" s="4">
        <v>716.0</v>
      </c>
      <c r="B818" s="4" t="s">
        <v>472</v>
      </c>
      <c r="C818" s="4"/>
      <c r="D818" s="4" t="s">
        <v>4557</v>
      </c>
      <c r="E818" s="4" t="s">
        <v>4558</v>
      </c>
      <c r="F818" s="4" t="s">
        <v>4559</v>
      </c>
      <c r="G818" s="5" t="str">
        <f>IFERROR(__xludf.DUMMYFUNCTION("GOOGLETRANSLATE(D818,""ca"",""es"")"),"tubo")</f>
        <v>tubo</v>
      </c>
      <c r="H818" s="4" t="s">
        <v>4560</v>
      </c>
      <c r="I818" s="4" t="s">
        <v>3555</v>
      </c>
      <c r="J818" s="4" t="s">
        <v>4561</v>
      </c>
      <c r="K818" s="4" t="s">
        <v>4562</v>
      </c>
      <c r="L818" s="4" t="s">
        <v>4563</v>
      </c>
      <c r="M818" s="4" t="s">
        <v>4562</v>
      </c>
      <c r="N818" s="4" t="s">
        <v>4564</v>
      </c>
      <c r="O818" s="4" t="s">
        <v>3555</v>
      </c>
      <c r="P818" s="4" t="s">
        <v>4562</v>
      </c>
    </row>
    <row r="819">
      <c r="A819" s="4">
        <v>717.0</v>
      </c>
      <c r="B819" s="4" t="s">
        <v>472</v>
      </c>
      <c r="C819" s="4"/>
      <c r="D819" s="4" t="s">
        <v>4565</v>
      </c>
      <c r="E819" s="4" t="s">
        <v>4493</v>
      </c>
      <c r="F819" s="4" t="s">
        <v>4494</v>
      </c>
      <c r="G819" s="5" t="str">
        <f>IFERROR(__xludf.DUMMYFUNCTION("GOOGLETRANSLATE(D819,""ca"",""es"")"),"tucán")</f>
        <v>tucán</v>
      </c>
      <c r="H819" s="4" t="s">
        <v>4566</v>
      </c>
    </row>
    <row r="820">
      <c r="A820" s="4">
        <v>718.0</v>
      </c>
      <c r="B820" s="4" t="s">
        <v>472</v>
      </c>
      <c r="C820" s="4"/>
      <c r="D820" s="4" t="s">
        <v>4567</v>
      </c>
      <c r="E820" s="4" t="s">
        <v>4568</v>
      </c>
      <c r="F820" s="4" t="s">
        <v>4567</v>
      </c>
      <c r="G820" s="5" t="str">
        <f>IFERROR(__xludf.DUMMYFUNCTION("GOOGLETRANSLATE(D820,""ca"",""es"")"),"tui")</f>
        <v>tui</v>
      </c>
      <c r="H820" s="4" t="s">
        <v>4569</v>
      </c>
      <c r="I820" s="4" t="s">
        <v>4570</v>
      </c>
      <c r="J820" s="4" t="s">
        <v>4571</v>
      </c>
    </row>
    <row r="821">
      <c r="A821" s="4">
        <v>719.0</v>
      </c>
      <c r="B821" s="4" t="s">
        <v>472</v>
      </c>
      <c r="C821" s="4"/>
      <c r="D821" s="4" t="s">
        <v>4572</v>
      </c>
      <c r="E821" s="4" t="s">
        <v>4512</v>
      </c>
      <c r="F821" s="4" t="s">
        <v>4513</v>
      </c>
      <c r="G821" s="5" t="str">
        <f>IFERROR(__xludf.DUMMYFUNCTION("GOOGLETRANSLATE(D821,""ca"",""es"")"),"tubo")</f>
        <v>tubo</v>
      </c>
    </row>
    <row r="822">
      <c r="A822" s="4">
        <v>720.0</v>
      </c>
      <c r="B822" s="4" t="s">
        <v>472</v>
      </c>
      <c r="C822" s="4"/>
      <c r="D822" s="4" t="s">
        <v>4572</v>
      </c>
      <c r="E822" s="4" t="s">
        <v>4573</v>
      </c>
      <c r="F822" s="4" t="s">
        <v>4572</v>
      </c>
      <c r="G822" s="5" t="str">
        <f>IFERROR(__xludf.DUMMYFUNCTION("GOOGLETRANSLATE(D822,""ca"",""es"")"),"tubo")</f>
        <v>tubo</v>
      </c>
    </row>
    <row r="823">
      <c r="A823" s="4">
        <v>721.0</v>
      </c>
      <c r="B823" s="4" t="s">
        <v>472</v>
      </c>
      <c r="C823" s="4"/>
      <c r="D823" s="4" t="s">
        <v>4574</v>
      </c>
      <c r="E823" s="4" t="s">
        <v>4522</v>
      </c>
      <c r="F823" s="4" t="s">
        <v>4523</v>
      </c>
      <c r="G823" s="5" t="str">
        <f>IFERROR(__xludf.DUMMYFUNCTION("GOOGLETRANSLATE(D823,""ca"",""es"")"),"Tupi")</f>
        <v>Tupi</v>
      </c>
    </row>
    <row r="824">
      <c r="A824" s="4">
        <v>722.0</v>
      </c>
      <c r="B824" s="4" t="s">
        <v>472</v>
      </c>
      <c r="C824" s="4"/>
      <c r="D824" s="4" t="s">
        <v>4575</v>
      </c>
      <c r="E824" s="4" t="s">
        <v>4576</v>
      </c>
      <c r="F824" s="4" t="s">
        <v>4575</v>
      </c>
      <c r="G824" s="5" t="str">
        <f>IFERROR(__xludf.DUMMYFUNCTION("GOOGLETRANSLATE(D824,""ca"",""es"")"),"teja")</f>
        <v>teja</v>
      </c>
    </row>
    <row r="825">
      <c r="A825" s="4">
        <v>723.0</v>
      </c>
      <c r="B825" s="4" t="s">
        <v>472</v>
      </c>
      <c r="C825" s="4"/>
      <c r="D825" s="4" t="s">
        <v>4577</v>
      </c>
      <c r="E825" s="4" t="s">
        <v>4578</v>
      </c>
      <c r="F825" s="4" t="s">
        <v>4579</v>
      </c>
      <c r="G825" s="5" t="str">
        <f>IFERROR(__xludf.DUMMYFUNCTION("GOOGLETRANSLATE(D825,""ca"",""es"")"),"tutú")</f>
        <v>tutú</v>
      </c>
      <c r="H825" s="4" t="s">
        <v>4580</v>
      </c>
      <c r="I825" s="4" t="s">
        <v>4579</v>
      </c>
    </row>
    <row r="826">
      <c r="A826" s="4">
        <v>724.0</v>
      </c>
      <c r="B826" s="4" t="s">
        <v>472</v>
      </c>
      <c r="C826" s="4"/>
      <c r="D826" s="4" t="s">
        <v>4581</v>
      </c>
      <c r="E826" s="4" t="s">
        <v>4582</v>
      </c>
      <c r="F826" s="4" t="s">
        <v>4583</v>
      </c>
      <c r="G826" s="5" t="str">
        <f>IFERROR(__xludf.DUMMYFUNCTION("GOOGLETRANSLATE(D826,""ca"",""es"")"),"tácito")</f>
        <v>tácito</v>
      </c>
    </row>
    <row r="827">
      <c r="A827" s="4">
        <v>725.0</v>
      </c>
      <c r="B827" s="4" t="s">
        <v>472</v>
      </c>
      <c r="C827" s="4"/>
      <c r="D827" s="4" t="s">
        <v>4584</v>
      </c>
      <c r="E827" s="4" t="s">
        <v>4585</v>
      </c>
      <c r="F827" s="4" t="s">
        <v>4586</v>
      </c>
      <c r="G827" s="5" t="str">
        <f>IFERROR(__xludf.DUMMYFUNCTION("GOOGLETRANSLATE(D827,""ca"",""es"")"),"típico")</f>
        <v>típico</v>
      </c>
      <c r="H827" s="4" t="s">
        <v>4587</v>
      </c>
      <c r="I827" s="4" t="s">
        <v>4588</v>
      </c>
      <c r="J827" s="4" t="s">
        <v>4589</v>
      </c>
      <c r="K827" s="4" t="s">
        <v>4589</v>
      </c>
      <c r="L827" s="4" t="s">
        <v>4590</v>
      </c>
      <c r="M827" s="4" t="s">
        <v>4591</v>
      </c>
      <c r="N827" s="4" t="s">
        <v>4592</v>
      </c>
    </row>
    <row r="828">
      <c r="A828" s="4">
        <v>726.0</v>
      </c>
      <c r="B828" s="4" t="s">
        <v>472</v>
      </c>
      <c r="C828" s="4"/>
      <c r="D828" s="4" t="s">
        <v>4593</v>
      </c>
      <c r="E828" s="4" t="s">
        <v>4594</v>
      </c>
      <c r="F828" s="4" t="s">
        <v>4595</v>
      </c>
      <c r="G828" s="5" t="str">
        <f>IFERROR(__xludf.DUMMYFUNCTION("GOOGLETRANSLATE(D828,""ca"",""es"")"),"típico")</f>
        <v>típico</v>
      </c>
    </row>
    <row r="829">
      <c r="A829" s="4">
        <v>727.0</v>
      </c>
      <c r="B829" s="4" t="s">
        <v>472</v>
      </c>
      <c r="C829" s="4"/>
      <c r="D829" s="4" t="s">
        <v>4596</v>
      </c>
      <c r="E829" s="4" t="s">
        <v>4597</v>
      </c>
      <c r="F829" s="4" t="s">
        <v>4598</v>
      </c>
      <c r="G829" s="5" t="str">
        <f>IFERROR(__xludf.DUMMYFUNCTION("GOOGLETRANSLATE(D829,""ca"",""es"")"),"título")</f>
        <v>título</v>
      </c>
      <c r="H829" s="4" t="s">
        <v>4599</v>
      </c>
      <c r="I829" s="4" t="s">
        <v>4600</v>
      </c>
      <c r="J829" s="4" t="s">
        <v>4601</v>
      </c>
      <c r="K829" s="4" t="s">
        <v>4599</v>
      </c>
      <c r="L829" s="4" t="s">
        <v>4599</v>
      </c>
      <c r="M829" s="4" t="s">
        <v>4602</v>
      </c>
      <c r="N829" s="4" t="s">
        <v>4603</v>
      </c>
    </row>
    <row r="830">
      <c r="A830" s="4">
        <v>728.0</v>
      </c>
      <c r="B830" s="4" t="s">
        <v>472</v>
      </c>
      <c r="C830" s="4"/>
      <c r="D830" s="4" t="s">
        <v>4604</v>
      </c>
      <c r="E830" s="4" t="s">
        <v>4605</v>
      </c>
      <c r="F830" s="4" t="s">
        <v>4606</v>
      </c>
      <c r="G830" s="5" t="str">
        <f>IFERROR(__xludf.DUMMYFUNCTION("GOOGLETRANSLATE(D830,""ca"",""es"")"),"montículo")</f>
        <v>montículo</v>
      </c>
    </row>
    <row r="831">
      <c r="A831" s="4">
        <v>729.0</v>
      </c>
      <c r="B831" s="4" t="s">
        <v>472</v>
      </c>
      <c r="C831" s="4"/>
      <c r="D831" s="4" t="s">
        <v>4607</v>
      </c>
      <c r="E831" s="4" t="s">
        <v>4608</v>
      </c>
      <c r="F831" s="4" t="s">
        <v>4609</v>
      </c>
      <c r="G831" s="5" t="str">
        <f>IFERROR(__xludf.DUMMYFUNCTION("GOOGLETRANSLATE(D831,""ca"",""es"")"),"túnica")</f>
        <v>túnica</v>
      </c>
      <c r="H831" s="4" t="s">
        <v>4610</v>
      </c>
      <c r="I831" s="4" t="s">
        <v>4610</v>
      </c>
      <c r="J831" s="4" t="s">
        <v>4611</v>
      </c>
      <c r="K831" s="4" t="s">
        <v>4612</v>
      </c>
    </row>
    <row r="832">
      <c r="A832" s="4">
        <v>730.0</v>
      </c>
      <c r="B832" s="4" t="s">
        <v>472</v>
      </c>
      <c r="C832" s="4"/>
      <c r="D832" s="4" t="s">
        <v>4613</v>
      </c>
      <c r="E832" s="4" t="s">
        <v>4614</v>
      </c>
      <c r="F832" s="4" t="s">
        <v>4615</v>
      </c>
      <c r="G832" s="5" t="str">
        <f>IFERROR(__xludf.DUMMYFUNCTION("GOOGLETRANSLATE(D832,""ca"",""es"")"),"IDE")</f>
        <v>IDE</v>
      </c>
    </row>
    <row r="833">
      <c r="A833" s="4">
        <v>731.0</v>
      </c>
      <c r="B833" s="4" t="s">
        <v>472</v>
      </c>
      <c r="C833" s="4"/>
      <c r="D833" s="4" t="s">
        <v>4616</v>
      </c>
      <c r="E833" s="4" t="s">
        <v>3093</v>
      </c>
      <c r="F833" s="4" t="s">
        <v>3094</v>
      </c>
      <c r="G833" s="5" t="str">
        <f>IFERROR(__xludf.DUMMYFUNCTION("GOOGLETRANSLATE(D833,""ca"",""es"")"),"ucàs")</f>
        <v>ucàs</v>
      </c>
    </row>
    <row r="834">
      <c r="A834" s="4">
        <v>732.0</v>
      </c>
      <c r="B834" s="4" t="s">
        <v>472</v>
      </c>
      <c r="C834" s="4"/>
      <c r="D834" s="4" t="s">
        <v>4617</v>
      </c>
      <c r="E834" s="4" t="s">
        <v>4618</v>
      </c>
      <c r="F834" s="4" t="s">
        <v>4617</v>
      </c>
      <c r="G834" s="5" t="str">
        <f>IFERROR(__xludf.DUMMYFUNCTION("GOOGLETRANSLATE(D834,""ca"",""es"")"),"ojo")</f>
        <v>ojo</v>
      </c>
      <c r="H834" s="4" t="s">
        <v>4619</v>
      </c>
      <c r="I834" s="4" t="s">
        <v>4619</v>
      </c>
      <c r="J834" s="4" t="s">
        <v>4620</v>
      </c>
      <c r="K834" s="4" t="s">
        <v>3072</v>
      </c>
      <c r="L834" s="4" t="s">
        <v>4619</v>
      </c>
      <c r="M834" s="4" t="s">
        <v>4621</v>
      </c>
      <c r="N834" s="4" t="s">
        <v>4622</v>
      </c>
      <c r="O834" s="4" t="s">
        <v>4623</v>
      </c>
      <c r="P834" s="4" t="s">
        <v>4624</v>
      </c>
      <c r="Q834" s="4" t="s">
        <v>4619</v>
      </c>
    </row>
    <row r="835">
      <c r="A835" s="4">
        <v>733.0</v>
      </c>
      <c r="B835" s="4" t="s">
        <v>472</v>
      </c>
      <c r="C835" s="4"/>
      <c r="D835" s="4" t="s">
        <v>4625</v>
      </c>
      <c r="E835" s="4" t="s">
        <v>4626</v>
      </c>
      <c r="F835" s="4" t="s">
        <v>4625</v>
      </c>
      <c r="G835" s="5" t="str">
        <f>IFERROR(__xludf.DUMMYFUNCTION("GOOGLETRANSLATE(D835,""ca"",""es"")"),"colmillo")</f>
        <v>colmillo</v>
      </c>
      <c r="H835" s="4" t="s">
        <v>4627</v>
      </c>
      <c r="I835" s="4" t="s">
        <v>4628</v>
      </c>
      <c r="J835" s="4" t="s">
        <v>4629</v>
      </c>
      <c r="K835" s="4" t="s">
        <v>4630</v>
      </c>
      <c r="L835" s="4" t="s">
        <v>4631</v>
      </c>
      <c r="M835" s="4" t="s">
        <v>4632</v>
      </c>
      <c r="N835" s="4" t="s">
        <v>4633</v>
      </c>
      <c r="O835" s="4" t="s">
        <v>4634</v>
      </c>
    </row>
    <row r="836">
      <c r="A836" s="4">
        <v>734.0</v>
      </c>
      <c r="B836" s="4" t="s">
        <v>472</v>
      </c>
      <c r="C836" s="4"/>
      <c r="D836" s="4" t="s">
        <v>1860</v>
      </c>
      <c r="E836" s="4" t="s">
        <v>1859</v>
      </c>
      <c r="F836" s="4" t="s">
        <v>1860</v>
      </c>
      <c r="G836" s="5" t="str">
        <f>IFERROR(__xludf.DUMMYFUNCTION("GOOGLETRANSLATE(D836,""ca"",""es"")"),"desnudo")</f>
        <v>desnudo</v>
      </c>
      <c r="H836" s="4" t="s">
        <v>4635</v>
      </c>
      <c r="I836" s="4" t="s">
        <v>4635</v>
      </c>
      <c r="J836" s="4">
        <v>1.0</v>
      </c>
      <c r="K836" s="4" t="s">
        <v>4636</v>
      </c>
      <c r="L836" s="4" t="s">
        <v>4637</v>
      </c>
    </row>
    <row r="837">
      <c r="A837" s="4">
        <v>735.0</v>
      </c>
      <c r="B837" s="4" t="s">
        <v>472</v>
      </c>
      <c r="C837" s="4"/>
      <c r="D837" s="4" t="s">
        <v>1864</v>
      </c>
      <c r="E837" s="4" t="s">
        <v>1863</v>
      </c>
      <c r="F837" s="4" t="s">
        <v>1864</v>
      </c>
      <c r="G837" s="5" t="str">
        <f>IFERROR(__xludf.DUMMYFUNCTION("GOOGLETRANSLATE(D837,""ca"",""es"")"),"a")</f>
        <v>a</v>
      </c>
    </row>
    <row r="838">
      <c r="A838" s="4">
        <v>736.0</v>
      </c>
      <c r="B838" s="4" t="s">
        <v>472</v>
      </c>
      <c r="C838" s="4"/>
      <c r="D838" s="4" t="s">
        <v>4638</v>
      </c>
      <c r="E838" s="4" t="s">
        <v>4639</v>
      </c>
      <c r="F838" s="4" t="s">
        <v>4640</v>
      </c>
      <c r="G838" s="5" t="str">
        <f>IFERROR(__xludf.DUMMYFUNCTION("GOOGLETRANSLATE(D838,""ca"",""es"")"),"unir")</f>
        <v>unir</v>
      </c>
      <c r="H838" s="4" t="s">
        <v>4641</v>
      </c>
      <c r="I838" s="4" t="s">
        <v>4642</v>
      </c>
      <c r="J838" s="4" t="s">
        <v>4643</v>
      </c>
      <c r="K838" s="4" t="s">
        <v>4644</v>
      </c>
      <c r="L838" s="4" t="s">
        <v>4645</v>
      </c>
      <c r="M838" s="4" t="s">
        <v>4646</v>
      </c>
      <c r="N838" s="4" t="s">
        <v>4645</v>
      </c>
      <c r="O838" s="4" t="s">
        <v>4644</v>
      </c>
      <c r="P838" s="4" t="s">
        <v>4646</v>
      </c>
      <c r="Q838" s="4" t="s">
        <v>4647</v>
      </c>
      <c r="R838" s="4" t="s">
        <v>4648</v>
      </c>
      <c r="S838" s="4" t="s">
        <v>4649</v>
      </c>
      <c r="T838" s="4" t="s">
        <v>4650</v>
      </c>
      <c r="U838" s="4" t="s">
        <v>4649</v>
      </c>
      <c r="V838" s="4" t="s">
        <v>4651</v>
      </c>
      <c r="W838" s="4" t="s">
        <v>4652</v>
      </c>
      <c r="X838" s="4" t="s">
        <v>3048</v>
      </c>
      <c r="Y838" s="4" t="s">
        <v>3050</v>
      </c>
      <c r="Z838" s="4" t="s">
        <v>4653</v>
      </c>
      <c r="AA838" s="4" t="s">
        <v>4641</v>
      </c>
      <c r="AB838" s="4" t="s">
        <v>4642</v>
      </c>
      <c r="AC838" s="4" t="s">
        <v>4642</v>
      </c>
      <c r="AD838" s="4" t="s">
        <v>4642</v>
      </c>
      <c r="AE838" s="4" t="s">
        <v>4644</v>
      </c>
      <c r="AF838" s="4" t="s">
        <v>4645</v>
      </c>
      <c r="AG838" s="4" t="s">
        <v>4654</v>
      </c>
      <c r="AH838" s="4" t="s">
        <v>4655</v>
      </c>
      <c r="AI838" s="4" t="s">
        <v>4652</v>
      </c>
      <c r="AJ838" s="4" t="s">
        <v>3048</v>
      </c>
      <c r="AK838" s="4" t="s">
        <v>4653</v>
      </c>
      <c r="AL838" s="4" t="s">
        <v>4649</v>
      </c>
      <c r="AM838" s="4" t="s">
        <v>4644</v>
      </c>
      <c r="AN838" s="4" t="s">
        <v>4644</v>
      </c>
      <c r="AO838" s="4" t="s">
        <v>4642</v>
      </c>
    </row>
    <row r="839">
      <c r="A839" s="4">
        <v>737.0</v>
      </c>
      <c r="B839" s="4" t="s">
        <v>472</v>
      </c>
      <c r="C839" s="4"/>
      <c r="D839" s="4" t="s">
        <v>4638</v>
      </c>
      <c r="E839" s="4" t="s">
        <v>4656</v>
      </c>
      <c r="F839" s="4" t="s">
        <v>4638</v>
      </c>
      <c r="G839" s="5" t="str">
        <f>IFERROR(__xludf.DUMMYFUNCTION("GOOGLETRANSLATE(D839,""ca"",""es"")"),"unir")</f>
        <v>unir</v>
      </c>
      <c r="H839" s="4" t="s">
        <v>4641</v>
      </c>
      <c r="I839" s="4" t="s">
        <v>4642</v>
      </c>
      <c r="J839" s="4" t="s">
        <v>4643</v>
      </c>
      <c r="K839" s="4" t="s">
        <v>4644</v>
      </c>
      <c r="L839" s="4" t="s">
        <v>4645</v>
      </c>
      <c r="M839" s="4" t="s">
        <v>4646</v>
      </c>
      <c r="N839" s="4" t="s">
        <v>4645</v>
      </c>
      <c r="O839" s="4" t="s">
        <v>4644</v>
      </c>
      <c r="P839" s="4" t="s">
        <v>4646</v>
      </c>
      <c r="Q839" s="4" t="s">
        <v>4647</v>
      </c>
      <c r="R839" s="4" t="s">
        <v>4648</v>
      </c>
      <c r="S839" s="4" t="s">
        <v>4649</v>
      </c>
      <c r="T839" s="4" t="s">
        <v>4650</v>
      </c>
      <c r="U839" s="4" t="s">
        <v>4649</v>
      </c>
      <c r="V839" s="4" t="s">
        <v>4651</v>
      </c>
      <c r="W839" s="4" t="s">
        <v>4652</v>
      </c>
      <c r="X839" s="4" t="s">
        <v>3048</v>
      </c>
      <c r="Y839" s="4" t="s">
        <v>3050</v>
      </c>
      <c r="Z839" s="4" t="s">
        <v>4653</v>
      </c>
      <c r="AA839" s="4" t="s">
        <v>4641</v>
      </c>
      <c r="AB839" s="4" t="s">
        <v>4642</v>
      </c>
      <c r="AC839" s="4" t="s">
        <v>4642</v>
      </c>
      <c r="AD839" s="4" t="s">
        <v>4642</v>
      </c>
      <c r="AE839" s="4" t="s">
        <v>4644</v>
      </c>
      <c r="AF839" s="4" t="s">
        <v>4645</v>
      </c>
      <c r="AG839" s="4" t="s">
        <v>4654</v>
      </c>
      <c r="AH839" s="4" t="s">
        <v>4655</v>
      </c>
      <c r="AI839" s="4" t="s">
        <v>4652</v>
      </c>
      <c r="AJ839" s="4" t="s">
        <v>3048</v>
      </c>
      <c r="AK839" s="4" t="s">
        <v>4653</v>
      </c>
      <c r="AL839" s="4" t="s">
        <v>4649</v>
      </c>
      <c r="AM839" s="4" t="s">
        <v>4644</v>
      </c>
      <c r="AN839" s="4" t="s">
        <v>4644</v>
      </c>
      <c r="AO839" s="4" t="s">
        <v>4642</v>
      </c>
    </row>
    <row r="840">
      <c r="A840" s="4">
        <v>738.0</v>
      </c>
      <c r="B840" s="4" t="s">
        <v>472</v>
      </c>
      <c r="C840" s="4"/>
      <c r="D840" s="4" t="s">
        <v>4657</v>
      </c>
      <c r="E840" s="4" t="s">
        <v>4658</v>
      </c>
      <c r="F840" s="4" t="s">
        <v>4657</v>
      </c>
      <c r="G840" s="5" t="str">
        <f>IFERROR(__xludf.DUMMYFUNCTION("GOOGLETRANSLATE(D840,""ca"",""es"")"),"unitán")</f>
        <v>unitán</v>
      </c>
    </row>
    <row r="841">
      <c r="A841" s="4">
        <v>739.0</v>
      </c>
      <c r="B841" s="4" t="s">
        <v>472</v>
      </c>
      <c r="C841" s="4"/>
      <c r="D841" s="4" t="s">
        <v>4659</v>
      </c>
      <c r="E841" s="4" t="s">
        <v>4639</v>
      </c>
      <c r="F841" s="4" t="s">
        <v>4640</v>
      </c>
      <c r="G841" s="5" t="str">
        <f>IFERROR(__xludf.DUMMYFUNCTION("GOOGLETRANSLATE(D841,""ca"",""es"")"),"unido")</f>
        <v>unido</v>
      </c>
    </row>
    <row r="842">
      <c r="A842" s="4">
        <v>740.0</v>
      </c>
      <c r="B842" s="4" t="s">
        <v>472</v>
      </c>
      <c r="C842" s="4"/>
      <c r="D842" s="4" t="s">
        <v>4660</v>
      </c>
      <c r="E842" s="4" t="s">
        <v>4661</v>
      </c>
      <c r="F842" s="4" t="s">
        <v>4660</v>
      </c>
      <c r="G842" s="5" t="str">
        <f>IFERROR(__xludf.DUMMYFUNCTION("GOOGLETRANSLATE(D842,""ca"",""es"")"),"uranio")</f>
        <v>uranio</v>
      </c>
      <c r="H842" s="4" t="s">
        <v>4662</v>
      </c>
      <c r="I842" s="4" t="s">
        <v>4663</v>
      </c>
      <c r="J842" s="4" t="s">
        <v>4664</v>
      </c>
    </row>
    <row r="843">
      <c r="A843" s="4">
        <v>741.0</v>
      </c>
      <c r="B843" s="4" t="s">
        <v>472</v>
      </c>
      <c r="C843" s="4"/>
      <c r="D843" s="4" t="s">
        <v>4665</v>
      </c>
      <c r="E843" s="4" t="s">
        <v>3142</v>
      </c>
      <c r="F843" s="4" t="s">
        <v>3143</v>
      </c>
      <c r="G843" s="5" t="str">
        <f>IFERROR(__xludf.DUMMYFUNCTION("GOOGLETRANSLATE(D843,""ca"",""es"")"),"Urano")</f>
        <v>Urano</v>
      </c>
      <c r="H843" s="4" t="s">
        <v>4666</v>
      </c>
      <c r="I843" s="4" t="s">
        <v>4667</v>
      </c>
      <c r="J843" s="4" t="s">
        <v>4666</v>
      </c>
    </row>
    <row r="844">
      <c r="A844" s="4">
        <v>742.0</v>
      </c>
      <c r="B844" s="4" t="s">
        <v>472</v>
      </c>
      <c r="C844" s="4"/>
      <c r="D844" s="4" t="s">
        <v>4668</v>
      </c>
      <c r="E844" s="4" t="s">
        <v>4669</v>
      </c>
      <c r="F844" s="4" t="s">
        <v>4668</v>
      </c>
      <c r="G844" s="5" t="str">
        <f>IFERROR(__xludf.DUMMYFUNCTION("GOOGLETRANSLATE(D844,""ca"",""es"")"),"tú")</f>
        <v>tú</v>
      </c>
    </row>
    <row r="845">
      <c r="A845" s="4">
        <v>743.0</v>
      </c>
      <c r="B845" s="4" t="s">
        <v>472</v>
      </c>
      <c r="C845" s="4"/>
      <c r="D845" s="4" t="s">
        <v>4670</v>
      </c>
      <c r="E845" s="4" t="s">
        <v>4671</v>
      </c>
      <c r="F845" s="4" t="s">
        <v>4672</v>
      </c>
      <c r="G845" s="5" t="str">
        <f>IFERROR(__xludf.DUMMYFUNCTION("GOOGLETRANSLATE(D845,""ca"",""es"")"),"shaw")</f>
        <v>shaw</v>
      </c>
      <c r="H845" s="4" t="s">
        <v>4673</v>
      </c>
      <c r="I845" s="4" t="s">
        <v>4674</v>
      </c>
    </row>
    <row r="846">
      <c r="A846" s="4">
        <v>744.0</v>
      </c>
      <c r="B846" s="4" t="s">
        <v>472</v>
      </c>
      <c r="C846" s="4"/>
      <c r="D846" s="4" t="s">
        <v>4675</v>
      </c>
      <c r="E846" s="4" t="s">
        <v>4676</v>
      </c>
      <c r="F846" s="4" t="s">
        <v>4677</v>
      </c>
      <c r="G846" s="5" t="str">
        <f>IFERROR(__xludf.DUMMYFUNCTION("GOOGLETRANSLATE(D846,""ca"",""es"")"),"cordero")</f>
        <v>cordero</v>
      </c>
      <c r="H846" s="4" t="s">
        <v>4678</v>
      </c>
    </row>
    <row r="847">
      <c r="A847" s="4">
        <v>745.0</v>
      </c>
      <c r="B847" s="4" t="s">
        <v>472</v>
      </c>
      <c r="C847" s="4"/>
      <c r="D847" s="4" t="s">
        <v>4679</v>
      </c>
      <c r="E847" s="4" t="s">
        <v>4680</v>
      </c>
      <c r="F847" s="4" t="s">
        <v>4681</v>
      </c>
      <c r="G847" s="5" t="str">
        <f>IFERROR(__xludf.DUMMYFUNCTION("GOOGLETRANSLATE(D847,""ca"",""es"")"),"shaal")</f>
        <v>shaal</v>
      </c>
      <c r="H847" s="4" t="s">
        <v>4682</v>
      </c>
    </row>
    <row r="848">
      <c r="A848" s="4">
        <v>746.0</v>
      </c>
      <c r="B848" s="4" t="s">
        <v>472</v>
      </c>
      <c r="C848" s="4"/>
      <c r="D848" s="4" t="s">
        <v>4683</v>
      </c>
      <c r="E848" s="4" t="s">
        <v>4684</v>
      </c>
      <c r="F848" s="4" t="s">
        <v>4685</v>
      </c>
      <c r="G848" s="5" t="str">
        <f>IFERROR(__xludf.DUMMYFUNCTION("GOOGLETRANSLATE(D848,""ca"",""es"")"),"charlar")</f>
        <v>charlar</v>
      </c>
    </row>
    <row r="849">
      <c r="A849" s="4">
        <v>747.0</v>
      </c>
      <c r="B849" s="4" t="s">
        <v>472</v>
      </c>
      <c r="C849" s="4"/>
      <c r="D849" s="4" t="s">
        <v>4686</v>
      </c>
      <c r="E849" s="4" t="s">
        <v>4687</v>
      </c>
      <c r="F849" s="4" t="s">
        <v>287</v>
      </c>
      <c r="G849" s="5" t="str">
        <f>IFERROR(__xludf.DUMMYFUNCTION("GOOGLETRANSLATE(D849,""ca"",""es"")"),"chico")</f>
        <v>chico</v>
      </c>
      <c r="H849" s="4" t="s">
        <v>4688</v>
      </c>
      <c r="I849" s="4" t="s">
        <v>4689</v>
      </c>
      <c r="J849" s="4" t="s">
        <v>4690</v>
      </c>
      <c r="K849" s="4" t="s">
        <v>4691</v>
      </c>
      <c r="L849" s="4" t="s">
        <v>4692</v>
      </c>
      <c r="M849" s="4" t="s">
        <v>4693</v>
      </c>
      <c r="N849" s="4" t="s">
        <v>4694</v>
      </c>
      <c r="O849" s="4" t="s">
        <v>4695</v>
      </c>
      <c r="P849" s="4" t="s">
        <v>4696</v>
      </c>
      <c r="Q849" s="4" t="s">
        <v>4697</v>
      </c>
      <c r="R849" s="4" t="s">
        <v>4698</v>
      </c>
      <c r="S849" s="4" t="s">
        <v>4699</v>
      </c>
      <c r="T849" s="4" t="s">
        <v>4700</v>
      </c>
      <c r="U849" s="4" t="s">
        <v>4701</v>
      </c>
      <c r="V849" s="4" t="s">
        <v>4702</v>
      </c>
      <c r="W849" s="4" t="s">
        <v>4703</v>
      </c>
      <c r="X849" s="4" t="s">
        <v>4704</v>
      </c>
      <c r="Y849" s="4" t="s">
        <v>4705</v>
      </c>
      <c r="Z849" s="4" t="s">
        <v>4706</v>
      </c>
      <c r="AA849" s="4" t="s">
        <v>4707</v>
      </c>
      <c r="AB849" s="4" t="s">
        <v>4708</v>
      </c>
      <c r="AC849" s="4" t="s">
        <v>3256</v>
      </c>
      <c r="AD849" s="4" t="s">
        <v>3255</v>
      </c>
      <c r="AE849" s="4" t="s">
        <v>4709</v>
      </c>
      <c r="AF849" s="4" t="s">
        <v>4710</v>
      </c>
      <c r="AG849" s="4" t="s">
        <v>4711</v>
      </c>
      <c r="AH849" s="4" t="s">
        <v>4712</v>
      </c>
    </row>
    <row r="850">
      <c r="A850" s="4">
        <v>748.0</v>
      </c>
      <c r="B850" s="4" t="s">
        <v>472</v>
      </c>
      <c r="C850" s="4"/>
      <c r="D850" s="4" t="s">
        <v>4713</v>
      </c>
      <c r="E850" s="4" t="s">
        <v>4714</v>
      </c>
      <c r="F850" s="4" t="s">
        <v>4715</v>
      </c>
      <c r="G850" s="5" t="str">
        <f>IFERROR(__xludf.DUMMYFUNCTION("GOOGLETRANSLATE(D850,""ca"",""es"")"),"chip")</f>
        <v>chip</v>
      </c>
      <c r="H850" s="4" t="s">
        <v>2603</v>
      </c>
      <c r="I850" s="4" t="s">
        <v>4716</v>
      </c>
      <c r="J850" s="4" t="s">
        <v>4717</v>
      </c>
      <c r="K850" s="4" t="s">
        <v>4718</v>
      </c>
      <c r="L850" s="4" t="s">
        <v>4719</v>
      </c>
    </row>
    <row r="851">
      <c r="A851" s="4">
        <v>749.0</v>
      </c>
      <c r="B851" s="4" t="s">
        <v>472</v>
      </c>
      <c r="C851" s="4"/>
      <c r="D851" s="4" t="s">
        <v>4720</v>
      </c>
      <c r="E851" s="4" t="s">
        <v>4721</v>
      </c>
      <c r="F851" s="4" t="s">
        <v>4722</v>
      </c>
      <c r="G851" s="5" t="str">
        <f>IFERROR(__xludf.DUMMYFUNCTION("GOOGLETRANSLATE(D851,""ca"",""es"")"),"chip")</f>
        <v>chip</v>
      </c>
      <c r="H851" s="4" t="s">
        <v>4723</v>
      </c>
      <c r="I851" s="4" t="s">
        <v>4724</v>
      </c>
      <c r="J851" s="4" t="s">
        <v>4725</v>
      </c>
      <c r="K851" s="4" t="s">
        <v>4726</v>
      </c>
      <c r="L851" s="4" t="s">
        <v>4727</v>
      </c>
    </row>
    <row r="852">
      <c r="A852" s="4">
        <v>750.0</v>
      </c>
      <c r="B852" s="4" t="s">
        <v>472</v>
      </c>
      <c r="C852" s="4"/>
      <c r="D852" s="4" t="s">
        <v>4728</v>
      </c>
      <c r="E852" s="4" t="s">
        <v>4729</v>
      </c>
      <c r="F852" s="4" t="s">
        <v>4730</v>
      </c>
      <c r="G852" s="5" t="str">
        <f>IFERROR(__xludf.DUMMYFUNCTION("GOOGLETRANSLATE(D852,""ca"",""es"")"),"enfriar")</f>
        <v>enfriar</v>
      </c>
    </row>
    <row r="853">
      <c r="A853" s="4">
        <v>751.0</v>
      </c>
      <c r="B853" s="4" t="s">
        <v>472</v>
      </c>
      <c r="C853" s="4"/>
      <c r="D853" s="4" t="s">
        <v>4731</v>
      </c>
      <c r="E853" s="4" t="s">
        <v>4732</v>
      </c>
      <c r="F853" s="4" t="s">
        <v>4733</v>
      </c>
      <c r="G853" s="5" t="str">
        <f>IFERROR(__xludf.DUMMYFUNCTION("GOOGLETRANSLATE(D853,""ca"",""es"")"),"brote")</f>
        <v>brote</v>
      </c>
      <c r="H853" s="4" t="s">
        <v>994</v>
      </c>
      <c r="I853" s="4" t="s">
        <v>587</v>
      </c>
      <c r="J853" s="4" t="s">
        <v>2797</v>
      </c>
      <c r="K853" s="4" t="s">
        <v>579</v>
      </c>
      <c r="L853" s="4" t="s">
        <v>2798</v>
      </c>
      <c r="M853" s="4" t="s">
        <v>585</v>
      </c>
      <c r="N853" s="4" t="s">
        <v>2799</v>
      </c>
      <c r="O853" s="4" t="s">
        <v>2800</v>
      </c>
      <c r="P853" s="4" t="s">
        <v>2801</v>
      </c>
      <c r="Q853" s="4" t="s">
        <v>577</v>
      </c>
      <c r="R853" s="4" t="s">
        <v>578</v>
      </c>
      <c r="S853" s="4" t="s">
        <v>579</v>
      </c>
      <c r="T853" s="4" t="s">
        <v>580</v>
      </c>
      <c r="U853" s="4" t="s">
        <v>581</v>
      </c>
      <c r="V853" s="4" t="s">
        <v>582</v>
      </c>
      <c r="W853" s="4" t="s">
        <v>579</v>
      </c>
    </row>
    <row r="854">
      <c r="A854" s="4">
        <v>752.0</v>
      </c>
      <c r="B854" s="4" t="s">
        <v>472</v>
      </c>
      <c r="C854" s="4"/>
      <c r="D854" s="4" t="s">
        <v>4734</v>
      </c>
      <c r="E854" s="4" t="s">
        <v>4735</v>
      </c>
      <c r="F854" s="4" t="s">
        <v>4736</v>
      </c>
      <c r="G854" s="5" t="str">
        <f>IFERROR(__xludf.DUMMYFUNCTION("GOOGLETRANSLATE(D854,""ca"",""es"")"),"embutido")</f>
        <v>embutido</v>
      </c>
      <c r="H854" s="4" t="s">
        <v>4737</v>
      </c>
    </row>
    <row r="855">
      <c r="A855" s="4">
        <v>753.0</v>
      </c>
      <c r="B855" s="4" t="s">
        <v>472</v>
      </c>
      <c r="C855" s="4"/>
      <c r="D855" s="4" t="s">
        <v>4738</v>
      </c>
      <c r="E855" s="4" t="s">
        <v>4739</v>
      </c>
      <c r="F855" s="4" t="s">
        <v>4740</v>
      </c>
      <c r="G855" s="5" t="str">
        <f>IFERROR(__xludf.DUMMYFUNCTION("GOOGLETRANSLATE(D855,""ca"",""es"")"),"Xuixo")</f>
        <v>Xuixo</v>
      </c>
    </row>
    <row r="856">
      <c r="A856" s="4">
        <v>754.0</v>
      </c>
      <c r="B856" s="4" t="s">
        <v>472</v>
      </c>
      <c r="C856" s="4"/>
      <c r="D856" s="4" t="s">
        <v>4741</v>
      </c>
      <c r="E856" s="4" t="s">
        <v>4742</v>
      </c>
      <c r="F856" s="4" t="s">
        <v>4743</v>
      </c>
      <c r="G856" s="5" t="str">
        <f>IFERROR(__xludf.DUMMYFUNCTION("GOOGLETRANSLATE(D856,""ca"",""es"")"),"patada")</f>
        <v>patada</v>
      </c>
      <c r="H856" s="4" t="s">
        <v>4744</v>
      </c>
      <c r="I856" s="4" t="s">
        <v>856</v>
      </c>
    </row>
    <row r="857">
      <c r="A857" s="4">
        <v>755.0</v>
      </c>
      <c r="B857" s="4" t="s">
        <v>472</v>
      </c>
      <c r="C857" s="4"/>
      <c r="D857" s="4" t="s">
        <v>4745</v>
      </c>
      <c r="E857" s="4" t="s">
        <v>4746</v>
      </c>
      <c r="F857" s="4" t="s">
        <v>4747</v>
      </c>
      <c r="G857" s="5" t="str">
        <f>IFERROR(__xludf.DUMMYFUNCTION("GOOGLETRANSLATE(D857,""ca"",""es"")"),"Akan")</f>
        <v>Akan</v>
      </c>
    </row>
    <row r="858">
      <c r="A858" s="4">
        <v>756.0</v>
      </c>
      <c r="B858" s="4" t="s">
        <v>472</v>
      </c>
      <c r="C858" s="4"/>
      <c r="D858" s="4" t="s">
        <v>4748</v>
      </c>
      <c r="E858" s="4" t="s">
        <v>4749</v>
      </c>
      <c r="F858" s="4" t="s">
        <v>4750</v>
      </c>
      <c r="G858" s="5" t="str">
        <f>IFERROR(__xludf.DUMMYFUNCTION("GOOGLETRANSLATE(D858,""ca"",""es"")"),"estado animico")</f>
        <v>estado animico</v>
      </c>
      <c r="H858" s="4" t="s">
        <v>4751</v>
      </c>
      <c r="I858" s="4" t="s">
        <v>4624</v>
      </c>
      <c r="J858" s="4" t="s">
        <v>4751</v>
      </c>
      <c r="K858" s="4" t="s">
        <v>4752</v>
      </c>
      <c r="L858" s="4" t="s">
        <v>4753</v>
      </c>
      <c r="M858" s="4" t="s">
        <v>4754</v>
      </c>
      <c r="N858" s="4" t="s">
        <v>4751</v>
      </c>
    </row>
    <row r="859">
      <c r="A859" s="4">
        <v>757.0</v>
      </c>
      <c r="B859" s="4" t="s">
        <v>472</v>
      </c>
      <c r="C859" s="4"/>
      <c r="D859" s="4" t="s">
        <v>4755</v>
      </c>
      <c r="E859" s="4" t="s">
        <v>653</v>
      </c>
      <c r="F859" s="4" t="s">
        <v>652</v>
      </c>
      <c r="G859" s="5" t="str">
        <f>IFERROR(__xludf.DUMMYFUNCTION("GOOGLETRANSLATE(D859,""ca"",""es"")"),"alma")</f>
        <v>alma</v>
      </c>
      <c r="H859" s="4" t="s">
        <v>4756</v>
      </c>
      <c r="I859" s="4" t="s">
        <v>4757</v>
      </c>
      <c r="J859" s="4" t="s">
        <v>4758</v>
      </c>
      <c r="K859" s="4" t="s">
        <v>4624</v>
      </c>
      <c r="L859" s="4" t="s">
        <v>4759</v>
      </c>
      <c r="M859" s="4" t="s">
        <v>1850</v>
      </c>
      <c r="N859" s="4" t="s">
        <v>1214</v>
      </c>
    </row>
    <row r="860">
      <c r="A860" s="4">
        <v>758.0</v>
      </c>
      <c r="B860" s="4" t="s">
        <v>472</v>
      </c>
      <c r="C860" s="4"/>
      <c r="D860" s="4" t="s">
        <v>4760</v>
      </c>
      <c r="E860" s="4" t="s">
        <v>4761</v>
      </c>
      <c r="F860" s="4" t="s">
        <v>4762</v>
      </c>
      <c r="G860" s="5" t="str">
        <f>IFERROR(__xludf.DUMMYFUNCTION("GOOGLETRANSLATE(D860,""ca"",""es"")"),"Arábica")</f>
        <v>Arábica</v>
      </c>
      <c r="H860" s="4" t="s">
        <v>4763</v>
      </c>
      <c r="I860" s="4" t="s">
        <v>4763</v>
      </c>
      <c r="J860" s="4" t="s">
        <v>4764</v>
      </c>
      <c r="K860" s="4" t="s">
        <v>4764</v>
      </c>
      <c r="L860" s="4" t="s">
        <v>4765</v>
      </c>
      <c r="M860" s="4" t="s">
        <v>4766</v>
      </c>
      <c r="N860" s="4" t="s">
        <v>4763</v>
      </c>
    </row>
    <row r="861">
      <c r="A861" s="4">
        <v>759.0</v>
      </c>
      <c r="B861" s="4" t="s">
        <v>472</v>
      </c>
      <c r="C861" s="4"/>
      <c r="D861" s="4" t="s">
        <v>4767</v>
      </c>
      <c r="E861" s="4" t="s">
        <v>4768</v>
      </c>
      <c r="F861" s="4" t="s">
        <v>4769</v>
      </c>
      <c r="G861" s="5" t="str">
        <f>IFERROR(__xludf.DUMMYFUNCTION("GOOGLETRANSLATE(D861,""ca"",""es"")"),"ático")</f>
        <v>ático</v>
      </c>
      <c r="H861" s="4" t="s">
        <v>4770</v>
      </c>
      <c r="I861" s="4" t="s">
        <v>4771</v>
      </c>
      <c r="J861" s="4" t="s">
        <v>4772</v>
      </c>
      <c r="K861" s="4" t="s">
        <v>4773</v>
      </c>
    </row>
    <row r="862">
      <c r="A862" s="4">
        <v>760.0</v>
      </c>
      <c r="B862" s="4" t="s">
        <v>472</v>
      </c>
      <c r="C862" s="4"/>
      <c r="D862" s="4" t="s">
        <v>4774</v>
      </c>
      <c r="E862" s="4" t="s">
        <v>4775</v>
      </c>
      <c r="F862" s="4" t="s">
        <v>4776</v>
      </c>
      <c r="G862" s="5" t="str">
        <f>IFERROR(__xludf.DUMMYFUNCTION("GOOGLETRANSLATE(D862,""ca"",""es"")"),"ático")</f>
        <v>ático</v>
      </c>
    </row>
    <row r="863">
      <c r="A863" s="4">
        <v>761.0</v>
      </c>
      <c r="B863" s="4" t="s">
        <v>472</v>
      </c>
      <c r="C863" s="4"/>
      <c r="D863" s="4" t="s">
        <v>4777</v>
      </c>
      <c r="E863" s="4" t="s">
        <v>4778</v>
      </c>
      <c r="F863" s="4" t="s">
        <v>4779</v>
      </c>
      <c r="G863" s="5" t="str">
        <f>IFERROR(__xludf.DUMMYFUNCTION("GOOGLETRANSLATE(D863,""ca"",""es"")"),"átomo")</f>
        <v>átomo</v>
      </c>
      <c r="H863" s="4" t="s">
        <v>2602</v>
      </c>
      <c r="I863" s="4" t="s">
        <v>2603</v>
      </c>
      <c r="J863" s="4" t="s">
        <v>2604</v>
      </c>
      <c r="K863" s="4" t="s">
        <v>2605</v>
      </c>
      <c r="L863" s="4" t="s">
        <v>2606</v>
      </c>
      <c r="M863" s="4" t="s">
        <v>2607</v>
      </c>
    </row>
    <row r="864">
      <c r="A864" s="4">
        <v>762.0</v>
      </c>
      <c r="B864" s="4" t="s">
        <v>472</v>
      </c>
      <c r="C864" s="4"/>
      <c r="D864" s="4" t="s">
        <v>4780</v>
      </c>
      <c r="E864" s="4" t="s">
        <v>4781</v>
      </c>
      <c r="F864" s="4" t="s">
        <v>4782</v>
      </c>
      <c r="G864" s="5" t="str">
        <f>IFERROR(__xludf.DUMMYFUNCTION("GOOGLETRANSLATE(D864,""ca"",""es"")"),"atón")</f>
        <v>atón</v>
      </c>
    </row>
    <row r="865">
      <c r="A865" s="4">
        <v>763.0</v>
      </c>
      <c r="B865" s="4" t="s">
        <v>472</v>
      </c>
      <c r="C865" s="4"/>
      <c r="D865" s="4" t="s">
        <v>4783</v>
      </c>
      <c r="E865" s="4" t="s">
        <v>3862</v>
      </c>
      <c r="F865" s="4" t="s">
        <v>3861</v>
      </c>
      <c r="G865" s="5" t="str">
        <f>IFERROR(__xludf.DUMMYFUNCTION("GOOGLETRANSLATE(D865,""ca"",""es"")"),"California")</f>
        <v>California</v>
      </c>
    </row>
    <row r="866">
      <c r="A866" s="4">
        <v>764.0</v>
      </c>
      <c r="B866" s="4" t="s">
        <v>472</v>
      </c>
      <c r="C866" s="4"/>
      <c r="D866" s="4" t="s">
        <v>4784</v>
      </c>
      <c r="E866" s="4" t="s">
        <v>4785</v>
      </c>
      <c r="F866" s="4" t="s">
        <v>4786</v>
      </c>
      <c r="G866" s="5" t="str">
        <f>IFERROR(__xludf.DUMMYFUNCTION("GOOGLETRANSLATE(D866,""ca"",""es"")"),"único")</f>
        <v>único</v>
      </c>
      <c r="H866" s="4" t="s">
        <v>4787</v>
      </c>
      <c r="I866" s="4" t="s">
        <v>4788</v>
      </c>
      <c r="J866" s="4" t="s">
        <v>4789</v>
      </c>
      <c r="K866" s="4" t="s">
        <v>4790</v>
      </c>
      <c r="L866" s="4" t="s">
        <v>4791</v>
      </c>
      <c r="M866" s="4" t="s">
        <v>4792</v>
      </c>
      <c r="N866" s="4" t="s">
        <v>4788</v>
      </c>
    </row>
    <row r="867">
      <c r="A867" s="4">
        <v>765.0</v>
      </c>
      <c r="B867" s="4" t="s">
        <v>472</v>
      </c>
      <c r="C867" s="4"/>
      <c r="D867" s="4" t="s">
        <v>4793</v>
      </c>
      <c r="E867" s="4" t="s">
        <v>4669</v>
      </c>
      <c r="F867" s="4" t="s">
        <v>4668</v>
      </c>
      <c r="G867" s="5" t="str">
        <f>IFERROR(__xludf.DUMMYFUNCTION("GOOGLETRANSLATE(D867,""ca"",""es"")"),"usar")</f>
        <v>usar</v>
      </c>
      <c r="H867" s="4" t="s">
        <v>4794</v>
      </c>
      <c r="I867" s="4" t="s">
        <v>4795</v>
      </c>
      <c r="J867" s="4" t="s">
        <v>4796</v>
      </c>
      <c r="K867" s="4" t="s">
        <v>4797</v>
      </c>
      <c r="L867" s="4" t="s">
        <v>4798</v>
      </c>
      <c r="M867" s="4" t="s">
        <v>4799</v>
      </c>
      <c r="N867" s="4" t="s">
        <v>4795</v>
      </c>
      <c r="O867" s="4" t="s">
        <v>4800</v>
      </c>
      <c r="P867" s="4" t="s">
        <v>4801</v>
      </c>
      <c r="Q867" s="4" t="s">
        <v>4802</v>
      </c>
      <c r="R867" s="4" t="s">
        <v>4803</v>
      </c>
      <c r="S867" s="4" t="s">
        <v>4799</v>
      </c>
      <c r="T867" s="4" t="s">
        <v>4804</v>
      </c>
      <c r="U867" s="4" t="s">
        <v>4805</v>
      </c>
    </row>
    <row r="868">
      <c r="A868" s="4">
        <v>1.0</v>
      </c>
      <c r="B868" s="4" t="s">
        <v>4806</v>
      </c>
      <c r="C868" s="4"/>
      <c r="D868" s="4" t="s">
        <v>4807</v>
      </c>
      <c r="E868" s="4" t="s">
        <v>2038</v>
      </c>
      <c r="F868" s="4" t="s">
        <v>2037</v>
      </c>
      <c r="G868" s="4" t="s">
        <v>2651</v>
      </c>
    </row>
    <row r="869">
      <c r="A869" s="4">
        <v>2.0</v>
      </c>
      <c r="B869" s="4" t="s">
        <v>4806</v>
      </c>
      <c r="C869" s="4"/>
      <c r="D869" s="4" t="s">
        <v>4808</v>
      </c>
      <c r="E869" s="4" t="s">
        <v>2240</v>
      </c>
      <c r="F869" s="4" t="s">
        <v>2241</v>
      </c>
    </row>
    <row r="870">
      <c r="A870" s="4">
        <v>1.0</v>
      </c>
      <c r="B870" s="4" t="s">
        <v>4809</v>
      </c>
      <c r="C870" s="4"/>
      <c r="D870" s="4" t="s">
        <v>506</v>
      </c>
      <c r="E870" s="4" t="s">
        <v>507</v>
      </c>
      <c r="F870" s="4" t="s">
        <v>506</v>
      </c>
      <c r="G870" s="5" t="str">
        <f>IFERROR(__xludf.DUMMYFUNCTION("GOOGLETRANSLATE(D870,""da"",""es"")"),"Anguila")</f>
        <v>Anguila</v>
      </c>
    </row>
    <row r="871">
      <c r="A871" s="4">
        <v>2.0</v>
      </c>
      <c r="B871" s="4" t="s">
        <v>4809</v>
      </c>
      <c r="C871" s="4"/>
      <c r="D871" s="4" t="s">
        <v>3547</v>
      </c>
      <c r="E871" s="4" t="s">
        <v>4810</v>
      </c>
      <c r="F871" s="4" t="s">
        <v>3547</v>
      </c>
      <c r="G871" s="5" t="str">
        <f>IFERROR(__xludf.DUMMYFUNCTION("GOOGLETRANSLATE(D871,""da"",""es"")"),"Piña")</f>
        <v>Piña</v>
      </c>
    </row>
    <row r="872">
      <c r="A872" s="4">
        <v>3.0</v>
      </c>
      <c r="B872" s="4" t="s">
        <v>4809</v>
      </c>
      <c r="C872" s="4"/>
      <c r="D872" s="4" t="s">
        <v>4811</v>
      </c>
      <c r="E872" s="4" t="s">
        <v>504</v>
      </c>
      <c r="F872" s="4" t="s">
        <v>505</v>
      </c>
      <c r="G872" s="5" t="str">
        <f>IFERROR(__xludf.DUMMYFUNCTION("GOOGLETRANSLATE(D872,""da"",""es"")"),"No.")</f>
        <v>No.</v>
      </c>
    </row>
    <row r="873">
      <c r="A873" s="4">
        <v>4.0</v>
      </c>
      <c r="B873" s="4" t="s">
        <v>4809</v>
      </c>
      <c r="C873" s="4"/>
      <c r="D873" s="4" t="s">
        <v>4812</v>
      </c>
      <c r="E873" s="4" t="s">
        <v>4813</v>
      </c>
      <c r="F873" s="4" t="s">
        <v>4812</v>
      </c>
      <c r="G873" s="5" t="str">
        <f>IFERROR(__xludf.DUMMYFUNCTION("GOOGLETRANSLATE(D873,""da"",""es"")"),"decir ah")</f>
        <v>decir ah</v>
      </c>
    </row>
    <row r="874">
      <c r="A874" s="4">
        <v>5.0</v>
      </c>
      <c r="B874" s="4" t="s">
        <v>4809</v>
      </c>
      <c r="C874" s="4"/>
      <c r="D874" s="4" t="s">
        <v>4814</v>
      </c>
      <c r="E874" s="4" t="s">
        <v>4815</v>
      </c>
      <c r="F874" s="4" t="s">
        <v>4814</v>
      </c>
      <c r="G874" s="5" t="str">
        <f>IFERROR(__xludf.DUMMYFUNCTION("GOOGLETRANSLATE(D874,""da"",""es"")"),"salón")</f>
        <v>salón</v>
      </c>
    </row>
    <row r="875">
      <c r="A875" s="4">
        <v>6.0</v>
      </c>
      <c r="B875" s="4" t="s">
        <v>4809</v>
      </c>
      <c r="C875" s="4"/>
      <c r="D875" s="4" t="s">
        <v>1778</v>
      </c>
      <c r="E875" s="4" t="s">
        <v>4816</v>
      </c>
      <c r="F875" s="4" t="s">
        <v>1778</v>
      </c>
      <c r="G875" s="5" t="str">
        <f>IFERROR(__xludf.DUMMYFUNCTION("GOOGLETRANSLATE(D875,""da"",""es"")"),"a él")</f>
        <v>a él</v>
      </c>
    </row>
    <row r="876">
      <c r="A876" s="4">
        <v>7.0</v>
      </c>
      <c r="B876" s="4" t="s">
        <v>4809</v>
      </c>
      <c r="C876" s="4"/>
      <c r="D876" s="4" t="s">
        <v>1786</v>
      </c>
      <c r="E876" s="4" t="s">
        <v>4817</v>
      </c>
      <c r="F876" s="4" t="s">
        <v>1786</v>
      </c>
      <c r="G876" s="5" t="str">
        <f>IFERROR(__xludf.DUMMYFUNCTION("GOOGLETRANSLATE(D876,""da"",""es"")"),"él")</f>
        <v>él</v>
      </c>
    </row>
    <row r="877">
      <c r="A877" s="4">
        <v>8.0</v>
      </c>
      <c r="B877" s="4" t="s">
        <v>4809</v>
      </c>
      <c r="C877" s="4"/>
      <c r="D877" s="4" t="s">
        <v>4818</v>
      </c>
      <c r="E877" s="4" t="s">
        <v>4813</v>
      </c>
      <c r="F877" s="4" t="s">
        <v>4812</v>
      </c>
      <c r="G877" s="5" t="str">
        <f>IFERROR(__xludf.DUMMYFUNCTION("GOOGLETRANSLATE(D877,""da"",""es"")"),"mar")</f>
        <v>mar</v>
      </c>
      <c r="H877" s="4" t="s">
        <v>2475</v>
      </c>
      <c r="I877" s="4" t="s">
        <v>2474</v>
      </c>
      <c r="J877" s="4" t="s">
        <v>2475</v>
      </c>
      <c r="K877" s="4" t="s">
        <v>2474</v>
      </c>
    </row>
    <row r="878">
      <c r="A878" s="4">
        <v>9.0</v>
      </c>
      <c r="B878" s="4" t="s">
        <v>4809</v>
      </c>
      <c r="C878" s="4"/>
      <c r="D878" s="4" t="s">
        <v>4819</v>
      </c>
      <c r="E878" s="4" t="s">
        <v>4820</v>
      </c>
      <c r="F878" s="4" t="s">
        <v>4821</v>
      </c>
      <c r="G878" s="5" t="str">
        <f>IFERROR(__xludf.DUMMYFUNCTION("GOOGLETRANSLATE(D878,""da"",""es"")"),"Hola")</f>
        <v>Hola</v>
      </c>
    </row>
    <row r="879">
      <c r="A879" s="4">
        <v>10.0</v>
      </c>
      <c r="B879" s="4" t="s">
        <v>4809</v>
      </c>
      <c r="C879" s="4"/>
      <c r="D879" s="4" t="s">
        <v>4822</v>
      </c>
      <c r="E879" s="4" t="s">
        <v>4823</v>
      </c>
      <c r="F879" s="4" t="s">
        <v>4824</v>
      </c>
      <c r="G879" s="5" t="str">
        <f>IFERROR(__xludf.DUMMYFUNCTION("GOOGLETRANSLATE(D879,""da"",""es"")"),"Posada")</f>
        <v>Posada</v>
      </c>
    </row>
    <row r="880">
      <c r="A880" s="4">
        <v>11.0</v>
      </c>
      <c r="B880" s="4" t="s">
        <v>4809</v>
      </c>
      <c r="C880" s="4"/>
      <c r="D880" s="4" t="s">
        <v>2009</v>
      </c>
      <c r="E880" s="4" t="s">
        <v>2010</v>
      </c>
      <c r="F880" s="4" t="s">
        <v>2011</v>
      </c>
      <c r="G880" s="5" t="str">
        <f>IFERROR(__xludf.DUMMYFUNCTION("GOOGLETRANSLATE(D880,""da"",""es"")"),"Sí")</f>
        <v>Sí</v>
      </c>
    </row>
    <row r="881">
      <c r="A881" s="4">
        <v>12.0</v>
      </c>
      <c r="B881" s="4" t="s">
        <v>4809</v>
      </c>
      <c r="C881" s="4"/>
      <c r="D881" s="4" t="s">
        <v>1303</v>
      </c>
      <c r="E881" s="4" t="s">
        <v>961</v>
      </c>
      <c r="F881" s="4" t="s">
        <v>962</v>
      </c>
      <c r="G881" s="5" t="str">
        <f>IFERROR(__xludf.DUMMYFUNCTION("GOOGLETRANSLATE(D881,""da"",""es"")"),"buques")</f>
        <v>buques</v>
      </c>
      <c r="H881" s="4" t="s">
        <v>4825</v>
      </c>
      <c r="I881" s="4" t="s">
        <v>4826</v>
      </c>
      <c r="J881" s="4" t="s">
        <v>4827</v>
      </c>
      <c r="K881" s="4" t="s">
        <v>4557</v>
      </c>
      <c r="L881" s="4" t="s">
        <v>4557</v>
      </c>
      <c r="M881" s="4" t="s">
        <v>4828</v>
      </c>
      <c r="N881" s="4" t="s">
        <v>4562</v>
      </c>
      <c r="O881" s="4" t="s">
        <v>4564</v>
      </c>
      <c r="P881" s="4" t="s">
        <v>4829</v>
      </c>
      <c r="Q881" s="4" t="s">
        <v>4830</v>
      </c>
    </row>
    <row r="882">
      <c r="A882" s="4">
        <v>13.0</v>
      </c>
      <c r="B882" s="4" t="s">
        <v>4809</v>
      </c>
      <c r="C882" s="4"/>
      <c r="D882" s="4" t="s">
        <v>4831</v>
      </c>
      <c r="E882" s="4" t="s">
        <v>4832</v>
      </c>
      <c r="F882" s="4" t="s">
        <v>4831</v>
      </c>
      <c r="G882" s="5" t="str">
        <f>IFERROR(__xludf.DUMMYFUNCTION("GOOGLETRANSLATE(D882,""da"",""es"")"),"Barniz")</f>
        <v>Barniz</v>
      </c>
    </row>
    <row r="883">
      <c r="A883" s="4">
        <v>14.0</v>
      </c>
      <c r="B883" s="4" t="s">
        <v>4809</v>
      </c>
      <c r="C883" s="4"/>
      <c r="D883" s="4" t="s">
        <v>4833</v>
      </c>
      <c r="E883" s="4" t="s">
        <v>4834</v>
      </c>
      <c r="F883" s="4" t="s">
        <v>4835</v>
      </c>
      <c r="G883" s="5" t="str">
        <f>IFERROR(__xludf.DUMMYFUNCTION("GOOGLETRANSLATE(D883,""da"",""es"")"),"Lakaj")</f>
        <v>Lakaj</v>
      </c>
    </row>
    <row r="884">
      <c r="A884" s="4">
        <v>15.0</v>
      </c>
      <c r="B884" s="4" t="s">
        <v>4809</v>
      </c>
      <c r="C884" s="4"/>
      <c r="D884" s="4" t="s">
        <v>4836</v>
      </c>
      <c r="E884" s="4" t="s">
        <v>4837</v>
      </c>
      <c r="F884" s="4" t="s">
        <v>4836</v>
      </c>
      <c r="G884" s="5" t="str">
        <f>IFERROR(__xludf.DUMMYFUNCTION("GOOGLETRANSLATE(D884,""da"",""es"")"),"cordero")</f>
        <v>cordero</v>
      </c>
      <c r="H884" s="4" t="s">
        <v>4678</v>
      </c>
    </row>
    <row r="885">
      <c r="A885" s="4">
        <v>16.0</v>
      </c>
      <c r="B885" s="4" t="s">
        <v>4809</v>
      </c>
      <c r="C885" s="4"/>
      <c r="D885" s="4" t="s">
        <v>4838</v>
      </c>
      <c r="E885" s="4" t="s">
        <v>4839</v>
      </c>
      <c r="F885" s="4" t="s">
        <v>227</v>
      </c>
      <c r="G885" s="5" t="str">
        <f>IFERROR(__xludf.DUMMYFUNCTION("GOOGLETRANSLATE(D885,""da"",""es"")"),"Renta")</f>
        <v>Renta</v>
      </c>
    </row>
    <row r="886">
      <c r="A886" s="4">
        <v>17.0</v>
      </c>
      <c r="B886" s="4" t="s">
        <v>4809</v>
      </c>
      <c r="C886" s="4"/>
      <c r="D886" s="4" t="s">
        <v>4840</v>
      </c>
      <c r="E886" s="4" t="s">
        <v>332</v>
      </c>
      <c r="F886" s="4" t="s">
        <v>333</v>
      </c>
      <c r="G886" s="5" t="str">
        <f>IFERROR(__xludf.DUMMYFUNCTION("GOOGLETRANSLATE(D886,""da"",""es"")"),"Mayo")</f>
        <v>Mayo</v>
      </c>
    </row>
    <row r="887">
      <c r="A887" s="4">
        <v>18.0</v>
      </c>
      <c r="B887" s="4" t="s">
        <v>4809</v>
      </c>
      <c r="C887" s="4"/>
      <c r="D887" s="4" t="s">
        <v>1856</v>
      </c>
      <c r="E887" s="4" t="s">
        <v>4841</v>
      </c>
      <c r="F887" s="4" t="s">
        <v>1856</v>
      </c>
      <c r="G887" s="5" t="str">
        <f>IFERROR(__xludf.DUMMYFUNCTION("GOOGLETRANSLATE(D887,""da"",""es"")"),"tú")</f>
        <v>tú</v>
      </c>
    </row>
    <row r="888">
      <c r="A888" s="4">
        <v>19.0</v>
      </c>
      <c r="B888" s="4" t="s">
        <v>4809</v>
      </c>
      <c r="C888" s="4"/>
      <c r="D888" s="4" t="s">
        <v>4842</v>
      </c>
      <c r="E888" s="4" t="s">
        <v>4843</v>
      </c>
      <c r="F888" s="4" t="s">
        <v>333</v>
      </c>
      <c r="G888" s="5" t="str">
        <f>IFERROR(__xludf.DUMMYFUNCTION("GOOGLETRANSLATE(D888,""da"",""es"")"),"yo")</f>
        <v>yo</v>
      </c>
    </row>
    <row r="889">
      <c r="A889" s="4">
        <v>20.0</v>
      </c>
      <c r="B889" s="4" t="s">
        <v>4809</v>
      </c>
      <c r="C889" s="4"/>
      <c r="D889" s="4" t="s">
        <v>4844</v>
      </c>
      <c r="E889" s="4" t="s">
        <v>2623</v>
      </c>
      <c r="F889" s="4" t="s">
        <v>2622</v>
      </c>
      <c r="G889" s="5" t="str">
        <f>IFERROR(__xludf.DUMMYFUNCTION("GOOGLETRANSLATE(D889,""da"",""es"")"),"templado")</f>
        <v>templado</v>
      </c>
      <c r="H889" s="4" t="s">
        <v>4844</v>
      </c>
    </row>
    <row r="890">
      <c r="A890" s="4">
        <v>21.0</v>
      </c>
      <c r="B890" s="4" t="s">
        <v>4809</v>
      </c>
      <c r="C890" s="4"/>
      <c r="D890" s="4" t="s">
        <v>2711</v>
      </c>
      <c r="E890" s="4" t="s">
        <v>2710</v>
      </c>
      <c r="F890" s="4" t="s">
        <v>2711</v>
      </c>
      <c r="G890" s="5" t="str">
        <f>IFERROR(__xludf.DUMMYFUNCTION("GOOGLETRANSLATE(D890,""da"",""es"")"),"Mal")</f>
        <v>Mal</v>
      </c>
      <c r="H890" s="4" t="s">
        <v>4845</v>
      </c>
      <c r="I890" s="4" t="s">
        <v>4846</v>
      </c>
    </row>
    <row r="891">
      <c r="A891" s="4">
        <v>22.0</v>
      </c>
      <c r="B891" s="4" t="s">
        <v>4809</v>
      </c>
      <c r="C891" s="4"/>
      <c r="D891" s="4" t="s">
        <v>4847</v>
      </c>
      <c r="E891" s="4" t="s">
        <v>4848</v>
      </c>
      <c r="F891" s="4" t="s">
        <v>4847</v>
      </c>
      <c r="G891" s="5" t="str">
        <f>IFERROR(__xludf.DUMMYFUNCTION("GOOGLETRANSLATE(D891,""da"",""es"")"),"música")</f>
        <v>música</v>
      </c>
      <c r="H891" s="4" t="s">
        <v>4849</v>
      </c>
    </row>
    <row r="892">
      <c r="A892" s="4">
        <v>23.0</v>
      </c>
      <c r="B892" s="4" t="s">
        <v>4809</v>
      </c>
      <c r="C892" s="4"/>
      <c r="D892" s="4" t="s">
        <v>2972</v>
      </c>
      <c r="E892" s="4" t="s">
        <v>3018</v>
      </c>
      <c r="F892" s="4" t="s">
        <v>2972</v>
      </c>
      <c r="G892" s="5" t="str">
        <f>IFERROR(__xludf.DUMMYFUNCTION("GOOGLETRANSLATE(D892,""da"",""es"")"),"ahora")</f>
        <v>ahora</v>
      </c>
    </row>
    <row r="893">
      <c r="A893" s="4">
        <v>24.0</v>
      </c>
      <c r="B893" s="4" t="s">
        <v>4809</v>
      </c>
      <c r="C893" s="4"/>
      <c r="D893" s="4" t="s">
        <v>3171</v>
      </c>
      <c r="E893" s="4" t="s">
        <v>4850</v>
      </c>
      <c r="F893" s="4" t="s">
        <v>3910</v>
      </c>
      <c r="G893" s="5" t="str">
        <f>IFERROR(__xludf.DUMMYFUNCTION("GOOGLETRANSLATE(D893,""da"",""es"")"),"Clavija")</f>
        <v>Clavija</v>
      </c>
    </row>
    <row r="894">
      <c r="A894" s="4">
        <v>25.0</v>
      </c>
      <c r="B894" s="4" t="s">
        <v>4809</v>
      </c>
      <c r="C894" s="4"/>
      <c r="D894" s="4" t="s">
        <v>266</v>
      </c>
      <c r="E894" s="4" t="s">
        <v>3458</v>
      </c>
      <c r="F894" s="4" t="s">
        <v>266</v>
      </c>
      <c r="G894" s="5" t="str">
        <f>IFERROR(__xludf.DUMMYFUNCTION("GOOGLETRANSLATE(D894,""da"",""es"")"),"Polla")</f>
        <v>Polla</v>
      </c>
    </row>
    <row r="895">
      <c r="A895" s="4">
        <v>26.0</v>
      </c>
      <c r="B895" s="4" t="s">
        <v>4809</v>
      </c>
      <c r="C895" s="4"/>
      <c r="D895" s="4" t="s">
        <v>4851</v>
      </c>
      <c r="E895" s="4" t="s">
        <v>4852</v>
      </c>
      <c r="F895" s="4" t="s">
        <v>4851</v>
      </c>
      <c r="G895" s="5" t="str">
        <f>IFERROR(__xludf.DUMMYFUNCTION("GOOGLETRANSLATE(D895,""da"",""es"")"),"Pepita")</f>
        <v>Pepita</v>
      </c>
    </row>
    <row r="896">
      <c r="A896" s="4">
        <v>27.0</v>
      </c>
      <c r="B896" s="4" t="s">
        <v>4809</v>
      </c>
      <c r="C896" s="4"/>
      <c r="D896" s="4" t="s">
        <v>3734</v>
      </c>
      <c r="E896" s="4" t="s">
        <v>3735</v>
      </c>
      <c r="F896" s="4" t="s">
        <v>3734</v>
      </c>
      <c r="G896" s="5" t="str">
        <f>IFERROR(__xludf.DUMMYFUNCTION("GOOGLETRANSLATE(D896,""da"",""es"")"),"alumno")</f>
        <v>alumno</v>
      </c>
      <c r="H896" s="4" t="s">
        <v>3734</v>
      </c>
    </row>
    <row r="897">
      <c r="A897" s="4">
        <v>28.0</v>
      </c>
      <c r="B897" s="4" t="s">
        <v>4809</v>
      </c>
      <c r="C897" s="4"/>
      <c r="D897" s="4" t="s">
        <v>4853</v>
      </c>
      <c r="E897" s="4" t="s">
        <v>3938</v>
      </c>
      <c r="F897" s="4" t="s">
        <v>3937</v>
      </c>
      <c r="G897" s="5" t="str">
        <f>IFERROR(__xludf.DUMMYFUNCTION("GOOGLETRANSLATE(D897,""da"",""es"")"),"verdadero")</f>
        <v>verdadero</v>
      </c>
      <c r="H897" s="4" t="s">
        <v>3696</v>
      </c>
      <c r="I897" s="4" t="s">
        <v>1262</v>
      </c>
      <c r="J897" s="4" t="b">
        <v>1</v>
      </c>
      <c r="K897" s="4" t="s">
        <v>4853</v>
      </c>
    </row>
    <row r="898">
      <c r="A898" s="4">
        <v>29.0</v>
      </c>
      <c r="B898" s="4" t="s">
        <v>4809</v>
      </c>
      <c r="C898" s="4"/>
      <c r="D898" s="4" t="s">
        <v>4854</v>
      </c>
      <c r="E898" s="4" t="s">
        <v>4855</v>
      </c>
      <c r="F898" s="4" t="s">
        <v>2407</v>
      </c>
      <c r="G898" s="5" t="str">
        <f>IFERROR(__xludf.DUMMYFUNCTION("GOOGLETRANSLATE(D898,""da"",""es"")"),"Decir")</f>
        <v>Decir</v>
      </c>
    </row>
    <row r="899">
      <c r="A899" s="4">
        <v>30.0</v>
      </c>
      <c r="B899" s="4" t="s">
        <v>4809</v>
      </c>
      <c r="C899" s="4"/>
      <c r="D899" s="4" t="s">
        <v>4856</v>
      </c>
      <c r="E899" s="4" t="s">
        <v>4857</v>
      </c>
      <c r="F899" s="4" t="s">
        <v>4856</v>
      </c>
      <c r="G899" s="5" t="str">
        <f>IFERROR(__xludf.DUMMYFUNCTION("GOOGLETRANSLATE(D899,""da"",""es"")"),"Gracias")</f>
        <v>Gracias</v>
      </c>
      <c r="H899" s="4" t="s">
        <v>4858</v>
      </c>
      <c r="I899" s="4" t="s">
        <v>4859</v>
      </c>
    </row>
    <row r="900">
      <c r="A900" s="4">
        <v>31.0</v>
      </c>
      <c r="B900" s="4" t="s">
        <v>4809</v>
      </c>
      <c r="C900" s="4"/>
      <c r="D900" s="4" t="s">
        <v>4251</v>
      </c>
      <c r="E900" s="4" t="s">
        <v>4252</v>
      </c>
      <c r="F900" s="4" t="s">
        <v>4251</v>
      </c>
      <c r="G900" s="5" t="str">
        <f>IFERROR(__xludf.DUMMYFUNCTION("GOOGLETRANSLATE(D900,""da"",""es"")"),"hablar alto")</f>
        <v>hablar alto</v>
      </c>
      <c r="H900" s="4" t="s">
        <v>4860</v>
      </c>
      <c r="I900" s="4" t="s">
        <v>4145</v>
      </c>
      <c r="J900" s="4" t="s">
        <v>4861</v>
      </c>
    </row>
    <row r="901">
      <c r="A901" s="4">
        <v>32.0</v>
      </c>
      <c r="B901" s="4" t="s">
        <v>4809</v>
      </c>
      <c r="C901" s="4"/>
      <c r="D901" s="4" t="s">
        <v>4862</v>
      </c>
      <c r="E901" s="4" t="s">
        <v>4311</v>
      </c>
      <c r="F901" s="4" t="s">
        <v>4310</v>
      </c>
      <c r="G901" s="5" t="str">
        <f>IFERROR(__xludf.DUMMYFUNCTION("GOOGLETRANSLATE(D901,""da"",""es"")"),"diente")</f>
        <v>diente</v>
      </c>
      <c r="H901" s="4" t="s">
        <v>4858</v>
      </c>
    </row>
    <row r="902">
      <c r="A902" s="4">
        <v>33.0</v>
      </c>
      <c r="B902" s="4" t="s">
        <v>4809</v>
      </c>
      <c r="C902" s="4"/>
      <c r="D902" s="4" t="s">
        <v>4321</v>
      </c>
      <c r="E902" s="4" t="s">
        <v>4322</v>
      </c>
      <c r="F902" s="4" t="s">
        <v>4321</v>
      </c>
      <c r="G902" s="5" t="str">
        <f>IFERROR(__xludf.DUMMYFUNCTION("GOOGLETRANSLATE(D902,""da"",""es"")"),"Tocar")</f>
        <v>Tocar</v>
      </c>
    </row>
    <row r="903">
      <c r="A903" s="4">
        <v>34.0</v>
      </c>
      <c r="B903" s="4" t="s">
        <v>4809</v>
      </c>
      <c r="C903" s="4"/>
      <c r="D903" s="4" t="s">
        <v>4863</v>
      </c>
      <c r="E903" s="4" t="s">
        <v>421</v>
      </c>
      <c r="F903" s="4" t="s">
        <v>422</v>
      </c>
      <c r="G903" s="5" t="str">
        <f>IFERROR(__xludf.DUMMYFUNCTION("GOOGLETRANSLATE(D903,""da"",""es"")"),"por")</f>
        <v>por</v>
      </c>
    </row>
    <row r="904">
      <c r="A904" s="4">
        <v>35.0</v>
      </c>
      <c r="B904" s="4" t="s">
        <v>4809</v>
      </c>
      <c r="C904" s="4"/>
      <c r="D904" s="4" t="s">
        <v>4786</v>
      </c>
      <c r="E904" s="4" t="s">
        <v>4864</v>
      </c>
      <c r="F904" s="4" t="s">
        <v>4865</v>
      </c>
      <c r="G904" s="5" t="str">
        <f>IFERROR(__xludf.DUMMYFUNCTION("GOOGLETRANSLATE(D904,""da"",""es"")"),"Único")</f>
        <v>Único</v>
      </c>
    </row>
    <row r="905">
      <c r="A905" s="4">
        <v>36.0</v>
      </c>
      <c r="B905" s="4" t="s">
        <v>4809</v>
      </c>
      <c r="C905" s="4"/>
      <c r="D905" s="4" t="s">
        <v>4786</v>
      </c>
      <c r="E905" s="4" t="s">
        <v>4785</v>
      </c>
      <c r="F905" s="4" t="s">
        <v>4786</v>
      </c>
      <c r="G905" s="5" t="str">
        <f>IFERROR(__xludf.DUMMYFUNCTION("GOOGLETRANSLATE(D905,""da"",""es"")"),"Único")</f>
        <v>Único</v>
      </c>
    </row>
    <row r="906">
      <c r="A906" s="4">
        <v>37.0</v>
      </c>
      <c r="B906" s="4" t="s">
        <v>4809</v>
      </c>
      <c r="C906" s="4"/>
      <c r="D906" s="4" t="s">
        <v>4866</v>
      </c>
      <c r="E906" s="4" t="s">
        <v>4867</v>
      </c>
      <c r="F906" s="4" t="s">
        <v>4868</v>
      </c>
      <c r="G906" s="5" t="str">
        <f>IFERROR(__xludf.DUMMYFUNCTION("GOOGLETRANSLATE(D906,""da"",""es"")"),"innumerable")</f>
        <v>innumerable</v>
      </c>
    </row>
    <row r="907">
      <c r="A907" s="4">
        <v>38.0</v>
      </c>
      <c r="B907" s="4" t="s">
        <v>4809</v>
      </c>
      <c r="C907" s="4"/>
      <c r="D907" s="4" t="s">
        <v>4869</v>
      </c>
      <c r="E907" s="4" t="s">
        <v>4870</v>
      </c>
      <c r="F907" s="4" t="s">
        <v>4871</v>
      </c>
      <c r="G907" s="5" t="str">
        <f>IFERROR(__xludf.DUMMYFUNCTION("GOOGLETRANSLATE(D907,""da"",""es"")"),"Calabacín")</f>
        <v>Calabacín</v>
      </c>
    </row>
    <row r="908">
      <c r="A908" s="4">
        <v>1.0</v>
      </c>
      <c r="B908" s="4" t="s">
        <v>4872</v>
      </c>
      <c r="C908" s="4"/>
      <c r="D908" s="4" t="s">
        <v>506</v>
      </c>
      <c r="E908" s="4" t="s">
        <v>507</v>
      </c>
      <c r="F908" s="4" t="s">
        <v>506</v>
      </c>
      <c r="G908" s="5" t="str">
        <f>IFERROR(__xludf.DUMMYFUNCTION("GOOGLETRANSLATE(D908,""da"",""es"")"),"Anguila")</f>
        <v>Anguila</v>
      </c>
    </row>
    <row r="909">
      <c r="A909" s="4">
        <v>2.0</v>
      </c>
      <c r="B909" s="4" t="s">
        <v>4872</v>
      </c>
      <c r="C909" s="4"/>
      <c r="D909" s="4" t="s">
        <v>594</v>
      </c>
      <c r="E909" s="4" t="s">
        <v>593</v>
      </c>
      <c r="F909" s="4" t="s">
        <v>594</v>
      </c>
      <c r="G909" s="5" t="str">
        <f>IFERROR(__xludf.DUMMYFUNCTION("GOOGLETRANSLATE(D909,""da"",""es"")"),"Un")</f>
        <v>Un</v>
      </c>
    </row>
    <row r="910">
      <c r="A910" s="4">
        <v>3.0</v>
      </c>
      <c r="B910" s="4" t="s">
        <v>4872</v>
      </c>
      <c r="C910" s="4"/>
      <c r="D910" s="4" t="s">
        <v>3547</v>
      </c>
      <c r="E910" s="4" t="s">
        <v>4810</v>
      </c>
      <c r="F910" s="4" t="s">
        <v>3547</v>
      </c>
      <c r="G910" s="5" t="str">
        <f>IFERROR(__xludf.DUMMYFUNCTION("GOOGLETRANSLATE(D910,""da"",""es"")"),"Piña")</f>
        <v>Piña</v>
      </c>
    </row>
    <row r="911">
      <c r="A911" s="4">
        <v>4.0</v>
      </c>
      <c r="B911" s="4" t="s">
        <v>4872</v>
      </c>
      <c r="C911" s="4"/>
      <c r="D911" s="4" t="s">
        <v>4811</v>
      </c>
      <c r="E911" s="4" t="s">
        <v>4873</v>
      </c>
      <c r="F911" s="4" t="s">
        <v>505</v>
      </c>
      <c r="G911" s="5" t="str">
        <f>IFERROR(__xludf.DUMMYFUNCTION("GOOGLETRANSLATE(D911,""da"",""es"")"),"No.")</f>
        <v>No.</v>
      </c>
    </row>
    <row r="912">
      <c r="A912" s="4">
        <v>5.0</v>
      </c>
      <c r="B912" s="4" t="s">
        <v>4872</v>
      </c>
      <c r="C912" s="4"/>
      <c r="D912" s="4" t="s">
        <v>4812</v>
      </c>
      <c r="E912" s="4" t="s">
        <v>4813</v>
      </c>
      <c r="F912" s="4" t="s">
        <v>4812</v>
      </c>
      <c r="G912" s="5" t="str">
        <f>IFERROR(__xludf.DUMMYFUNCTION("GOOGLETRANSLATE(D912,""da"",""es"")"),"decir ah")</f>
        <v>decir ah</v>
      </c>
    </row>
    <row r="913">
      <c r="A913" s="4">
        <v>6.0</v>
      </c>
      <c r="B913" s="4" t="s">
        <v>4872</v>
      </c>
      <c r="C913" s="4"/>
      <c r="D913" s="4" t="s">
        <v>4812</v>
      </c>
      <c r="E913" s="4" t="s">
        <v>4874</v>
      </c>
      <c r="F913" s="4" t="s">
        <v>4812</v>
      </c>
      <c r="G913" s="5" t="str">
        <f>IFERROR(__xludf.DUMMYFUNCTION("GOOGLETRANSLATE(D913,""da"",""es"")"),"decir ah")</f>
        <v>decir ah</v>
      </c>
    </row>
    <row r="914">
      <c r="A914" s="4">
        <v>7.0</v>
      </c>
      <c r="B914" s="4" t="s">
        <v>4872</v>
      </c>
      <c r="C914" s="4"/>
      <c r="D914" s="4" t="s">
        <v>4875</v>
      </c>
      <c r="E914" s="4" t="s">
        <v>4813</v>
      </c>
      <c r="F914" s="4" t="s">
        <v>4812</v>
      </c>
      <c r="G914" s="5" t="str">
        <f>IFERROR(__xludf.DUMMYFUNCTION("GOOGLETRANSLATE(D914,""da"",""es"")"),"ja")</f>
        <v>ja</v>
      </c>
    </row>
    <row r="915">
      <c r="A915" s="4">
        <v>8.0</v>
      </c>
      <c r="B915" s="4" t="s">
        <v>4872</v>
      </c>
      <c r="C915" s="4"/>
      <c r="D915" s="4" t="s">
        <v>1786</v>
      </c>
      <c r="E915" s="4" t="s">
        <v>4876</v>
      </c>
      <c r="F915" s="4" t="s">
        <v>1786</v>
      </c>
      <c r="G915" s="5" t="str">
        <f>IFERROR(__xludf.DUMMYFUNCTION("GOOGLETRANSLATE(D915,""da"",""es"")"),"él")</f>
        <v>él</v>
      </c>
    </row>
    <row r="916">
      <c r="A916" s="4">
        <v>9.0</v>
      </c>
      <c r="B916" s="4" t="s">
        <v>4872</v>
      </c>
      <c r="C916" s="4"/>
      <c r="D916" s="4" t="s">
        <v>4818</v>
      </c>
      <c r="E916" s="4" t="s">
        <v>4813</v>
      </c>
      <c r="F916" s="4" t="s">
        <v>4812</v>
      </c>
      <c r="G916" s="5" t="str">
        <f>IFERROR(__xludf.DUMMYFUNCTION("GOOGLETRANSLATE(D916,""da"",""es"")"),"mar")</f>
        <v>mar</v>
      </c>
      <c r="H916" s="4" t="s">
        <v>2475</v>
      </c>
      <c r="I916" s="4" t="s">
        <v>2474</v>
      </c>
      <c r="J916" s="4" t="s">
        <v>2475</v>
      </c>
      <c r="K916" s="4" t="s">
        <v>2474</v>
      </c>
    </row>
    <row r="917">
      <c r="A917" s="4">
        <v>10.0</v>
      </c>
      <c r="B917" s="4" t="s">
        <v>4872</v>
      </c>
      <c r="C917" s="4"/>
      <c r="D917" s="4" t="s">
        <v>311</v>
      </c>
      <c r="E917" s="4" t="s">
        <v>4813</v>
      </c>
      <c r="F917" s="4" t="s">
        <v>4812</v>
      </c>
      <c r="G917" s="5" t="str">
        <f>IFERROR(__xludf.DUMMYFUNCTION("GOOGLETRANSLATE(D917,""da"",""es"")"),"Jardín")</f>
        <v>Jardín</v>
      </c>
      <c r="H917" s="4" t="s">
        <v>2634</v>
      </c>
      <c r="I917" s="4" t="s">
        <v>4877</v>
      </c>
      <c r="J917" s="4" t="s">
        <v>4878</v>
      </c>
      <c r="K917" s="4" t="s">
        <v>4879</v>
      </c>
    </row>
    <row r="918">
      <c r="A918" s="4">
        <v>11.0</v>
      </c>
      <c r="B918" s="4" t="s">
        <v>4872</v>
      </c>
      <c r="C918" s="4"/>
      <c r="D918" s="4" t="s">
        <v>4880</v>
      </c>
      <c r="E918" s="4" t="s">
        <v>4881</v>
      </c>
      <c r="F918" s="4" t="s">
        <v>4880</v>
      </c>
      <c r="G918" s="5" t="str">
        <f>IFERROR(__xludf.DUMMYFUNCTION("GOOGLETRANSLATE(D918,""da"",""es"")"),"Hin")</f>
        <v>Hin</v>
      </c>
    </row>
    <row r="919">
      <c r="A919" s="4">
        <v>12.0</v>
      </c>
      <c r="B919" s="4" t="s">
        <v>4872</v>
      </c>
      <c r="C919" s="4"/>
      <c r="D919" s="4" t="s">
        <v>1858</v>
      </c>
      <c r="E919" s="4" t="s">
        <v>4882</v>
      </c>
      <c r="F919" s="4" t="s">
        <v>1858</v>
      </c>
      <c r="G919" s="5" t="str">
        <f>IFERROR(__xludf.DUMMYFUNCTION("GOOGLETRANSLATE(D919,""da"",""es"")"),"ella")</f>
        <v>ella</v>
      </c>
    </row>
    <row r="920">
      <c r="A920" s="4">
        <v>13.0</v>
      </c>
      <c r="B920" s="4" t="s">
        <v>4872</v>
      </c>
      <c r="C920" s="4"/>
      <c r="D920" s="4" t="s">
        <v>4883</v>
      </c>
      <c r="E920" s="4" t="s">
        <v>4884</v>
      </c>
      <c r="F920" s="4" t="s">
        <v>4885</v>
      </c>
      <c r="G920" s="5" t="str">
        <f>IFERROR(__xludf.DUMMYFUNCTION("GOOGLETRANSLATE(D920,""da"",""es"")"),"yo")</f>
        <v>yo</v>
      </c>
    </row>
    <row r="921">
      <c r="A921" s="4">
        <v>14.0</v>
      </c>
      <c r="B921" s="4" t="s">
        <v>4872</v>
      </c>
      <c r="C921" s="4"/>
      <c r="D921" s="4" t="s">
        <v>4886</v>
      </c>
      <c r="E921" s="4" t="s">
        <v>2016</v>
      </c>
      <c r="F921" s="4" t="s">
        <v>2015</v>
      </c>
      <c r="G921" s="5" t="str">
        <f>IFERROR(__xludf.DUMMYFUNCTION("GOOGLETRANSLATE(D921,""da"",""es"")"),"dejar")</f>
        <v>dejar</v>
      </c>
    </row>
    <row r="922">
      <c r="A922" s="4">
        <v>15.0</v>
      </c>
      <c r="B922" s="4" t="s">
        <v>4872</v>
      </c>
      <c r="C922" s="4"/>
      <c r="D922" s="4" t="s">
        <v>4887</v>
      </c>
      <c r="E922" s="4" t="s">
        <v>4888</v>
      </c>
      <c r="F922" s="4" t="s">
        <v>2015</v>
      </c>
      <c r="G922" s="5" t="str">
        <f>IFERROR(__xludf.DUMMYFUNCTION("GOOGLETRANSLATE(D922,""da"",""es"")"),"graneros")</f>
        <v>graneros</v>
      </c>
    </row>
    <row r="923">
      <c r="A923" s="4">
        <v>16.0</v>
      </c>
      <c r="B923" s="4" t="s">
        <v>4872</v>
      </c>
      <c r="C923" s="4"/>
      <c r="D923" s="4" t="s">
        <v>4840</v>
      </c>
      <c r="E923" s="4" t="s">
        <v>4843</v>
      </c>
      <c r="F923" s="4" t="s">
        <v>333</v>
      </c>
      <c r="G923" s="5" t="str">
        <f>IFERROR(__xludf.DUMMYFUNCTION("GOOGLETRANSLATE(D923,""da"",""es"")"),"Mayo")</f>
        <v>Mayo</v>
      </c>
    </row>
    <row r="924">
      <c r="A924" s="4">
        <v>17.0</v>
      </c>
      <c r="B924" s="4" t="s">
        <v>4872</v>
      </c>
      <c r="C924" s="4"/>
      <c r="D924" s="4" t="s">
        <v>1856</v>
      </c>
      <c r="E924" s="4" t="s">
        <v>4841</v>
      </c>
      <c r="F924" s="4" t="s">
        <v>1856</v>
      </c>
      <c r="G924" s="5" t="str">
        <f>IFERROR(__xludf.DUMMYFUNCTION("GOOGLETRANSLATE(D924,""da"",""es"")"),"tú")</f>
        <v>tú</v>
      </c>
    </row>
    <row r="925">
      <c r="A925" s="4">
        <v>18.0</v>
      </c>
      <c r="B925" s="4" t="s">
        <v>4872</v>
      </c>
      <c r="C925" s="4"/>
      <c r="D925" s="4" t="s">
        <v>2711</v>
      </c>
      <c r="E925" s="4" t="s">
        <v>2710</v>
      </c>
      <c r="F925" s="4" t="s">
        <v>2711</v>
      </c>
      <c r="G925" s="5" t="str">
        <f>IFERROR(__xludf.DUMMYFUNCTION("GOOGLETRANSLATE(D925,""da"",""es"")"),"Mal")</f>
        <v>Mal</v>
      </c>
      <c r="H925" s="4" t="s">
        <v>4845</v>
      </c>
      <c r="I925" s="4" t="s">
        <v>4846</v>
      </c>
    </row>
    <row r="926">
      <c r="A926" s="4">
        <v>19.0</v>
      </c>
      <c r="B926" s="4" t="s">
        <v>4872</v>
      </c>
      <c r="C926" s="4"/>
      <c r="D926" s="4" t="s">
        <v>2923</v>
      </c>
      <c r="E926" s="4" t="s">
        <v>2924</v>
      </c>
      <c r="F926" s="4" t="s">
        <v>2923</v>
      </c>
      <c r="G926" s="5" t="str">
        <f>IFERROR(__xludf.DUMMYFUNCTION("GOOGLETRANSLATE(D926,""da"",""es"")"),"bien bien")</f>
        <v>bien bien</v>
      </c>
    </row>
    <row r="927">
      <c r="A927" s="4">
        <v>20.0</v>
      </c>
      <c r="B927" s="4" t="s">
        <v>4872</v>
      </c>
      <c r="C927" s="4"/>
      <c r="D927" s="4" t="s">
        <v>2972</v>
      </c>
      <c r="E927" s="4" t="s">
        <v>3018</v>
      </c>
      <c r="F927" s="4" t="s">
        <v>2972</v>
      </c>
      <c r="G927" s="5" t="str">
        <f>IFERROR(__xludf.DUMMYFUNCTION("GOOGLETRANSLATE(D927,""da"",""es"")"),"ahora")</f>
        <v>ahora</v>
      </c>
    </row>
    <row r="928">
      <c r="A928" s="4">
        <v>21.0</v>
      </c>
      <c r="B928" s="4" t="s">
        <v>4872</v>
      </c>
      <c r="C928" s="4"/>
      <c r="D928" s="4" t="s">
        <v>4854</v>
      </c>
      <c r="E928" s="4" t="s">
        <v>4889</v>
      </c>
      <c r="F928" s="4" t="s">
        <v>2407</v>
      </c>
      <c r="G928" s="5" t="str">
        <f>IFERROR(__xludf.DUMMYFUNCTION("GOOGLETRANSLATE(D928,""da"",""es"")"),"Decir")</f>
        <v>Decir</v>
      </c>
    </row>
    <row r="929">
      <c r="A929" s="4">
        <v>1.0</v>
      </c>
      <c r="B929" s="4" t="s">
        <v>4890</v>
      </c>
      <c r="C929" s="4"/>
      <c r="D929" s="4" t="s">
        <v>4891</v>
      </c>
      <c r="E929" s="4" t="s">
        <v>504</v>
      </c>
      <c r="F929" s="4" t="s">
        <v>505</v>
      </c>
      <c r="G929" s="5" t="str">
        <f>IFERROR(__xludf.DUMMYFUNCTION("GOOGLETRANSLATE(D929,""el"",""es"")"),"Ai")</f>
        <v>Ai</v>
      </c>
    </row>
    <row r="930">
      <c r="A930" s="4">
        <v>2.0</v>
      </c>
      <c r="B930" s="4" t="s">
        <v>4890</v>
      </c>
      <c r="C930" s="4"/>
      <c r="D930" s="4" t="s">
        <v>4892</v>
      </c>
      <c r="E930" s="4" t="s">
        <v>4893</v>
      </c>
      <c r="F930" s="4" t="s">
        <v>4894</v>
      </c>
      <c r="G930" s="5" t="str">
        <f>IFERROR(__xludf.DUMMYFUNCTION("GOOGLETRANSLATE(D930,""el"",""es"")"),"he oído")</f>
        <v>he oído</v>
      </c>
    </row>
    <row r="931">
      <c r="A931" s="4">
        <v>3.0</v>
      </c>
      <c r="B931" s="4" t="s">
        <v>4890</v>
      </c>
      <c r="C931" s="4"/>
      <c r="D931" s="4" t="s">
        <v>4895</v>
      </c>
      <c r="E931" s="4" t="s">
        <v>4896</v>
      </c>
      <c r="F931" s="4" t="s">
        <v>4897</v>
      </c>
      <c r="G931" s="5" t="str">
        <f>IFERROR(__xludf.DUMMYFUNCTION("GOOGLETRANSLATE(D931,""el"",""es"")"),"he oído")</f>
        <v>he oído</v>
      </c>
    </row>
    <row r="932">
      <c r="A932" s="4">
        <v>4.0</v>
      </c>
      <c r="B932" s="4" t="s">
        <v>4890</v>
      </c>
      <c r="C932" s="4"/>
      <c r="D932" s="4" t="s">
        <v>4898</v>
      </c>
      <c r="E932" s="4" t="s">
        <v>4899</v>
      </c>
      <c r="F932" s="4" t="s">
        <v>4900</v>
      </c>
      <c r="G932" s="5" t="str">
        <f>IFERROR(__xludf.DUMMYFUNCTION("GOOGLETRANSLATE(D932,""el"",""es"")"),"espumoso")</f>
        <v>espumoso</v>
      </c>
    </row>
    <row r="933">
      <c r="A933" s="4">
        <v>5.0</v>
      </c>
      <c r="B933" s="4" t="s">
        <v>4890</v>
      </c>
      <c r="C933" s="4"/>
      <c r="D933" s="4" t="s">
        <v>4901</v>
      </c>
      <c r="E933" s="4" t="s">
        <v>4902</v>
      </c>
      <c r="F933" s="4" t="s">
        <v>4903</v>
      </c>
      <c r="G933" s="5" t="str">
        <f>IFERROR(__xludf.DUMMYFUNCTION("GOOGLETRANSLATE(D933,""el"",""es"")"),"savia")</f>
        <v>savia</v>
      </c>
    </row>
    <row r="934">
      <c r="A934" s="4">
        <v>6.0</v>
      </c>
      <c r="B934" s="4" t="s">
        <v>4890</v>
      </c>
      <c r="C934" s="4"/>
      <c r="D934" s="4" t="s">
        <v>4904</v>
      </c>
      <c r="E934" s="4" t="s">
        <v>818</v>
      </c>
      <c r="F934" s="4" t="s">
        <v>817</v>
      </c>
      <c r="G934" s="5" t="str">
        <f>IFERROR(__xludf.DUMMYFUNCTION("GOOGLETRANSLATE(D934,""el"",""es"")"),"por lo tanto")</f>
        <v>por lo tanto</v>
      </c>
    </row>
    <row r="935">
      <c r="A935" s="4">
        <v>7.0</v>
      </c>
      <c r="B935" s="4" t="s">
        <v>4890</v>
      </c>
      <c r="C935" s="4"/>
      <c r="D935" s="4" t="s">
        <v>4905</v>
      </c>
      <c r="E935" s="4" t="s">
        <v>4906</v>
      </c>
      <c r="F935" s="4" t="s">
        <v>4907</v>
      </c>
      <c r="G935" s="5" t="str">
        <f>IFERROR(__xludf.DUMMYFUNCTION("GOOGLETRANSLATE(D935,""el"",""es"")"),"empinado")</f>
        <v>empinado</v>
      </c>
    </row>
    <row r="936">
      <c r="A936" s="4">
        <v>8.0</v>
      </c>
      <c r="B936" s="4" t="s">
        <v>4890</v>
      </c>
      <c r="C936" s="4"/>
      <c r="D936" s="4" t="s">
        <v>4908</v>
      </c>
      <c r="E936" s="4" t="s">
        <v>4909</v>
      </c>
      <c r="F936" s="4" t="s">
        <v>4910</v>
      </c>
      <c r="G936" s="5" t="str">
        <f>IFERROR(__xludf.DUMMYFUNCTION("GOOGLETRANSLATE(D936,""el"",""es"")"),"eje")</f>
        <v>eje</v>
      </c>
    </row>
    <row r="937">
      <c r="A937" s="4">
        <v>9.0</v>
      </c>
      <c r="B937" s="4" t="s">
        <v>4890</v>
      </c>
      <c r="C937" s="4"/>
      <c r="D937" s="4" t="s">
        <v>4911</v>
      </c>
      <c r="E937" s="4" t="s">
        <v>4912</v>
      </c>
      <c r="F937" s="4" t="s">
        <v>4913</v>
      </c>
      <c r="G937" s="5" t="str">
        <f>IFERROR(__xludf.DUMMYFUNCTION("GOOGLETRANSLATE(D937,""el"",""es"")"),"Era")</f>
        <v>Era</v>
      </c>
    </row>
    <row r="938">
      <c r="A938" s="4">
        <v>10.0</v>
      </c>
      <c r="B938" s="4" t="s">
        <v>4890</v>
      </c>
      <c r="C938" s="4"/>
      <c r="D938" s="4" t="s">
        <v>4914</v>
      </c>
      <c r="E938" s="4" t="s">
        <v>4915</v>
      </c>
      <c r="F938" s="4" t="s">
        <v>4916</v>
      </c>
      <c r="G938" s="5" t="str">
        <f>IFERROR(__xludf.DUMMYFUNCTION("GOOGLETRANSLATE(D938,""el"",""es"")"),"Era")</f>
        <v>Era</v>
      </c>
    </row>
    <row r="939">
      <c r="A939" s="4">
        <v>11.0</v>
      </c>
      <c r="B939" s="4" t="s">
        <v>4890</v>
      </c>
      <c r="C939" s="4"/>
      <c r="D939" s="4" t="s">
        <v>4917</v>
      </c>
      <c r="E939" s="4" t="s">
        <v>4918</v>
      </c>
      <c r="F939" s="4" t="s">
        <v>4919</v>
      </c>
      <c r="G939" s="5" t="str">
        <f>IFERROR(__xludf.DUMMYFUNCTION("GOOGLETRANSLATE(D939,""el"",""es"")"),"hígado")</f>
        <v>hígado</v>
      </c>
      <c r="H939" s="4" t="s">
        <v>4920</v>
      </c>
    </row>
    <row r="940">
      <c r="A940" s="4">
        <v>12.0</v>
      </c>
      <c r="B940" s="4" t="s">
        <v>4890</v>
      </c>
      <c r="C940" s="4"/>
      <c r="D940" s="4" t="s">
        <v>4921</v>
      </c>
      <c r="E940" s="4" t="s">
        <v>4922</v>
      </c>
      <c r="F940" s="4" t="s">
        <v>4923</v>
      </c>
      <c r="G940" s="5" t="str">
        <f>IFERROR(__xludf.DUMMYFUNCTION("GOOGLETRANSLATE(D940,""el"",""es"")"),"Ellos eran")</f>
        <v>Ellos eran</v>
      </c>
    </row>
    <row r="941">
      <c r="A941" s="4">
        <v>13.0</v>
      </c>
      <c r="B941" s="4" t="s">
        <v>4890</v>
      </c>
      <c r="C941" s="4"/>
      <c r="D941" s="4" t="s">
        <v>4924</v>
      </c>
      <c r="E941" s="4" t="s">
        <v>4925</v>
      </c>
      <c r="F941" s="4" t="s">
        <v>4926</v>
      </c>
      <c r="G941" s="5" t="str">
        <f>IFERROR(__xludf.DUMMYFUNCTION("GOOGLETRANSLATE(D941,""el"",""es"")"),"estabas")</f>
        <v>estabas</v>
      </c>
    </row>
    <row r="942">
      <c r="A942" s="4">
        <v>14.0</v>
      </c>
      <c r="B942" s="4" t="s">
        <v>4890</v>
      </c>
      <c r="C942" s="4"/>
      <c r="D942" s="4" t="s">
        <v>4927</v>
      </c>
      <c r="E942" s="4" t="s">
        <v>4928</v>
      </c>
      <c r="F942" s="4" t="s">
        <v>4929</v>
      </c>
      <c r="G942" s="5" t="str">
        <f>IFERROR(__xludf.DUMMYFUNCTION("GOOGLETRANSLATE(D942,""el"",""es"")"),"tumor")</f>
        <v>tumor</v>
      </c>
    </row>
    <row r="943">
      <c r="A943" s="4">
        <v>15.0</v>
      </c>
      <c r="B943" s="4" t="s">
        <v>4890</v>
      </c>
      <c r="C943" s="4"/>
      <c r="D943" s="4" t="s">
        <v>4930</v>
      </c>
      <c r="E943" s="4" t="s">
        <v>4931</v>
      </c>
      <c r="F943" s="4" t="s">
        <v>4932</v>
      </c>
      <c r="G943" s="5" t="str">
        <f>IFERROR(__xludf.DUMMYFUNCTION("GOOGLETRANSLATE(D943,""el"",""es"")"),"o")</f>
        <v>o</v>
      </c>
    </row>
    <row r="944">
      <c r="A944" s="4">
        <v>16.0</v>
      </c>
      <c r="B944" s="4" t="s">
        <v>4890</v>
      </c>
      <c r="C944" s="4"/>
      <c r="D944" s="4" t="s">
        <v>4933</v>
      </c>
      <c r="E944" s="4" t="s">
        <v>4934</v>
      </c>
      <c r="F944" s="4" t="s">
        <v>4935</v>
      </c>
      <c r="G944" s="5" t="str">
        <f>IFERROR(__xludf.DUMMYFUNCTION("GOOGLETRANSLATE(D944,""el"",""es"")"),"era")</f>
        <v>era</v>
      </c>
    </row>
    <row r="945">
      <c r="A945" s="4">
        <v>17.0</v>
      </c>
      <c r="B945" s="4" t="s">
        <v>4890</v>
      </c>
      <c r="C945" s="4"/>
      <c r="D945" s="4" t="s">
        <v>4936</v>
      </c>
      <c r="E945" s="4" t="s">
        <v>4931</v>
      </c>
      <c r="F945" s="4" t="s">
        <v>4932</v>
      </c>
      <c r="G945" s="5" t="str">
        <f>IFERROR(__xludf.DUMMYFUNCTION("GOOGLETRANSLATE(D945,""el"",""es"")"),"vencer")</f>
        <v>vencer</v>
      </c>
      <c r="H945" s="4" t="s">
        <v>4937</v>
      </c>
      <c r="I945" s="4" t="s">
        <v>3206</v>
      </c>
    </row>
    <row r="946">
      <c r="A946" s="4">
        <v>18.0</v>
      </c>
      <c r="B946" s="4" t="s">
        <v>4890</v>
      </c>
      <c r="C946" s="4"/>
      <c r="D946" s="4" t="s">
        <v>4938</v>
      </c>
      <c r="E946" s="4" t="s">
        <v>2003</v>
      </c>
      <c r="F946" s="4" t="s">
        <v>2002</v>
      </c>
      <c r="G946" s="5" t="str">
        <f>IFERROR(__xludf.DUMMYFUNCTION("GOOGLETRANSLATE(D946,""el"",""es"")"),"irresponsas")</f>
        <v>irresponsas</v>
      </c>
    </row>
    <row r="947">
      <c r="A947" s="4">
        <v>19.0</v>
      </c>
      <c r="B947" s="4" t="s">
        <v>4890</v>
      </c>
      <c r="C947" s="4"/>
      <c r="D947" s="4" t="s">
        <v>4939</v>
      </c>
      <c r="E947" s="4" t="s">
        <v>4940</v>
      </c>
      <c r="F947" s="4" t="s">
        <v>4941</v>
      </c>
      <c r="G947" s="5" t="str">
        <f>IFERROR(__xludf.DUMMYFUNCTION("GOOGLETRANSLATE(D947,""el"",""es"")"),"amor")</f>
        <v>amor</v>
      </c>
    </row>
    <row r="948">
      <c r="A948" s="4">
        <v>20.0</v>
      </c>
      <c r="B948" s="4" t="s">
        <v>4890</v>
      </c>
      <c r="C948" s="4"/>
      <c r="D948" s="4" t="s">
        <v>4942</v>
      </c>
      <c r="E948" s="4" t="s">
        <v>4943</v>
      </c>
      <c r="F948" s="4" t="s">
        <v>4944</v>
      </c>
      <c r="G948" s="5" t="str">
        <f>IFERROR(__xludf.DUMMYFUNCTION("GOOGLETRANSLATE(D948,""el"",""es"")"),"me gustó")</f>
        <v>me gustó</v>
      </c>
    </row>
    <row r="949">
      <c r="A949" s="4">
        <v>21.0</v>
      </c>
      <c r="B949" s="4" t="s">
        <v>4890</v>
      </c>
      <c r="C949" s="4"/>
      <c r="D949" s="4" t="s">
        <v>4945</v>
      </c>
      <c r="E949" s="4" t="s">
        <v>4946</v>
      </c>
      <c r="F949" s="4" t="s">
        <v>4947</v>
      </c>
      <c r="G949" s="5" t="str">
        <f>IFERROR(__xludf.DUMMYFUNCTION("GOOGLETRANSLATE(D949,""el"",""es"")"),"me gustó")</f>
        <v>me gustó</v>
      </c>
    </row>
    <row r="950">
      <c r="A950" s="4">
        <v>22.0</v>
      </c>
      <c r="B950" s="4" t="s">
        <v>4890</v>
      </c>
      <c r="C950" s="4"/>
      <c r="D950" s="4" t="s">
        <v>4948</v>
      </c>
      <c r="E950" s="4" t="s">
        <v>4949</v>
      </c>
      <c r="F950" s="4" t="s">
        <v>4950</v>
      </c>
      <c r="G950" s="5" t="str">
        <f>IFERROR(__xludf.DUMMYFUNCTION("GOOGLETRANSLATE(D950,""el"",""es"")"),"amor")</f>
        <v>amor</v>
      </c>
    </row>
    <row r="951">
      <c r="A951" s="4">
        <v>23.0</v>
      </c>
      <c r="B951" s="4" t="s">
        <v>4890</v>
      </c>
      <c r="C951" s="4"/>
      <c r="D951" s="4" t="s">
        <v>4951</v>
      </c>
      <c r="E951" s="4" t="s">
        <v>4952</v>
      </c>
      <c r="F951" s="4" t="s">
        <v>4953</v>
      </c>
      <c r="G951" s="5" t="str">
        <f>IFERROR(__xludf.DUMMYFUNCTION("GOOGLETRANSLATE(D951,""el"",""es"")"),"amado")</f>
        <v>amado</v>
      </c>
    </row>
    <row r="952">
      <c r="A952" s="4">
        <v>24.0</v>
      </c>
      <c r="B952" s="4" t="s">
        <v>4890</v>
      </c>
      <c r="C952" s="4"/>
      <c r="D952" s="4" t="s">
        <v>4954</v>
      </c>
      <c r="E952" s="4" t="s">
        <v>4955</v>
      </c>
      <c r="F952" s="4" t="s">
        <v>4956</v>
      </c>
      <c r="G952" s="5" t="str">
        <f>IFERROR(__xludf.DUMMYFUNCTION("GOOGLETRANSLATE(D952,""el"",""es"")"),"me gustó")</f>
        <v>me gustó</v>
      </c>
    </row>
    <row r="953">
      <c r="A953" s="4">
        <v>25.0</v>
      </c>
      <c r="B953" s="4" t="s">
        <v>4890</v>
      </c>
      <c r="C953" s="4"/>
      <c r="D953" s="4" t="s">
        <v>4957</v>
      </c>
      <c r="E953" s="4" t="s">
        <v>4958</v>
      </c>
      <c r="F953" s="4" t="s">
        <v>4959</v>
      </c>
      <c r="G953" s="5" t="str">
        <f>IFERROR(__xludf.DUMMYFUNCTION("GOOGLETRANSLATE(D953,""el"",""es"")"),"Atenea")</f>
        <v>Atenea</v>
      </c>
      <c r="H953" s="4" t="s">
        <v>4960</v>
      </c>
      <c r="I953" s="4" t="s">
        <v>4961</v>
      </c>
      <c r="J953" s="4" t="s">
        <v>4962</v>
      </c>
      <c r="K953" s="4" t="s">
        <v>4963</v>
      </c>
    </row>
    <row r="954">
      <c r="A954" s="4">
        <v>26.0</v>
      </c>
      <c r="B954" s="4" t="s">
        <v>4890</v>
      </c>
      <c r="C954" s="4"/>
      <c r="D954" s="4" t="s">
        <v>4964</v>
      </c>
      <c r="E954" s="4" t="s">
        <v>4958</v>
      </c>
      <c r="F954" s="4" t="s">
        <v>4959</v>
      </c>
      <c r="G954" s="5" t="str">
        <f>IFERROR(__xludf.DUMMYFUNCTION("GOOGLETRANSLATE(D954,""el"",""es"")"),"Atenea")</f>
        <v>Atenea</v>
      </c>
    </row>
    <row r="955">
      <c r="A955" s="4">
        <v>27.0</v>
      </c>
      <c r="B955" s="4" t="s">
        <v>4890</v>
      </c>
      <c r="C955" s="4"/>
      <c r="D955" s="4" t="s">
        <v>4965</v>
      </c>
      <c r="E955" s="4" t="s">
        <v>4966</v>
      </c>
      <c r="F955" s="4" t="s">
        <v>4967</v>
      </c>
      <c r="G955" s="5" t="str">
        <f>IFERROR(__xludf.DUMMYFUNCTION("GOOGLETRANSLATE(D955,""el"",""es"")"),"callejón")</f>
        <v>callejón</v>
      </c>
    </row>
    <row r="956">
      <c r="A956" s="4">
        <v>28.0</v>
      </c>
      <c r="B956" s="4" t="s">
        <v>4890</v>
      </c>
      <c r="C956" s="4"/>
      <c r="D956" s="4" t="s">
        <v>4968</v>
      </c>
      <c r="E956" s="4" t="s">
        <v>4969</v>
      </c>
      <c r="F956" s="4" t="s">
        <v>4970</v>
      </c>
      <c r="G956" s="5" t="str">
        <f>IFERROR(__xludf.DUMMYFUNCTION("GOOGLETRANSLATE(D956,""el"",""es"")"),"alpino")</f>
        <v>alpino</v>
      </c>
    </row>
    <row r="957">
      <c r="A957" s="4">
        <v>29.0</v>
      </c>
      <c r="B957" s="4" t="s">
        <v>4890</v>
      </c>
      <c r="C957" s="4"/>
      <c r="D957" s="4" t="s">
        <v>4971</v>
      </c>
      <c r="E957" s="4" t="s">
        <v>4972</v>
      </c>
      <c r="F957" s="4" t="s">
        <v>4973</v>
      </c>
      <c r="G957" s="5" t="str">
        <f>IFERROR(__xludf.DUMMYFUNCTION("GOOGLETRANSLATE(D957,""el"",""es"")"),"Saluté")</f>
        <v>Saluté</v>
      </c>
    </row>
    <row r="958">
      <c r="A958" s="4">
        <v>30.0</v>
      </c>
      <c r="B958" s="4" t="s">
        <v>4890</v>
      </c>
      <c r="C958" s="4"/>
      <c r="D958" s="4" t="s">
        <v>4974</v>
      </c>
      <c r="E958" s="4" t="s">
        <v>4975</v>
      </c>
      <c r="F958" s="4" t="s">
        <v>4976</v>
      </c>
      <c r="G958" s="5" t="str">
        <f>IFERROR(__xludf.DUMMYFUNCTION("GOOGLETRANSLATE(D958,""el"",""es"")"),"verdadero")</f>
        <v>verdadero</v>
      </c>
    </row>
    <row r="959">
      <c r="A959" s="4">
        <v>31.0</v>
      </c>
      <c r="B959" s="4" t="s">
        <v>4890</v>
      </c>
      <c r="C959" s="4"/>
      <c r="D959" s="4" t="s">
        <v>4977</v>
      </c>
      <c r="E959" s="4" t="s">
        <v>4978</v>
      </c>
      <c r="F959" s="4" t="s">
        <v>4979</v>
      </c>
      <c r="G959" s="5" t="str">
        <f>IFERROR(__xludf.DUMMYFUNCTION("GOOGLETRANSLATE(D959,""el"",""es"")"),"verdadero")</f>
        <v>verdadero</v>
      </c>
    </row>
    <row r="960">
      <c r="A960" s="4">
        <v>32.0</v>
      </c>
      <c r="B960" s="4" t="s">
        <v>4890</v>
      </c>
      <c r="C960" s="4"/>
      <c r="D960" s="4" t="s">
        <v>4980</v>
      </c>
      <c r="E960" s="4" t="s">
        <v>4978</v>
      </c>
      <c r="F960" s="4" t="s">
        <v>4979</v>
      </c>
      <c r="G960" s="5" t="str">
        <f>IFERROR(__xludf.DUMMYFUNCTION("GOOGLETRANSLATE(D960,""el"",""es"")"),"verdadero")</f>
        <v>verdadero</v>
      </c>
    </row>
    <row r="961">
      <c r="A961" s="4">
        <v>33.0</v>
      </c>
      <c r="B961" s="4" t="s">
        <v>4890</v>
      </c>
      <c r="C961" s="4"/>
      <c r="D961" s="4" t="s">
        <v>4981</v>
      </c>
      <c r="E961" s="4" t="s">
        <v>4982</v>
      </c>
      <c r="F961" s="4" t="s">
        <v>4983</v>
      </c>
      <c r="G961" s="5" t="str">
        <f>IFERROR(__xludf.DUMMYFUNCTION("GOOGLETRANSLATE(D961,""el"",""es"")"),"verdadero")</f>
        <v>verdadero</v>
      </c>
    </row>
    <row r="962">
      <c r="A962" s="4">
        <v>34.0</v>
      </c>
      <c r="B962" s="4" t="s">
        <v>4890</v>
      </c>
      <c r="C962" s="4"/>
      <c r="D962" s="4" t="s">
        <v>4984</v>
      </c>
      <c r="E962" s="4" t="s">
        <v>4985</v>
      </c>
      <c r="F962" s="4" t="s">
        <v>4986</v>
      </c>
      <c r="G962" s="5" t="str">
        <f>IFERROR(__xludf.DUMMYFUNCTION("GOOGLETRANSLATE(D962,""el"",""es"")"),"Alá")</f>
        <v>Alá</v>
      </c>
    </row>
    <row r="963">
      <c r="A963" s="4">
        <v>35.0</v>
      </c>
      <c r="B963" s="4" t="s">
        <v>4890</v>
      </c>
      <c r="C963" s="4"/>
      <c r="D963" s="4" t="s">
        <v>4987</v>
      </c>
      <c r="E963" s="4" t="s">
        <v>4988</v>
      </c>
      <c r="F963" s="4" t="s">
        <v>4989</v>
      </c>
      <c r="G963" s="5" t="str">
        <f>IFERROR(__xludf.DUMMYFUNCTION("GOOGLETRANSLATE(D963,""el"",""es"")"),"en otra parte")</f>
        <v>en otra parte</v>
      </c>
    </row>
    <row r="964">
      <c r="A964" s="4">
        <v>36.0</v>
      </c>
      <c r="B964" s="4" t="s">
        <v>4890</v>
      </c>
      <c r="C964" s="4"/>
      <c r="D964" s="4" t="s">
        <v>4990</v>
      </c>
      <c r="E964" s="4" t="s">
        <v>591</v>
      </c>
      <c r="F964" s="4" t="s">
        <v>592</v>
      </c>
      <c r="G964" s="5" t="str">
        <f>IFERROR(__xludf.DUMMYFUNCTION("GOOGLETRANSLATE(D964,""el"",""es"")"),"SOY")</f>
        <v>SOY</v>
      </c>
    </row>
    <row r="965">
      <c r="A965" s="4">
        <v>37.0</v>
      </c>
      <c r="B965" s="4" t="s">
        <v>4890</v>
      </c>
      <c r="C965" s="4"/>
      <c r="D965" s="4" t="s">
        <v>4991</v>
      </c>
      <c r="E965" s="4" t="s">
        <v>297</v>
      </c>
      <c r="F965" s="4" t="s">
        <v>298</v>
      </c>
      <c r="G965" s="5" t="str">
        <f>IFERROR(__xludf.DUMMYFUNCTION("GOOGLETRANSLATE(D965,""el"",""es"")"),"un hombre")</f>
        <v>un hombre</v>
      </c>
    </row>
    <row r="966">
      <c r="A966" s="4">
        <v>38.0</v>
      </c>
      <c r="B966" s="4" t="s">
        <v>4890</v>
      </c>
      <c r="C966" s="4"/>
      <c r="D966" s="4" t="s">
        <v>4992</v>
      </c>
      <c r="E966" s="4" t="s">
        <v>4993</v>
      </c>
      <c r="F966" s="4" t="s">
        <v>4994</v>
      </c>
      <c r="G966" s="5" t="str">
        <f>IFERROR(__xludf.DUMMYFUNCTION("GOOGLETRANSLATE(D966,""el"",""es"")"),"Amén")</f>
        <v>Amén</v>
      </c>
    </row>
    <row r="967">
      <c r="A967" s="4">
        <v>39.0</v>
      </c>
      <c r="B967" s="4" t="s">
        <v>4890</v>
      </c>
      <c r="C967" s="4"/>
      <c r="D967" s="4" t="s">
        <v>4995</v>
      </c>
      <c r="E967" s="4" t="s">
        <v>4996</v>
      </c>
      <c r="F967" s="4" t="s">
        <v>4997</v>
      </c>
      <c r="G967" s="5" t="str">
        <f>IFERROR(__xludf.DUMMYFUNCTION("GOOGLETRANSLATE(D967,""el"",""es"")"),"análisis")</f>
        <v>análisis</v>
      </c>
      <c r="H967" s="4" t="s">
        <v>4998</v>
      </c>
      <c r="I967" s="4" t="s">
        <v>4998</v>
      </c>
      <c r="J967" s="4" t="s">
        <v>4999</v>
      </c>
    </row>
    <row r="968">
      <c r="A968" s="4">
        <v>40.0</v>
      </c>
      <c r="B968" s="4" t="s">
        <v>4890</v>
      </c>
      <c r="C968" s="4"/>
      <c r="D968" s="4" t="s">
        <v>5000</v>
      </c>
      <c r="E968" s="4" t="s">
        <v>5001</v>
      </c>
      <c r="F968" s="4" t="s">
        <v>5002</v>
      </c>
      <c r="G968" s="5" t="str">
        <f>IFERROR(__xludf.DUMMYFUNCTION("GOOGLETRANSLATE(D968,""el"",""es"")"),"levantamiento")</f>
        <v>levantamiento</v>
      </c>
    </row>
    <row r="969">
      <c r="A969" s="4">
        <v>41.0</v>
      </c>
      <c r="B969" s="4" t="s">
        <v>4890</v>
      </c>
      <c r="C969" s="4"/>
      <c r="D969" s="4" t="s">
        <v>5003</v>
      </c>
      <c r="E969" s="4" t="s">
        <v>5004</v>
      </c>
      <c r="F969" s="4" t="s">
        <v>5005</v>
      </c>
      <c r="G969" s="5" t="str">
        <f>IFERROR(__xludf.DUMMYFUNCTION("GOOGLETRANSLATE(D969,""el"",""es"")"),"Resurrección")</f>
        <v>Resurrección</v>
      </c>
    </row>
    <row r="970">
      <c r="A970" s="4">
        <v>42.0</v>
      </c>
      <c r="B970" s="4" t="s">
        <v>4890</v>
      </c>
      <c r="C970" s="4"/>
      <c r="D970" s="4" t="s">
        <v>5006</v>
      </c>
      <c r="E970" s="4" t="s">
        <v>5007</v>
      </c>
      <c r="F970" s="4" t="s">
        <v>5008</v>
      </c>
      <c r="G970" s="5" t="str">
        <f>IFERROR(__xludf.DUMMYFUNCTION("GOOGLETRANSLATE(D970,""el"",""es"")"),"Yo pertenecía")</f>
        <v>Yo pertenecía</v>
      </c>
    </row>
    <row r="971">
      <c r="A971" s="4">
        <v>43.0</v>
      </c>
      <c r="B971" s="4" t="s">
        <v>4890</v>
      </c>
      <c r="C971" s="4"/>
      <c r="D971" s="4" t="s">
        <v>5009</v>
      </c>
      <c r="E971" s="4" t="s">
        <v>5010</v>
      </c>
      <c r="F971" s="4" t="s">
        <v>5011</v>
      </c>
      <c r="G971" s="5" t="str">
        <f>IFERROR(__xludf.DUMMYFUNCTION("GOOGLETRANSLATE(D971,""el"",""es"")"),"Rechazé")</f>
        <v>Rechazé</v>
      </c>
    </row>
    <row r="972">
      <c r="A972" s="4">
        <v>44.0</v>
      </c>
      <c r="B972" s="4" t="s">
        <v>4890</v>
      </c>
      <c r="C972" s="4"/>
      <c r="D972" s="4" t="s">
        <v>5012</v>
      </c>
      <c r="E972" s="4" t="s">
        <v>5013</v>
      </c>
      <c r="F972" s="4" t="s">
        <v>5014</v>
      </c>
      <c r="G972" s="5" t="str">
        <f>IFERROR(__xludf.DUMMYFUNCTION("GOOGLETRANSLATE(D972,""el"",""es"")"),"desgracia")</f>
        <v>desgracia</v>
      </c>
    </row>
    <row r="973">
      <c r="A973" s="4">
        <v>45.0</v>
      </c>
      <c r="B973" s="4" t="s">
        <v>4890</v>
      </c>
      <c r="C973" s="4"/>
      <c r="D973" s="4" t="s">
        <v>5015</v>
      </c>
      <c r="E973" s="4" t="s">
        <v>5016</v>
      </c>
      <c r="F973" s="4" t="s">
        <v>5017</v>
      </c>
      <c r="G973" s="5" t="str">
        <f>IFERROR(__xludf.DUMMYFUNCTION("GOOGLETRANSLATE(D973,""el"",""es"")"),"análisis")</f>
        <v>análisis</v>
      </c>
    </row>
    <row r="974">
      <c r="A974" s="4">
        <v>46.0</v>
      </c>
      <c r="B974" s="4" t="s">
        <v>4890</v>
      </c>
      <c r="C974" s="4"/>
      <c r="D974" s="4" t="s">
        <v>5018</v>
      </c>
      <c r="E974" s="4" t="s">
        <v>5019</v>
      </c>
      <c r="F974" s="4" t="s">
        <v>5020</v>
      </c>
      <c r="G974" s="5" t="str">
        <f>IFERROR(__xludf.DUMMYFUNCTION("GOOGLETRANSLATE(D974,""el"",""es"")"),"analista")</f>
        <v>analista</v>
      </c>
    </row>
    <row r="975">
      <c r="A975" s="4">
        <v>47.0</v>
      </c>
      <c r="B975" s="4" t="s">
        <v>4890</v>
      </c>
      <c r="C975" s="4"/>
      <c r="D975" s="4" t="s">
        <v>5021</v>
      </c>
      <c r="E975" s="4" t="s">
        <v>632</v>
      </c>
      <c r="F975" s="4" t="s">
        <v>633</v>
      </c>
      <c r="G975" s="5" t="str">
        <f>IFERROR(__xludf.DUMMYFUNCTION("GOOGLETRANSLATE(D975,""el"",""es"")"),"analíticamente")</f>
        <v>analíticamente</v>
      </c>
    </row>
    <row r="976">
      <c r="A976" s="4">
        <v>48.0</v>
      </c>
      <c r="B976" s="4" t="s">
        <v>4890</v>
      </c>
      <c r="C976" s="4"/>
      <c r="D976" s="4" t="s">
        <v>5022</v>
      </c>
      <c r="E976" s="4" t="s">
        <v>5023</v>
      </c>
      <c r="F976" s="4" t="s">
        <v>5024</v>
      </c>
      <c r="G976" s="5" t="str">
        <f>IFERROR(__xludf.DUMMYFUNCTION("GOOGLETRANSLATE(D976,""el"",""es"")"),"piña")</f>
        <v>piña</v>
      </c>
    </row>
    <row r="977">
      <c r="A977" s="4">
        <v>49.0</v>
      </c>
      <c r="B977" s="4" t="s">
        <v>4890</v>
      </c>
      <c r="C977" s="4"/>
      <c r="D977" s="4" t="s">
        <v>5025</v>
      </c>
      <c r="E977" s="4" t="s">
        <v>4810</v>
      </c>
      <c r="F977" s="4" t="s">
        <v>3547</v>
      </c>
      <c r="G977" s="5" t="str">
        <f>IFERROR(__xludf.DUMMYFUNCTION("GOOGLETRANSLATE(D977,""el"",""es"")"),"piña")</f>
        <v>piña</v>
      </c>
    </row>
    <row r="978">
      <c r="A978" s="4">
        <v>50.0</v>
      </c>
      <c r="B978" s="4" t="s">
        <v>4890</v>
      </c>
      <c r="C978" s="4"/>
      <c r="D978" s="4" t="s">
        <v>5026</v>
      </c>
      <c r="E978" s="4" t="s">
        <v>5027</v>
      </c>
      <c r="F978" s="4" t="s">
        <v>5028</v>
      </c>
      <c r="G978" s="5" t="str">
        <f>IFERROR(__xludf.DUMMYFUNCTION("GOOGLETRANSLATE(D978,""el"",""es"")"),"Yo resucité")</f>
        <v>Yo resucité</v>
      </c>
    </row>
    <row r="979">
      <c r="A979" s="4">
        <v>51.0</v>
      </c>
      <c r="B979" s="4" t="s">
        <v>4890</v>
      </c>
      <c r="C979" s="4"/>
      <c r="D979" s="4" t="s">
        <v>5029</v>
      </c>
      <c r="E979" s="4" t="s">
        <v>5030</v>
      </c>
      <c r="F979" s="4" t="s">
        <v>5031</v>
      </c>
      <c r="G979" s="5" t="str">
        <f>IFERROR(__xludf.DUMMYFUNCTION("GOOGLETRANSLATE(D979,""el"",""es"")"),"anilina")</f>
        <v>anilina</v>
      </c>
    </row>
    <row r="980">
      <c r="A980" s="4">
        <v>52.0</v>
      </c>
      <c r="B980" s="4" t="s">
        <v>4890</v>
      </c>
      <c r="C980" s="4"/>
      <c r="D980" s="4" t="s">
        <v>5032</v>
      </c>
      <c r="E980" s="4" t="s">
        <v>5033</v>
      </c>
      <c r="F980" s="4" t="s">
        <v>5034</v>
      </c>
      <c r="G980" s="5" t="str">
        <f>IFERROR(__xludf.DUMMYFUNCTION("GOOGLETRANSLATE(D980,""el"",""es"")"),"Anilinis")</f>
        <v>Anilinis</v>
      </c>
    </row>
    <row r="981">
      <c r="A981" s="4">
        <v>53.0</v>
      </c>
      <c r="B981" s="4" t="s">
        <v>4890</v>
      </c>
      <c r="C981" s="4"/>
      <c r="D981" s="4" t="s">
        <v>5035</v>
      </c>
      <c r="E981" s="4" t="s">
        <v>474</v>
      </c>
      <c r="F981" s="4" t="s">
        <v>475</v>
      </c>
      <c r="G981" s="5" t="str">
        <f>IFERROR(__xludf.DUMMYFUNCTION("GOOGLETRANSLATE(D981,""el"",""es"")"),"por")</f>
        <v>por</v>
      </c>
    </row>
    <row r="982">
      <c r="A982" s="4">
        <v>54.0</v>
      </c>
      <c r="B982" s="4" t="s">
        <v>4890</v>
      </c>
      <c r="C982" s="4"/>
      <c r="D982" s="4" t="s">
        <v>5036</v>
      </c>
      <c r="E982" s="4" t="s">
        <v>5037</v>
      </c>
      <c r="F982" s="4" t="s">
        <v>5038</v>
      </c>
      <c r="G982" s="5" t="str">
        <f>IFERROR(__xludf.DUMMYFUNCTION("GOOGLETRANSLATE(D982,""el"",""es"")"),"Me engañé")</f>
        <v>Me engañé</v>
      </c>
    </row>
    <row r="983">
      <c r="A983" s="4">
        <v>55.0</v>
      </c>
      <c r="B983" s="4" t="s">
        <v>4890</v>
      </c>
      <c r="C983" s="4"/>
      <c r="D983" s="4" t="s">
        <v>5039</v>
      </c>
      <c r="E983" s="4" t="s">
        <v>5040</v>
      </c>
      <c r="F983" s="4" t="s">
        <v>5041</v>
      </c>
      <c r="G983" s="5" t="str">
        <f>IFERROR(__xludf.DUMMYFUNCTION("GOOGLETRANSLATE(D983,""el"",""es"")"),"apóstata")</f>
        <v>apóstata</v>
      </c>
    </row>
    <row r="984">
      <c r="A984" s="4">
        <v>56.0</v>
      </c>
      <c r="B984" s="4" t="s">
        <v>4890</v>
      </c>
      <c r="C984" s="4"/>
      <c r="D984" s="4" t="s">
        <v>5042</v>
      </c>
      <c r="E984" s="4" t="s">
        <v>5043</v>
      </c>
      <c r="F984" s="4" t="s">
        <v>5044</v>
      </c>
      <c r="G984" s="5" t="str">
        <f>IFERROR(__xludf.DUMMYFUNCTION("GOOGLETRANSLATE(D984,""el"",""es"")"),"Fui engañado")</f>
        <v>Fui engañado</v>
      </c>
    </row>
    <row r="985">
      <c r="A985" s="4">
        <v>57.0</v>
      </c>
      <c r="B985" s="4" t="s">
        <v>4890</v>
      </c>
      <c r="C985" s="4"/>
      <c r="D985" s="4" t="s">
        <v>5045</v>
      </c>
      <c r="E985" s="4" t="s">
        <v>5046</v>
      </c>
      <c r="F985" s="4" t="s">
        <v>5047</v>
      </c>
      <c r="G985" s="5" t="str">
        <f>IFERROR(__xludf.DUMMYFUNCTION("GOOGLETRANSLATE(D985,""el"",""es"")"),"gorrión")</f>
        <v>gorrión</v>
      </c>
    </row>
    <row r="986">
      <c r="A986" s="4">
        <v>58.0</v>
      </c>
      <c r="B986" s="4" t="s">
        <v>4890</v>
      </c>
      <c r="C986" s="4"/>
      <c r="D986" s="4" t="s">
        <v>5048</v>
      </c>
      <c r="E986" s="4" t="s">
        <v>5049</v>
      </c>
      <c r="F986" s="4" t="s">
        <v>5050</v>
      </c>
      <c r="G986" s="5" t="str">
        <f>IFERROR(__xludf.DUMMYFUNCTION("GOOGLETRANSLATE(D986,""el"",""es"")"),"negra")</f>
        <v>negra</v>
      </c>
    </row>
    <row r="987">
      <c r="A987" s="4">
        <v>59.0</v>
      </c>
      <c r="B987" s="4" t="s">
        <v>4890</v>
      </c>
      <c r="C987" s="4"/>
      <c r="D987" s="4" t="s">
        <v>5051</v>
      </c>
      <c r="E987" s="4" t="s">
        <v>294</v>
      </c>
      <c r="F987" s="4" t="s">
        <v>295</v>
      </c>
      <c r="G987" s="5" t="str">
        <f>IFERROR(__xludf.DUMMYFUNCTION("GOOGLETRANSLATE(D987,""el"",""es"")"),"COMO '")</f>
        <v>COMO '</v>
      </c>
    </row>
    <row r="988">
      <c r="A988" s="4">
        <v>60.0</v>
      </c>
      <c r="B988" s="4" t="s">
        <v>4890</v>
      </c>
      <c r="C988" s="4"/>
      <c r="D988" s="4" t="s">
        <v>5052</v>
      </c>
      <c r="E988" s="4" t="s">
        <v>5053</v>
      </c>
      <c r="F988" s="4" t="s">
        <v>1042</v>
      </c>
      <c r="G988" s="5" t="str">
        <f>IFERROR(__xludf.DUMMYFUNCTION("GOOGLETRANSLATE(D988,""el"",""es"")"),"gama")</f>
        <v>gama</v>
      </c>
    </row>
    <row r="989">
      <c r="A989" s="4">
        <v>61.0</v>
      </c>
      <c r="B989" s="4" t="s">
        <v>4890</v>
      </c>
      <c r="C989" s="4"/>
      <c r="D989" s="4" t="s">
        <v>5054</v>
      </c>
      <c r="E989" s="4" t="s">
        <v>5055</v>
      </c>
      <c r="F989" s="4" t="s">
        <v>5056</v>
      </c>
      <c r="G989" s="5" t="str">
        <f>IFERROR(__xludf.DUMMYFUNCTION("GOOGLETRANSLATE(D989,""el"",""es"")"),"Yo follé")</f>
        <v>Yo follé</v>
      </c>
    </row>
    <row r="990">
      <c r="A990" s="4">
        <v>62.0</v>
      </c>
      <c r="B990" s="4" t="s">
        <v>4890</v>
      </c>
      <c r="C990" s="4"/>
      <c r="D990" s="4" t="s">
        <v>5057</v>
      </c>
      <c r="E990" s="4" t="s">
        <v>5058</v>
      </c>
      <c r="F990" s="4" t="s">
        <v>5059</v>
      </c>
      <c r="G990" s="5" t="str">
        <f>IFERROR(__xludf.DUMMYFUNCTION("GOOGLETRANSLATE(D990,""el"",""es"")"),"serenidad")</f>
        <v>serenidad</v>
      </c>
    </row>
    <row r="991">
      <c r="A991" s="4">
        <v>63.0</v>
      </c>
      <c r="B991" s="4" t="s">
        <v>4890</v>
      </c>
      <c r="C991" s="4"/>
      <c r="D991" s="4" t="s">
        <v>5060</v>
      </c>
      <c r="E991" s="4" t="s">
        <v>5061</v>
      </c>
      <c r="F991" s="4" t="s">
        <v>5062</v>
      </c>
      <c r="G991" s="5" t="str">
        <f>IFERROR(__xludf.DUMMYFUNCTION("GOOGLETRANSLATE(D991,""el"",""es"")"),"goma")</f>
        <v>goma</v>
      </c>
    </row>
    <row r="992">
      <c r="A992" s="4">
        <v>64.0</v>
      </c>
      <c r="B992" s="4" t="s">
        <v>4890</v>
      </c>
      <c r="C992" s="4"/>
      <c r="D992" s="4" t="s">
        <v>5063</v>
      </c>
      <c r="E992" s="4" t="s">
        <v>5064</v>
      </c>
      <c r="F992" s="4" t="s">
        <v>5065</v>
      </c>
      <c r="G992" s="5" t="str">
        <f>IFERROR(__xludf.DUMMYFUNCTION("GOOGLETRANSLATE(D992,""el"",""es"")"),"goma")</f>
        <v>goma</v>
      </c>
    </row>
    <row r="993">
      <c r="A993" s="4">
        <v>65.0</v>
      </c>
      <c r="B993" s="4" t="s">
        <v>4890</v>
      </c>
      <c r="C993" s="4"/>
      <c r="D993" s="4" t="s">
        <v>5066</v>
      </c>
      <c r="E993" s="4" t="s">
        <v>5064</v>
      </c>
      <c r="F993" s="4" t="s">
        <v>5065</v>
      </c>
      <c r="G993" s="5" t="str">
        <f>IFERROR(__xludf.DUMMYFUNCTION("GOOGLETRANSLATE(D993,""el"",""es"")"),"maldito")</f>
        <v>maldito</v>
      </c>
    </row>
    <row r="994">
      <c r="A994" s="4">
        <v>66.0</v>
      </c>
      <c r="B994" s="4" t="s">
        <v>4890</v>
      </c>
      <c r="C994" s="4"/>
      <c r="D994" s="4" t="s">
        <v>5067</v>
      </c>
      <c r="E994" s="4" t="s">
        <v>5068</v>
      </c>
      <c r="F994" s="4" t="s">
        <v>5069</v>
      </c>
      <c r="G994" s="5" t="str">
        <f>IFERROR(__xludf.DUMMYFUNCTION("GOOGLETRANSLATE(D994,""el"",""es"")"),"maldito")</f>
        <v>maldito</v>
      </c>
    </row>
    <row r="995">
      <c r="A995" s="4">
        <v>67.0</v>
      </c>
      <c r="B995" s="4" t="s">
        <v>4890</v>
      </c>
      <c r="C995" s="4"/>
      <c r="D995" s="4" t="s">
        <v>5070</v>
      </c>
      <c r="E995" s="4" t="s">
        <v>5071</v>
      </c>
      <c r="F995" s="4" t="s">
        <v>5072</v>
      </c>
      <c r="G995" s="5" t="str">
        <f>IFERROR(__xludf.DUMMYFUNCTION("GOOGLETRANSLATE(D995,""el"",""es"")"),"gatito")</f>
        <v>gatito</v>
      </c>
    </row>
    <row r="996">
      <c r="A996" s="4">
        <v>68.0</v>
      </c>
      <c r="B996" s="4" t="s">
        <v>4890</v>
      </c>
      <c r="C996" s="4"/>
      <c r="D996" s="4" t="s">
        <v>5073</v>
      </c>
      <c r="E996" s="4" t="s">
        <v>5074</v>
      </c>
      <c r="F996" s="4" t="s">
        <v>5075</v>
      </c>
      <c r="G996" s="5" t="str">
        <f>IFERROR(__xludf.DUMMYFUNCTION("GOOGLETRANSLATE(D996,""el"",""es"")"),"gato")</f>
        <v>gato</v>
      </c>
    </row>
    <row r="997">
      <c r="A997" s="4">
        <v>69.0</v>
      </c>
      <c r="B997" s="4" t="s">
        <v>4890</v>
      </c>
      <c r="C997" s="4"/>
      <c r="D997" s="4" t="s">
        <v>5076</v>
      </c>
      <c r="E997" s="4" t="s">
        <v>5077</v>
      </c>
      <c r="F997" s="4" t="s">
        <v>1572</v>
      </c>
      <c r="G997" s="5" t="str">
        <f>IFERROR(__xludf.DUMMYFUNCTION("GOOGLETRANSLATE(D997,""el"",""es"")"),"cerdo")</f>
        <v>cerdo</v>
      </c>
      <c r="H997" s="4" t="s">
        <v>5078</v>
      </c>
    </row>
    <row r="998">
      <c r="A998" s="4">
        <v>70.0</v>
      </c>
      <c r="B998" s="4" t="s">
        <v>4890</v>
      </c>
      <c r="C998" s="4"/>
      <c r="D998" s="4" t="s">
        <v>5079</v>
      </c>
      <c r="E998" s="4" t="s">
        <v>5080</v>
      </c>
      <c r="F998" s="4" t="s">
        <v>5081</v>
      </c>
      <c r="G998" s="5" t="str">
        <f>IFERROR(__xludf.DUMMYFUNCTION("GOOGLETRANSLATE(D998,""el"",""es"")"),"cerdo")</f>
        <v>cerdo</v>
      </c>
      <c r="H998" s="4" t="s">
        <v>5082</v>
      </c>
      <c r="I998" s="4" t="s">
        <v>5083</v>
      </c>
      <c r="J998" s="4" t="s">
        <v>5084</v>
      </c>
      <c r="K998" s="4" t="s">
        <v>5085</v>
      </c>
      <c r="L998" s="4" t="s">
        <v>5086</v>
      </c>
      <c r="M998" s="4" t="s">
        <v>5087</v>
      </c>
    </row>
    <row r="999">
      <c r="A999" s="4">
        <v>71.0</v>
      </c>
      <c r="B999" s="4" t="s">
        <v>4890</v>
      </c>
      <c r="C999" s="4"/>
      <c r="D999" s="4" t="s">
        <v>5088</v>
      </c>
      <c r="E999" s="4" t="s">
        <v>5089</v>
      </c>
      <c r="F999" s="4" t="s">
        <v>5090</v>
      </c>
      <c r="G999" s="5" t="str">
        <f>IFERROR(__xludf.DUMMYFUNCTION("GOOGLETRANSLATE(D999,""el"",""es"")"),"solía tener")</f>
        <v>solía tener</v>
      </c>
    </row>
    <row r="1000">
      <c r="A1000" s="4">
        <v>72.0</v>
      </c>
      <c r="B1000" s="4" t="s">
        <v>4890</v>
      </c>
      <c r="C1000" s="4"/>
      <c r="D1000" s="4" t="s">
        <v>5091</v>
      </c>
      <c r="E1000" s="4" t="s">
        <v>5092</v>
      </c>
      <c r="F1000" s="4" t="s">
        <v>5093</v>
      </c>
      <c r="G1000" s="5" t="str">
        <f>IFERROR(__xludf.DUMMYFUNCTION("GOOGLETRANSLATE(D1000,""el"",""es"")"),"tuvieron")</f>
        <v>tuvieron</v>
      </c>
    </row>
    <row r="1001">
      <c r="A1001" s="4">
        <v>73.0</v>
      </c>
      <c r="B1001" s="4" t="s">
        <v>4890</v>
      </c>
      <c r="C1001" s="4"/>
      <c r="D1001" s="4" t="s">
        <v>5094</v>
      </c>
      <c r="E1001" s="4" t="s">
        <v>5095</v>
      </c>
      <c r="F1001" s="4" t="s">
        <v>5096</v>
      </c>
      <c r="G1001" s="5" t="str">
        <f>IFERROR(__xludf.DUMMYFUNCTION("GOOGLETRANSLATE(D1001,""el"",""es"")"),"he oído")</f>
        <v>he oído</v>
      </c>
    </row>
    <row r="1002">
      <c r="A1002" s="4">
        <v>74.0</v>
      </c>
      <c r="B1002" s="4" t="s">
        <v>4890</v>
      </c>
      <c r="C1002" s="4"/>
      <c r="D1002" s="4" t="s">
        <v>5097</v>
      </c>
      <c r="E1002" s="4" t="s">
        <v>5098</v>
      </c>
      <c r="F1002" s="4" t="s">
        <v>5099</v>
      </c>
      <c r="G1002" s="5" t="str">
        <f>IFERROR(__xludf.DUMMYFUNCTION("GOOGLETRANSLATE(D1002,""el"",""es"")"),"introducir")</f>
        <v>introducir</v>
      </c>
    </row>
    <row r="1003">
      <c r="A1003" s="4">
        <v>75.0</v>
      </c>
      <c r="B1003" s="4" t="s">
        <v>4890</v>
      </c>
      <c r="C1003" s="4"/>
      <c r="D1003" s="4" t="s">
        <v>5100</v>
      </c>
      <c r="E1003" s="4" t="s">
        <v>5101</v>
      </c>
      <c r="F1003" s="4" t="s">
        <v>5102</v>
      </c>
      <c r="G1003" s="5" t="str">
        <f>IFERROR(__xludf.DUMMYFUNCTION("GOOGLETRANSLATE(D1003,""el"",""es"")"),"sonido")</f>
        <v>sonido</v>
      </c>
    </row>
    <row r="1004">
      <c r="A1004" s="4">
        <v>76.0</v>
      </c>
      <c r="B1004" s="4" t="s">
        <v>4890</v>
      </c>
      <c r="C1004" s="4"/>
      <c r="D1004" s="4" t="s">
        <v>5103</v>
      </c>
      <c r="E1004" s="4" t="s">
        <v>5104</v>
      </c>
      <c r="F1004" s="4" t="s">
        <v>5105</v>
      </c>
      <c r="G1004" s="5" t="str">
        <f>IFERROR(__xludf.DUMMYFUNCTION("GOOGLETRANSLATE(D1004,""el"",""es"")"),"caza")</f>
        <v>caza</v>
      </c>
    </row>
    <row r="1005">
      <c r="A1005" s="4">
        <v>77.0</v>
      </c>
      <c r="B1005" s="4" t="s">
        <v>4890</v>
      </c>
      <c r="C1005" s="4"/>
      <c r="D1005" s="4" t="s">
        <v>5106</v>
      </c>
      <c r="E1005" s="4" t="s">
        <v>5107</v>
      </c>
      <c r="F1005" s="4" t="s">
        <v>5108</v>
      </c>
      <c r="G1005" s="5" t="str">
        <f>IFERROR(__xludf.DUMMYFUNCTION("GOOGLETRANSLATE(D1005,""el"",""es"")"),"theta")</f>
        <v>theta</v>
      </c>
    </row>
    <row r="1006">
      <c r="A1006" s="4">
        <v>78.0</v>
      </c>
      <c r="B1006" s="4" t="s">
        <v>4890</v>
      </c>
      <c r="C1006" s="4"/>
      <c r="D1006" s="4" t="s">
        <v>5109</v>
      </c>
      <c r="E1006" s="4" t="s">
        <v>5110</v>
      </c>
      <c r="F1006" s="4" t="s">
        <v>5111</v>
      </c>
      <c r="G1006" s="5" t="str">
        <f>IFERROR(__xludf.DUMMYFUNCTION("GOOGLETRANSLATE(D1006,""el"",""es"")"),"voy a")</f>
        <v>voy a</v>
      </c>
    </row>
    <row r="1007">
      <c r="A1007" s="4">
        <v>79.0</v>
      </c>
      <c r="B1007" s="4" t="s">
        <v>4890</v>
      </c>
      <c r="C1007" s="4"/>
      <c r="D1007" s="4" t="s">
        <v>5112</v>
      </c>
      <c r="E1007" s="4" t="s">
        <v>5113</v>
      </c>
      <c r="F1007" s="4" t="s">
        <v>5114</v>
      </c>
      <c r="G1007" s="5" t="str">
        <f>IFERROR(__xludf.DUMMYFUNCTION("GOOGLETRANSLATE(D1007,""el"",""es"")"),"mar")</f>
        <v>mar</v>
      </c>
    </row>
    <row r="1008">
      <c r="A1008" s="4">
        <v>80.0</v>
      </c>
      <c r="B1008" s="4" t="s">
        <v>4890</v>
      </c>
      <c r="C1008" s="4"/>
      <c r="D1008" s="4" t="s">
        <v>5115</v>
      </c>
      <c r="E1008" s="4" t="s">
        <v>5116</v>
      </c>
      <c r="F1008" s="4" t="s">
        <v>5117</v>
      </c>
      <c r="G1008" s="5" t="str">
        <f>IFERROR(__xludf.DUMMYFUNCTION("GOOGLETRANSLATE(D1008,""el"",""es"")"),"nudo corredizo")</f>
        <v>nudo corredizo</v>
      </c>
      <c r="H1008" s="4" t="s">
        <v>5118</v>
      </c>
    </row>
    <row r="1009">
      <c r="A1009" s="4">
        <v>81.0</v>
      </c>
      <c r="B1009" s="4" t="s">
        <v>4890</v>
      </c>
      <c r="C1009" s="4"/>
      <c r="D1009" s="4" t="s">
        <v>5119</v>
      </c>
      <c r="E1009" s="4" t="s">
        <v>5120</v>
      </c>
      <c r="F1009" s="4" t="s">
        <v>5121</v>
      </c>
      <c r="G1009" s="5" t="str">
        <f>IFERROR(__xludf.DUMMYFUNCTION("GOOGLETRANSLATE(D1009,""el"",""es"")"),"sarampión")</f>
        <v>sarampión</v>
      </c>
    </row>
    <row r="1010">
      <c r="A1010" s="4">
        <v>82.0</v>
      </c>
      <c r="B1010" s="4" t="s">
        <v>4890</v>
      </c>
      <c r="C1010" s="4"/>
      <c r="D1010" s="4" t="s">
        <v>5122</v>
      </c>
      <c r="E1010" s="4" t="s">
        <v>5123</v>
      </c>
      <c r="F1010" s="4" t="s">
        <v>5124</v>
      </c>
      <c r="G1010" s="5" t="str">
        <f>IFERROR(__xludf.DUMMYFUNCTION("GOOGLETRANSLATE(D1010,""el"",""es"")"),"imán")</f>
        <v>imán</v>
      </c>
    </row>
    <row r="1011">
      <c r="A1011" s="4">
        <v>83.0</v>
      </c>
      <c r="B1011" s="4" t="s">
        <v>4890</v>
      </c>
      <c r="C1011" s="4"/>
      <c r="D1011" s="4" t="s">
        <v>5125</v>
      </c>
      <c r="E1011" s="4" t="s">
        <v>5126</v>
      </c>
      <c r="F1011" s="4" t="s">
        <v>5127</v>
      </c>
      <c r="G1011" s="5" t="str">
        <f>IFERROR(__xludf.DUMMYFUNCTION("GOOGLETRANSLATE(D1011,""el"",""es"")"),"lástima")</f>
        <v>lástima</v>
      </c>
    </row>
    <row r="1012">
      <c r="A1012" s="4">
        <v>84.0</v>
      </c>
      <c r="B1012" s="4" t="s">
        <v>4890</v>
      </c>
      <c r="C1012" s="4"/>
      <c r="D1012" s="4" t="s">
        <v>5128</v>
      </c>
      <c r="E1012" s="4" t="s">
        <v>1996</v>
      </c>
      <c r="F1012" s="4" t="s">
        <v>1997</v>
      </c>
      <c r="G1012" s="5" t="str">
        <f>IFERROR(__xludf.DUMMYFUNCTION("GOOGLETRANSLATE(D1012,""el"",""es"")"),"Irak")</f>
        <v>Irak</v>
      </c>
      <c r="H1012" s="4" t="s">
        <v>1998</v>
      </c>
      <c r="I1012" s="4" t="s">
        <v>1999</v>
      </c>
      <c r="J1012" s="4" t="s">
        <v>2000</v>
      </c>
      <c r="K1012" s="4" t="s">
        <v>2001</v>
      </c>
    </row>
    <row r="1013">
      <c r="A1013" s="4">
        <v>85.0</v>
      </c>
      <c r="B1013" s="4" t="s">
        <v>4890</v>
      </c>
      <c r="C1013" s="4"/>
      <c r="D1013" s="4" t="s">
        <v>5129</v>
      </c>
      <c r="E1013" s="4" t="s">
        <v>1991</v>
      </c>
      <c r="F1013" s="4" t="s">
        <v>1990</v>
      </c>
      <c r="G1013" s="5" t="str">
        <f>IFERROR(__xludf.DUMMYFUNCTION("GOOGLETRANSLATE(D1013,""el"",""es"")"),"Irán")</f>
        <v>Irán</v>
      </c>
      <c r="H1013" s="4" t="s">
        <v>1992</v>
      </c>
      <c r="I1013" s="4" t="s">
        <v>1993</v>
      </c>
      <c r="J1013" s="4" t="s">
        <v>1994</v>
      </c>
    </row>
    <row r="1014">
      <c r="A1014" s="4">
        <v>86.0</v>
      </c>
      <c r="B1014" s="4" t="s">
        <v>4890</v>
      </c>
      <c r="C1014" s="4"/>
      <c r="D1014" s="4" t="s">
        <v>5130</v>
      </c>
      <c r="E1014" s="4" t="s">
        <v>5131</v>
      </c>
      <c r="F1014" s="4" t="s">
        <v>5132</v>
      </c>
      <c r="G1014" s="5" t="str">
        <f>IFERROR(__xludf.DUMMYFUNCTION("GOOGLETRANSLATE(D1014,""el"",""es"")"),"italiano")</f>
        <v>italiano</v>
      </c>
    </row>
    <row r="1015">
      <c r="A1015" s="4">
        <v>87.0</v>
      </c>
      <c r="B1015" s="4" t="s">
        <v>4890</v>
      </c>
      <c r="C1015" s="4"/>
      <c r="D1015" s="4" t="s">
        <v>5133</v>
      </c>
      <c r="E1015" s="4" t="s">
        <v>5134</v>
      </c>
      <c r="F1015" s="4" t="s">
        <v>5135</v>
      </c>
      <c r="G1015" s="5" t="str">
        <f>IFERROR(__xludf.DUMMYFUNCTION("GOOGLETRANSLATE(D1015,""el"",""es"")"),"Me senté")</f>
        <v>Me senté</v>
      </c>
    </row>
    <row r="1016">
      <c r="A1016" s="4">
        <v>88.0</v>
      </c>
      <c r="B1016" s="4" t="s">
        <v>4890</v>
      </c>
      <c r="C1016" s="4"/>
      <c r="D1016" s="4" t="s">
        <v>5136</v>
      </c>
      <c r="E1016" s="4" t="s">
        <v>1232</v>
      </c>
      <c r="F1016" s="4" t="s">
        <v>1233</v>
      </c>
      <c r="G1016" s="5" t="str">
        <f>IFERROR(__xludf.DUMMYFUNCTION("GOOGLETRANSLATE(D1016,""el"",""es"")"),"capa")</f>
        <v>capa</v>
      </c>
    </row>
    <row r="1017">
      <c r="A1017" s="4">
        <v>89.0</v>
      </c>
      <c r="B1017" s="4" t="s">
        <v>4890</v>
      </c>
      <c r="C1017" s="4"/>
      <c r="D1017" s="4" t="s">
        <v>5137</v>
      </c>
      <c r="E1017" s="4" t="s">
        <v>1232</v>
      </c>
      <c r="F1017" s="4" t="s">
        <v>1233</v>
      </c>
      <c r="G1017" s="5" t="str">
        <f>IFERROR(__xludf.DUMMYFUNCTION("GOOGLETRANSLATE(D1017,""el"",""es"")"),"Kappa")</f>
        <v>Kappa</v>
      </c>
    </row>
    <row r="1018">
      <c r="A1018" s="4">
        <v>90.0</v>
      </c>
      <c r="B1018" s="4" t="s">
        <v>4890</v>
      </c>
      <c r="C1018" s="4"/>
      <c r="D1018" s="4" t="s">
        <v>5138</v>
      </c>
      <c r="E1018" s="4" t="s">
        <v>5139</v>
      </c>
      <c r="F1018" s="4" t="s">
        <v>5140</v>
      </c>
      <c r="G1018" s="5" t="str">
        <f>IFERROR(__xludf.DUMMYFUNCTION("GOOGLETRANSLATE(D1018,""el"",""es"")"),"caña")</f>
        <v>caña</v>
      </c>
    </row>
    <row r="1019">
      <c r="A1019" s="4">
        <v>91.0</v>
      </c>
      <c r="B1019" s="4" t="s">
        <v>4890</v>
      </c>
      <c r="C1019" s="4"/>
      <c r="D1019" s="4" t="s">
        <v>5141</v>
      </c>
      <c r="E1019" s="4" t="s">
        <v>5142</v>
      </c>
      <c r="F1019" s="4" t="s">
        <v>5143</v>
      </c>
      <c r="G1019" s="5" t="str">
        <f>IFERROR(__xludf.DUMMYFUNCTION("GOOGLETRANSLATE(D1019,""el"",""es"")"),"caña")</f>
        <v>caña</v>
      </c>
      <c r="H1019" s="4" t="s">
        <v>5144</v>
      </c>
      <c r="I1019" s="4" t="s">
        <v>5145</v>
      </c>
      <c r="J1019" s="4" t="s">
        <v>1188</v>
      </c>
    </row>
    <row r="1020">
      <c r="A1020" s="4">
        <v>92.0</v>
      </c>
      <c r="B1020" s="4" t="s">
        <v>4890</v>
      </c>
      <c r="C1020" s="4"/>
      <c r="D1020" s="4" t="s">
        <v>5146</v>
      </c>
      <c r="E1020" s="4" t="s">
        <v>5147</v>
      </c>
      <c r="F1020" s="4" t="s">
        <v>5148</v>
      </c>
      <c r="G1020" s="5" t="str">
        <f>IFERROR(__xludf.DUMMYFUNCTION("GOOGLETRANSLATE(D1020,""el"",""es"")"),"bueno")</f>
        <v>bueno</v>
      </c>
    </row>
    <row r="1021">
      <c r="A1021" s="4">
        <v>93.0</v>
      </c>
      <c r="B1021" s="4" t="s">
        <v>4890</v>
      </c>
      <c r="C1021" s="4"/>
      <c r="D1021" s="4" t="s">
        <v>5149</v>
      </c>
      <c r="E1021" s="4" t="s">
        <v>5150</v>
      </c>
      <c r="F1021" s="4" t="s">
        <v>5151</v>
      </c>
      <c r="G1021" s="5" t="str">
        <f>IFERROR(__xludf.DUMMYFUNCTION("GOOGLETRANSLATE(D1021,""el"",""es"")"),"Kalamata")</f>
        <v>Kalamata</v>
      </c>
    </row>
    <row r="1022">
      <c r="A1022" s="4">
        <v>94.0</v>
      </c>
      <c r="B1022" s="4" t="s">
        <v>4890</v>
      </c>
      <c r="C1022" s="4"/>
      <c r="D1022" s="4" t="s">
        <v>5152</v>
      </c>
      <c r="E1022" s="4" t="s">
        <v>5147</v>
      </c>
      <c r="F1022" s="4" t="s">
        <v>5148</v>
      </c>
      <c r="G1022" s="5" t="str">
        <f>IFERROR(__xludf.DUMMYFUNCTION("GOOGLETRANSLATE(D1022,""el"",""es"")"),"bueno")</f>
        <v>bueno</v>
      </c>
    </row>
    <row r="1023">
      <c r="A1023" s="4">
        <v>95.0</v>
      </c>
      <c r="B1023" s="4" t="s">
        <v>4890</v>
      </c>
      <c r="C1023" s="4"/>
      <c r="D1023" s="4" t="s">
        <v>5153</v>
      </c>
      <c r="E1023" s="4" t="s">
        <v>5154</v>
      </c>
      <c r="F1023" s="4" t="s">
        <v>5155</v>
      </c>
      <c r="G1023" s="5" t="str">
        <f>IFERROR(__xludf.DUMMYFUNCTION("GOOGLETRANSLATE(D1023,""el"",""es"")"),"moho")</f>
        <v>moho</v>
      </c>
      <c r="H1023" s="4" t="s">
        <v>5156</v>
      </c>
      <c r="I1023" s="4" t="s">
        <v>5157</v>
      </c>
      <c r="J1023" s="4" t="s">
        <v>5158</v>
      </c>
    </row>
    <row r="1024">
      <c r="A1024" s="4">
        <v>96.0</v>
      </c>
      <c r="B1024" s="4" t="s">
        <v>4890</v>
      </c>
      <c r="C1024" s="4"/>
      <c r="D1024" s="4" t="s">
        <v>5159</v>
      </c>
      <c r="E1024" s="4" t="s">
        <v>1121</v>
      </c>
      <c r="F1024" s="4" t="s">
        <v>1122</v>
      </c>
      <c r="G1024" s="5" t="str">
        <f>IFERROR(__xludf.DUMMYFUNCTION("GOOGLETRANSLATE(D1024,""el"",""es"")"),"incluso")</f>
        <v>incluso</v>
      </c>
    </row>
    <row r="1025">
      <c r="A1025" s="4">
        <v>97.0</v>
      </c>
      <c r="B1025" s="4" t="s">
        <v>4890</v>
      </c>
      <c r="C1025" s="4"/>
      <c r="D1025" s="4" t="s">
        <v>5160</v>
      </c>
      <c r="E1025" s="4" t="s">
        <v>5161</v>
      </c>
      <c r="F1025" s="4" t="s">
        <v>5162</v>
      </c>
      <c r="G1025" s="5" t="str">
        <f>IFERROR(__xludf.DUMMYFUNCTION("GOOGLETRANSLATE(D1025,""el"",""es"")"),"contra")</f>
        <v>contra</v>
      </c>
    </row>
    <row r="1026">
      <c r="A1026" s="4">
        <v>98.0</v>
      </c>
      <c r="B1026" s="4" t="s">
        <v>4890</v>
      </c>
      <c r="C1026" s="4"/>
      <c r="D1026" s="4" t="s">
        <v>5163</v>
      </c>
      <c r="E1026" s="4" t="s">
        <v>5164</v>
      </c>
      <c r="F1026" s="4" t="s">
        <v>5165</v>
      </c>
      <c r="G1026" s="5" t="str">
        <f>IFERROR(__xludf.DUMMYFUNCTION("GOOGLETRANSLATE(D1026,""el"",""es"")"),"Katar")</f>
        <v>Katar</v>
      </c>
      <c r="H1026" s="4" t="s">
        <v>5166</v>
      </c>
      <c r="I1026" s="4" t="s">
        <v>5167</v>
      </c>
      <c r="J1026" s="4" t="s">
        <v>5168</v>
      </c>
      <c r="K1026" s="4" t="s">
        <v>5169</v>
      </c>
    </row>
    <row r="1027">
      <c r="A1027" s="4">
        <v>99.0</v>
      </c>
      <c r="B1027" s="4" t="s">
        <v>4890</v>
      </c>
      <c r="C1027" s="4"/>
      <c r="D1027" s="4" t="s">
        <v>5170</v>
      </c>
      <c r="E1027" s="4" t="s">
        <v>5171</v>
      </c>
      <c r="F1027" s="4" t="s">
        <v>5172</v>
      </c>
      <c r="G1027" s="5" t="str">
        <f>IFERROR(__xludf.DUMMYFUNCTION("GOOGLETRANSLATE(D1027,""el"",""es"")"),"heces")</f>
        <v>heces</v>
      </c>
      <c r="H1027" s="4" t="s">
        <v>5173</v>
      </c>
      <c r="I1027" s="4" t="s">
        <v>5174</v>
      </c>
      <c r="J1027" s="4" t="s">
        <v>5175</v>
      </c>
    </row>
    <row r="1028">
      <c r="A1028" s="4">
        <v>100.0</v>
      </c>
      <c r="B1028" s="4" t="s">
        <v>4890</v>
      </c>
      <c r="C1028" s="4"/>
      <c r="D1028" s="4" t="s">
        <v>5176</v>
      </c>
      <c r="E1028" s="4" t="s">
        <v>5177</v>
      </c>
      <c r="F1028" s="4" t="s">
        <v>5178</v>
      </c>
      <c r="G1028" s="5" t="str">
        <f>IFERROR(__xludf.DUMMYFUNCTION("GOOGLETRANSLATE(D1028,""el"",""es"")"),"fueron catalizados")</f>
        <v>fueron catalizados</v>
      </c>
    </row>
    <row r="1029">
      <c r="A1029" s="4">
        <v>101.0</v>
      </c>
      <c r="B1029" s="4" t="s">
        <v>4890</v>
      </c>
      <c r="C1029" s="4"/>
      <c r="D1029" s="4" t="s">
        <v>5179</v>
      </c>
      <c r="E1029" s="4" t="s">
        <v>5180</v>
      </c>
      <c r="F1029" s="4" t="s">
        <v>5181</v>
      </c>
      <c r="G1029" s="5" t="str">
        <f>IFERROR(__xludf.DUMMYFUNCTION("GOOGLETRANSLATE(D1029,""el"",""es"")"),"Estaba catalizado")</f>
        <v>Estaba catalizado</v>
      </c>
    </row>
    <row r="1030">
      <c r="A1030" s="4">
        <v>102.0</v>
      </c>
      <c r="B1030" s="4" t="s">
        <v>4890</v>
      </c>
      <c r="C1030" s="4"/>
      <c r="D1030" s="4" t="s">
        <v>5182</v>
      </c>
      <c r="E1030" s="4" t="s">
        <v>5177</v>
      </c>
      <c r="F1030" s="4" t="s">
        <v>5178</v>
      </c>
      <c r="G1030" s="5" t="str">
        <f>IFERROR(__xludf.DUMMYFUNCTION("GOOGLETRANSLATE(D1030,""el"",""es"")"),"fueron derrocados")</f>
        <v>fueron derrocados</v>
      </c>
    </row>
    <row r="1031">
      <c r="A1031" s="4">
        <v>103.0</v>
      </c>
      <c r="B1031" s="4" t="s">
        <v>4890</v>
      </c>
      <c r="C1031" s="4"/>
      <c r="D1031" s="4" t="s">
        <v>5183</v>
      </c>
      <c r="E1031" s="4" t="s">
        <v>5184</v>
      </c>
      <c r="F1031" s="4" t="s">
        <v>5185</v>
      </c>
      <c r="G1031" s="5" t="str">
        <f>IFERROR(__xludf.DUMMYFUNCTION("GOOGLETRANSLATE(D1031,""el"",""es"")"),"Estaba pelado")</f>
        <v>Estaba pelado</v>
      </c>
    </row>
    <row r="1032">
      <c r="A1032" s="4">
        <v>104.0</v>
      </c>
      <c r="B1032" s="4" t="s">
        <v>4890</v>
      </c>
      <c r="C1032" s="4"/>
      <c r="D1032" s="4" t="s">
        <v>5186</v>
      </c>
      <c r="E1032" s="4" t="s">
        <v>5187</v>
      </c>
      <c r="F1032" s="4" t="s">
        <v>5188</v>
      </c>
      <c r="G1032" s="5" t="str">
        <f>IFERROR(__xludf.DUMMYFUNCTION("GOOGLETRANSLATE(D1032,""el"",""es"")"),"pipí")</f>
        <v>pipí</v>
      </c>
    </row>
    <row r="1033">
      <c r="A1033" s="4">
        <v>105.0</v>
      </c>
      <c r="B1033" s="4" t="s">
        <v>4890</v>
      </c>
      <c r="C1033" s="4"/>
      <c r="D1033" s="4" t="s">
        <v>5189</v>
      </c>
      <c r="E1033" s="4" t="s">
        <v>5190</v>
      </c>
      <c r="F1033" s="4" t="s">
        <v>5191</v>
      </c>
      <c r="G1033" s="5" t="str">
        <f>IFERROR(__xludf.DUMMYFUNCTION("GOOGLETRANSLATE(D1033,""el"",""es"")"),"Miré")</f>
        <v>Miré</v>
      </c>
    </row>
    <row r="1034">
      <c r="A1034" s="4">
        <v>106.0</v>
      </c>
      <c r="B1034" s="4" t="s">
        <v>4890</v>
      </c>
      <c r="C1034" s="4"/>
      <c r="D1034" s="4" t="s">
        <v>5192</v>
      </c>
      <c r="E1034" s="4" t="s">
        <v>5193</v>
      </c>
      <c r="F1034" s="4" t="s">
        <v>5194</v>
      </c>
      <c r="G1034" s="5" t="str">
        <f>IFERROR(__xludf.DUMMYFUNCTION("GOOGLETRANSLATE(D1034,""el"",""es"")"),"Capucha")</f>
        <v>Capucha</v>
      </c>
    </row>
    <row r="1035">
      <c r="A1035" s="4">
        <v>107.0</v>
      </c>
      <c r="B1035" s="4" t="s">
        <v>4890</v>
      </c>
      <c r="C1035" s="4"/>
      <c r="D1035" s="4" t="s">
        <v>5195</v>
      </c>
      <c r="E1035" s="4" t="s">
        <v>5196</v>
      </c>
      <c r="F1035" s="4" t="s">
        <v>5197</v>
      </c>
      <c r="G1035" s="5" t="str">
        <f>IFERROR(__xludf.DUMMYFUNCTION("GOOGLETRANSLATE(D1035,""el"",""es"")"),"rosquilla")</f>
        <v>rosquilla</v>
      </c>
    </row>
    <row r="1036">
      <c r="A1036" s="4">
        <v>108.0</v>
      </c>
      <c r="B1036" s="4" t="s">
        <v>4890</v>
      </c>
      <c r="C1036" s="4"/>
      <c r="D1036" s="4" t="s">
        <v>5198</v>
      </c>
      <c r="E1036" s="4" t="s">
        <v>324</v>
      </c>
      <c r="F1036" s="4" t="s">
        <v>325</v>
      </c>
      <c r="G1036" s="5" t="str">
        <f>IFERROR(__xludf.DUMMYFUNCTION("GOOGLETRANSLATE(D1036,""el"",""es"")"),"vaquero")</f>
        <v>vaquero</v>
      </c>
    </row>
    <row r="1037">
      <c r="A1037" s="4">
        <v>109.0</v>
      </c>
      <c r="B1037" s="4" t="s">
        <v>4890</v>
      </c>
      <c r="C1037" s="4"/>
      <c r="D1037" s="4" t="s">
        <v>5199</v>
      </c>
      <c r="E1037" s="4" t="s">
        <v>5200</v>
      </c>
      <c r="F1037" s="4" t="s">
        <v>5201</v>
      </c>
      <c r="G1037" s="5" t="str">
        <f>IFERROR(__xludf.DUMMYFUNCTION("GOOGLETRANSLATE(D1037,""el"",""es"")"),"primo")</f>
        <v>primo</v>
      </c>
    </row>
    <row r="1038">
      <c r="A1038" s="4">
        <v>110.0</v>
      </c>
      <c r="B1038" s="4" t="s">
        <v>4890</v>
      </c>
      <c r="C1038" s="4"/>
      <c r="D1038" s="4" t="s">
        <v>5202</v>
      </c>
      <c r="E1038" s="4" t="s">
        <v>5203</v>
      </c>
      <c r="F1038" s="4" t="s">
        <v>5204</v>
      </c>
      <c r="G1038" s="5" t="str">
        <f>IFERROR(__xludf.DUMMYFUNCTION("GOOGLETRANSLATE(D1038,""el"",""es"")"),"cucharón")</f>
        <v>cucharón</v>
      </c>
      <c r="H1038" s="4" t="s">
        <v>5205</v>
      </c>
    </row>
    <row r="1039">
      <c r="A1039" s="4">
        <v>111.0</v>
      </c>
      <c r="B1039" s="4" t="s">
        <v>4890</v>
      </c>
      <c r="C1039" s="4"/>
      <c r="D1039" s="4" t="s">
        <v>5206</v>
      </c>
      <c r="E1039" s="4" t="s">
        <v>5207</v>
      </c>
      <c r="F1039" s="4" t="s">
        <v>5208</v>
      </c>
      <c r="G1039" s="5" t="str">
        <f>IFERROR(__xludf.DUMMYFUNCTION("GOOGLETRANSLATE(D1039,""el"",""es"")"),"cucharada")</f>
        <v>cucharada</v>
      </c>
      <c r="H1039" s="4" t="s">
        <v>5209</v>
      </c>
      <c r="I1039" s="4" t="s">
        <v>5210</v>
      </c>
      <c r="J1039" s="4" t="s">
        <v>5211</v>
      </c>
      <c r="K1039" s="4" t="s">
        <v>5212</v>
      </c>
    </row>
    <row r="1040">
      <c r="A1040" s="4">
        <v>112.0</v>
      </c>
      <c r="B1040" s="4" t="s">
        <v>4890</v>
      </c>
      <c r="C1040" s="4"/>
      <c r="D1040" s="4" t="s">
        <v>5213</v>
      </c>
      <c r="E1040" s="4" t="s">
        <v>5214</v>
      </c>
      <c r="F1040" s="4" t="s">
        <v>5215</v>
      </c>
      <c r="G1040" s="5" t="str">
        <f>IFERROR(__xludf.DUMMYFUNCTION("GOOGLETRANSLATE(D1040,""el"",""es"")"),"estupidez")</f>
        <v>estupidez</v>
      </c>
      <c r="H1040" s="4" t="s">
        <v>5216</v>
      </c>
      <c r="I1040" s="4" t="s">
        <v>5217</v>
      </c>
      <c r="J1040" s="4" t="s">
        <v>5218</v>
      </c>
      <c r="K1040" s="4" t="s">
        <v>5219</v>
      </c>
      <c r="L1040" s="4" t="s">
        <v>5220</v>
      </c>
    </row>
    <row r="1041">
      <c r="A1041" s="4">
        <v>113.0</v>
      </c>
      <c r="B1041" s="4" t="s">
        <v>4890</v>
      </c>
      <c r="C1041" s="4"/>
      <c r="D1041" s="4" t="s">
        <v>5221</v>
      </c>
      <c r="E1041" s="4" t="s">
        <v>5196</v>
      </c>
      <c r="F1041" s="4" t="s">
        <v>5197</v>
      </c>
      <c r="G1041" s="5" t="str">
        <f>IFERROR(__xludf.DUMMYFUNCTION("GOOGLETRANSLATE(D1041,""el"",""es"")"),"koulouris")</f>
        <v>koulouris</v>
      </c>
    </row>
    <row r="1042">
      <c r="A1042" s="4">
        <v>114.0</v>
      </c>
      <c r="B1042" s="4" t="s">
        <v>4890</v>
      </c>
      <c r="C1042" s="4"/>
      <c r="D1042" s="4" t="s">
        <v>5222</v>
      </c>
      <c r="E1042" s="4" t="s">
        <v>5223</v>
      </c>
      <c r="F1042" s="4" t="s">
        <v>5224</v>
      </c>
      <c r="G1042" s="5" t="str">
        <f>IFERROR(__xludf.DUMMYFUNCTION("GOOGLETRANSLATE(D1042,""el"",""es"")"),"ritmo")</f>
        <v>ritmo</v>
      </c>
      <c r="H1042" s="4" t="s">
        <v>5225</v>
      </c>
      <c r="I1042" s="4" t="s">
        <v>5226</v>
      </c>
    </row>
    <row r="1043">
      <c r="A1043" s="4">
        <v>115.0</v>
      </c>
      <c r="B1043" s="4" t="s">
        <v>4890</v>
      </c>
      <c r="C1043" s="4"/>
      <c r="D1043" s="4" t="s">
        <v>5227</v>
      </c>
      <c r="E1043" s="4" t="s">
        <v>5228</v>
      </c>
      <c r="F1043" s="4" t="s">
        <v>5229</v>
      </c>
      <c r="G1043" s="5" t="str">
        <f>IFERROR(__xludf.DUMMYFUNCTION("GOOGLETRANSLATE(D1043,""el"",""es"")"),"taza")</f>
        <v>taza</v>
      </c>
      <c r="H1043" s="4" t="s">
        <v>3236</v>
      </c>
    </row>
    <row r="1044">
      <c r="A1044" s="4">
        <v>116.0</v>
      </c>
      <c r="B1044" s="4" t="s">
        <v>4890</v>
      </c>
      <c r="C1044" s="4"/>
      <c r="D1044" s="4" t="s">
        <v>5230</v>
      </c>
      <c r="E1044" s="4" t="s">
        <v>5231</v>
      </c>
      <c r="F1044" s="4" t="s">
        <v>5232</v>
      </c>
      <c r="G1044" s="5" t="str">
        <f>IFERROR(__xludf.DUMMYFUNCTION("GOOGLETRANSLATE(D1044,""el"",""es"")"),"cansado")</f>
        <v>cansado</v>
      </c>
    </row>
    <row r="1045">
      <c r="A1045" s="4">
        <v>117.0</v>
      </c>
      <c r="B1045" s="4" t="s">
        <v>4890</v>
      </c>
      <c r="C1045" s="4"/>
      <c r="D1045" s="4" t="s">
        <v>5233</v>
      </c>
      <c r="E1045" s="4" t="s">
        <v>5234</v>
      </c>
      <c r="F1045" s="4" t="s">
        <v>5235</v>
      </c>
      <c r="G1045" s="5" t="str">
        <f>IFERROR(__xludf.DUMMYFUNCTION("GOOGLETRANSLATE(D1045,""el"",""es"")"),"lamer")</f>
        <v>lamer</v>
      </c>
    </row>
    <row r="1046">
      <c r="A1046" s="4">
        <v>118.0</v>
      </c>
      <c r="B1046" s="4" t="s">
        <v>4890</v>
      </c>
      <c r="C1046" s="4"/>
      <c r="D1046" s="4" t="s">
        <v>5236</v>
      </c>
      <c r="E1046" s="4" t="s">
        <v>5237</v>
      </c>
      <c r="F1046" s="4" t="s">
        <v>5238</v>
      </c>
      <c r="G1046" s="5" t="str">
        <f>IFERROR(__xludf.DUMMYFUNCTION("GOOGLETRANSLATE(D1046,""el"",""es"")"),"olvido")</f>
        <v>olvido</v>
      </c>
    </row>
    <row r="1047">
      <c r="A1047" s="4">
        <v>119.0</v>
      </c>
      <c r="B1047" s="4" t="s">
        <v>4890</v>
      </c>
      <c r="C1047" s="4"/>
      <c r="D1047" s="4" t="s">
        <v>5239</v>
      </c>
      <c r="E1047" s="4" t="s">
        <v>5237</v>
      </c>
      <c r="F1047" s="4" t="s">
        <v>5238</v>
      </c>
      <c r="G1047" s="5" t="str">
        <f>IFERROR(__xludf.DUMMYFUNCTION("GOOGLETRANSLATE(D1047,""el"",""es"")"),"piedras")</f>
        <v>piedras</v>
      </c>
    </row>
    <row r="1048">
      <c r="A1048" s="4">
        <v>120.0</v>
      </c>
      <c r="B1048" s="4" t="s">
        <v>4890</v>
      </c>
      <c r="C1048" s="4"/>
      <c r="D1048" s="4" t="s">
        <v>5240</v>
      </c>
      <c r="E1048" s="4" t="s">
        <v>5241</v>
      </c>
      <c r="F1048" s="4" t="s">
        <v>5242</v>
      </c>
      <c r="G1048" s="5" t="str">
        <f>IFERROR(__xludf.DUMMYFUNCTION("GOOGLETRANSLATE(D1048,""el"",""es"")"),"madriguera")</f>
        <v>madriguera</v>
      </c>
    </row>
    <row r="1049">
      <c r="A1049" s="4">
        <v>121.0</v>
      </c>
      <c r="B1049" s="4" t="s">
        <v>4890</v>
      </c>
      <c r="C1049" s="4"/>
      <c r="D1049" s="4" t="s">
        <v>5243</v>
      </c>
      <c r="E1049" s="4" t="s">
        <v>5244</v>
      </c>
      <c r="F1049" s="4" t="s">
        <v>5245</v>
      </c>
      <c r="G1049" s="5" t="str">
        <f>IFERROR(__xludf.DUMMYFUNCTION("GOOGLETRANSLATE(D1049,""el"",""es"")"),"me fuí")</f>
        <v>me fuí</v>
      </c>
    </row>
    <row r="1050">
      <c r="A1050" s="4">
        <v>122.0</v>
      </c>
      <c r="B1050" s="4" t="s">
        <v>4890</v>
      </c>
      <c r="C1050" s="4"/>
      <c r="D1050" s="4" t="s">
        <v>5246</v>
      </c>
      <c r="E1050" s="4" t="s">
        <v>5247</v>
      </c>
      <c r="F1050" s="4" t="s">
        <v>5248</v>
      </c>
      <c r="G1050" s="5" t="str">
        <f>IFERROR(__xludf.DUMMYFUNCTION("GOOGLETRANSLATE(D1050,""el"",""es"")"),"Lasithi")</f>
        <v>Lasithi</v>
      </c>
    </row>
    <row r="1051">
      <c r="A1051" s="4">
        <v>123.0</v>
      </c>
      <c r="B1051" s="4" t="s">
        <v>4890</v>
      </c>
      <c r="C1051" s="4"/>
      <c r="D1051" s="4" t="s">
        <v>5249</v>
      </c>
      <c r="E1051" s="4" t="s">
        <v>5250</v>
      </c>
      <c r="F1051" s="4" t="s">
        <v>5251</v>
      </c>
      <c r="G1051" s="5" t="str">
        <f>IFERROR(__xludf.DUMMYFUNCTION("GOOGLETRANSLATE(D1051,""el"",""es"")"),"Puerto")</f>
        <v>Puerto</v>
      </c>
      <c r="H1051" s="4" t="s">
        <v>5252</v>
      </c>
      <c r="I1051" s="4" t="s">
        <v>5253</v>
      </c>
      <c r="J1051" s="4" t="s">
        <v>5254</v>
      </c>
      <c r="K1051" s="4" t="s">
        <v>5255</v>
      </c>
      <c r="L1051" s="4" t="s">
        <v>5256</v>
      </c>
    </row>
    <row r="1052">
      <c r="A1052" s="4">
        <v>124.0</v>
      </c>
      <c r="B1052" s="4" t="s">
        <v>4890</v>
      </c>
      <c r="C1052" s="4"/>
      <c r="D1052" s="4" t="s">
        <v>5257</v>
      </c>
      <c r="E1052" s="4" t="s">
        <v>5258</v>
      </c>
      <c r="F1052" s="4" t="s">
        <v>5259</v>
      </c>
      <c r="G1052" s="5" t="str">
        <f>IFERROR(__xludf.DUMMYFUNCTION("GOOGLETRANSLATE(D1052,""el"",""es"")"),"rosquilla")</f>
        <v>rosquilla</v>
      </c>
    </row>
    <row r="1053">
      <c r="A1053" s="4">
        <v>125.0</v>
      </c>
      <c r="B1053" s="4" t="s">
        <v>4890</v>
      </c>
      <c r="C1053" s="4"/>
      <c r="D1053" s="4" t="s">
        <v>5260</v>
      </c>
      <c r="E1053" s="4" t="s">
        <v>5261</v>
      </c>
      <c r="F1053" s="4" t="s">
        <v>5262</v>
      </c>
      <c r="G1053" s="5" t="str">
        <f>IFERROR(__xludf.DUMMYFUNCTION("GOOGLETRANSLATE(D1053,""el"",""es"")"),"Turquía")</f>
        <v>Turquía</v>
      </c>
    </row>
    <row r="1054">
      <c r="A1054" s="4">
        <v>126.0</v>
      </c>
      <c r="B1054" s="4" t="s">
        <v>4890</v>
      </c>
      <c r="C1054" s="4"/>
      <c r="D1054" s="4" t="s">
        <v>5263</v>
      </c>
      <c r="E1054" s="4" t="s">
        <v>5264</v>
      </c>
      <c r="F1054" s="4" t="s">
        <v>5265</v>
      </c>
      <c r="G1054" s="5" t="str">
        <f>IFERROR(__xludf.DUMMYFUNCTION("GOOGLETRANSLATE(D1054,""el"",""es"")"),"fueron resueltos")</f>
        <v>fueron resueltos</v>
      </c>
    </row>
    <row r="1055">
      <c r="A1055" s="4">
        <v>127.0</v>
      </c>
      <c r="B1055" s="4" t="s">
        <v>4890</v>
      </c>
      <c r="C1055" s="4"/>
      <c r="D1055" s="4" t="s">
        <v>5266</v>
      </c>
      <c r="E1055" s="4" t="s">
        <v>5237</v>
      </c>
      <c r="F1055" s="4" t="s">
        <v>5238</v>
      </c>
      <c r="G1055" s="5" t="str">
        <f>IFERROR(__xludf.DUMMYFUNCTION("GOOGLETRANSLATE(D1055,""el"",""es"")"),"resuelto")</f>
        <v>resuelto</v>
      </c>
    </row>
    <row r="1056">
      <c r="A1056" s="4">
        <v>128.0</v>
      </c>
      <c r="B1056" s="4" t="s">
        <v>4890</v>
      </c>
      <c r="C1056" s="4"/>
      <c r="D1056" s="4" t="s">
        <v>5267</v>
      </c>
      <c r="E1056" s="4" t="s">
        <v>5268</v>
      </c>
      <c r="F1056" s="4" t="s">
        <v>5269</v>
      </c>
      <c r="G1056" s="5" t="str">
        <f>IFERROR(__xludf.DUMMYFUNCTION("GOOGLETRANSLATE(D1056,""el"",""es"")"),"resuelto")</f>
        <v>resuelto</v>
      </c>
    </row>
    <row r="1057">
      <c r="A1057" s="4">
        <v>129.0</v>
      </c>
      <c r="B1057" s="4" t="s">
        <v>4890</v>
      </c>
      <c r="C1057" s="4"/>
      <c r="D1057" s="4" t="s">
        <v>5270</v>
      </c>
      <c r="E1057" s="4" t="s">
        <v>5271</v>
      </c>
      <c r="F1057" s="4" t="s">
        <v>5272</v>
      </c>
      <c r="G1057" s="5" t="str">
        <f>IFERROR(__xludf.DUMMYFUNCTION("GOOGLETRANSLATE(D1057,""el"",""es"")"),"resuelto")</f>
        <v>resuelto</v>
      </c>
    </row>
    <row r="1058">
      <c r="A1058" s="4">
        <v>130.0</v>
      </c>
      <c r="B1058" s="4" t="s">
        <v>4890</v>
      </c>
      <c r="C1058" s="4"/>
      <c r="D1058" s="4" t="s">
        <v>5273</v>
      </c>
      <c r="E1058" s="4" t="s">
        <v>5274</v>
      </c>
      <c r="F1058" s="4" t="s">
        <v>5275</v>
      </c>
      <c r="G1058" s="5" t="str">
        <f>IFERROR(__xludf.DUMMYFUNCTION("GOOGLETRANSLATE(D1058,""el"",""es"")"),"inteligente")</f>
        <v>inteligente</v>
      </c>
    </row>
    <row r="1059">
      <c r="A1059" s="4">
        <v>131.0</v>
      </c>
      <c r="B1059" s="4" t="s">
        <v>4890</v>
      </c>
      <c r="C1059" s="4"/>
      <c r="D1059" s="4" t="s">
        <v>5276</v>
      </c>
      <c r="E1059" s="4" t="s">
        <v>5264</v>
      </c>
      <c r="F1059" s="4" t="s">
        <v>5265</v>
      </c>
      <c r="G1059" s="5" t="str">
        <f>IFERROR(__xludf.DUMMYFUNCTION("GOOGLETRANSLATE(D1059,""el"",""es"")"),"fueron resueltos")</f>
        <v>fueron resueltos</v>
      </c>
    </row>
    <row r="1060">
      <c r="A1060" s="4">
        <v>132.0</v>
      </c>
      <c r="B1060" s="4" t="s">
        <v>4890</v>
      </c>
      <c r="C1060" s="4"/>
      <c r="D1060" s="4" t="s">
        <v>5277</v>
      </c>
      <c r="E1060" s="4" t="s">
        <v>5278</v>
      </c>
      <c r="F1060" s="4" t="s">
        <v>5279</v>
      </c>
      <c r="G1060" s="5" t="str">
        <f>IFERROR(__xludf.DUMMYFUNCTION("GOOGLETRANSLATE(D1060,""el"",""es"")"),"resolver")</f>
        <v>resolver</v>
      </c>
    </row>
    <row r="1061">
      <c r="A1061" s="4">
        <v>133.0</v>
      </c>
      <c r="B1061" s="4" t="s">
        <v>4890</v>
      </c>
      <c r="C1061" s="4"/>
      <c r="D1061" s="4" t="s">
        <v>5280</v>
      </c>
      <c r="E1061" s="4" t="s">
        <v>5281</v>
      </c>
      <c r="F1061" s="4" t="s">
        <v>5282</v>
      </c>
      <c r="G1061" s="5" t="str">
        <f>IFERROR(__xludf.DUMMYFUNCTION("GOOGLETRANSLATE(D1061,""el"",""es"")"),"resolución")</f>
        <v>resolución</v>
      </c>
    </row>
    <row r="1062">
      <c r="A1062" s="4">
        <v>134.0</v>
      </c>
      <c r="B1062" s="4" t="s">
        <v>4890</v>
      </c>
      <c r="C1062" s="4"/>
      <c r="D1062" s="4" t="s">
        <v>5283</v>
      </c>
      <c r="E1062" s="4" t="s">
        <v>5284</v>
      </c>
      <c r="F1062" s="4" t="s">
        <v>5285</v>
      </c>
      <c r="G1062" s="5" t="str">
        <f>IFERROR(__xludf.DUMMYFUNCTION("GOOGLETRANSLATE(D1062,""el"",""es"")"),"soluciones")</f>
        <v>soluciones</v>
      </c>
    </row>
    <row r="1063">
      <c r="A1063" s="4">
        <v>135.0</v>
      </c>
      <c r="B1063" s="4" t="s">
        <v>4890</v>
      </c>
      <c r="C1063" s="4"/>
      <c r="D1063" s="4" t="s">
        <v>5286</v>
      </c>
      <c r="E1063" s="4" t="s">
        <v>5287</v>
      </c>
      <c r="F1063" s="4" t="s">
        <v>5288</v>
      </c>
      <c r="G1063" s="5" t="str">
        <f>IFERROR(__xludf.DUMMYFUNCTION("GOOGLETRANSLATE(D1063,""el"",""es"")"),"ellos resuelven")</f>
        <v>ellos resuelven</v>
      </c>
    </row>
    <row r="1064">
      <c r="A1064" s="4">
        <v>136.0</v>
      </c>
      <c r="B1064" s="4" t="s">
        <v>4890</v>
      </c>
      <c r="C1064" s="4"/>
      <c r="D1064" s="4" t="s">
        <v>5289</v>
      </c>
      <c r="E1064" s="4" t="s">
        <v>5290</v>
      </c>
      <c r="F1064" s="4" t="s">
        <v>5291</v>
      </c>
      <c r="G1064" s="5" t="str">
        <f>IFERROR(__xludf.DUMMYFUNCTION("GOOGLETRANSLATE(D1064,""el"",""es"")"),"Me arrepentí")</f>
        <v>Me arrepentí</v>
      </c>
    </row>
    <row r="1065">
      <c r="A1065" s="4">
        <v>137.0</v>
      </c>
      <c r="B1065" s="4" t="s">
        <v>4890</v>
      </c>
      <c r="C1065" s="4"/>
      <c r="D1065" s="4" t="s">
        <v>5292</v>
      </c>
      <c r="E1065" s="4" t="s">
        <v>5293</v>
      </c>
      <c r="F1065" s="4" t="s">
        <v>5294</v>
      </c>
      <c r="G1065" s="5" t="str">
        <f>IFERROR(__xludf.DUMMYFUNCTION("GOOGLETRANSLATE(D1065,""el"",""es"")"),"espolvorear")</f>
        <v>espolvorear</v>
      </c>
    </row>
    <row r="1066">
      <c r="A1066" s="4">
        <v>138.0</v>
      </c>
      <c r="B1066" s="4" t="s">
        <v>4890</v>
      </c>
      <c r="C1066" s="4"/>
      <c r="D1066" s="4" t="s">
        <v>5295</v>
      </c>
      <c r="E1066" s="4" t="s">
        <v>2040</v>
      </c>
      <c r="F1066" s="4" t="s">
        <v>2041</v>
      </c>
      <c r="G1066" s="5" t="str">
        <f>IFERROR(__xludf.DUMMYFUNCTION("GOOGLETRANSLATE(D1066,""el"",""es"")"),"resuelto")</f>
        <v>resuelto</v>
      </c>
    </row>
    <row r="1067">
      <c r="A1067" s="4">
        <v>139.0</v>
      </c>
      <c r="B1067" s="4" t="s">
        <v>4890</v>
      </c>
      <c r="C1067" s="4"/>
      <c r="D1067" s="4" t="s">
        <v>5296</v>
      </c>
      <c r="E1067" s="4" t="s">
        <v>2043</v>
      </c>
      <c r="F1067" s="4" t="s">
        <v>2044</v>
      </c>
      <c r="G1067" s="5" t="str">
        <f>IFERROR(__xludf.DUMMYFUNCTION("GOOGLETRANSLATE(D1067,""el"",""es"")"),"soluciones")</f>
        <v>soluciones</v>
      </c>
    </row>
    <row r="1068">
      <c r="A1068" s="4">
        <v>140.0</v>
      </c>
      <c r="B1068" s="4" t="s">
        <v>4890</v>
      </c>
      <c r="C1068" s="4"/>
      <c r="D1068" s="4" t="s">
        <v>5297</v>
      </c>
      <c r="E1068" s="4" t="s">
        <v>2040</v>
      </c>
      <c r="F1068" s="4" t="s">
        <v>2041</v>
      </c>
      <c r="G1068" s="5" t="str">
        <f>IFERROR(__xludf.DUMMYFUNCTION("GOOGLETRANSLATE(D1068,""el"",""es"")"),"solución")</f>
        <v>solución</v>
      </c>
      <c r="H1068" s="4" t="s">
        <v>5298</v>
      </c>
      <c r="I1068" s="4" t="s">
        <v>5299</v>
      </c>
    </row>
    <row r="1069">
      <c r="A1069" s="4">
        <v>141.0</v>
      </c>
      <c r="B1069" s="4" t="s">
        <v>4890</v>
      </c>
      <c r="C1069" s="4"/>
      <c r="D1069" s="4" t="s">
        <v>5300</v>
      </c>
      <c r="E1069" s="4" t="s">
        <v>5301</v>
      </c>
      <c r="F1069" s="4" t="s">
        <v>5302</v>
      </c>
      <c r="G1069" s="5" t="str">
        <f>IFERROR(__xludf.DUMMYFUNCTION("GOOGLETRANSLATE(D1069,""el"",""es"")"),"soluble")</f>
        <v>soluble</v>
      </c>
    </row>
    <row r="1070">
      <c r="A1070" s="4">
        <v>142.0</v>
      </c>
      <c r="B1070" s="4" t="s">
        <v>4890</v>
      </c>
      <c r="C1070" s="4"/>
      <c r="D1070" s="4" t="s">
        <v>5303</v>
      </c>
      <c r="E1070" s="4" t="s">
        <v>5304</v>
      </c>
      <c r="F1070" s="4" t="s">
        <v>5305</v>
      </c>
      <c r="G1070" s="5" t="str">
        <f>IFERROR(__xludf.DUMMYFUNCTION("GOOGLETRANSLATE(D1070,""el"",""es"")"),"resolver")</f>
        <v>resolver</v>
      </c>
    </row>
    <row r="1071">
      <c r="A1071" s="4">
        <v>143.0</v>
      </c>
      <c r="B1071" s="4" t="s">
        <v>4890</v>
      </c>
      <c r="C1071" s="4"/>
      <c r="D1071" s="4" t="s">
        <v>5306</v>
      </c>
      <c r="E1071" s="4" t="s">
        <v>5307</v>
      </c>
      <c r="F1071" s="4" t="s">
        <v>5308</v>
      </c>
      <c r="G1071" s="5" t="str">
        <f>IFERROR(__xludf.DUMMYFUNCTION("GOOGLETRANSLATE(D1071,""el"",""es"")"),"rabia")</f>
        <v>rabia</v>
      </c>
    </row>
    <row r="1072">
      <c r="A1072" s="4">
        <v>144.0</v>
      </c>
      <c r="B1072" s="4" t="s">
        <v>4890</v>
      </c>
      <c r="C1072" s="4"/>
      <c r="D1072" s="4" t="s">
        <v>5309</v>
      </c>
      <c r="E1072" s="4" t="s">
        <v>5310</v>
      </c>
      <c r="F1072" s="4" t="s">
        <v>5311</v>
      </c>
      <c r="G1072" s="5" t="str">
        <f>IFERROR(__xludf.DUMMYFUNCTION("GOOGLETRANSLATE(D1072,""el"",""es"")"),"mamut")</f>
        <v>mamut</v>
      </c>
    </row>
    <row r="1073">
      <c r="A1073" s="4">
        <v>145.0</v>
      </c>
      <c r="B1073" s="4" t="s">
        <v>4890</v>
      </c>
      <c r="C1073" s="4"/>
      <c r="D1073" s="4" t="s">
        <v>5312</v>
      </c>
      <c r="E1073" s="4" t="s">
        <v>5313</v>
      </c>
      <c r="F1073" s="4" t="s">
        <v>5314</v>
      </c>
      <c r="G1073" s="5" t="str">
        <f>IFERROR(__xludf.DUMMYFUNCTION("GOOGLETRANSLATE(D1073,""el"",""es"")"),"masculino")</f>
        <v>masculino</v>
      </c>
    </row>
    <row r="1074">
      <c r="A1074" s="4">
        <v>146.0</v>
      </c>
      <c r="B1074" s="4" t="s">
        <v>4890</v>
      </c>
      <c r="C1074" s="4"/>
      <c r="D1074" s="4" t="s">
        <v>5315</v>
      </c>
      <c r="E1074" s="4" t="s">
        <v>5316</v>
      </c>
      <c r="F1074" s="4" t="s">
        <v>5317</v>
      </c>
      <c r="G1074" s="5" t="str">
        <f>IFERROR(__xludf.DUMMYFUNCTION("GOOGLETRANSLATE(D1074,""el"",""es"")"),"marina")</f>
        <v>marina</v>
      </c>
    </row>
    <row r="1075">
      <c r="A1075" s="4">
        <v>147.0</v>
      </c>
      <c r="B1075" s="4" t="s">
        <v>4890</v>
      </c>
      <c r="C1075" s="4"/>
      <c r="D1075" s="4" t="s">
        <v>5318</v>
      </c>
      <c r="E1075" s="4" t="s">
        <v>5319</v>
      </c>
      <c r="F1075" s="4" t="s">
        <v>5320</v>
      </c>
      <c r="G1075" s="5" t="str">
        <f>IFERROR(__xludf.DUMMYFUNCTION("GOOGLETRANSLATE(D1075,""el"",""es"")"),"marina")</f>
        <v>marina</v>
      </c>
    </row>
    <row r="1076">
      <c r="A1076" s="4">
        <v>148.0</v>
      </c>
      <c r="B1076" s="4" t="s">
        <v>4890</v>
      </c>
      <c r="C1076" s="4"/>
      <c r="D1076" s="4" t="s">
        <v>5321</v>
      </c>
      <c r="E1076" s="4" t="s">
        <v>2554</v>
      </c>
      <c r="F1076" s="4" t="s">
        <v>2553</v>
      </c>
      <c r="G1076" s="5" t="str">
        <f>IFERROR(__xludf.DUMMYFUNCTION("GOOGLETRANSLATE(D1076,""el"",""es"")"),"compañero")</f>
        <v>compañero</v>
      </c>
    </row>
    <row r="1077">
      <c r="A1077" s="4">
        <v>149.0</v>
      </c>
      <c r="B1077" s="4" t="s">
        <v>4890</v>
      </c>
      <c r="C1077" s="4"/>
      <c r="D1077" s="4" t="s">
        <v>5322</v>
      </c>
      <c r="E1077" s="4" t="s">
        <v>2903</v>
      </c>
      <c r="F1077" s="4" t="s">
        <v>2904</v>
      </c>
      <c r="G1077" s="5" t="str">
        <f>IFERROR(__xludf.DUMMYFUNCTION("GOOGLETRANSLATE(D1077,""el"",""es"")"),"mensaje")</f>
        <v>mensaje</v>
      </c>
      <c r="H1077" s="4" t="s">
        <v>5323</v>
      </c>
      <c r="I1077" s="4" t="s">
        <v>5323</v>
      </c>
      <c r="J1077" s="4" t="s">
        <v>5324</v>
      </c>
      <c r="K1077" s="4" t="s">
        <v>5325</v>
      </c>
      <c r="L1077" s="4" t="s">
        <v>5326</v>
      </c>
    </row>
    <row r="1078">
      <c r="A1078" s="4">
        <v>150.0</v>
      </c>
      <c r="B1078" s="4" t="s">
        <v>4890</v>
      </c>
      <c r="C1078" s="4"/>
      <c r="D1078" s="4" t="s">
        <v>5327</v>
      </c>
      <c r="E1078" s="4" t="s">
        <v>5328</v>
      </c>
      <c r="F1078" s="4" t="s">
        <v>5329</v>
      </c>
      <c r="G1078" s="5" t="str">
        <f>IFERROR(__xludf.DUMMYFUNCTION("GOOGLETRANSLATE(D1078,""el"",""es"")"),"imitar")</f>
        <v>imitar</v>
      </c>
    </row>
    <row r="1079">
      <c r="A1079" s="4">
        <v>151.0</v>
      </c>
      <c r="B1079" s="4" t="s">
        <v>4890</v>
      </c>
      <c r="C1079" s="4"/>
      <c r="D1079" s="4" t="s">
        <v>5330</v>
      </c>
      <c r="E1079" s="4" t="s">
        <v>5331</v>
      </c>
      <c r="F1079" s="4" t="s">
        <v>5332</v>
      </c>
      <c r="G1079" s="5" t="str">
        <f>IFERROR(__xludf.DUMMYFUNCTION("GOOGLETRANSLATE(D1079,""el"",""es"")"),"Odiaba")</f>
        <v>Odiaba</v>
      </c>
    </row>
    <row r="1080">
      <c r="A1080" s="4">
        <v>152.0</v>
      </c>
      <c r="B1080" s="4" t="s">
        <v>4890</v>
      </c>
      <c r="C1080" s="4"/>
      <c r="D1080" s="4" t="s">
        <v>5333</v>
      </c>
      <c r="E1080" s="4" t="s">
        <v>2279</v>
      </c>
      <c r="F1080" s="4" t="s">
        <v>2278</v>
      </c>
      <c r="G1080" s="5" t="str">
        <f>IFERROR(__xludf.DUMMYFUNCTION("GOOGLETRANSLATE(D1080,""el"",""es"")"),"pero")</f>
        <v>pero</v>
      </c>
    </row>
    <row r="1081">
      <c r="A1081" s="4">
        <v>153.0</v>
      </c>
      <c r="B1081" s="4" t="s">
        <v>4890</v>
      </c>
      <c r="C1081" s="4"/>
      <c r="D1081" s="4" t="s">
        <v>5334</v>
      </c>
      <c r="E1081" s="4" t="s">
        <v>5335</v>
      </c>
      <c r="F1081" s="4" t="s">
        <v>5336</v>
      </c>
      <c r="G1081" s="5" t="str">
        <f>IFERROR(__xludf.DUMMYFUNCTION("GOOGLETRANSLATE(D1081,""el"",""es"")"),"matemáticas")</f>
        <v>matemáticas</v>
      </c>
      <c r="H1081" s="4" t="s">
        <v>5337</v>
      </c>
      <c r="I1081" s="4" t="s">
        <v>5338</v>
      </c>
      <c r="J1081" s="4" t="s">
        <v>5339</v>
      </c>
    </row>
    <row r="1082">
      <c r="A1082" s="4">
        <v>154.0</v>
      </c>
      <c r="B1082" s="4" t="s">
        <v>4890</v>
      </c>
      <c r="C1082" s="4"/>
      <c r="D1082" s="4" t="s">
        <v>5340</v>
      </c>
      <c r="E1082" s="4" t="s">
        <v>5341</v>
      </c>
      <c r="F1082" s="4" t="s">
        <v>5342</v>
      </c>
      <c r="G1082" s="5" t="str">
        <f>IFERROR(__xludf.DUMMYFUNCTION("GOOGLETRANSLATE(D1082,""el"",""es"")"),"brazalete")</f>
        <v>brazalete</v>
      </c>
    </row>
    <row r="1083">
      <c r="A1083" s="4">
        <v>155.0</v>
      </c>
      <c r="B1083" s="4" t="s">
        <v>4890</v>
      </c>
      <c r="C1083" s="4"/>
      <c r="D1083" s="4" t="s">
        <v>5343</v>
      </c>
      <c r="E1083" s="4" t="s">
        <v>5344</v>
      </c>
      <c r="F1083" s="4" t="s">
        <v>5345</v>
      </c>
      <c r="G1083" s="5" t="str">
        <f>IFERROR(__xludf.DUMMYFUNCTION("GOOGLETRANSLATE(D1083,""el"",""es"")"),"chisme")</f>
        <v>chisme</v>
      </c>
    </row>
    <row r="1084">
      <c r="A1084" s="4">
        <v>156.0</v>
      </c>
      <c r="B1084" s="4" t="s">
        <v>4890</v>
      </c>
      <c r="C1084" s="4"/>
      <c r="D1084" s="4" t="s">
        <v>5346</v>
      </c>
      <c r="E1084" s="4" t="s">
        <v>5313</v>
      </c>
      <c r="F1084" s="4" t="s">
        <v>5314</v>
      </c>
      <c r="G1084" s="5" t="str">
        <f>IFERROR(__xludf.DUMMYFUNCTION("GOOGLETRANSLATE(D1084,""el"",""es"")"),"Malí")</f>
        <v>Malí</v>
      </c>
      <c r="H1084" s="4" t="s">
        <v>5347</v>
      </c>
      <c r="I1084" s="4" t="s">
        <v>5348</v>
      </c>
      <c r="J1084" s="4" t="s">
        <v>5349</v>
      </c>
    </row>
    <row r="1085">
      <c r="A1085" s="4">
        <v>157.0</v>
      </c>
      <c r="B1085" s="4" t="s">
        <v>4890</v>
      </c>
      <c r="C1085" s="4"/>
      <c r="D1085" s="4" t="s">
        <v>5350</v>
      </c>
      <c r="E1085" s="4" t="s">
        <v>5313</v>
      </c>
      <c r="F1085" s="4" t="s">
        <v>5314</v>
      </c>
      <c r="G1085" s="5" t="str">
        <f>IFERROR(__xludf.DUMMYFUNCTION("GOOGLETRANSLATE(D1085,""el"",""es"")"),"pelo")</f>
        <v>pelo</v>
      </c>
      <c r="H1085" s="4" t="s">
        <v>3624</v>
      </c>
      <c r="I1085" s="4" t="s">
        <v>5351</v>
      </c>
      <c r="J1085" s="4" t="s">
        <v>5352</v>
      </c>
      <c r="K1085" s="4" t="s">
        <v>5353</v>
      </c>
      <c r="L1085" s="4" t="s">
        <v>5354</v>
      </c>
      <c r="M1085" s="4" t="s">
        <v>5355</v>
      </c>
      <c r="N1085" s="4" t="s">
        <v>5356</v>
      </c>
      <c r="O1085" s="4" t="s">
        <v>2110</v>
      </c>
    </row>
    <row r="1086">
      <c r="A1086" s="4">
        <v>158.0</v>
      </c>
      <c r="B1086" s="4" t="s">
        <v>4890</v>
      </c>
      <c r="C1086" s="4"/>
      <c r="D1086" s="4" t="s">
        <v>5357</v>
      </c>
      <c r="E1086" s="4" t="s">
        <v>5358</v>
      </c>
      <c r="F1086" s="4" t="s">
        <v>5359</v>
      </c>
      <c r="G1086" s="5" t="str">
        <f>IFERROR(__xludf.DUMMYFUNCTION("GOOGLETRANSLATE(D1086,""el"",""es"")"),"Luche")</f>
        <v>Luche</v>
      </c>
    </row>
    <row r="1087">
      <c r="A1087" s="4">
        <v>159.0</v>
      </c>
      <c r="B1087" s="4" t="s">
        <v>4890</v>
      </c>
      <c r="C1087" s="4"/>
      <c r="D1087" s="4" t="s">
        <v>5360</v>
      </c>
      <c r="E1087" s="4" t="s">
        <v>5361</v>
      </c>
      <c r="F1087" s="4" t="s">
        <v>5362</v>
      </c>
      <c r="G1087" s="5" t="str">
        <f>IFERROR(__xludf.DUMMYFUNCTION("GOOGLETRANSLATE(D1087,""el"",""es"")"),"bobina")</f>
        <v>bobina</v>
      </c>
    </row>
    <row r="1088">
      <c r="A1088" s="4">
        <v>160.0</v>
      </c>
      <c r="B1088" s="4" t="s">
        <v>4890</v>
      </c>
      <c r="C1088" s="4"/>
      <c r="D1088" s="4" t="s">
        <v>5363</v>
      </c>
      <c r="E1088" s="4" t="s">
        <v>341</v>
      </c>
      <c r="F1088" s="4" t="s">
        <v>342</v>
      </c>
      <c r="G1088" s="5" t="str">
        <f>IFERROR(__xludf.DUMMYFUNCTION("GOOGLETRANSLATE(D1088,""el"",""es"")"),"no")</f>
        <v>no</v>
      </c>
    </row>
    <row r="1089">
      <c r="A1089" s="4">
        <v>161.0</v>
      </c>
      <c r="B1089" s="4" t="s">
        <v>4890</v>
      </c>
      <c r="C1089" s="4"/>
      <c r="D1089" s="4" t="s">
        <v>5364</v>
      </c>
      <c r="E1089" s="4" t="s">
        <v>2652</v>
      </c>
      <c r="F1089" s="4" t="s">
        <v>2651</v>
      </c>
      <c r="G1089" s="5" t="str">
        <f>IFERROR(__xludf.DUMMYFUNCTION("GOOGLETRANSLATE(D1089,""el"",""es"")"),"árbol de manzana")</f>
        <v>árbol de manzana</v>
      </c>
      <c r="H1089" s="4" t="s">
        <v>5365</v>
      </c>
    </row>
    <row r="1090">
      <c r="A1090" s="4">
        <v>162.0</v>
      </c>
      <c r="B1090" s="4" t="s">
        <v>4890</v>
      </c>
      <c r="C1090" s="4"/>
      <c r="D1090" s="4" t="s">
        <v>5366</v>
      </c>
      <c r="E1090" s="4" t="s">
        <v>5367</v>
      </c>
      <c r="F1090" s="4" t="s">
        <v>5368</v>
      </c>
      <c r="G1090" s="5" t="str">
        <f>IFERROR(__xludf.DUMMYFUNCTION("GOOGLETRANSLATE(D1090,""el"",""es"")"),"Fui demandado")</f>
        <v>Fui demandado</v>
      </c>
    </row>
    <row r="1091">
      <c r="A1091" s="4">
        <v>163.0</v>
      </c>
      <c r="B1091" s="4" t="s">
        <v>4890</v>
      </c>
      <c r="C1091" s="4"/>
      <c r="D1091" s="4" t="s">
        <v>5369</v>
      </c>
      <c r="E1091" s="4" t="s">
        <v>341</v>
      </c>
      <c r="F1091" s="4" t="s">
        <v>342</v>
      </c>
      <c r="G1091" s="5" t="str">
        <f>IFERROR(__xludf.DUMMYFUNCTION("GOOGLETRANSLATE(D1091,""el"",""es"")"),"metro")</f>
        <v>metro</v>
      </c>
    </row>
    <row r="1092">
      <c r="A1092" s="4">
        <v>164.0</v>
      </c>
      <c r="B1092" s="4" t="s">
        <v>4890</v>
      </c>
      <c r="C1092" s="4"/>
      <c r="D1092" s="4" t="s">
        <v>5370</v>
      </c>
      <c r="E1092" s="4" t="s">
        <v>5371</v>
      </c>
      <c r="F1092" s="4" t="s">
        <v>5372</v>
      </c>
      <c r="G1092" s="5" t="str">
        <f>IFERROR(__xludf.DUMMYFUNCTION("GOOGLETRANSLATE(D1092,""el"",""es"")"),"Odiaba")</f>
        <v>Odiaba</v>
      </c>
    </row>
    <row r="1093">
      <c r="A1093" s="4">
        <v>165.0</v>
      </c>
      <c r="B1093" s="4" t="s">
        <v>4890</v>
      </c>
      <c r="C1093" s="4"/>
      <c r="D1093" s="4" t="s">
        <v>5373</v>
      </c>
      <c r="E1093" s="4" t="s">
        <v>2717</v>
      </c>
      <c r="F1093" s="4" t="s">
        <v>2718</v>
      </c>
      <c r="G1093" s="5" t="str">
        <f>IFERROR(__xludf.DUMMYFUNCTION("GOOGLETRANSLATE(D1093,""el"",""es"")"),"Misisipí")</f>
        <v>Misisipí</v>
      </c>
    </row>
    <row r="1094">
      <c r="A1094" s="4">
        <v>166.0</v>
      </c>
      <c r="B1094" s="4" t="s">
        <v>4890</v>
      </c>
      <c r="C1094" s="4"/>
      <c r="D1094" s="4" t="s">
        <v>5374</v>
      </c>
      <c r="E1094" s="4" t="s">
        <v>5375</v>
      </c>
      <c r="F1094" s="4" t="s">
        <v>5376</v>
      </c>
      <c r="G1094" s="5" t="str">
        <f>IFERROR(__xludf.DUMMYFUNCTION("GOOGLETRANSLATE(D1094,""el"",""es"")"),"Miguel")</f>
        <v>Miguel</v>
      </c>
    </row>
    <row r="1095">
      <c r="A1095" s="4">
        <v>167.0</v>
      </c>
      <c r="B1095" s="4" t="s">
        <v>4890</v>
      </c>
      <c r="C1095" s="4"/>
      <c r="D1095" s="4" t="s">
        <v>5377</v>
      </c>
      <c r="E1095" s="4" t="s">
        <v>5378</v>
      </c>
      <c r="F1095" s="4" t="s">
        <v>5379</v>
      </c>
      <c r="G1095" s="5" t="str">
        <f>IFERROR(__xludf.DUMMYFUNCTION("GOOGLETRANSLATE(D1095,""el"",""es"")"),"intercambio")</f>
        <v>intercambio</v>
      </c>
    </row>
    <row r="1096">
      <c r="A1096" s="4">
        <v>168.0</v>
      </c>
      <c r="B1096" s="4" t="s">
        <v>4890</v>
      </c>
      <c r="C1096" s="4"/>
      <c r="D1096" s="4" t="s">
        <v>5380</v>
      </c>
      <c r="E1096" s="4" t="s">
        <v>5381</v>
      </c>
      <c r="F1096" s="4" t="s">
        <v>5382</v>
      </c>
      <c r="G1096" s="5" t="str">
        <f>IFERROR(__xludf.DUMMYFUNCTION("GOOGLETRANSLATE(D1096,""el"",""es"")"),"coño")</f>
        <v>coño</v>
      </c>
    </row>
    <row r="1097">
      <c r="A1097" s="4">
        <v>169.0</v>
      </c>
      <c r="B1097" s="4" t="s">
        <v>4890</v>
      </c>
      <c r="C1097" s="4"/>
      <c r="D1097" s="4" t="s">
        <v>5383</v>
      </c>
      <c r="E1097" s="4" t="s">
        <v>5384</v>
      </c>
      <c r="F1097" s="4" t="s">
        <v>5385</v>
      </c>
      <c r="G1097" s="5" t="str">
        <f>IFERROR(__xludf.DUMMYFUNCTION("GOOGLETRANSLATE(D1097,""el"",""es"")"),"coño")</f>
        <v>coño</v>
      </c>
      <c r="H1097" s="4" t="s">
        <v>3432</v>
      </c>
      <c r="I1097" s="4" t="s">
        <v>2724</v>
      </c>
      <c r="J1097" s="4" t="s">
        <v>2725</v>
      </c>
      <c r="K1097" s="4" t="s">
        <v>3433</v>
      </c>
      <c r="L1097" s="4" t="s">
        <v>3434</v>
      </c>
      <c r="M1097" s="4" t="s">
        <v>3435</v>
      </c>
    </row>
    <row r="1098">
      <c r="A1098" s="4">
        <v>170.0</v>
      </c>
      <c r="B1098" s="4" t="s">
        <v>4890</v>
      </c>
      <c r="C1098" s="4"/>
      <c r="D1098" s="4" t="s">
        <v>5386</v>
      </c>
      <c r="E1098" s="4" t="s">
        <v>5387</v>
      </c>
      <c r="F1098" s="4" t="s">
        <v>5388</v>
      </c>
      <c r="G1098" s="5" t="str">
        <f>IFERROR(__xludf.DUMMYFUNCTION("GOOGLETRANSLATE(D1098,""el"",""es"")"),"lienzo")</f>
        <v>lienzo</v>
      </c>
    </row>
    <row r="1099">
      <c r="A1099" s="4">
        <v>171.0</v>
      </c>
      <c r="B1099" s="4" t="s">
        <v>4890</v>
      </c>
      <c r="C1099" s="4"/>
      <c r="D1099" s="4" t="s">
        <v>5389</v>
      </c>
      <c r="E1099" s="4" t="s">
        <v>5390</v>
      </c>
      <c r="F1099" s="4" t="s">
        <v>5391</v>
      </c>
      <c r="G1099" s="5" t="str">
        <f>IFERROR(__xludf.DUMMYFUNCTION("GOOGLETRANSLATE(D1099,""el"",""es"")"),"arrojar")</f>
        <v>arrojar</v>
      </c>
    </row>
    <row r="1100">
      <c r="A1100" s="4">
        <v>172.0</v>
      </c>
      <c r="B1100" s="4" t="s">
        <v>4890</v>
      </c>
      <c r="C1100" s="4"/>
      <c r="D1100" s="4" t="s">
        <v>5392</v>
      </c>
      <c r="E1100" s="4" t="s">
        <v>2710</v>
      </c>
      <c r="F1100" s="4" t="s">
        <v>2711</v>
      </c>
      <c r="G1100" s="5" t="str">
        <f>IFERROR(__xludf.DUMMYFUNCTION("GOOGLETRANSLATE(D1100,""el"",""es"")"),"Sra")</f>
        <v>Sra</v>
      </c>
    </row>
    <row r="1101">
      <c r="A1101" s="4">
        <v>173.0</v>
      </c>
      <c r="B1101" s="4" t="s">
        <v>4890</v>
      </c>
      <c r="C1101" s="4"/>
      <c r="D1101" s="4" t="s">
        <v>5393</v>
      </c>
      <c r="E1101" s="4" t="s">
        <v>5394</v>
      </c>
      <c r="F1101" s="4" t="s">
        <v>5395</v>
      </c>
      <c r="G1101" s="5" t="str">
        <f>IFERROR(__xludf.DUMMYFUNCTION("GOOGLETRANSLATE(D1101,""el"",""es"")"),"mystara")</f>
        <v>mystara</v>
      </c>
    </row>
    <row r="1102">
      <c r="A1102" s="4">
        <v>174.0</v>
      </c>
      <c r="B1102" s="4" t="s">
        <v>4890</v>
      </c>
      <c r="C1102" s="4"/>
      <c r="D1102" s="4" t="s">
        <v>5396</v>
      </c>
      <c r="E1102" s="4" t="s">
        <v>5397</v>
      </c>
      <c r="F1102" s="4" t="s">
        <v>5398</v>
      </c>
      <c r="G1102" s="5" t="str">
        <f>IFERROR(__xludf.DUMMYFUNCTION("GOOGLETRANSLATE(D1102,""el"",""es"")"),"mystarass")</f>
        <v>mystarass</v>
      </c>
    </row>
    <row r="1103">
      <c r="A1103" s="4">
        <v>175.0</v>
      </c>
      <c r="B1103" s="4" t="s">
        <v>4890</v>
      </c>
      <c r="C1103" s="4"/>
      <c r="D1103" s="4" t="s">
        <v>5399</v>
      </c>
      <c r="E1103" s="4" t="s">
        <v>5400</v>
      </c>
      <c r="F1103" s="4" t="s">
        <v>5401</v>
      </c>
      <c r="G1103" s="5" t="str">
        <f>IFERROR(__xludf.DUMMYFUNCTION("GOOGLETRANSLATE(D1103,""el"",""es"")"),"mytar")</f>
        <v>mytar</v>
      </c>
    </row>
    <row r="1104">
      <c r="A1104" s="4">
        <v>176.0</v>
      </c>
      <c r="B1104" s="4" t="s">
        <v>4890</v>
      </c>
      <c r="C1104" s="4"/>
      <c r="D1104" s="4" t="s">
        <v>5402</v>
      </c>
      <c r="E1104" s="4" t="s">
        <v>5403</v>
      </c>
      <c r="F1104" s="4" t="s">
        <v>5404</v>
      </c>
      <c r="G1104" s="5" t="str">
        <f>IFERROR(__xludf.DUMMYFUNCTION("GOOGLETRANSLATE(D1104,""el"",""es"")"),"Mitileno")</f>
        <v>Mitileno</v>
      </c>
    </row>
    <row r="1105">
      <c r="A1105" s="4">
        <v>177.0</v>
      </c>
      <c r="B1105" s="4" t="s">
        <v>4890</v>
      </c>
      <c r="C1105" s="4"/>
      <c r="D1105" s="4" t="s">
        <v>5405</v>
      </c>
      <c r="E1105" s="4" t="s">
        <v>5406</v>
      </c>
      <c r="F1105" s="4" t="s">
        <v>5407</v>
      </c>
      <c r="G1105" s="5" t="str">
        <f>IFERROR(__xludf.DUMMYFUNCTION("GOOGLETRANSLATE(D1105,""el"",""es"")"),"nariz")</f>
        <v>nariz</v>
      </c>
    </row>
    <row r="1106">
      <c r="A1106" s="4">
        <v>178.0</v>
      </c>
      <c r="B1106" s="4" t="s">
        <v>4890</v>
      </c>
      <c r="C1106" s="4"/>
      <c r="D1106" s="4" t="s">
        <v>5408</v>
      </c>
      <c r="E1106" s="4" t="s">
        <v>5409</v>
      </c>
      <c r="F1106" s="4" t="s">
        <v>2601</v>
      </c>
      <c r="G1106" s="5" t="str">
        <f>IFERROR(__xludf.DUMMYFUNCTION("GOOGLETRANSLATE(D1106,""el"",""es"")"),"volar")</f>
        <v>volar</v>
      </c>
      <c r="H1106" s="4" t="s">
        <v>371</v>
      </c>
    </row>
    <row r="1107">
      <c r="A1107" s="4">
        <v>179.0</v>
      </c>
      <c r="B1107" s="4" t="s">
        <v>4890</v>
      </c>
      <c r="C1107" s="4"/>
      <c r="D1107" s="4" t="s">
        <v>5410</v>
      </c>
      <c r="E1107" s="4" t="s">
        <v>5411</v>
      </c>
      <c r="F1107" s="4" t="s">
        <v>5412</v>
      </c>
      <c r="G1107" s="5" t="str">
        <f>IFERROR(__xludf.DUMMYFUNCTION("GOOGLETRANSLATE(D1107,""el"",""es"")"),"nariz")</f>
        <v>nariz</v>
      </c>
      <c r="H1107" s="4" t="s">
        <v>5413</v>
      </c>
      <c r="I1107" s="4" t="s">
        <v>5414</v>
      </c>
      <c r="J1107" s="4" t="s">
        <v>5415</v>
      </c>
      <c r="K1107" s="4" t="s">
        <v>1187</v>
      </c>
      <c r="L1107" s="4" t="s">
        <v>3705</v>
      </c>
      <c r="M1107" s="4" t="s">
        <v>2933</v>
      </c>
      <c r="N1107" s="4" t="s">
        <v>2934</v>
      </c>
    </row>
    <row r="1108">
      <c r="A1108" s="4">
        <v>180.0</v>
      </c>
      <c r="B1108" s="4" t="s">
        <v>4890</v>
      </c>
      <c r="C1108" s="4"/>
      <c r="D1108" s="4" t="s">
        <v>5416</v>
      </c>
      <c r="E1108" s="4" t="s">
        <v>2926</v>
      </c>
      <c r="F1108" s="4" t="s">
        <v>2927</v>
      </c>
      <c r="G1108" s="5" t="str">
        <f>IFERROR(__xludf.DUMMYFUNCTION("GOOGLETRANSLATE(D1108,""el"",""es"")"),"enano")</f>
        <v>enano</v>
      </c>
    </row>
    <row r="1109">
      <c r="A1109" s="4">
        <v>181.0</v>
      </c>
      <c r="B1109" s="4" t="s">
        <v>4890</v>
      </c>
      <c r="C1109" s="4"/>
      <c r="D1109" s="4" t="s">
        <v>5417</v>
      </c>
      <c r="E1109" s="4" t="s">
        <v>2987</v>
      </c>
      <c r="F1109" s="4" t="s">
        <v>2988</v>
      </c>
      <c r="G1109" s="5" t="str">
        <f>IFERROR(__xludf.DUMMYFUNCTION("GOOGLETRANSLATE(D1109,""el"",""es"")"),"Islas")</f>
        <v>Islas</v>
      </c>
    </row>
    <row r="1110">
      <c r="A1110" s="4">
        <v>182.0</v>
      </c>
      <c r="B1110" s="4" t="s">
        <v>4890</v>
      </c>
      <c r="C1110" s="4"/>
      <c r="D1110" s="4" t="s">
        <v>5418</v>
      </c>
      <c r="E1110" s="4" t="s">
        <v>5419</v>
      </c>
      <c r="F1110" s="4" t="s">
        <v>5420</v>
      </c>
      <c r="G1110" s="5" t="str">
        <f>IFERROR(__xludf.DUMMYFUNCTION("GOOGLETRANSLATE(D1110,""el"",""es"")"),"Nichaga")</f>
        <v>Nichaga</v>
      </c>
    </row>
    <row r="1111">
      <c r="A1111" s="4">
        <v>183.0</v>
      </c>
      <c r="B1111" s="4" t="s">
        <v>4890</v>
      </c>
      <c r="C1111" s="4"/>
      <c r="D1111" s="4" t="s">
        <v>5421</v>
      </c>
      <c r="E1111" s="4" t="s">
        <v>388</v>
      </c>
      <c r="F1111" s="4" t="s">
        <v>389</v>
      </c>
      <c r="G1111" s="5" t="str">
        <f>IFERROR(__xludf.DUMMYFUNCTION("GOOGLETRANSLATE(D1111,""el"",""es"")"),"NI")</f>
        <v>NI</v>
      </c>
    </row>
    <row r="1112">
      <c r="A1112" s="4">
        <v>184.0</v>
      </c>
      <c r="B1112" s="4" t="s">
        <v>4890</v>
      </c>
      <c r="C1112" s="4"/>
      <c r="D1112" s="4" t="s">
        <v>5422</v>
      </c>
      <c r="E1112" s="4" t="s">
        <v>5423</v>
      </c>
      <c r="F1112" s="4" t="s">
        <v>5424</v>
      </c>
      <c r="G1112" s="5" t="str">
        <f>IFERROR(__xludf.DUMMYFUNCTION("GOOGLETRANSLATE(D1112,""el"",""es"")"),"juventud")</f>
        <v>juventud</v>
      </c>
    </row>
    <row r="1113">
      <c r="A1113" s="4">
        <v>185.0</v>
      </c>
      <c r="B1113" s="4" t="s">
        <v>4890</v>
      </c>
      <c r="C1113" s="4"/>
      <c r="D1113" s="4" t="s">
        <v>5425</v>
      </c>
      <c r="E1113" s="4" t="s">
        <v>5426</v>
      </c>
      <c r="F1113" s="4" t="s">
        <v>5427</v>
      </c>
      <c r="G1113" s="5" t="str">
        <f>IFERROR(__xludf.DUMMYFUNCTION("GOOGLETRANSLATE(D1113,""el"",""es"")"),"Fui derrotado")</f>
        <v>Fui derrotado</v>
      </c>
    </row>
    <row r="1114">
      <c r="A1114" s="4">
        <v>186.0</v>
      </c>
      <c r="B1114" s="4" t="s">
        <v>4890</v>
      </c>
      <c r="C1114" s="4"/>
      <c r="D1114" s="4" t="s">
        <v>5428</v>
      </c>
      <c r="E1114" s="4" t="s">
        <v>5429</v>
      </c>
      <c r="F1114" s="4" t="s">
        <v>5430</v>
      </c>
      <c r="G1114" s="5" t="str">
        <f>IFERROR(__xludf.DUMMYFUNCTION("GOOGLETRANSLATE(D1114,""el"",""es"")"),"Nicusa")</f>
        <v>Nicusa</v>
      </c>
    </row>
    <row r="1115">
      <c r="A1115" s="4">
        <v>187.0</v>
      </c>
      <c r="B1115" s="4" t="s">
        <v>4890</v>
      </c>
      <c r="C1115" s="4"/>
      <c r="D1115" s="4" t="s">
        <v>5431</v>
      </c>
      <c r="E1115" s="4" t="s">
        <v>5432</v>
      </c>
      <c r="F1115" s="4" t="s">
        <v>5433</v>
      </c>
      <c r="G1115" s="5" t="str">
        <f>IFERROR(__xludf.DUMMYFUNCTION("GOOGLETRANSLATE(D1115,""el"",""es"")"),"cicatriz")</f>
        <v>cicatriz</v>
      </c>
    </row>
    <row r="1116">
      <c r="A1116" s="4">
        <v>188.0</v>
      </c>
      <c r="B1116" s="4" t="s">
        <v>4890</v>
      </c>
      <c r="C1116" s="4"/>
      <c r="D1116" s="4" t="s">
        <v>5434</v>
      </c>
      <c r="E1116" s="4" t="s">
        <v>5435</v>
      </c>
      <c r="F1116" s="4" t="s">
        <v>5436</v>
      </c>
      <c r="G1116" s="5" t="str">
        <f>IFERROR(__xludf.DUMMYFUNCTION("GOOGLETRANSLATE(D1116,""el"",""es"")"),"Yo presioné")</f>
        <v>Yo presioné</v>
      </c>
    </row>
    <row r="1117">
      <c r="A1117" s="4">
        <v>189.0</v>
      </c>
      <c r="B1117" s="4" t="s">
        <v>4890</v>
      </c>
      <c r="C1117" s="4"/>
      <c r="D1117" s="4" t="s">
        <v>5437</v>
      </c>
      <c r="E1117" s="4" t="s">
        <v>5438</v>
      </c>
      <c r="F1117" s="4" t="s">
        <v>5439</v>
      </c>
      <c r="G1117" s="5" t="str">
        <f>IFERROR(__xludf.DUMMYFUNCTION("GOOGLETRANSLATE(D1117,""el"",""es"")"),"pitos")</f>
        <v>pitos</v>
      </c>
    </row>
    <row r="1118">
      <c r="A1118" s="4">
        <v>190.0</v>
      </c>
      <c r="B1118" s="4" t="s">
        <v>4890</v>
      </c>
      <c r="C1118" s="4"/>
      <c r="D1118" s="4" t="s">
        <v>5440</v>
      </c>
      <c r="E1118" s="4" t="s">
        <v>5441</v>
      </c>
      <c r="F1118" s="4" t="s">
        <v>5442</v>
      </c>
      <c r="G1118" s="5" t="str">
        <f>IFERROR(__xludf.DUMMYFUNCTION("GOOGLETRANSLATE(D1118,""el"",""es"")"),"médula")</f>
        <v>médula</v>
      </c>
    </row>
    <row r="1119">
      <c r="A1119" s="4">
        <v>191.0</v>
      </c>
      <c r="B1119" s="4" t="s">
        <v>4890</v>
      </c>
      <c r="C1119" s="4"/>
      <c r="D1119" s="4" t="s">
        <v>5443</v>
      </c>
      <c r="E1119" s="4" t="s">
        <v>5444</v>
      </c>
      <c r="F1119" s="4" t="s">
        <v>5445</v>
      </c>
      <c r="G1119" s="5" t="str">
        <f>IFERROR(__xludf.DUMMYFUNCTION("GOOGLETRANSLATE(D1119,""el"",""es"")"),"médula")</f>
        <v>médula</v>
      </c>
    </row>
    <row r="1120">
      <c r="A1120" s="4">
        <v>192.0</v>
      </c>
      <c r="B1120" s="4" t="s">
        <v>4890</v>
      </c>
      <c r="C1120" s="4"/>
      <c r="D1120" s="4" t="s">
        <v>5446</v>
      </c>
      <c r="E1120" s="4" t="s">
        <v>5447</v>
      </c>
      <c r="F1120" s="4" t="s">
        <v>5448</v>
      </c>
      <c r="G1120" s="5" t="str">
        <f>IFERROR(__xludf.DUMMYFUNCTION("GOOGLETRANSLATE(D1120,""el"",""es"")"),"él bebe")</f>
        <v>él bebe</v>
      </c>
    </row>
    <row r="1121">
      <c r="A1121" s="4">
        <v>193.0</v>
      </c>
      <c r="B1121" s="4" t="s">
        <v>4890</v>
      </c>
      <c r="C1121" s="4"/>
      <c r="D1121" s="4" t="s">
        <v>5449</v>
      </c>
      <c r="E1121" s="4" t="s">
        <v>5450</v>
      </c>
      <c r="F1121" s="4" t="s">
        <v>5451</v>
      </c>
      <c r="G1121" s="5" t="str">
        <f>IFERROR(__xludf.DUMMYFUNCTION("GOOGLETRANSLATE(D1121,""el"",""es"")"),"Bebiendo")</f>
        <v>Bebiendo</v>
      </c>
    </row>
    <row r="1122">
      <c r="A1122" s="4">
        <v>194.0</v>
      </c>
      <c r="B1122" s="4" t="s">
        <v>4890</v>
      </c>
      <c r="C1122" s="4"/>
      <c r="D1122" s="4" t="s">
        <v>5452</v>
      </c>
      <c r="E1122" s="4" t="s">
        <v>3554</v>
      </c>
      <c r="F1122" s="4" t="s">
        <v>3553</v>
      </c>
      <c r="G1122" s="5" t="str">
        <f>IFERROR(__xludf.DUMMYFUNCTION("GOOGLETRANSLATE(D1122,""el"",""es"")"),"tubo")</f>
        <v>tubo</v>
      </c>
      <c r="H1122" s="4" t="s">
        <v>5453</v>
      </c>
      <c r="I1122" s="4" t="s">
        <v>3555</v>
      </c>
      <c r="J1122" s="4" t="s">
        <v>3556</v>
      </c>
    </row>
    <row r="1123">
      <c r="A1123" s="4">
        <v>195.0</v>
      </c>
      <c r="B1123" s="4" t="s">
        <v>4890</v>
      </c>
      <c r="C1123" s="4"/>
      <c r="D1123" s="4" t="s">
        <v>5454</v>
      </c>
      <c r="E1123" s="4" t="s">
        <v>394</v>
      </c>
      <c r="F1123" s="4" t="s">
        <v>395</v>
      </c>
      <c r="G1123" s="5" t="str">
        <f>IFERROR(__xludf.DUMMYFUNCTION("GOOGLETRANSLATE(D1123,""el"",""es"")"),"tarta")</f>
        <v>tarta</v>
      </c>
      <c r="H1123" s="4" t="s">
        <v>5455</v>
      </c>
    </row>
    <row r="1124">
      <c r="A1124" s="4">
        <v>196.0</v>
      </c>
      <c r="B1124" s="4" t="s">
        <v>4890</v>
      </c>
      <c r="C1124" s="4"/>
      <c r="D1124" s="4" t="s">
        <v>5456</v>
      </c>
      <c r="E1124" s="4" t="s">
        <v>5457</v>
      </c>
      <c r="F1124" s="4" t="s">
        <v>5458</v>
      </c>
      <c r="G1124" s="5" t="str">
        <f>IFERROR(__xludf.DUMMYFUNCTION("GOOGLETRANSLATE(D1124,""el"",""es"")"),"cristal")</f>
        <v>cristal</v>
      </c>
    </row>
    <row r="1125">
      <c r="A1125" s="4">
        <v>197.0</v>
      </c>
      <c r="B1125" s="4" t="s">
        <v>4890</v>
      </c>
      <c r="C1125" s="4"/>
      <c r="D1125" s="4" t="s">
        <v>5459</v>
      </c>
      <c r="E1125" s="4" t="s">
        <v>3187</v>
      </c>
      <c r="F1125" s="4" t="s">
        <v>3186</v>
      </c>
      <c r="G1125" s="5" t="str">
        <f>IFERROR(__xludf.DUMMYFUNCTION("GOOGLETRANSLATE(D1125,""el"",""es"")"),"antiguo")</f>
        <v>antiguo</v>
      </c>
    </row>
    <row r="1126">
      <c r="A1126" s="4">
        <v>198.0</v>
      </c>
      <c r="B1126" s="4" t="s">
        <v>4890</v>
      </c>
      <c r="C1126" s="4"/>
      <c r="D1126" s="4" t="s">
        <v>5460</v>
      </c>
      <c r="E1126" s="4" t="s">
        <v>5461</v>
      </c>
      <c r="F1126" s="4" t="s">
        <v>5462</v>
      </c>
      <c r="G1126" s="5" t="str">
        <f>IFERROR(__xludf.DUMMYFUNCTION("GOOGLETRANSLATE(D1126,""el"",""es"")"),"Panamas")</f>
        <v>Panamas</v>
      </c>
    </row>
    <row r="1127">
      <c r="A1127" s="4">
        <v>199.0</v>
      </c>
      <c r="B1127" s="4" t="s">
        <v>4890</v>
      </c>
      <c r="C1127" s="4"/>
      <c r="D1127" s="4" t="s">
        <v>5463</v>
      </c>
      <c r="E1127" s="4" t="s">
        <v>5464</v>
      </c>
      <c r="F1127" s="4" t="s">
        <v>5465</v>
      </c>
      <c r="G1127" s="5" t="str">
        <f>IFERROR(__xludf.DUMMYFUNCTION("GOOGLETRANSLATE(D1127,""el"",""es"")"),"papara")</f>
        <v>papara</v>
      </c>
    </row>
    <row r="1128">
      <c r="A1128" s="4">
        <v>200.0</v>
      </c>
      <c r="B1128" s="4" t="s">
        <v>4890</v>
      </c>
      <c r="C1128" s="4"/>
      <c r="D1128" s="4" t="s">
        <v>5466</v>
      </c>
      <c r="E1128" s="4" t="s">
        <v>5467</v>
      </c>
      <c r="F1128" s="4" t="s">
        <v>5468</v>
      </c>
      <c r="G1128" s="5" t="str">
        <f>IFERROR(__xludf.DUMMYFUNCTION("GOOGLETRANSLATE(D1128,""el"",""es"")"),"paparazzi")</f>
        <v>paparazzi</v>
      </c>
    </row>
    <row r="1129">
      <c r="A1129" s="4">
        <v>201.0</v>
      </c>
      <c r="B1129" s="4" t="s">
        <v>4890</v>
      </c>
      <c r="C1129" s="4"/>
      <c r="D1129" s="4" t="s">
        <v>5469</v>
      </c>
      <c r="E1129" s="4" t="s">
        <v>5470</v>
      </c>
      <c r="F1129" s="4" t="s">
        <v>5471</v>
      </c>
      <c r="G1129" s="5" t="str">
        <f>IFERROR(__xludf.DUMMYFUNCTION("GOOGLETRANSLATE(D1129,""el"",""es"")"),"estallido")</f>
        <v>estallido</v>
      </c>
    </row>
    <row r="1130">
      <c r="A1130" s="4">
        <v>202.0</v>
      </c>
      <c r="B1130" s="4" t="s">
        <v>4890</v>
      </c>
      <c r="C1130" s="4"/>
      <c r="D1130" s="4" t="s">
        <v>5472</v>
      </c>
      <c r="E1130" s="4" t="s">
        <v>5473</v>
      </c>
      <c r="F1130" s="4" t="s">
        <v>5474</v>
      </c>
      <c r="G1130" s="5" t="str">
        <f>IFERROR(__xludf.DUMMYFUNCTION("GOOGLETRANSLATE(D1130,""el"",""es"")"),"abuelo")</f>
        <v>abuelo</v>
      </c>
    </row>
    <row r="1131">
      <c r="A1131" s="4">
        <v>203.0</v>
      </c>
      <c r="B1131" s="4" t="s">
        <v>4890</v>
      </c>
      <c r="C1131" s="4"/>
      <c r="D1131" s="4" t="s">
        <v>5475</v>
      </c>
      <c r="E1131" s="4" t="s">
        <v>5476</v>
      </c>
      <c r="F1131" s="4" t="s">
        <v>5477</v>
      </c>
      <c r="G1131" s="5" t="str">
        <f>IFERROR(__xludf.DUMMYFUNCTION("GOOGLETRANSLATE(D1131,""el"",""es"")"),"pausa")</f>
        <v>pausa</v>
      </c>
    </row>
    <row r="1132">
      <c r="A1132" s="4">
        <v>204.0</v>
      </c>
      <c r="B1132" s="4" t="s">
        <v>4890</v>
      </c>
      <c r="C1132" s="4"/>
      <c r="D1132" s="4" t="s">
        <v>5478</v>
      </c>
      <c r="E1132" s="4" t="s">
        <v>5479</v>
      </c>
      <c r="F1132" s="4" t="s">
        <v>5480</v>
      </c>
      <c r="G1132" s="5" t="str">
        <f>IFERROR(__xludf.DUMMYFUNCTION("GOOGLETRANSLATE(D1132,""el"",""es"")"),"París")</f>
        <v>París</v>
      </c>
      <c r="H1132" s="4" t="s">
        <v>3352</v>
      </c>
      <c r="I1132" s="4" t="s">
        <v>3358</v>
      </c>
      <c r="J1132" s="4" t="s">
        <v>3359</v>
      </c>
      <c r="K1132" s="4" t="s">
        <v>3360</v>
      </c>
    </row>
    <row r="1133">
      <c r="A1133" s="4">
        <v>205.0</v>
      </c>
      <c r="B1133" s="4" t="s">
        <v>4890</v>
      </c>
      <c r="C1133" s="4"/>
      <c r="D1133" s="4" t="s">
        <v>5481</v>
      </c>
      <c r="E1133" s="4" t="s">
        <v>5482</v>
      </c>
      <c r="F1133" s="4" t="s">
        <v>5483</v>
      </c>
      <c r="G1133" s="5" t="str">
        <f>IFERROR(__xludf.DUMMYFUNCTION("GOOGLETRANSLATE(D1133,""el"",""es"")"),"cuento de hadas")</f>
        <v>cuento de hadas</v>
      </c>
      <c r="H1133" s="4" t="s">
        <v>5484</v>
      </c>
      <c r="I1133" s="4" t="s">
        <v>5485</v>
      </c>
      <c r="J1133" s="4" t="s">
        <v>5486</v>
      </c>
    </row>
    <row r="1134">
      <c r="A1134" s="4">
        <v>206.0</v>
      </c>
      <c r="B1134" s="4" t="s">
        <v>4890</v>
      </c>
      <c r="C1134" s="4"/>
      <c r="D1134" s="4" t="s">
        <v>5487</v>
      </c>
      <c r="E1134" s="4" t="s">
        <v>3362</v>
      </c>
      <c r="F1134" s="4" t="s">
        <v>3361</v>
      </c>
      <c r="G1134" s="5" t="str">
        <f>IFERROR(__xludf.DUMMYFUNCTION("GOOGLETRANSLATE(D1134,""el"",""es"")"),"PASAR")</f>
        <v>PASAR</v>
      </c>
    </row>
    <row r="1135">
      <c r="A1135" s="4">
        <v>207.0</v>
      </c>
      <c r="B1135" s="4" t="s">
        <v>4890</v>
      </c>
      <c r="C1135" s="4"/>
      <c r="D1135" s="4" t="s">
        <v>5488</v>
      </c>
      <c r="E1135" s="4" t="s">
        <v>5489</v>
      </c>
      <c r="F1135" s="4" t="s">
        <v>5490</v>
      </c>
      <c r="G1135" s="5" t="str">
        <f>IFERROR(__xludf.DUMMYFUNCTION("GOOGLETRANSLATE(D1135,""el"",""es"")"),"Serví")</f>
        <v>Serví</v>
      </c>
    </row>
    <row r="1136">
      <c r="A1136" s="4">
        <v>208.0</v>
      </c>
      <c r="B1136" s="4" t="s">
        <v>4890</v>
      </c>
      <c r="C1136" s="4"/>
      <c r="D1136" s="4" t="s">
        <v>5491</v>
      </c>
      <c r="E1136" s="4" t="s">
        <v>5492</v>
      </c>
      <c r="F1136" s="4" t="s">
        <v>5493</v>
      </c>
      <c r="G1136" s="5" t="str">
        <f>IFERROR(__xludf.DUMMYFUNCTION("GOOGLETRANSLATE(D1136,""el"",""es"")"),"Pavimenté")</f>
        <v>Pavimenté</v>
      </c>
    </row>
    <row r="1137">
      <c r="A1137" s="4">
        <v>209.0</v>
      </c>
      <c r="B1137" s="4" t="s">
        <v>4890</v>
      </c>
      <c r="C1137" s="4"/>
      <c r="D1137" s="4" t="s">
        <v>5494</v>
      </c>
      <c r="E1137" s="4" t="s">
        <v>5495</v>
      </c>
      <c r="F1137" s="4" t="s">
        <v>5496</v>
      </c>
      <c r="G1137" s="5" t="str">
        <f>IFERROR(__xludf.DUMMYFUNCTION("GOOGLETRANSLATE(D1137,""el"",""es"")"),"pie")</f>
        <v>pie</v>
      </c>
      <c r="H1137" s="4" t="s">
        <v>2861</v>
      </c>
      <c r="I1137" s="4" t="s">
        <v>4040</v>
      </c>
    </row>
    <row r="1138">
      <c r="A1138" s="4">
        <v>210.0</v>
      </c>
      <c r="B1138" s="4" t="s">
        <v>4890</v>
      </c>
      <c r="C1138" s="4"/>
      <c r="D1138" s="4" t="s">
        <v>5497</v>
      </c>
      <c r="E1138" s="4" t="s">
        <v>3541</v>
      </c>
      <c r="F1138" s="4" t="s">
        <v>3542</v>
      </c>
      <c r="G1138" s="5" t="str">
        <f>IFERROR(__xludf.DUMMYFUNCTION("GOOGLETRANSLATE(D1138,""el"",""es"")"),"estaba hambriento")</f>
        <v>estaba hambriento</v>
      </c>
    </row>
    <row r="1139">
      <c r="A1139" s="4">
        <v>211.0</v>
      </c>
      <c r="B1139" s="4" t="s">
        <v>4890</v>
      </c>
      <c r="C1139" s="4"/>
      <c r="D1139" s="4" t="s">
        <v>5498</v>
      </c>
      <c r="E1139" s="4" t="s">
        <v>229</v>
      </c>
      <c r="F1139" s="4" t="s">
        <v>230</v>
      </c>
      <c r="G1139" s="5" t="str">
        <f>IFERROR(__xludf.DUMMYFUNCTION("GOOGLETRANSLATE(D1139,""el"",""es"")"),"Pi")</f>
        <v>Pi</v>
      </c>
    </row>
    <row r="1140">
      <c r="A1140" s="4">
        <v>212.0</v>
      </c>
      <c r="B1140" s="4" t="s">
        <v>4890</v>
      </c>
      <c r="C1140" s="4"/>
      <c r="D1140" s="4" t="s">
        <v>5499</v>
      </c>
      <c r="E1140" s="4" t="s">
        <v>5500</v>
      </c>
      <c r="F1140" s="4" t="s">
        <v>5501</v>
      </c>
      <c r="G1140" s="5" t="str">
        <f>IFERROR(__xludf.DUMMYFUNCTION("GOOGLETRANSLATE(D1140,""el"",""es"")"),"tocadiscos")</f>
        <v>tocadiscos</v>
      </c>
    </row>
    <row r="1141">
      <c r="A1141" s="4">
        <v>213.0</v>
      </c>
      <c r="B1141" s="4" t="s">
        <v>4890</v>
      </c>
      <c r="C1141" s="4"/>
      <c r="D1141" s="4" t="s">
        <v>5502</v>
      </c>
      <c r="E1141" s="4" t="s">
        <v>5503</v>
      </c>
      <c r="F1141" s="4" t="s">
        <v>5504</v>
      </c>
      <c r="G1141" s="5" t="str">
        <f>IFERROR(__xludf.DUMMYFUNCTION("GOOGLETRANSLATE(D1141,""el"",""es"")"),"pepita")</f>
        <v>pepita</v>
      </c>
    </row>
    <row r="1142">
      <c r="A1142" s="4">
        <v>214.0</v>
      </c>
      <c r="B1142" s="4" t="s">
        <v>4890</v>
      </c>
      <c r="C1142" s="4"/>
      <c r="D1142" s="4" t="s">
        <v>5505</v>
      </c>
      <c r="E1142" s="4" t="s">
        <v>5506</v>
      </c>
      <c r="F1142" s="4" t="s">
        <v>5507</v>
      </c>
      <c r="G1142" s="5" t="str">
        <f>IFERROR(__xludf.DUMMYFUNCTION("GOOGLETRANSLATE(D1142,""el"",""es"")"),"tenedores")</f>
        <v>tenedores</v>
      </c>
    </row>
    <row r="1143">
      <c r="A1143" s="4">
        <v>215.0</v>
      </c>
      <c r="B1143" s="4" t="s">
        <v>4890</v>
      </c>
      <c r="C1143" s="4"/>
      <c r="D1143" s="4" t="s">
        <v>5508</v>
      </c>
      <c r="E1143" s="4" t="s">
        <v>5509</v>
      </c>
      <c r="F1143" s="4" t="s">
        <v>5510</v>
      </c>
      <c r="G1143" s="5" t="str">
        <f>IFERROR(__xludf.DUMMYFUNCTION("GOOGLETRANSLATE(D1143,""el"",""es"")"),"potro")</f>
        <v>potro</v>
      </c>
      <c r="H1143" s="4" t="s">
        <v>3638</v>
      </c>
    </row>
    <row r="1144">
      <c r="A1144" s="4">
        <v>216.0</v>
      </c>
      <c r="B1144" s="4" t="s">
        <v>4890</v>
      </c>
      <c r="C1144" s="4"/>
      <c r="D1144" s="4" t="s">
        <v>5511</v>
      </c>
      <c r="E1144" s="4" t="s">
        <v>5512</v>
      </c>
      <c r="F1144" s="4" t="s">
        <v>5513</v>
      </c>
      <c r="G1144" s="5" t="str">
        <f>IFERROR(__xludf.DUMMYFUNCTION("GOOGLETRANSLATE(D1144,""el"",""es"")"),"Me vendieron")</f>
        <v>Me vendieron</v>
      </c>
    </row>
    <row r="1145">
      <c r="A1145" s="4">
        <v>217.0</v>
      </c>
      <c r="B1145" s="4" t="s">
        <v>4890</v>
      </c>
      <c r="C1145" s="4"/>
      <c r="D1145" s="4" t="s">
        <v>5514</v>
      </c>
      <c r="E1145" s="4" t="s">
        <v>3615</v>
      </c>
      <c r="F1145" s="4" t="s">
        <v>3616</v>
      </c>
      <c r="G1145" s="5" t="str">
        <f>IFERROR(__xludf.DUMMYFUNCTION("GOOGLETRANSLATE(D1145,""el"",""es"")"),"pájaro")</f>
        <v>pájaro</v>
      </c>
      <c r="H1145" s="4" t="s">
        <v>5515</v>
      </c>
      <c r="I1145" s="4" t="s">
        <v>3596</v>
      </c>
      <c r="J1145" s="4" t="s">
        <v>3497</v>
      </c>
      <c r="K1145" s="4" t="s">
        <v>3597</v>
      </c>
      <c r="L1145" s="4" t="s">
        <v>3598</v>
      </c>
      <c r="M1145" s="4" t="s">
        <v>3599</v>
      </c>
      <c r="N1145" s="4" t="s">
        <v>3600</v>
      </c>
      <c r="O1145" s="4" t="s">
        <v>3601</v>
      </c>
      <c r="P1145" s="4" t="s">
        <v>3602</v>
      </c>
    </row>
    <row r="1146">
      <c r="A1146" s="4">
        <v>218.0</v>
      </c>
      <c r="B1146" s="4" t="s">
        <v>4890</v>
      </c>
      <c r="C1146" s="4"/>
      <c r="D1146" s="4" t="s">
        <v>5516</v>
      </c>
      <c r="E1146" s="4" t="s">
        <v>3783</v>
      </c>
      <c r="F1146" s="4" t="s">
        <v>3782</v>
      </c>
      <c r="G1146" s="5" t="str">
        <f>IFERROR(__xludf.DUMMYFUNCTION("GOOGLETRANSLATE(D1146,""el"",""es"")"),"puta")</f>
        <v>puta</v>
      </c>
    </row>
    <row r="1147">
      <c r="A1147" s="4">
        <v>219.0</v>
      </c>
      <c r="B1147" s="4" t="s">
        <v>4890</v>
      </c>
      <c r="C1147" s="4"/>
      <c r="D1147" s="4" t="s">
        <v>5517</v>
      </c>
      <c r="E1147" s="4" t="s">
        <v>5518</v>
      </c>
      <c r="F1147" s="4" t="s">
        <v>5519</v>
      </c>
      <c r="G1147" s="5" t="str">
        <f>IFERROR(__xludf.DUMMYFUNCTION("GOOGLETRANSLATE(D1147,""el"",""es"")"),"denunciante")</f>
        <v>denunciante</v>
      </c>
    </row>
    <row r="1148">
      <c r="A1148" s="4">
        <v>220.0</v>
      </c>
      <c r="B1148" s="4" t="s">
        <v>4890</v>
      </c>
      <c r="C1148" s="4"/>
      <c r="D1148" s="4" t="s">
        <v>5520</v>
      </c>
      <c r="E1148" s="4" t="s">
        <v>5521</v>
      </c>
      <c r="F1148" s="4" t="s">
        <v>5522</v>
      </c>
      <c r="G1148" s="5" t="str">
        <f>IFERROR(__xludf.DUMMYFUNCTION("GOOGLETRANSLATE(D1148,""el"",""es"")"),"vendido")</f>
        <v>vendido</v>
      </c>
    </row>
    <row r="1149">
      <c r="A1149" s="4">
        <v>221.0</v>
      </c>
      <c r="B1149" s="4" t="s">
        <v>4890</v>
      </c>
      <c r="C1149" s="4"/>
      <c r="D1149" s="4" t="s">
        <v>5523</v>
      </c>
      <c r="E1149" s="4" t="s">
        <v>3615</v>
      </c>
      <c r="F1149" s="4" t="s">
        <v>3616</v>
      </c>
      <c r="G1149" s="5" t="str">
        <f>IFERROR(__xludf.DUMMYFUNCTION("GOOGLETRANSLATE(D1149,""el"",""es"")"),"pájaro")</f>
        <v>pájaro</v>
      </c>
    </row>
    <row r="1150">
      <c r="A1150" s="4">
        <v>222.0</v>
      </c>
      <c r="B1150" s="4" t="s">
        <v>4890</v>
      </c>
      <c r="C1150" s="4"/>
      <c r="D1150" s="4" t="s">
        <v>5524</v>
      </c>
      <c r="E1150" s="4" t="s">
        <v>5525</v>
      </c>
      <c r="F1150" s="4" t="s">
        <v>5526</v>
      </c>
      <c r="G1150" s="5" t="str">
        <f>IFERROR(__xludf.DUMMYFUNCTION("GOOGLETRANSLATE(D1150,""el"",""es"")"),"pira")</f>
        <v>pira</v>
      </c>
      <c r="H1150" s="4" t="s">
        <v>907</v>
      </c>
      <c r="I1150" s="4" t="s">
        <v>5527</v>
      </c>
      <c r="J1150" s="4" t="s">
        <v>5528</v>
      </c>
      <c r="K1150" s="4" t="s">
        <v>5529</v>
      </c>
    </row>
    <row r="1151">
      <c r="A1151" s="4">
        <v>223.0</v>
      </c>
      <c r="B1151" s="4" t="s">
        <v>4890</v>
      </c>
      <c r="C1151" s="4"/>
      <c r="D1151" s="4" t="s">
        <v>5530</v>
      </c>
      <c r="E1151" s="4" t="s">
        <v>5531</v>
      </c>
      <c r="F1151" s="4" t="s">
        <v>5532</v>
      </c>
      <c r="G1151" s="5" t="str">
        <f>IFERROR(__xludf.DUMMYFUNCTION("GOOGLETRANSLATE(D1151,""el"",""es"")"),"fosa nasal")</f>
        <v>fosa nasal</v>
      </c>
    </row>
    <row r="1152">
      <c r="A1152" s="4">
        <v>224.0</v>
      </c>
      <c r="B1152" s="4" t="s">
        <v>4890</v>
      </c>
      <c r="C1152" s="4"/>
      <c r="D1152" s="4" t="s">
        <v>5533</v>
      </c>
      <c r="E1152" s="4" t="s">
        <v>5534</v>
      </c>
      <c r="F1152" s="4" t="s">
        <v>5535</v>
      </c>
      <c r="G1152" s="5" t="str">
        <f>IFERROR(__xludf.DUMMYFUNCTION("GOOGLETRANSLATE(D1152,""el"",""es"")"),"bofetada")</f>
        <v>bofetada</v>
      </c>
    </row>
    <row r="1153">
      <c r="A1153" s="4">
        <v>225.0</v>
      </c>
      <c r="B1153" s="4" t="s">
        <v>4890</v>
      </c>
      <c r="C1153" s="4"/>
      <c r="D1153" s="4" t="s">
        <v>5536</v>
      </c>
      <c r="E1153" s="4" t="s">
        <v>5537</v>
      </c>
      <c r="F1153" s="4" t="s">
        <v>5538</v>
      </c>
      <c r="G1153" s="5" t="str">
        <f>IFERROR(__xludf.DUMMYFUNCTION("GOOGLETRANSLATE(D1153,""el"",""es"")"),"chip")</f>
        <v>chip</v>
      </c>
    </row>
    <row r="1154">
      <c r="A1154" s="4">
        <v>226.0</v>
      </c>
      <c r="B1154" s="4" t="s">
        <v>4890</v>
      </c>
      <c r="C1154" s="4"/>
      <c r="D1154" s="4" t="s">
        <v>5539</v>
      </c>
      <c r="E1154" s="4" t="s">
        <v>5540</v>
      </c>
      <c r="F1154" s="4" t="s">
        <v>5541</v>
      </c>
      <c r="G1154" s="5" t="str">
        <f>IFERROR(__xludf.DUMMYFUNCTION("GOOGLETRANSLATE(D1154,""el"",""es"")"),"chaqueta")</f>
        <v>chaqueta</v>
      </c>
    </row>
    <row r="1155">
      <c r="A1155" s="4">
        <v>227.0</v>
      </c>
      <c r="B1155" s="4" t="s">
        <v>4890</v>
      </c>
      <c r="C1155" s="4"/>
      <c r="D1155" s="4" t="s">
        <v>5542</v>
      </c>
      <c r="E1155" s="4" t="s">
        <v>5543</v>
      </c>
      <c r="F1155" s="4" t="s">
        <v>5544</v>
      </c>
      <c r="G1155" s="5" t="str">
        <f>IFERROR(__xludf.DUMMYFUNCTION("GOOGLETRANSLATE(D1155,""el"",""es"")"),"salamis")</f>
        <v>salamis</v>
      </c>
    </row>
    <row r="1156">
      <c r="A1156" s="4">
        <v>228.0</v>
      </c>
      <c r="B1156" s="4" t="s">
        <v>4890</v>
      </c>
      <c r="C1156" s="4"/>
      <c r="D1156" s="4" t="s">
        <v>5545</v>
      </c>
      <c r="E1156" s="4" t="s">
        <v>5546</v>
      </c>
      <c r="F1156" s="4" t="s">
        <v>5547</v>
      </c>
      <c r="G1156" s="5" t="str">
        <f>IFERROR(__xludf.DUMMYFUNCTION("GOOGLETRANSLATE(D1156,""el"",""es"")"),"sable")</f>
        <v>sable</v>
      </c>
    </row>
    <row r="1157">
      <c r="A1157" s="4">
        <v>229.0</v>
      </c>
      <c r="B1157" s="4" t="s">
        <v>4890</v>
      </c>
      <c r="C1157" s="4"/>
      <c r="D1157" s="4" t="s">
        <v>5548</v>
      </c>
      <c r="E1157" s="4" t="s">
        <v>5549</v>
      </c>
      <c r="F1157" s="4" t="s">
        <v>5550</v>
      </c>
      <c r="G1157" s="5" t="str">
        <f>IFERROR(__xludf.DUMMYFUNCTION("GOOGLETRANSLATE(D1157,""el"",""es"")"),"jabón")</f>
        <v>jabón</v>
      </c>
      <c r="H1157" s="4" t="s">
        <v>5551</v>
      </c>
    </row>
    <row r="1158">
      <c r="A1158" s="4">
        <v>230.0</v>
      </c>
      <c r="B1158" s="4" t="s">
        <v>4890</v>
      </c>
      <c r="C1158" s="4"/>
      <c r="D1158" s="4" t="s">
        <v>5552</v>
      </c>
      <c r="E1158" s="4" t="s">
        <v>5553</v>
      </c>
      <c r="F1158" s="4" t="s">
        <v>5554</v>
      </c>
      <c r="G1158" s="5" t="str">
        <f>IFERROR(__xludf.DUMMYFUNCTION("GOOGLETRANSLATE(D1158,""el"",""es"")"),"despacio")</f>
        <v>despacio</v>
      </c>
    </row>
    <row r="1159">
      <c r="A1159" s="4">
        <v>231.0</v>
      </c>
      <c r="B1159" s="4" t="s">
        <v>4890</v>
      </c>
      <c r="C1159" s="4"/>
      <c r="D1159" s="4" t="s">
        <v>5555</v>
      </c>
      <c r="E1159" s="4" t="s">
        <v>5534</v>
      </c>
      <c r="F1159" s="4" t="s">
        <v>5535</v>
      </c>
      <c r="G1159" s="5" t="str">
        <f>IFERROR(__xludf.DUMMYFUNCTION("GOOGLETRANSLATE(D1159,""el"",""es"")"),"silas")</f>
        <v>silas</v>
      </c>
    </row>
    <row r="1160">
      <c r="A1160" s="4">
        <v>232.0</v>
      </c>
      <c r="B1160" s="4" t="s">
        <v>4890</v>
      </c>
      <c r="C1160" s="4"/>
      <c r="D1160" s="4" t="s">
        <v>5556</v>
      </c>
      <c r="E1160" s="4" t="s">
        <v>5557</v>
      </c>
      <c r="F1160" s="4" t="s">
        <v>5558</v>
      </c>
      <c r="G1160" s="5" t="str">
        <f>IFERROR(__xludf.DUMMYFUNCTION("GOOGLETRANSLATE(D1160,""el"",""es"")"),"Era")</f>
        <v>Era</v>
      </c>
    </row>
    <row r="1161">
      <c r="A1161" s="4">
        <v>233.0</v>
      </c>
      <c r="B1161" s="4" t="s">
        <v>4890</v>
      </c>
      <c r="C1161" s="4"/>
      <c r="D1161" s="4" t="s">
        <v>5559</v>
      </c>
      <c r="E1161" s="4" t="s">
        <v>4173</v>
      </c>
      <c r="F1161" s="4" t="s">
        <v>4172</v>
      </c>
      <c r="G1161" s="5" t="str">
        <f>IFERROR(__xludf.DUMMYFUNCTION("GOOGLETRANSLATE(D1161,""el"",""es"")"),"Surinam")</f>
        <v>Surinam</v>
      </c>
      <c r="H1161" s="4" t="s">
        <v>5560</v>
      </c>
      <c r="I1161" s="4" t="s">
        <v>5561</v>
      </c>
      <c r="J1161" s="4" t="s">
        <v>5562</v>
      </c>
      <c r="K1161" s="4" t="s">
        <v>5563</v>
      </c>
      <c r="L1161" s="4" t="s">
        <v>5564</v>
      </c>
    </row>
    <row r="1162">
      <c r="A1162" s="4">
        <v>234.0</v>
      </c>
      <c r="B1162" s="4" t="s">
        <v>4890</v>
      </c>
      <c r="C1162" s="4"/>
      <c r="D1162" s="4" t="s">
        <v>5565</v>
      </c>
      <c r="E1162" s="4" t="s">
        <v>5566</v>
      </c>
      <c r="F1162" s="4" t="s">
        <v>5567</v>
      </c>
      <c r="G1162" s="5" t="str">
        <f>IFERROR(__xludf.DUMMYFUNCTION("GOOGLETRANSLATE(D1162,""el"",""es"")"),"disparar")</f>
        <v>disparar</v>
      </c>
    </row>
    <row r="1163">
      <c r="A1163" s="4">
        <v>235.0</v>
      </c>
      <c r="B1163" s="4" t="s">
        <v>4890</v>
      </c>
      <c r="C1163" s="4"/>
      <c r="D1163" s="4" t="s">
        <v>5568</v>
      </c>
      <c r="E1163" s="4" t="s">
        <v>5569</v>
      </c>
      <c r="F1163" s="4" t="s">
        <v>5570</v>
      </c>
      <c r="G1163" s="5" t="str">
        <f>IFERROR(__xludf.DUMMYFUNCTION("GOOGLETRANSLATE(D1163,""el"",""es"")"),"Disparo")</f>
        <v>Disparo</v>
      </c>
    </row>
    <row r="1164">
      <c r="A1164" s="4">
        <v>236.0</v>
      </c>
      <c r="B1164" s="4" t="s">
        <v>4890</v>
      </c>
      <c r="C1164" s="4"/>
      <c r="D1164" s="4" t="s">
        <v>5571</v>
      </c>
      <c r="E1164" s="4" t="s">
        <v>5572</v>
      </c>
      <c r="F1164" s="4" t="s">
        <v>5573</v>
      </c>
      <c r="G1164" s="5" t="str">
        <f>IFERROR(__xludf.DUMMYFUNCTION("GOOGLETRANSLATE(D1164,""el"",""es"")"),"higo")</f>
        <v>higo</v>
      </c>
    </row>
    <row r="1165">
      <c r="A1165" s="4">
        <v>237.0</v>
      </c>
      <c r="B1165" s="4" t="s">
        <v>4890</v>
      </c>
      <c r="C1165" s="4"/>
      <c r="D1165" s="4" t="s">
        <v>5574</v>
      </c>
      <c r="E1165" s="4" t="s">
        <v>5575</v>
      </c>
      <c r="F1165" s="4" t="s">
        <v>5576</v>
      </c>
      <c r="G1165" s="5" t="str">
        <f>IFERROR(__xludf.DUMMYFUNCTION("GOOGLETRANSLATE(D1165,""el"",""es"")"),"habitual")</f>
        <v>habitual</v>
      </c>
    </row>
    <row r="1166">
      <c r="A1166" s="4">
        <v>238.0</v>
      </c>
      <c r="B1166" s="4" t="s">
        <v>4890</v>
      </c>
      <c r="C1166" s="4"/>
      <c r="D1166" s="4" t="s">
        <v>5577</v>
      </c>
      <c r="E1166" s="4" t="s">
        <v>5578</v>
      </c>
      <c r="F1166" s="4" t="s">
        <v>5579</v>
      </c>
      <c r="G1166" s="5" t="str">
        <f>IFERROR(__xludf.DUMMYFUNCTION("GOOGLETRANSLATE(D1166,""el"",""es"")"),"Fui atacado")</f>
        <v>Fui atacado</v>
      </c>
    </row>
    <row r="1167">
      <c r="A1167" s="4">
        <v>239.0</v>
      </c>
      <c r="B1167" s="4" t="s">
        <v>4890</v>
      </c>
      <c r="C1167" s="4"/>
      <c r="D1167" s="4" t="s">
        <v>5580</v>
      </c>
      <c r="E1167" s="4" t="s">
        <v>5581</v>
      </c>
      <c r="F1167" s="4" t="s">
        <v>5582</v>
      </c>
      <c r="G1167" s="5" t="str">
        <f>IFERROR(__xludf.DUMMYFUNCTION("GOOGLETRANSLATE(D1167,""el"",""es"")"),"tam")</f>
        <v>tam</v>
      </c>
    </row>
    <row r="1168">
      <c r="A1168" s="4">
        <v>240.0</v>
      </c>
      <c r="B1168" s="4" t="s">
        <v>4890</v>
      </c>
      <c r="C1168" s="4"/>
      <c r="D1168" s="4" t="s">
        <v>5583</v>
      </c>
      <c r="E1168" s="4" t="s">
        <v>5584</v>
      </c>
      <c r="F1168" s="4" t="s">
        <v>4226</v>
      </c>
      <c r="G1168" s="5" t="str">
        <f>IFERROR(__xludf.DUMMYFUNCTION("GOOGLETRANSLATE(D1168,""el"",""es"")"),"según cabe suponer")</f>
        <v>según cabe suponer</v>
      </c>
    </row>
    <row r="1169">
      <c r="A1169" s="4">
        <v>241.0</v>
      </c>
      <c r="B1169" s="4" t="s">
        <v>4890</v>
      </c>
      <c r="C1169" s="4"/>
      <c r="D1169" s="4" t="s">
        <v>5585</v>
      </c>
      <c r="E1169" s="4" t="s">
        <v>5586</v>
      </c>
      <c r="F1169" s="4" t="s">
        <v>5587</v>
      </c>
      <c r="G1169" s="5" t="str">
        <f>IFERROR(__xludf.DUMMYFUNCTION("GOOGLETRANSLATE(D1169,""el"",""es"")"),"Tina")</f>
        <v>Tina</v>
      </c>
    </row>
    <row r="1170">
      <c r="A1170" s="4">
        <v>242.0</v>
      </c>
      <c r="B1170" s="4" t="s">
        <v>4890</v>
      </c>
      <c r="C1170" s="4"/>
      <c r="D1170" s="4" t="s">
        <v>5588</v>
      </c>
      <c r="E1170" s="4" t="s">
        <v>5589</v>
      </c>
      <c r="F1170" s="4" t="s">
        <v>5590</v>
      </c>
      <c r="G1170" s="5" t="str">
        <f>IFERROR(__xludf.DUMMYFUNCTION("GOOGLETRANSLATE(D1170,""el"",""es"")"),"oropel")</f>
        <v>oropel</v>
      </c>
    </row>
    <row r="1171">
      <c r="A1171" s="4">
        <v>243.0</v>
      </c>
      <c r="B1171" s="4" t="s">
        <v>4890</v>
      </c>
      <c r="C1171" s="4"/>
      <c r="D1171" s="4" t="s">
        <v>5591</v>
      </c>
      <c r="E1171" s="4" t="s">
        <v>5592</v>
      </c>
      <c r="F1171" s="4" t="s">
        <v>5593</v>
      </c>
      <c r="G1171" s="5" t="str">
        <f>IFERROR(__xludf.DUMMYFUNCTION("GOOGLETRANSLATE(D1171,""el"",""es"")"),"estaño")</f>
        <v>estaño</v>
      </c>
    </row>
    <row r="1172">
      <c r="A1172" s="4">
        <v>244.0</v>
      </c>
      <c r="B1172" s="4" t="s">
        <v>4890</v>
      </c>
      <c r="C1172" s="4"/>
      <c r="D1172" s="4" t="s">
        <v>5594</v>
      </c>
      <c r="E1172" s="4" t="s">
        <v>5595</v>
      </c>
      <c r="F1172" s="4" t="s">
        <v>5596</v>
      </c>
      <c r="G1172" s="5" t="str">
        <f>IFERROR(__xludf.DUMMYFUNCTION("GOOGLETRANSLATE(D1172,""el"",""es"")"),"tisi")</f>
        <v>tisi</v>
      </c>
    </row>
    <row r="1173">
      <c r="A1173" s="4">
        <v>245.0</v>
      </c>
      <c r="B1173" s="4" t="s">
        <v>4890</v>
      </c>
      <c r="C1173" s="4"/>
      <c r="D1173" s="4" t="s">
        <v>5597</v>
      </c>
      <c r="E1173" s="4" t="s">
        <v>5598</v>
      </c>
      <c r="F1173" s="4" t="s">
        <v>5599</v>
      </c>
      <c r="G1173" s="5" t="str">
        <f>IFERROR(__xludf.DUMMYFUNCTION("GOOGLETRANSLATE(D1173,""el"",""es"")"),"bolsa")</f>
        <v>bolsa</v>
      </c>
    </row>
    <row r="1174">
      <c r="A1174" s="4">
        <v>246.0</v>
      </c>
      <c r="B1174" s="4" t="s">
        <v>4890</v>
      </c>
      <c r="C1174" s="4"/>
      <c r="D1174" s="4" t="s">
        <v>5600</v>
      </c>
      <c r="E1174" s="4" t="s">
        <v>5601</v>
      </c>
      <c r="F1174" s="4" t="s">
        <v>5602</v>
      </c>
      <c r="G1174" s="5" t="str">
        <f>IFERROR(__xludf.DUMMYFUNCTION("GOOGLETRANSLATE(D1174,""el"",""es"")"),"taramas")</f>
        <v>taramas</v>
      </c>
    </row>
    <row r="1175">
      <c r="A1175" s="4">
        <v>247.0</v>
      </c>
      <c r="B1175" s="4" t="s">
        <v>4890</v>
      </c>
      <c r="C1175" s="4"/>
      <c r="D1175" s="4" t="s">
        <v>5603</v>
      </c>
      <c r="E1175" s="4" t="s">
        <v>427</v>
      </c>
      <c r="F1175" s="4" t="s">
        <v>428</v>
      </c>
      <c r="G1175" s="5" t="str">
        <f>IFERROR(__xludf.DUMMYFUNCTION("GOOGLETRANSLATE(D1175,""el"",""es"")"),"de")</f>
        <v>de</v>
      </c>
    </row>
    <row r="1176">
      <c r="A1176" s="4">
        <v>248.0</v>
      </c>
      <c r="B1176" s="4" t="s">
        <v>4890</v>
      </c>
      <c r="C1176" s="4"/>
      <c r="D1176" s="4" t="s">
        <v>5604</v>
      </c>
      <c r="E1176" s="4" t="s">
        <v>5605</v>
      </c>
      <c r="F1176" s="4" t="s">
        <v>5606</v>
      </c>
      <c r="G1176" s="5" t="str">
        <f>IFERROR(__xludf.DUMMYFUNCTION("GOOGLETRANSLATE(D1176,""el"",""es"")"),"precio")</f>
        <v>precio</v>
      </c>
      <c r="H1176" s="4" t="s">
        <v>5607</v>
      </c>
      <c r="I1176" s="4" t="s">
        <v>5608</v>
      </c>
      <c r="J1176" s="4" t="s">
        <v>5607</v>
      </c>
      <c r="K1176" s="4" t="s">
        <v>5609</v>
      </c>
      <c r="L1176" s="4" t="s">
        <v>5610</v>
      </c>
      <c r="M1176" s="4" t="s">
        <v>5611</v>
      </c>
      <c r="N1176" s="4" t="s">
        <v>5612</v>
      </c>
    </row>
    <row r="1177">
      <c r="A1177" s="4">
        <v>249.0</v>
      </c>
      <c r="B1177" s="4" t="s">
        <v>4890</v>
      </c>
      <c r="C1177" s="4"/>
      <c r="D1177" s="4" t="s">
        <v>5613</v>
      </c>
      <c r="E1177" s="4" t="s">
        <v>427</v>
      </c>
      <c r="F1177" s="4" t="s">
        <v>428</v>
      </c>
      <c r="G1177" s="5" t="str">
        <f>IFERROR(__xludf.DUMMYFUNCTION("GOOGLETRANSLATE(D1177,""el"",""es"")"),"Tis")</f>
        <v>Tis</v>
      </c>
    </row>
    <row r="1178">
      <c r="A1178" s="4">
        <v>250.0</v>
      </c>
      <c r="B1178" s="4" t="s">
        <v>4890</v>
      </c>
      <c r="C1178" s="4"/>
      <c r="D1178" s="4" t="s">
        <v>5614</v>
      </c>
      <c r="E1178" s="4" t="s">
        <v>430</v>
      </c>
      <c r="F1178" s="4" t="s">
        <v>431</v>
      </c>
      <c r="G1178" s="5" t="str">
        <f>IFERROR(__xludf.DUMMYFUNCTION("GOOGLETRANSLATE(D1178,""el"",""es"")"),"Titán")</f>
        <v>Titán</v>
      </c>
    </row>
    <row r="1179">
      <c r="A1179" s="4">
        <v>251.0</v>
      </c>
      <c r="B1179" s="4" t="s">
        <v>4890</v>
      </c>
      <c r="C1179" s="4"/>
      <c r="D1179" s="4" t="s">
        <v>5615</v>
      </c>
      <c r="E1179" s="4" t="s">
        <v>5616</v>
      </c>
      <c r="F1179" s="4" t="s">
        <v>5617</v>
      </c>
      <c r="G1179" s="5" t="str">
        <f>IFERROR(__xludf.DUMMYFUNCTION("GOOGLETRANSLATE(D1179,""el"",""es"")"),"Titán")</f>
        <v>Titán</v>
      </c>
    </row>
    <row r="1180">
      <c r="A1180" s="4">
        <v>252.0</v>
      </c>
      <c r="B1180" s="4" t="s">
        <v>4890</v>
      </c>
      <c r="C1180" s="4"/>
      <c r="D1180" s="4" t="s">
        <v>5618</v>
      </c>
      <c r="E1180" s="4" t="s">
        <v>5619</v>
      </c>
      <c r="F1180" s="4" t="s">
        <v>5620</v>
      </c>
      <c r="G1180" s="5" t="str">
        <f>IFERROR(__xludf.DUMMYFUNCTION("GOOGLETRANSLATE(D1180,""el"",""es"")"),"Titanas")</f>
        <v>Titanas</v>
      </c>
    </row>
    <row r="1181">
      <c r="A1181" s="4">
        <v>253.0</v>
      </c>
      <c r="B1181" s="4" t="s">
        <v>4890</v>
      </c>
      <c r="C1181" s="4"/>
      <c r="D1181" s="4" t="s">
        <v>5621</v>
      </c>
      <c r="E1181" s="4" t="s">
        <v>5622</v>
      </c>
      <c r="F1181" s="4" t="s">
        <v>5623</v>
      </c>
      <c r="G1181" s="5" t="str">
        <f>IFERROR(__xludf.DUMMYFUNCTION("GOOGLETRANSLATE(D1181,""el"",""es"")"),"tulum")</f>
        <v>tulum</v>
      </c>
    </row>
    <row r="1182">
      <c r="A1182" s="4">
        <v>254.0</v>
      </c>
      <c r="B1182" s="4" t="s">
        <v>4890</v>
      </c>
      <c r="C1182" s="4"/>
      <c r="D1182" s="4" t="s">
        <v>5624</v>
      </c>
      <c r="E1182" s="4" t="s">
        <v>5625</v>
      </c>
      <c r="F1182" s="4" t="s">
        <v>5626</v>
      </c>
      <c r="G1182" s="5" t="str">
        <f>IFERROR(__xludf.DUMMYFUNCTION("GOOGLETRANSLATE(D1182,""el"",""es"")"),"esta es la m")</f>
        <v>esta es la m</v>
      </c>
    </row>
    <row r="1183">
      <c r="A1183" s="4">
        <v>255.0</v>
      </c>
      <c r="B1183" s="4" t="s">
        <v>4890</v>
      </c>
      <c r="C1183" s="4"/>
      <c r="D1183" s="4" t="s">
        <v>5627</v>
      </c>
      <c r="E1183" s="4" t="s">
        <v>5628</v>
      </c>
      <c r="F1183" s="4" t="s">
        <v>5629</v>
      </c>
      <c r="G1183" s="5" t="str">
        <f>IFERROR(__xludf.DUMMYFUNCTION("GOOGLETRANSLATE(D1183,""el"",""es"")"),"tiranismo")</f>
        <v>tiranismo</v>
      </c>
    </row>
    <row r="1184">
      <c r="A1184" s="4">
        <v>256.0</v>
      </c>
      <c r="B1184" s="4" t="s">
        <v>4890</v>
      </c>
      <c r="C1184" s="4"/>
      <c r="D1184" s="4" t="s">
        <v>5630</v>
      </c>
      <c r="E1184" s="4" t="s">
        <v>5631</v>
      </c>
      <c r="F1184" s="4" t="s">
        <v>5632</v>
      </c>
      <c r="G1184" s="5" t="str">
        <f>IFERROR(__xludf.DUMMYFUNCTION("GOOGLETRANSLATE(D1184,""el"",""es"")"),"me perdí")</f>
        <v>me perdí</v>
      </c>
    </row>
    <row r="1185">
      <c r="A1185" s="4">
        <v>257.0</v>
      </c>
      <c r="B1185" s="4" t="s">
        <v>4890</v>
      </c>
      <c r="C1185" s="4"/>
      <c r="D1185" s="4" t="s">
        <v>5633</v>
      </c>
      <c r="E1185" s="4" t="s">
        <v>5634</v>
      </c>
      <c r="F1185" s="4" t="s">
        <v>5635</v>
      </c>
      <c r="G1185" s="5" t="str">
        <f>IFERROR(__xludf.DUMMYFUNCTION("GOOGLETRANSLATE(D1185,""el"",""es"")"),"Me estropeé")</f>
        <v>Me estropeé</v>
      </c>
    </row>
    <row r="1186">
      <c r="A1186" s="4">
        <v>258.0</v>
      </c>
      <c r="B1186" s="4" t="s">
        <v>4890</v>
      </c>
      <c r="C1186" s="4"/>
      <c r="D1186" s="4" t="s">
        <v>5636</v>
      </c>
      <c r="E1186" s="4" t="s">
        <v>5637</v>
      </c>
      <c r="F1186" s="4" t="s">
        <v>5638</v>
      </c>
      <c r="G1186" s="5" t="str">
        <f>IFERROR(__xludf.DUMMYFUNCTION("GOOGLETRANSLATE(D1186,""el"",""es"")"),"píldora")</f>
        <v>píldora</v>
      </c>
    </row>
    <row r="1187">
      <c r="A1187" s="4">
        <v>259.0</v>
      </c>
      <c r="B1187" s="4" t="s">
        <v>4890</v>
      </c>
      <c r="C1187" s="4"/>
      <c r="D1187" s="4" t="s">
        <v>5639</v>
      </c>
      <c r="E1187" s="4" t="s">
        <v>5640</v>
      </c>
      <c r="F1187" s="4" t="s">
        <v>5641</v>
      </c>
      <c r="G1187" s="5" t="str">
        <f>IFERROR(__xludf.DUMMYFUNCTION("GOOGLETRANSLATE(D1187,""el"",""es"")"),"jajaja")</f>
        <v>jajaja</v>
      </c>
    </row>
    <row r="1188">
      <c r="A1188" s="4">
        <v>260.0</v>
      </c>
      <c r="B1188" s="4" t="s">
        <v>4890</v>
      </c>
      <c r="C1188" s="4"/>
      <c r="D1188" s="4" t="s">
        <v>5642</v>
      </c>
      <c r="E1188" s="4" t="s">
        <v>5643</v>
      </c>
      <c r="F1188" s="4" t="s">
        <v>5644</v>
      </c>
      <c r="G1188" s="5" t="str">
        <f>IFERROR(__xludf.DUMMYFUNCTION("GOOGLETRANSLATE(D1188,""el"",""es"")"),"perdió")</f>
        <v>perdió</v>
      </c>
    </row>
    <row r="1189">
      <c r="A1189" s="4">
        <v>261.0</v>
      </c>
      <c r="B1189" s="4" t="s">
        <v>4890</v>
      </c>
      <c r="C1189" s="4"/>
      <c r="D1189" s="4" t="s">
        <v>5645</v>
      </c>
      <c r="E1189" s="4" t="s">
        <v>5646</v>
      </c>
      <c r="F1189" s="4" t="s">
        <v>5148</v>
      </c>
      <c r="G1189" s="5" t="str">
        <f>IFERROR(__xludf.DUMMYFUNCTION("GOOGLETRANSLATE(D1189,""el"",""es"")"),"alfombra")</f>
        <v>alfombra</v>
      </c>
      <c r="H1189" s="4" t="s">
        <v>5647</v>
      </c>
      <c r="I1189" s="4" t="s">
        <v>5648</v>
      </c>
      <c r="J1189" s="4" t="s">
        <v>5649</v>
      </c>
    </row>
    <row r="1190">
      <c r="A1190" s="4">
        <v>262.0</v>
      </c>
      <c r="B1190" s="4" t="s">
        <v>4890</v>
      </c>
      <c r="C1190" s="4"/>
      <c r="D1190" s="4" t="s">
        <v>5650</v>
      </c>
      <c r="E1190" s="4" t="s">
        <v>5651</v>
      </c>
      <c r="F1190" s="4" t="s">
        <v>5652</v>
      </c>
      <c r="G1190" s="5" t="str">
        <f>IFERROR(__xludf.DUMMYFUNCTION("GOOGLETRANSLATE(D1190,""el"",""es"")"),"hammam")</f>
        <v>hammam</v>
      </c>
      <c r="H1190" s="4" t="s">
        <v>5653</v>
      </c>
      <c r="I1190" s="4" t="s">
        <v>5654</v>
      </c>
    </row>
    <row r="1191">
      <c r="A1191" s="4">
        <v>263.0</v>
      </c>
      <c r="B1191" s="4" t="s">
        <v>4890</v>
      </c>
      <c r="C1191" s="4"/>
      <c r="D1191" s="4" t="s">
        <v>5655</v>
      </c>
      <c r="E1191" s="4" t="s">
        <v>5656</v>
      </c>
      <c r="F1191" s="4" t="s">
        <v>1186</v>
      </c>
      <c r="G1191" s="5" t="str">
        <f>IFERROR(__xludf.DUMMYFUNCTION("GOOGLETRANSLATE(D1191,""el"",""es"")"),"Chania")</f>
        <v>Chania</v>
      </c>
    </row>
    <row r="1192">
      <c r="A1192" s="4">
        <v>264.0</v>
      </c>
      <c r="B1192" s="4" t="s">
        <v>4890</v>
      </c>
      <c r="C1192" s="4"/>
      <c r="D1192" s="4" t="s">
        <v>5657</v>
      </c>
      <c r="E1192" s="4" t="s">
        <v>5658</v>
      </c>
      <c r="F1192" s="4" t="s">
        <v>5659</v>
      </c>
      <c r="G1192" s="5" t="str">
        <f>IFERROR(__xludf.DUMMYFUNCTION("GOOGLETRANSLATE(D1192,""el"",""es"")"),"Harami")</f>
        <v>Harami</v>
      </c>
    </row>
    <row r="1193">
      <c r="A1193" s="4">
        <v>265.0</v>
      </c>
      <c r="B1193" s="4" t="s">
        <v>4890</v>
      </c>
      <c r="C1193" s="4"/>
      <c r="D1193" s="4" t="s">
        <v>5660</v>
      </c>
      <c r="E1193" s="4" t="s">
        <v>5661</v>
      </c>
      <c r="F1193" s="4" t="s">
        <v>5662</v>
      </c>
      <c r="G1193" s="5" t="str">
        <f>IFERROR(__xludf.DUMMYFUNCTION("GOOGLETRANSLATE(D1193,""el"",""es"")"),"lámpara")</f>
        <v>lámpara</v>
      </c>
    </row>
    <row r="1194">
      <c r="A1194" s="4">
        <v>266.0</v>
      </c>
      <c r="B1194" s="4" t="s">
        <v>4890</v>
      </c>
      <c r="C1194" s="4"/>
      <c r="D1194" s="4" t="s">
        <v>5663</v>
      </c>
      <c r="E1194" s="4" t="s">
        <v>5664</v>
      </c>
      <c r="F1194" s="4" t="s">
        <v>5665</v>
      </c>
      <c r="G1194" s="5" t="str">
        <f>IFERROR(__xludf.DUMMYFUNCTION("GOOGLETRANSLATE(D1194,""el"",""es"")"),"hachís")</f>
        <v>hachís</v>
      </c>
    </row>
    <row r="1195">
      <c r="A1195" s="4">
        <v>267.0</v>
      </c>
      <c r="B1195" s="4" t="s">
        <v>4890</v>
      </c>
      <c r="C1195" s="4"/>
      <c r="D1195" s="4" t="s">
        <v>5666</v>
      </c>
      <c r="E1195" s="4" t="s">
        <v>5667</v>
      </c>
      <c r="F1195" s="4" t="s">
        <v>471</v>
      </c>
      <c r="G1195" s="5" t="str">
        <f>IFERROR(__xludf.DUMMYFUNCTION("GOOGLETRANSLATE(D1195,""el"",""es"")"),"humus")</f>
        <v>humus</v>
      </c>
    </row>
    <row r="1196">
      <c r="A1196" s="4">
        <v>1.0</v>
      </c>
      <c r="B1196" s="4" t="s">
        <v>5668</v>
      </c>
      <c r="C1196" s="4"/>
      <c r="D1196" s="4" t="s">
        <v>4892</v>
      </c>
      <c r="E1196" s="4" t="s">
        <v>4893</v>
      </c>
      <c r="F1196" s="4" t="s">
        <v>4894</v>
      </c>
      <c r="G1196" s="5" t="str">
        <f>IFERROR(__xludf.DUMMYFUNCTION("GOOGLETRANSLATE(D1196,""el"",""es"")"),"he oído")</f>
        <v>he oído</v>
      </c>
    </row>
    <row r="1197">
      <c r="A1197" s="4">
        <v>2.0</v>
      </c>
      <c r="B1197" s="4" t="s">
        <v>5668</v>
      </c>
      <c r="C1197" s="4"/>
      <c r="D1197" s="4" t="s">
        <v>4895</v>
      </c>
      <c r="E1197" s="4" t="s">
        <v>4896</v>
      </c>
      <c r="F1197" s="4" t="s">
        <v>4897</v>
      </c>
      <c r="G1197" s="5" t="str">
        <f>IFERROR(__xludf.DUMMYFUNCTION("GOOGLETRANSLATE(D1197,""el"",""es"")"),"he oído")</f>
        <v>he oído</v>
      </c>
    </row>
    <row r="1198">
      <c r="A1198" s="4">
        <v>3.0</v>
      </c>
      <c r="B1198" s="4" t="s">
        <v>5668</v>
      </c>
      <c r="C1198" s="4"/>
      <c r="D1198" s="4" t="s">
        <v>4898</v>
      </c>
      <c r="E1198" s="4" t="s">
        <v>4899</v>
      </c>
      <c r="F1198" s="4" t="s">
        <v>4900</v>
      </c>
      <c r="G1198" s="5" t="str">
        <f>IFERROR(__xludf.DUMMYFUNCTION("GOOGLETRANSLATE(D1198,""el"",""es"")"),"espumoso")</f>
        <v>espumoso</v>
      </c>
    </row>
    <row r="1199">
      <c r="A1199" s="4">
        <v>4.0</v>
      </c>
      <c r="B1199" s="4" t="s">
        <v>5668</v>
      </c>
      <c r="C1199" s="4"/>
      <c r="D1199" s="4" t="s">
        <v>4901</v>
      </c>
      <c r="E1199" s="4" t="s">
        <v>4902</v>
      </c>
      <c r="F1199" s="4" t="s">
        <v>4903</v>
      </c>
      <c r="G1199" s="5" t="str">
        <f>IFERROR(__xludf.DUMMYFUNCTION("GOOGLETRANSLATE(D1199,""el"",""es"")"),"savia")</f>
        <v>savia</v>
      </c>
    </row>
    <row r="1200">
      <c r="A1200" s="4">
        <v>5.0</v>
      </c>
      <c r="B1200" s="4" t="s">
        <v>5668</v>
      </c>
      <c r="C1200" s="4"/>
      <c r="D1200" s="4" t="s">
        <v>4904</v>
      </c>
      <c r="E1200" s="4" t="s">
        <v>818</v>
      </c>
      <c r="F1200" s="4" t="s">
        <v>817</v>
      </c>
      <c r="G1200" s="5" t="str">
        <f>IFERROR(__xludf.DUMMYFUNCTION("GOOGLETRANSLATE(D1200,""el"",""es"")"),"por lo tanto")</f>
        <v>por lo tanto</v>
      </c>
    </row>
    <row r="1201">
      <c r="A1201" s="4">
        <v>6.0</v>
      </c>
      <c r="B1201" s="4" t="s">
        <v>5668</v>
      </c>
      <c r="C1201" s="4"/>
      <c r="D1201" s="4" t="s">
        <v>4905</v>
      </c>
      <c r="E1201" s="4" t="s">
        <v>4906</v>
      </c>
      <c r="F1201" s="4" t="s">
        <v>4907</v>
      </c>
      <c r="G1201" s="5" t="str">
        <f>IFERROR(__xludf.DUMMYFUNCTION("GOOGLETRANSLATE(D1201,""el"",""es"")"),"empinado")</f>
        <v>empinado</v>
      </c>
    </row>
    <row r="1202">
      <c r="A1202" s="4">
        <v>7.0</v>
      </c>
      <c r="B1202" s="4" t="s">
        <v>5668</v>
      </c>
      <c r="C1202" s="4"/>
      <c r="D1202" s="4" t="s">
        <v>4908</v>
      </c>
      <c r="E1202" s="4" t="s">
        <v>4909</v>
      </c>
      <c r="F1202" s="4" t="s">
        <v>4910</v>
      </c>
      <c r="G1202" s="5" t="str">
        <f>IFERROR(__xludf.DUMMYFUNCTION("GOOGLETRANSLATE(D1202,""el"",""es"")"),"eje")</f>
        <v>eje</v>
      </c>
    </row>
    <row r="1203">
      <c r="A1203" s="4">
        <v>8.0</v>
      </c>
      <c r="B1203" s="4" t="s">
        <v>5668</v>
      </c>
      <c r="C1203" s="4"/>
      <c r="D1203" s="4" t="s">
        <v>4911</v>
      </c>
      <c r="E1203" s="4" t="s">
        <v>4912</v>
      </c>
      <c r="F1203" s="4" t="s">
        <v>4913</v>
      </c>
      <c r="G1203" s="5" t="str">
        <f>IFERROR(__xludf.DUMMYFUNCTION("GOOGLETRANSLATE(D1203,""el"",""es"")"),"Era")</f>
        <v>Era</v>
      </c>
    </row>
    <row r="1204">
      <c r="A1204" s="4">
        <v>9.0</v>
      </c>
      <c r="B1204" s="4" t="s">
        <v>5668</v>
      </c>
      <c r="C1204" s="4"/>
      <c r="D1204" s="4" t="s">
        <v>4914</v>
      </c>
      <c r="E1204" s="4" t="s">
        <v>4915</v>
      </c>
      <c r="F1204" s="4" t="s">
        <v>4916</v>
      </c>
      <c r="G1204" s="5" t="str">
        <f>IFERROR(__xludf.DUMMYFUNCTION("GOOGLETRANSLATE(D1204,""el"",""es"")"),"Era")</f>
        <v>Era</v>
      </c>
    </row>
    <row r="1205">
      <c r="A1205" s="4">
        <v>10.0</v>
      </c>
      <c r="B1205" s="4" t="s">
        <v>5668</v>
      </c>
      <c r="C1205" s="4"/>
      <c r="D1205" s="4" t="s">
        <v>4917</v>
      </c>
      <c r="E1205" s="4" t="s">
        <v>4918</v>
      </c>
      <c r="F1205" s="4" t="s">
        <v>4919</v>
      </c>
      <c r="G1205" s="5" t="str">
        <f>IFERROR(__xludf.DUMMYFUNCTION("GOOGLETRANSLATE(D1205,""el"",""es"")"),"hígado")</f>
        <v>hígado</v>
      </c>
      <c r="H1205" s="4" t="s">
        <v>4920</v>
      </c>
    </row>
    <row r="1206">
      <c r="A1206" s="4">
        <v>11.0</v>
      </c>
      <c r="B1206" s="4" t="s">
        <v>5668</v>
      </c>
      <c r="C1206" s="4"/>
      <c r="D1206" s="4" t="s">
        <v>4921</v>
      </c>
      <c r="E1206" s="4" t="s">
        <v>4922</v>
      </c>
      <c r="F1206" s="4" t="s">
        <v>4923</v>
      </c>
      <c r="G1206" s="5" t="str">
        <f>IFERROR(__xludf.DUMMYFUNCTION("GOOGLETRANSLATE(D1206,""el"",""es"")"),"Ellos eran")</f>
        <v>Ellos eran</v>
      </c>
    </row>
    <row r="1207">
      <c r="A1207" s="4">
        <v>12.0</v>
      </c>
      <c r="B1207" s="4" t="s">
        <v>5668</v>
      </c>
      <c r="C1207" s="4"/>
      <c r="D1207" s="4" t="s">
        <v>4924</v>
      </c>
      <c r="E1207" s="4" t="s">
        <v>4925</v>
      </c>
      <c r="F1207" s="4" t="s">
        <v>4926</v>
      </c>
      <c r="G1207" s="5" t="str">
        <f>IFERROR(__xludf.DUMMYFUNCTION("GOOGLETRANSLATE(D1207,""el"",""es"")"),"estabas")</f>
        <v>estabas</v>
      </c>
    </row>
    <row r="1208">
      <c r="A1208" s="4">
        <v>13.0</v>
      </c>
      <c r="B1208" s="4" t="s">
        <v>5668</v>
      </c>
      <c r="C1208" s="4"/>
      <c r="D1208" s="4" t="s">
        <v>4927</v>
      </c>
      <c r="E1208" s="4" t="s">
        <v>4928</v>
      </c>
      <c r="F1208" s="4" t="s">
        <v>4929</v>
      </c>
      <c r="G1208" s="5" t="str">
        <f>IFERROR(__xludf.DUMMYFUNCTION("GOOGLETRANSLATE(D1208,""el"",""es"")"),"tumor")</f>
        <v>tumor</v>
      </c>
    </row>
    <row r="1209">
      <c r="A1209" s="4">
        <v>14.0</v>
      </c>
      <c r="B1209" s="4" t="s">
        <v>5668</v>
      </c>
      <c r="C1209" s="4"/>
      <c r="D1209" s="4" t="s">
        <v>4930</v>
      </c>
      <c r="E1209" s="4" t="s">
        <v>4931</v>
      </c>
      <c r="F1209" s="4" t="s">
        <v>4932</v>
      </c>
      <c r="G1209" s="5" t="str">
        <f>IFERROR(__xludf.DUMMYFUNCTION("GOOGLETRANSLATE(D1209,""el"",""es"")"),"o")</f>
        <v>o</v>
      </c>
    </row>
    <row r="1210">
      <c r="A1210" s="4">
        <v>15.0</v>
      </c>
      <c r="B1210" s="4" t="s">
        <v>5668</v>
      </c>
      <c r="C1210" s="4"/>
      <c r="D1210" s="4" t="s">
        <v>4933</v>
      </c>
      <c r="E1210" s="4" t="s">
        <v>4934</v>
      </c>
      <c r="F1210" s="4" t="s">
        <v>4935</v>
      </c>
      <c r="G1210" s="5" t="str">
        <f>IFERROR(__xludf.DUMMYFUNCTION("GOOGLETRANSLATE(D1210,""el"",""es"")"),"era")</f>
        <v>era</v>
      </c>
    </row>
    <row r="1211">
      <c r="A1211" s="4">
        <v>16.0</v>
      </c>
      <c r="B1211" s="4" t="s">
        <v>5668</v>
      </c>
      <c r="C1211" s="4"/>
      <c r="D1211" s="4" t="s">
        <v>4936</v>
      </c>
      <c r="E1211" s="4" t="s">
        <v>4931</v>
      </c>
      <c r="F1211" s="4" t="s">
        <v>4932</v>
      </c>
      <c r="G1211" s="5" t="str">
        <f>IFERROR(__xludf.DUMMYFUNCTION("GOOGLETRANSLATE(D1211,""el"",""es"")"),"vencer")</f>
        <v>vencer</v>
      </c>
      <c r="H1211" s="4" t="s">
        <v>4937</v>
      </c>
      <c r="I1211" s="4" t="s">
        <v>3206</v>
      </c>
    </row>
    <row r="1212">
      <c r="A1212" s="4">
        <v>17.0</v>
      </c>
      <c r="B1212" s="4" t="s">
        <v>5668</v>
      </c>
      <c r="C1212" s="4"/>
      <c r="D1212" s="4" t="s">
        <v>4938</v>
      </c>
      <c r="E1212" s="4" t="s">
        <v>2003</v>
      </c>
      <c r="F1212" s="4" t="s">
        <v>2002</v>
      </c>
      <c r="G1212" s="5" t="str">
        <f>IFERROR(__xludf.DUMMYFUNCTION("GOOGLETRANSLATE(D1212,""el"",""es"")"),"irresponsas")</f>
        <v>irresponsas</v>
      </c>
    </row>
    <row r="1213">
      <c r="A1213" s="4">
        <v>18.0</v>
      </c>
      <c r="B1213" s="4" t="s">
        <v>5668</v>
      </c>
      <c r="C1213" s="4"/>
      <c r="D1213" s="4" t="s">
        <v>4939</v>
      </c>
      <c r="E1213" s="4" t="s">
        <v>4940</v>
      </c>
      <c r="F1213" s="4" t="s">
        <v>4941</v>
      </c>
      <c r="G1213" s="5" t="str">
        <f>IFERROR(__xludf.DUMMYFUNCTION("GOOGLETRANSLATE(D1213,""el"",""es"")"),"amor")</f>
        <v>amor</v>
      </c>
    </row>
    <row r="1214">
      <c r="A1214" s="4">
        <v>19.0</v>
      </c>
      <c r="B1214" s="4" t="s">
        <v>5668</v>
      </c>
      <c r="C1214" s="4"/>
      <c r="D1214" s="4" t="s">
        <v>4942</v>
      </c>
      <c r="E1214" s="4" t="s">
        <v>4943</v>
      </c>
      <c r="F1214" s="4" t="s">
        <v>4944</v>
      </c>
      <c r="G1214" s="5" t="str">
        <f>IFERROR(__xludf.DUMMYFUNCTION("GOOGLETRANSLATE(D1214,""el"",""es"")"),"me gustó")</f>
        <v>me gustó</v>
      </c>
    </row>
    <row r="1215">
      <c r="A1215" s="4">
        <v>20.0</v>
      </c>
      <c r="B1215" s="4" t="s">
        <v>5668</v>
      </c>
      <c r="C1215" s="4"/>
      <c r="D1215" s="4" t="s">
        <v>4945</v>
      </c>
      <c r="E1215" s="4" t="s">
        <v>4946</v>
      </c>
      <c r="F1215" s="4" t="s">
        <v>4947</v>
      </c>
      <c r="G1215" s="5" t="str">
        <f>IFERROR(__xludf.DUMMYFUNCTION("GOOGLETRANSLATE(D1215,""el"",""es"")"),"me gustó")</f>
        <v>me gustó</v>
      </c>
    </row>
    <row r="1216">
      <c r="A1216" s="4">
        <v>21.0</v>
      </c>
      <c r="B1216" s="4" t="s">
        <v>5668</v>
      </c>
      <c r="C1216" s="4"/>
      <c r="D1216" s="4" t="s">
        <v>4948</v>
      </c>
      <c r="E1216" s="4" t="s">
        <v>4949</v>
      </c>
      <c r="F1216" s="4" t="s">
        <v>4950</v>
      </c>
      <c r="G1216" s="5" t="str">
        <f>IFERROR(__xludf.DUMMYFUNCTION("GOOGLETRANSLATE(D1216,""el"",""es"")"),"amor")</f>
        <v>amor</v>
      </c>
    </row>
    <row r="1217">
      <c r="A1217" s="4">
        <v>22.0</v>
      </c>
      <c r="B1217" s="4" t="s">
        <v>5668</v>
      </c>
      <c r="C1217" s="4"/>
      <c r="D1217" s="4" t="s">
        <v>4951</v>
      </c>
      <c r="E1217" s="4" t="s">
        <v>4952</v>
      </c>
      <c r="F1217" s="4" t="s">
        <v>4953</v>
      </c>
      <c r="G1217" s="5" t="str">
        <f>IFERROR(__xludf.DUMMYFUNCTION("GOOGLETRANSLATE(D1217,""el"",""es"")"),"amado")</f>
        <v>amado</v>
      </c>
    </row>
    <row r="1218">
      <c r="A1218" s="4">
        <v>23.0</v>
      </c>
      <c r="B1218" s="4" t="s">
        <v>5668</v>
      </c>
      <c r="C1218" s="4"/>
      <c r="D1218" s="4" t="s">
        <v>4954</v>
      </c>
      <c r="E1218" s="4" t="s">
        <v>4955</v>
      </c>
      <c r="F1218" s="4" t="s">
        <v>4956</v>
      </c>
      <c r="G1218" s="5" t="str">
        <f>IFERROR(__xludf.DUMMYFUNCTION("GOOGLETRANSLATE(D1218,""el"",""es"")"),"me gustó")</f>
        <v>me gustó</v>
      </c>
    </row>
    <row r="1219">
      <c r="A1219" s="4">
        <v>24.0</v>
      </c>
      <c r="B1219" s="4" t="s">
        <v>5668</v>
      </c>
      <c r="C1219" s="4"/>
      <c r="D1219" s="4" t="s">
        <v>4957</v>
      </c>
      <c r="E1219" s="4" t="s">
        <v>4958</v>
      </c>
      <c r="F1219" s="4" t="s">
        <v>4959</v>
      </c>
      <c r="G1219" s="5" t="str">
        <f>IFERROR(__xludf.DUMMYFUNCTION("GOOGLETRANSLATE(D1219,""el"",""es"")"),"Atenea")</f>
        <v>Atenea</v>
      </c>
      <c r="H1219" s="4" t="s">
        <v>4960</v>
      </c>
      <c r="I1219" s="4" t="s">
        <v>4961</v>
      </c>
      <c r="J1219" s="4" t="s">
        <v>4962</v>
      </c>
      <c r="K1219" s="4" t="s">
        <v>4963</v>
      </c>
    </row>
    <row r="1220">
      <c r="A1220" s="4">
        <v>25.0</v>
      </c>
      <c r="B1220" s="4" t="s">
        <v>5668</v>
      </c>
      <c r="C1220" s="4"/>
      <c r="D1220" s="4" t="s">
        <v>4964</v>
      </c>
      <c r="E1220" s="4" t="s">
        <v>4958</v>
      </c>
      <c r="F1220" s="4" t="s">
        <v>4959</v>
      </c>
      <c r="G1220" s="5" t="str">
        <f>IFERROR(__xludf.DUMMYFUNCTION("GOOGLETRANSLATE(D1220,""el"",""es"")"),"Atenea")</f>
        <v>Atenea</v>
      </c>
    </row>
    <row r="1221">
      <c r="A1221" s="4">
        <v>26.0</v>
      </c>
      <c r="B1221" s="4" t="s">
        <v>5668</v>
      </c>
      <c r="C1221" s="4"/>
      <c r="D1221" s="4" t="s">
        <v>4965</v>
      </c>
      <c r="E1221" s="4" t="s">
        <v>4966</v>
      </c>
      <c r="F1221" s="4" t="s">
        <v>4967</v>
      </c>
      <c r="G1221" s="5" t="str">
        <f>IFERROR(__xludf.DUMMYFUNCTION("GOOGLETRANSLATE(D1221,""el"",""es"")"),"callejón")</f>
        <v>callejón</v>
      </c>
    </row>
    <row r="1222">
      <c r="A1222" s="4">
        <v>27.0</v>
      </c>
      <c r="B1222" s="4" t="s">
        <v>5668</v>
      </c>
      <c r="C1222" s="4"/>
      <c r="D1222" s="4" t="s">
        <v>4968</v>
      </c>
      <c r="E1222" s="4" t="s">
        <v>4969</v>
      </c>
      <c r="F1222" s="4" t="s">
        <v>4970</v>
      </c>
      <c r="G1222" s="5" t="str">
        <f>IFERROR(__xludf.DUMMYFUNCTION("GOOGLETRANSLATE(D1222,""el"",""es"")"),"alpino")</f>
        <v>alpino</v>
      </c>
    </row>
    <row r="1223">
      <c r="A1223" s="4">
        <v>28.0</v>
      </c>
      <c r="B1223" s="4" t="s">
        <v>5668</v>
      </c>
      <c r="C1223" s="4"/>
      <c r="D1223" s="4" t="s">
        <v>4971</v>
      </c>
      <c r="E1223" s="4" t="s">
        <v>4972</v>
      </c>
      <c r="F1223" s="4" t="s">
        <v>4973</v>
      </c>
      <c r="G1223" s="5" t="str">
        <f>IFERROR(__xludf.DUMMYFUNCTION("GOOGLETRANSLATE(D1223,""el"",""es"")"),"Saluté")</f>
        <v>Saluté</v>
      </c>
    </row>
    <row r="1224">
      <c r="A1224" s="4">
        <v>29.0</v>
      </c>
      <c r="B1224" s="4" t="s">
        <v>5668</v>
      </c>
      <c r="C1224" s="4"/>
      <c r="D1224" s="4" t="s">
        <v>4974</v>
      </c>
      <c r="E1224" s="4" t="s">
        <v>4975</v>
      </c>
      <c r="F1224" s="4" t="s">
        <v>4976</v>
      </c>
      <c r="G1224" s="5" t="str">
        <f>IFERROR(__xludf.DUMMYFUNCTION("GOOGLETRANSLATE(D1224,""el"",""es"")"),"verdadero")</f>
        <v>verdadero</v>
      </c>
    </row>
    <row r="1225">
      <c r="A1225" s="4">
        <v>30.0</v>
      </c>
      <c r="B1225" s="4" t="s">
        <v>5668</v>
      </c>
      <c r="C1225" s="4"/>
      <c r="D1225" s="4" t="s">
        <v>4977</v>
      </c>
      <c r="E1225" s="4" t="s">
        <v>4978</v>
      </c>
      <c r="F1225" s="4" t="s">
        <v>4979</v>
      </c>
      <c r="G1225" s="5" t="str">
        <f>IFERROR(__xludf.DUMMYFUNCTION("GOOGLETRANSLATE(D1225,""el"",""es"")"),"verdadero")</f>
        <v>verdadero</v>
      </c>
    </row>
    <row r="1226">
      <c r="A1226" s="4">
        <v>31.0</v>
      </c>
      <c r="B1226" s="4" t="s">
        <v>5668</v>
      </c>
      <c r="C1226" s="4"/>
      <c r="D1226" s="4" t="s">
        <v>4980</v>
      </c>
      <c r="E1226" s="4" t="s">
        <v>4978</v>
      </c>
      <c r="F1226" s="4" t="s">
        <v>4979</v>
      </c>
      <c r="G1226" s="5" t="str">
        <f>IFERROR(__xludf.DUMMYFUNCTION("GOOGLETRANSLATE(D1226,""el"",""es"")"),"verdadero")</f>
        <v>verdadero</v>
      </c>
    </row>
    <row r="1227">
      <c r="A1227" s="4">
        <v>32.0</v>
      </c>
      <c r="B1227" s="4" t="s">
        <v>5668</v>
      </c>
      <c r="C1227" s="4"/>
      <c r="D1227" s="4" t="s">
        <v>4981</v>
      </c>
      <c r="E1227" s="4" t="s">
        <v>4982</v>
      </c>
      <c r="F1227" s="4" t="s">
        <v>4983</v>
      </c>
      <c r="G1227" s="5" t="str">
        <f>IFERROR(__xludf.DUMMYFUNCTION("GOOGLETRANSLATE(D1227,""el"",""es"")"),"verdadero")</f>
        <v>verdadero</v>
      </c>
    </row>
    <row r="1228">
      <c r="A1228" s="4">
        <v>33.0</v>
      </c>
      <c r="B1228" s="4" t="s">
        <v>5668</v>
      </c>
      <c r="C1228" s="4"/>
      <c r="D1228" s="4" t="s">
        <v>4984</v>
      </c>
      <c r="E1228" s="4" t="s">
        <v>4985</v>
      </c>
      <c r="F1228" s="4" t="s">
        <v>4986</v>
      </c>
      <c r="G1228" s="5" t="str">
        <f>IFERROR(__xludf.DUMMYFUNCTION("GOOGLETRANSLATE(D1228,""el"",""es"")"),"Alá")</f>
        <v>Alá</v>
      </c>
    </row>
    <row r="1229">
      <c r="A1229" s="4">
        <v>34.0</v>
      </c>
      <c r="B1229" s="4" t="s">
        <v>5668</v>
      </c>
      <c r="C1229" s="4"/>
      <c r="D1229" s="4" t="s">
        <v>4987</v>
      </c>
      <c r="E1229" s="4" t="s">
        <v>4988</v>
      </c>
      <c r="F1229" s="4" t="s">
        <v>4989</v>
      </c>
      <c r="G1229" s="5" t="str">
        <f>IFERROR(__xludf.DUMMYFUNCTION("GOOGLETRANSLATE(D1229,""el"",""es"")"),"en otra parte")</f>
        <v>en otra parte</v>
      </c>
    </row>
    <row r="1230">
      <c r="A1230" s="4">
        <v>35.0</v>
      </c>
      <c r="B1230" s="4" t="s">
        <v>5668</v>
      </c>
      <c r="C1230" s="4"/>
      <c r="D1230" s="4" t="s">
        <v>4990</v>
      </c>
      <c r="E1230" s="4" t="s">
        <v>591</v>
      </c>
      <c r="F1230" s="4" t="s">
        <v>592</v>
      </c>
      <c r="G1230" s="5" t="str">
        <f>IFERROR(__xludf.DUMMYFUNCTION("GOOGLETRANSLATE(D1230,""el"",""es"")"),"SOY")</f>
        <v>SOY</v>
      </c>
    </row>
    <row r="1231">
      <c r="A1231" s="4">
        <v>36.0</v>
      </c>
      <c r="B1231" s="4" t="s">
        <v>5668</v>
      </c>
      <c r="C1231" s="4"/>
      <c r="D1231" s="4" t="s">
        <v>4991</v>
      </c>
      <c r="E1231" s="4" t="s">
        <v>297</v>
      </c>
      <c r="F1231" s="4" t="s">
        <v>298</v>
      </c>
      <c r="G1231" s="5" t="str">
        <f>IFERROR(__xludf.DUMMYFUNCTION("GOOGLETRANSLATE(D1231,""el"",""es"")"),"un hombre")</f>
        <v>un hombre</v>
      </c>
    </row>
    <row r="1232">
      <c r="A1232" s="4">
        <v>37.0</v>
      </c>
      <c r="B1232" s="4" t="s">
        <v>5668</v>
      </c>
      <c r="C1232" s="4"/>
      <c r="D1232" s="4" t="s">
        <v>4992</v>
      </c>
      <c r="E1232" s="4" t="s">
        <v>4993</v>
      </c>
      <c r="F1232" s="4" t="s">
        <v>4994</v>
      </c>
      <c r="G1232" s="5" t="str">
        <f>IFERROR(__xludf.DUMMYFUNCTION("GOOGLETRANSLATE(D1232,""el"",""es"")"),"Amén")</f>
        <v>Amén</v>
      </c>
    </row>
    <row r="1233">
      <c r="A1233" s="4">
        <v>38.0</v>
      </c>
      <c r="B1233" s="4" t="s">
        <v>5668</v>
      </c>
      <c r="C1233" s="4"/>
      <c r="D1233" s="4" t="s">
        <v>4995</v>
      </c>
      <c r="E1233" s="4" t="s">
        <v>4996</v>
      </c>
      <c r="F1233" s="4" t="s">
        <v>4997</v>
      </c>
      <c r="G1233" s="5" t="str">
        <f>IFERROR(__xludf.DUMMYFUNCTION("GOOGLETRANSLATE(D1233,""el"",""es"")"),"análisis")</f>
        <v>análisis</v>
      </c>
      <c r="H1233" s="4" t="s">
        <v>4998</v>
      </c>
      <c r="I1233" s="4" t="s">
        <v>4998</v>
      </c>
      <c r="J1233" s="4" t="s">
        <v>4999</v>
      </c>
    </row>
    <row r="1234">
      <c r="A1234" s="4">
        <v>39.0</v>
      </c>
      <c r="B1234" s="4" t="s">
        <v>5668</v>
      </c>
      <c r="C1234" s="4"/>
      <c r="D1234" s="4" t="s">
        <v>5000</v>
      </c>
      <c r="E1234" s="4" t="s">
        <v>5001</v>
      </c>
      <c r="F1234" s="4" t="s">
        <v>5002</v>
      </c>
      <c r="G1234" s="5" t="str">
        <f>IFERROR(__xludf.DUMMYFUNCTION("GOOGLETRANSLATE(D1234,""el"",""es"")"),"levantamiento")</f>
        <v>levantamiento</v>
      </c>
    </row>
    <row r="1235">
      <c r="A1235" s="4">
        <v>40.0</v>
      </c>
      <c r="B1235" s="4" t="s">
        <v>5668</v>
      </c>
      <c r="C1235" s="4"/>
      <c r="D1235" s="4" t="s">
        <v>5003</v>
      </c>
      <c r="E1235" s="4" t="s">
        <v>5004</v>
      </c>
      <c r="F1235" s="4" t="s">
        <v>5005</v>
      </c>
      <c r="G1235" s="5" t="str">
        <f>IFERROR(__xludf.DUMMYFUNCTION("GOOGLETRANSLATE(D1235,""el"",""es"")"),"Resurrección")</f>
        <v>Resurrección</v>
      </c>
    </row>
    <row r="1236">
      <c r="A1236" s="4">
        <v>41.0</v>
      </c>
      <c r="B1236" s="4" t="s">
        <v>5668</v>
      </c>
      <c r="C1236" s="4"/>
      <c r="D1236" s="4" t="s">
        <v>5006</v>
      </c>
      <c r="E1236" s="4" t="s">
        <v>5007</v>
      </c>
      <c r="F1236" s="4" t="s">
        <v>5008</v>
      </c>
      <c r="G1236" s="5" t="str">
        <f>IFERROR(__xludf.DUMMYFUNCTION("GOOGLETRANSLATE(D1236,""el"",""es"")"),"Yo pertenecía")</f>
        <v>Yo pertenecía</v>
      </c>
    </row>
    <row r="1237">
      <c r="A1237" s="4">
        <v>42.0</v>
      </c>
      <c r="B1237" s="4" t="s">
        <v>5668</v>
      </c>
      <c r="C1237" s="4"/>
      <c r="D1237" s="4" t="s">
        <v>5009</v>
      </c>
      <c r="E1237" s="4" t="s">
        <v>5010</v>
      </c>
      <c r="F1237" s="4" t="s">
        <v>5011</v>
      </c>
      <c r="G1237" s="5" t="str">
        <f>IFERROR(__xludf.DUMMYFUNCTION("GOOGLETRANSLATE(D1237,""el"",""es"")"),"Rechazé")</f>
        <v>Rechazé</v>
      </c>
    </row>
    <row r="1238">
      <c r="A1238" s="4">
        <v>43.0</v>
      </c>
      <c r="B1238" s="4" t="s">
        <v>5668</v>
      </c>
      <c r="C1238" s="4"/>
      <c r="D1238" s="4" t="s">
        <v>5012</v>
      </c>
      <c r="E1238" s="4" t="s">
        <v>5013</v>
      </c>
      <c r="F1238" s="4" t="s">
        <v>5014</v>
      </c>
      <c r="G1238" s="5" t="str">
        <f>IFERROR(__xludf.DUMMYFUNCTION("GOOGLETRANSLATE(D1238,""el"",""es"")"),"desgracia")</f>
        <v>desgracia</v>
      </c>
    </row>
    <row r="1239">
      <c r="A1239" s="4">
        <v>44.0</v>
      </c>
      <c r="B1239" s="4" t="s">
        <v>5668</v>
      </c>
      <c r="C1239" s="4"/>
      <c r="D1239" s="4" t="s">
        <v>5015</v>
      </c>
      <c r="E1239" s="4" t="s">
        <v>5016</v>
      </c>
      <c r="F1239" s="4" t="s">
        <v>5017</v>
      </c>
      <c r="G1239" s="5" t="str">
        <f>IFERROR(__xludf.DUMMYFUNCTION("GOOGLETRANSLATE(D1239,""el"",""es"")"),"análisis")</f>
        <v>análisis</v>
      </c>
    </row>
    <row r="1240">
      <c r="A1240" s="4">
        <v>45.0</v>
      </c>
      <c r="B1240" s="4" t="s">
        <v>5668</v>
      </c>
      <c r="C1240" s="4"/>
      <c r="D1240" s="4" t="s">
        <v>5018</v>
      </c>
      <c r="E1240" s="4" t="s">
        <v>5019</v>
      </c>
      <c r="F1240" s="4" t="s">
        <v>5020</v>
      </c>
      <c r="G1240" s="5" t="str">
        <f>IFERROR(__xludf.DUMMYFUNCTION("GOOGLETRANSLATE(D1240,""el"",""es"")"),"analista")</f>
        <v>analista</v>
      </c>
    </row>
    <row r="1241">
      <c r="A1241" s="4">
        <v>46.0</v>
      </c>
      <c r="B1241" s="4" t="s">
        <v>5668</v>
      </c>
      <c r="C1241" s="4"/>
      <c r="D1241" s="4" t="s">
        <v>5021</v>
      </c>
      <c r="E1241" s="4" t="s">
        <v>632</v>
      </c>
      <c r="F1241" s="4" t="s">
        <v>633</v>
      </c>
      <c r="G1241" s="5" t="str">
        <f>IFERROR(__xludf.DUMMYFUNCTION("GOOGLETRANSLATE(D1241,""el"",""es"")"),"analíticamente")</f>
        <v>analíticamente</v>
      </c>
    </row>
    <row r="1242">
      <c r="A1242" s="4">
        <v>47.0</v>
      </c>
      <c r="B1242" s="4" t="s">
        <v>5668</v>
      </c>
      <c r="C1242" s="4"/>
      <c r="D1242" s="4" t="s">
        <v>5022</v>
      </c>
      <c r="E1242" s="4" t="s">
        <v>5023</v>
      </c>
      <c r="F1242" s="4" t="s">
        <v>5024</v>
      </c>
      <c r="G1242" s="5" t="str">
        <f>IFERROR(__xludf.DUMMYFUNCTION("GOOGLETRANSLATE(D1242,""el"",""es"")"),"piña")</f>
        <v>piña</v>
      </c>
    </row>
    <row r="1243">
      <c r="A1243" s="4">
        <v>48.0</v>
      </c>
      <c r="B1243" s="4" t="s">
        <v>5668</v>
      </c>
      <c r="C1243" s="4"/>
      <c r="D1243" s="4" t="s">
        <v>5025</v>
      </c>
      <c r="E1243" s="4" t="s">
        <v>4810</v>
      </c>
      <c r="F1243" s="4" t="s">
        <v>3547</v>
      </c>
      <c r="G1243" s="5" t="str">
        <f>IFERROR(__xludf.DUMMYFUNCTION("GOOGLETRANSLATE(D1243,""el"",""es"")"),"piña")</f>
        <v>piña</v>
      </c>
    </row>
    <row r="1244">
      <c r="A1244" s="4">
        <v>49.0</v>
      </c>
      <c r="B1244" s="4" t="s">
        <v>5668</v>
      </c>
      <c r="C1244" s="4"/>
      <c r="D1244" s="4" t="s">
        <v>5026</v>
      </c>
      <c r="E1244" s="4" t="s">
        <v>5027</v>
      </c>
      <c r="F1244" s="4" t="s">
        <v>5028</v>
      </c>
      <c r="G1244" s="5" t="str">
        <f>IFERROR(__xludf.DUMMYFUNCTION("GOOGLETRANSLATE(D1244,""el"",""es"")"),"Yo resucité")</f>
        <v>Yo resucité</v>
      </c>
    </row>
    <row r="1245">
      <c r="A1245" s="4">
        <v>50.0</v>
      </c>
      <c r="B1245" s="4" t="s">
        <v>5668</v>
      </c>
      <c r="C1245" s="4"/>
      <c r="D1245" s="4" t="s">
        <v>5029</v>
      </c>
      <c r="E1245" s="4" t="s">
        <v>5030</v>
      </c>
      <c r="F1245" s="4" t="s">
        <v>5031</v>
      </c>
      <c r="G1245" s="5" t="str">
        <f>IFERROR(__xludf.DUMMYFUNCTION("GOOGLETRANSLATE(D1245,""el"",""es"")"),"anilina")</f>
        <v>anilina</v>
      </c>
    </row>
    <row r="1246">
      <c r="A1246" s="4">
        <v>51.0</v>
      </c>
      <c r="B1246" s="4" t="s">
        <v>5668</v>
      </c>
      <c r="C1246" s="4"/>
      <c r="D1246" s="4" t="s">
        <v>5032</v>
      </c>
      <c r="E1246" s="4" t="s">
        <v>5033</v>
      </c>
      <c r="F1246" s="4" t="s">
        <v>5034</v>
      </c>
      <c r="G1246" s="5" t="str">
        <f>IFERROR(__xludf.DUMMYFUNCTION("GOOGLETRANSLATE(D1246,""el"",""es"")"),"Anilinis")</f>
        <v>Anilinis</v>
      </c>
    </row>
    <row r="1247">
      <c r="A1247" s="4">
        <v>52.0</v>
      </c>
      <c r="B1247" s="4" t="s">
        <v>5668</v>
      </c>
      <c r="C1247" s="4"/>
      <c r="D1247" s="4" t="s">
        <v>5035</v>
      </c>
      <c r="E1247" s="4" t="s">
        <v>474</v>
      </c>
      <c r="F1247" s="4" t="s">
        <v>475</v>
      </c>
      <c r="G1247" s="5" t="str">
        <f>IFERROR(__xludf.DUMMYFUNCTION("GOOGLETRANSLATE(D1247,""el"",""es"")"),"por")</f>
        <v>por</v>
      </c>
    </row>
    <row r="1248">
      <c r="A1248" s="4">
        <v>53.0</v>
      </c>
      <c r="B1248" s="4" t="s">
        <v>5668</v>
      </c>
      <c r="C1248" s="4"/>
      <c r="D1248" s="4" t="s">
        <v>5036</v>
      </c>
      <c r="E1248" s="4" t="s">
        <v>5037</v>
      </c>
      <c r="F1248" s="4" t="s">
        <v>5038</v>
      </c>
      <c r="G1248" s="5" t="str">
        <f>IFERROR(__xludf.DUMMYFUNCTION("GOOGLETRANSLATE(D1248,""el"",""es"")"),"Me engañé")</f>
        <v>Me engañé</v>
      </c>
    </row>
    <row r="1249">
      <c r="A1249" s="4">
        <v>54.0</v>
      </c>
      <c r="B1249" s="4" t="s">
        <v>5668</v>
      </c>
      <c r="C1249" s="4"/>
      <c r="D1249" s="4" t="s">
        <v>5039</v>
      </c>
      <c r="E1249" s="4" t="s">
        <v>5040</v>
      </c>
      <c r="F1249" s="4" t="s">
        <v>5041</v>
      </c>
      <c r="G1249" s="5" t="str">
        <f>IFERROR(__xludf.DUMMYFUNCTION("GOOGLETRANSLATE(D1249,""el"",""es"")"),"apóstata")</f>
        <v>apóstata</v>
      </c>
    </row>
    <row r="1250">
      <c r="A1250" s="4">
        <v>55.0</v>
      </c>
      <c r="B1250" s="4" t="s">
        <v>5668</v>
      </c>
      <c r="C1250" s="4"/>
      <c r="D1250" s="4" t="s">
        <v>5042</v>
      </c>
      <c r="E1250" s="4" t="s">
        <v>5043</v>
      </c>
      <c r="F1250" s="4" t="s">
        <v>5044</v>
      </c>
      <c r="G1250" s="5" t="str">
        <f>IFERROR(__xludf.DUMMYFUNCTION("GOOGLETRANSLATE(D1250,""el"",""es"")"),"Fui engañado")</f>
        <v>Fui engañado</v>
      </c>
    </row>
    <row r="1251">
      <c r="A1251" s="4">
        <v>56.0</v>
      </c>
      <c r="B1251" s="4" t="s">
        <v>5668</v>
      </c>
      <c r="C1251" s="4"/>
      <c r="D1251" s="4" t="s">
        <v>5045</v>
      </c>
      <c r="E1251" s="4" t="s">
        <v>5046</v>
      </c>
      <c r="F1251" s="4" t="s">
        <v>5047</v>
      </c>
      <c r="G1251" s="5" t="str">
        <f>IFERROR(__xludf.DUMMYFUNCTION("GOOGLETRANSLATE(D1251,""el"",""es"")"),"gorrión")</f>
        <v>gorrión</v>
      </c>
    </row>
    <row r="1252">
      <c r="A1252" s="4">
        <v>57.0</v>
      </c>
      <c r="B1252" s="4" t="s">
        <v>5668</v>
      </c>
      <c r="C1252" s="4"/>
      <c r="D1252" s="4" t="s">
        <v>5048</v>
      </c>
      <c r="E1252" s="4" t="s">
        <v>5049</v>
      </c>
      <c r="F1252" s="4" t="s">
        <v>5050</v>
      </c>
      <c r="G1252" s="5" t="str">
        <f>IFERROR(__xludf.DUMMYFUNCTION("GOOGLETRANSLATE(D1252,""el"",""es"")"),"negra")</f>
        <v>negra</v>
      </c>
    </row>
    <row r="1253">
      <c r="A1253" s="4">
        <v>58.0</v>
      </c>
      <c r="B1253" s="4" t="s">
        <v>5668</v>
      </c>
      <c r="C1253" s="4"/>
      <c r="D1253" s="4" t="s">
        <v>5051</v>
      </c>
      <c r="E1253" s="4" t="s">
        <v>294</v>
      </c>
      <c r="F1253" s="4" t="s">
        <v>295</v>
      </c>
      <c r="G1253" s="5" t="str">
        <f>IFERROR(__xludf.DUMMYFUNCTION("GOOGLETRANSLATE(D1253,""el"",""es"")"),"COMO '")</f>
        <v>COMO '</v>
      </c>
    </row>
    <row r="1254">
      <c r="A1254" s="4">
        <v>59.0</v>
      </c>
      <c r="B1254" s="4" t="s">
        <v>5668</v>
      </c>
      <c r="C1254" s="4"/>
      <c r="D1254" s="4" t="s">
        <v>5052</v>
      </c>
      <c r="E1254" s="4" t="s">
        <v>5053</v>
      </c>
      <c r="F1254" s="4" t="s">
        <v>1042</v>
      </c>
      <c r="G1254" s="5" t="str">
        <f>IFERROR(__xludf.DUMMYFUNCTION("GOOGLETRANSLATE(D1254,""el"",""es"")"),"gama")</f>
        <v>gama</v>
      </c>
    </row>
    <row r="1255">
      <c r="A1255" s="4">
        <v>60.0</v>
      </c>
      <c r="B1255" s="4" t="s">
        <v>5668</v>
      </c>
      <c r="C1255" s="4"/>
      <c r="D1255" s="4" t="s">
        <v>5054</v>
      </c>
      <c r="E1255" s="4" t="s">
        <v>5055</v>
      </c>
      <c r="F1255" s="4" t="s">
        <v>5056</v>
      </c>
      <c r="G1255" s="5" t="str">
        <f>IFERROR(__xludf.DUMMYFUNCTION("GOOGLETRANSLATE(D1255,""el"",""es"")"),"Yo follé")</f>
        <v>Yo follé</v>
      </c>
    </row>
    <row r="1256">
      <c r="A1256" s="4">
        <v>61.0</v>
      </c>
      <c r="B1256" s="4" t="s">
        <v>5668</v>
      </c>
      <c r="C1256" s="4"/>
      <c r="D1256" s="4" t="s">
        <v>5057</v>
      </c>
      <c r="E1256" s="4" t="s">
        <v>5058</v>
      </c>
      <c r="F1256" s="4" t="s">
        <v>5059</v>
      </c>
      <c r="G1256" s="5" t="str">
        <f>IFERROR(__xludf.DUMMYFUNCTION("GOOGLETRANSLATE(D1256,""el"",""es"")"),"serenidad")</f>
        <v>serenidad</v>
      </c>
    </row>
    <row r="1257">
      <c r="A1257" s="4">
        <v>62.0</v>
      </c>
      <c r="B1257" s="4" t="s">
        <v>5668</v>
      </c>
      <c r="C1257" s="4"/>
      <c r="D1257" s="4" t="s">
        <v>5060</v>
      </c>
      <c r="E1257" s="4" t="s">
        <v>5061</v>
      </c>
      <c r="F1257" s="4" t="s">
        <v>5062</v>
      </c>
      <c r="G1257" s="5" t="str">
        <f>IFERROR(__xludf.DUMMYFUNCTION("GOOGLETRANSLATE(D1257,""el"",""es"")"),"goma")</f>
        <v>goma</v>
      </c>
    </row>
    <row r="1258">
      <c r="A1258" s="4">
        <v>63.0</v>
      </c>
      <c r="B1258" s="4" t="s">
        <v>5668</v>
      </c>
      <c r="C1258" s="4"/>
      <c r="D1258" s="4" t="s">
        <v>5063</v>
      </c>
      <c r="E1258" s="4" t="s">
        <v>5064</v>
      </c>
      <c r="F1258" s="4" t="s">
        <v>5065</v>
      </c>
      <c r="G1258" s="5" t="str">
        <f>IFERROR(__xludf.DUMMYFUNCTION("GOOGLETRANSLATE(D1258,""el"",""es"")"),"goma")</f>
        <v>goma</v>
      </c>
    </row>
    <row r="1259">
      <c r="A1259" s="4">
        <v>64.0</v>
      </c>
      <c r="B1259" s="4" t="s">
        <v>5668</v>
      </c>
      <c r="C1259" s="4"/>
      <c r="D1259" s="4" t="s">
        <v>5066</v>
      </c>
      <c r="E1259" s="4" t="s">
        <v>5064</v>
      </c>
      <c r="F1259" s="4" t="s">
        <v>5065</v>
      </c>
      <c r="G1259" s="5" t="str">
        <f>IFERROR(__xludf.DUMMYFUNCTION("GOOGLETRANSLATE(D1259,""el"",""es"")"),"maldito")</f>
        <v>maldito</v>
      </c>
    </row>
    <row r="1260">
      <c r="A1260" s="4">
        <v>65.0</v>
      </c>
      <c r="B1260" s="4" t="s">
        <v>5668</v>
      </c>
      <c r="C1260" s="4"/>
      <c r="D1260" s="4" t="s">
        <v>5067</v>
      </c>
      <c r="E1260" s="4" t="s">
        <v>5068</v>
      </c>
      <c r="F1260" s="4" t="s">
        <v>5069</v>
      </c>
      <c r="G1260" s="5" t="str">
        <f>IFERROR(__xludf.DUMMYFUNCTION("GOOGLETRANSLATE(D1260,""el"",""es"")"),"maldito")</f>
        <v>maldito</v>
      </c>
    </row>
    <row r="1261">
      <c r="A1261" s="4">
        <v>66.0</v>
      </c>
      <c r="B1261" s="4" t="s">
        <v>5668</v>
      </c>
      <c r="C1261" s="4"/>
      <c r="D1261" s="4" t="s">
        <v>5070</v>
      </c>
      <c r="E1261" s="4" t="s">
        <v>5071</v>
      </c>
      <c r="F1261" s="4" t="s">
        <v>5072</v>
      </c>
      <c r="G1261" s="5" t="str">
        <f>IFERROR(__xludf.DUMMYFUNCTION("GOOGLETRANSLATE(D1261,""el"",""es"")"),"gatito")</f>
        <v>gatito</v>
      </c>
    </row>
    <row r="1262">
      <c r="A1262" s="4">
        <v>67.0</v>
      </c>
      <c r="B1262" s="4" t="s">
        <v>5668</v>
      </c>
      <c r="C1262" s="4"/>
      <c r="D1262" s="4" t="s">
        <v>5073</v>
      </c>
      <c r="E1262" s="4" t="s">
        <v>5074</v>
      </c>
      <c r="F1262" s="4" t="s">
        <v>5075</v>
      </c>
      <c r="G1262" s="5" t="str">
        <f>IFERROR(__xludf.DUMMYFUNCTION("GOOGLETRANSLATE(D1262,""el"",""es"")"),"gato")</f>
        <v>gato</v>
      </c>
    </row>
    <row r="1263">
      <c r="A1263" s="4">
        <v>68.0</v>
      </c>
      <c r="B1263" s="4" t="s">
        <v>5668</v>
      </c>
      <c r="C1263" s="4"/>
      <c r="D1263" s="4" t="s">
        <v>5076</v>
      </c>
      <c r="E1263" s="4" t="s">
        <v>5077</v>
      </c>
      <c r="F1263" s="4" t="s">
        <v>1572</v>
      </c>
      <c r="G1263" s="5" t="str">
        <f>IFERROR(__xludf.DUMMYFUNCTION("GOOGLETRANSLATE(D1263,""el"",""es"")"),"cerdo")</f>
        <v>cerdo</v>
      </c>
      <c r="H1263" s="4" t="s">
        <v>5078</v>
      </c>
    </row>
    <row r="1264">
      <c r="A1264" s="4">
        <v>69.0</v>
      </c>
      <c r="B1264" s="4" t="s">
        <v>5668</v>
      </c>
      <c r="C1264" s="4"/>
      <c r="D1264" s="4" t="s">
        <v>5079</v>
      </c>
      <c r="E1264" s="4" t="s">
        <v>5080</v>
      </c>
      <c r="F1264" s="4" t="s">
        <v>5081</v>
      </c>
      <c r="G1264" s="5" t="str">
        <f>IFERROR(__xludf.DUMMYFUNCTION("GOOGLETRANSLATE(D1264,""el"",""es"")"),"cerdo")</f>
        <v>cerdo</v>
      </c>
      <c r="H1264" s="4" t="s">
        <v>5082</v>
      </c>
      <c r="I1264" s="4" t="s">
        <v>5083</v>
      </c>
      <c r="J1264" s="4" t="s">
        <v>5084</v>
      </c>
      <c r="K1264" s="4" t="s">
        <v>5085</v>
      </c>
      <c r="L1264" s="4" t="s">
        <v>5086</v>
      </c>
      <c r="M1264" s="4" t="s">
        <v>5087</v>
      </c>
    </row>
    <row r="1265">
      <c r="A1265" s="4">
        <v>70.0</v>
      </c>
      <c r="B1265" s="4" t="s">
        <v>5668</v>
      </c>
      <c r="C1265" s="4"/>
      <c r="D1265" s="4" t="s">
        <v>5088</v>
      </c>
      <c r="E1265" s="4" t="s">
        <v>5089</v>
      </c>
      <c r="F1265" s="4" t="s">
        <v>5090</v>
      </c>
      <c r="G1265" s="5" t="str">
        <f>IFERROR(__xludf.DUMMYFUNCTION("GOOGLETRANSLATE(D1265,""el"",""es"")"),"solía tener")</f>
        <v>solía tener</v>
      </c>
    </row>
    <row r="1266">
      <c r="A1266" s="4">
        <v>71.0</v>
      </c>
      <c r="B1266" s="4" t="s">
        <v>5668</v>
      </c>
      <c r="C1266" s="4"/>
      <c r="D1266" s="4" t="s">
        <v>5091</v>
      </c>
      <c r="E1266" s="4" t="s">
        <v>5092</v>
      </c>
      <c r="F1266" s="4" t="s">
        <v>5093</v>
      </c>
      <c r="G1266" s="5" t="str">
        <f>IFERROR(__xludf.DUMMYFUNCTION("GOOGLETRANSLATE(D1266,""el"",""es"")"),"tuvieron")</f>
        <v>tuvieron</v>
      </c>
    </row>
    <row r="1267">
      <c r="A1267" s="4">
        <v>72.0</v>
      </c>
      <c r="B1267" s="4" t="s">
        <v>5668</v>
      </c>
      <c r="C1267" s="4"/>
      <c r="D1267" s="4" t="s">
        <v>5094</v>
      </c>
      <c r="E1267" s="4" t="s">
        <v>5095</v>
      </c>
      <c r="F1267" s="4" t="s">
        <v>5096</v>
      </c>
      <c r="G1267" s="5" t="str">
        <f>IFERROR(__xludf.DUMMYFUNCTION("GOOGLETRANSLATE(D1267,""el"",""es"")"),"he oído")</f>
        <v>he oído</v>
      </c>
    </row>
    <row r="1268">
      <c r="A1268" s="4">
        <v>73.0</v>
      </c>
      <c r="B1268" s="4" t="s">
        <v>5668</v>
      </c>
      <c r="C1268" s="4"/>
      <c r="D1268" s="4" t="s">
        <v>5097</v>
      </c>
      <c r="E1268" s="4" t="s">
        <v>5098</v>
      </c>
      <c r="F1268" s="4" t="s">
        <v>5099</v>
      </c>
      <c r="G1268" s="5" t="str">
        <f>IFERROR(__xludf.DUMMYFUNCTION("GOOGLETRANSLATE(D1268,""el"",""es"")"),"introducir")</f>
        <v>introducir</v>
      </c>
    </row>
    <row r="1269">
      <c r="A1269" s="4">
        <v>74.0</v>
      </c>
      <c r="B1269" s="4" t="s">
        <v>5668</v>
      </c>
      <c r="C1269" s="4"/>
      <c r="D1269" s="4" t="s">
        <v>5100</v>
      </c>
      <c r="E1269" s="4" t="s">
        <v>5101</v>
      </c>
      <c r="F1269" s="4" t="s">
        <v>5102</v>
      </c>
      <c r="G1269" s="5" t="str">
        <f>IFERROR(__xludf.DUMMYFUNCTION("GOOGLETRANSLATE(D1269,""el"",""es"")"),"sonido")</f>
        <v>sonido</v>
      </c>
    </row>
    <row r="1270">
      <c r="A1270" s="4">
        <v>75.0</v>
      </c>
      <c r="B1270" s="4" t="s">
        <v>5668</v>
      </c>
      <c r="C1270" s="4"/>
      <c r="D1270" s="4" t="s">
        <v>5103</v>
      </c>
      <c r="E1270" s="4" t="s">
        <v>5104</v>
      </c>
      <c r="F1270" s="4" t="s">
        <v>5105</v>
      </c>
      <c r="G1270" s="5" t="str">
        <f>IFERROR(__xludf.DUMMYFUNCTION("GOOGLETRANSLATE(D1270,""el"",""es"")"),"caza")</f>
        <v>caza</v>
      </c>
    </row>
    <row r="1271">
      <c r="A1271" s="4">
        <v>76.0</v>
      </c>
      <c r="B1271" s="4" t="s">
        <v>5668</v>
      </c>
      <c r="C1271" s="4"/>
      <c r="D1271" s="4" t="s">
        <v>5106</v>
      </c>
      <c r="E1271" s="4" t="s">
        <v>5107</v>
      </c>
      <c r="F1271" s="4" t="s">
        <v>5108</v>
      </c>
      <c r="G1271" s="5" t="str">
        <f>IFERROR(__xludf.DUMMYFUNCTION("GOOGLETRANSLATE(D1271,""el"",""es"")"),"theta")</f>
        <v>theta</v>
      </c>
    </row>
    <row r="1272">
      <c r="A1272" s="4">
        <v>77.0</v>
      </c>
      <c r="B1272" s="4" t="s">
        <v>5668</v>
      </c>
      <c r="C1272" s="4"/>
      <c r="D1272" s="4" t="s">
        <v>5109</v>
      </c>
      <c r="E1272" s="4" t="s">
        <v>5110</v>
      </c>
      <c r="F1272" s="4" t="s">
        <v>5111</v>
      </c>
      <c r="G1272" s="5" t="str">
        <f>IFERROR(__xludf.DUMMYFUNCTION("GOOGLETRANSLATE(D1272,""el"",""es"")"),"voy a")</f>
        <v>voy a</v>
      </c>
    </row>
    <row r="1273">
      <c r="A1273" s="4">
        <v>78.0</v>
      </c>
      <c r="B1273" s="4" t="s">
        <v>5668</v>
      </c>
      <c r="C1273" s="4"/>
      <c r="D1273" s="4" t="s">
        <v>5112</v>
      </c>
      <c r="E1273" s="4" t="s">
        <v>5113</v>
      </c>
      <c r="F1273" s="4" t="s">
        <v>5114</v>
      </c>
      <c r="G1273" s="5" t="str">
        <f>IFERROR(__xludf.DUMMYFUNCTION("GOOGLETRANSLATE(D1273,""el"",""es"")"),"mar")</f>
        <v>mar</v>
      </c>
    </row>
    <row r="1274">
      <c r="A1274" s="4">
        <v>79.0</v>
      </c>
      <c r="B1274" s="4" t="s">
        <v>5668</v>
      </c>
      <c r="C1274" s="4"/>
      <c r="D1274" s="4" t="s">
        <v>5115</v>
      </c>
      <c r="E1274" s="4" t="s">
        <v>5116</v>
      </c>
      <c r="F1274" s="4" t="s">
        <v>5117</v>
      </c>
      <c r="G1274" s="5" t="str">
        <f>IFERROR(__xludf.DUMMYFUNCTION("GOOGLETRANSLATE(D1274,""el"",""es"")"),"nudo corredizo")</f>
        <v>nudo corredizo</v>
      </c>
      <c r="H1274" s="4" t="s">
        <v>5118</v>
      </c>
    </row>
    <row r="1275">
      <c r="A1275" s="4">
        <v>80.0</v>
      </c>
      <c r="B1275" s="4" t="s">
        <v>5668</v>
      </c>
      <c r="C1275" s="4"/>
      <c r="D1275" s="4" t="s">
        <v>5119</v>
      </c>
      <c r="E1275" s="4" t="s">
        <v>5120</v>
      </c>
      <c r="F1275" s="4" t="s">
        <v>5121</v>
      </c>
      <c r="G1275" s="5" t="str">
        <f>IFERROR(__xludf.DUMMYFUNCTION("GOOGLETRANSLATE(D1275,""el"",""es"")"),"sarampión")</f>
        <v>sarampión</v>
      </c>
    </row>
    <row r="1276">
      <c r="A1276" s="4">
        <v>81.0</v>
      </c>
      <c r="B1276" s="4" t="s">
        <v>5668</v>
      </c>
      <c r="C1276" s="4"/>
      <c r="D1276" s="4" t="s">
        <v>5122</v>
      </c>
      <c r="E1276" s="4" t="s">
        <v>5123</v>
      </c>
      <c r="F1276" s="4" t="s">
        <v>5124</v>
      </c>
      <c r="G1276" s="5" t="str">
        <f>IFERROR(__xludf.DUMMYFUNCTION("GOOGLETRANSLATE(D1276,""el"",""es"")"),"imán")</f>
        <v>imán</v>
      </c>
    </row>
    <row r="1277">
      <c r="A1277" s="4">
        <v>82.0</v>
      </c>
      <c r="B1277" s="4" t="s">
        <v>5668</v>
      </c>
      <c r="C1277" s="4"/>
      <c r="D1277" s="4" t="s">
        <v>5125</v>
      </c>
      <c r="E1277" s="4" t="s">
        <v>5126</v>
      </c>
      <c r="F1277" s="4" t="s">
        <v>5127</v>
      </c>
      <c r="G1277" s="5" t="str">
        <f>IFERROR(__xludf.DUMMYFUNCTION("GOOGLETRANSLATE(D1277,""el"",""es"")"),"lástima")</f>
        <v>lástima</v>
      </c>
    </row>
    <row r="1278">
      <c r="A1278" s="4">
        <v>83.0</v>
      </c>
      <c r="B1278" s="4" t="s">
        <v>5668</v>
      </c>
      <c r="C1278" s="4"/>
      <c r="D1278" s="4" t="s">
        <v>5128</v>
      </c>
      <c r="E1278" s="4" t="s">
        <v>1996</v>
      </c>
      <c r="F1278" s="4" t="s">
        <v>1997</v>
      </c>
      <c r="G1278" s="5" t="str">
        <f>IFERROR(__xludf.DUMMYFUNCTION("GOOGLETRANSLATE(D1278,""el"",""es"")"),"Irak")</f>
        <v>Irak</v>
      </c>
      <c r="H1278" s="4" t="s">
        <v>1998</v>
      </c>
      <c r="I1278" s="4" t="s">
        <v>1999</v>
      </c>
      <c r="J1278" s="4" t="s">
        <v>2000</v>
      </c>
      <c r="K1278" s="4" t="s">
        <v>2001</v>
      </c>
    </row>
    <row r="1279">
      <c r="A1279" s="4">
        <v>84.0</v>
      </c>
      <c r="B1279" s="4" t="s">
        <v>5668</v>
      </c>
      <c r="C1279" s="4"/>
      <c r="D1279" s="4" t="s">
        <v>5129</v>
      </c>
      <c r="E1279" s="4" t="s">
        <v>1991</v>
      </c>
      <c r="F1279" s="4" t="s">
        <v>1990</v>
      </c>
      <c r="G1279" s="5" t="str">
        <f>IFERROR(__xludf.DUMMYFUNCTION("GOOGLETRANSLATE(D1279,""el"",""es"")"),"Irán")</f>
        <v>Irán</v>
      </c>
      <c r="H1279" s="4" t="s">
        <v>1992</v>
      </c>
      <c r="I1279" s="4" t="s">
        <v>1993</v>
      </c>
      <c r="J1279" s="4" t="s">
        <v>1994</v>
      </c>
    </row>
    <row r="1280">
      <c r="A1280" s="4">
        <v>85.0</v>
      </c>
      <c r="B1280" s="4" t="s">
        <v>5668</v>
      </c>
      <c r="C1280" s="4"/>
      <c r="D1280" s="4" t="s">
        <v>5130</v>
      </c>
      <c r="E1280" s="4" t="s">
        <v>5131</v>
      </c>
      <c r="F1280" s="4" t="s">
        <v>5132</v>
      </c>
      <c r="G1280" s="5" t="str">
        <f>IFERROR(__xludf.DUMMYFUNCTION("GOOGLETRANSLATE(D1280,""el"",""es"")"),"italiano")</f>
        <v>italiano</v>
      </c>
    </row>
    <row r="1281">
      <c r="A1281" s="4">
        <v>86.0</v>
      </c>
      <c r="B1281" s="4" t="s">
        <v>5668</v>
      </c>
      <c r="C1281" s="4"/>
      <c r="D1281" s="4" t="s">
        <v>5133</v>
      </c>
      <c r="E1281" s="4" t="s">
        <v>5134</v>
      </c>
      <c r="F1281" s="4" t="s">
        <v>5135</v>
      </c>
      <c r="G1281" s="5" t="str">
        <f>IFERROR(__xludf.DUMMYFUNCTION("GOOGLETRANSLATE(D1281,""el"",""es"")"),"Me senté")</f>
        <v>Me senté</v>
      </c>
    </row>
    <row r="1282">
      <c r="A1282" s="4">
        <v>87.0</v>
      </c>
      <c r="B1282" s="4" t="s">
        <v>5668</v>
      </c>
      <c r="C1282" s="4"/>
      <c r="D1282" s="4" t="s">
        <v>5136</v>
      </c>
      <c r="E1282" s="4" t="s">
        <v>1232</v>
      </c>
      <c r="F1282" s="4" t="s">
        <v>1233</v>
      </c>
      <c r="G1282" s="5" t="str">
        <f>IFERROR(__xludf.DUMMYFUNCTION("GOOGLETRANSLATE(D1282,""el"",""es"")"),"capa")</f>
        <v>capa</v>
      </c>
    </row>
    <row r="1283">
      <c r="A1283" s="4">
        <v>88.0</v>
      </c>
      <c r="B1283" s="4" t="s">
        <v>5668</v>
      </c>
      <c r="C1283" s="4"/>
      <c r="D1283" s="4" t="s">
        <v>5137</v>
      </c>
      <c r="E1283" s="4" t="s">
        <v>1232</v>
      </c>
      <c r="F1283" s="4" t="s">
        <v>1233</v>
      </c>
      <c r="G1283" s="5" t="str">
        <f>IFERROR(__xludf.DUMMYFUNCTION("GOOGLETRANSLATE(D1283,""el"",""es"")"),"Kappa")</f>
        <v>Kappa</v>
      </c>
    </row>
    <row r="1284">
      <c r="A1284" s="4">
        <v>89.0</v>
      </c>
      <c r="B1284" s="4" t="s">
        <v>5668</v>
      </c>
      <c r="C1284" s="4"/>
      <c r="D1284" s="4" t="s">
        <v>5141</v>
      </c>
      <c r="E1284" s="4" t="s">
        <v>5142</v>
      </c>
      <c r="F1284" s="4" t="s">
        <v>5143</v>
      </c>
      <c r="G1284" s="5" t="str">
        <f>IFERROR(__xludf.DUMMYFUNCTION("GOOGLETRANSLATE(D1284,""el"",""es"")"),"caña")</f>
        <v>caña</v>
      </c>
      <c r="H1284" s="4" t="s">
        <v>5144</v>
      </c>
      <c r="I1284" s="4" t="s">
        <v>5145</v>
      </c>
      <c r="J1284" s="4" t="s">
        <v>1188</v>
      </c>
    </row>
    <row r="1285">
      <c r="A1285" s="4">
        <v>90.0</v>
      </c>
      <c r="B1285" s="4" t="s">
        <v>5668</v>
      </c>
      <c r="C1285" s="4"/>
      <c r="D1285" s="4" t="s">
        <v>5146</v>
      </c>
      <c r="E1285" s="4" t="s">
        <v>5147</v>
      </c>
      <c r="F1285" s="4" t="s">
        <v>5148</v>
      </c>
      <c r="G1285" s="5" t="str">
        <f>IFERROR(__xludf.DUMMYFUNCTION("GOOGLETRANSLATE(D1285,""el"",""es"")"),"bueno")</f>
        <v>bueno</v>
      </c>
    </row>
    <row r="1286">
      <c r="A1286" s="4">
        <v>91.0</v>
      </c>
      <c r="B1286" s="4" t="s">
        <v>5668</v>
      </c>
      <c r="C1286" s="4"/>
      <c r="D1286" s="4" t="s">
        <v>5149</v>
      </c>
      <c r="E1286" s="4" t="s">
        <v>5150</v>
      </c>
      <c r="F1286" s="4" t="s">
        <v>5151</v>
      </c>
      <c r="G1286" s="5" t="str">
        <f>IFERROR(__xludf.DUMMYFUNCTION("GOOGLETRANSLATE(D1286,""el"",""es"")"),"Kalamata")</f>
        <v>Kalamata</v>
      </c>
    </row>
    <row r="1287">
      <c r="A1287" s="4">
        <v>92.0</v>
      </c>
      <c r="B1287" s="4" t="s">
        <v>5668</v>
      </c>
      <c r="C1287" s="4"/>
      <c r="D1287" s="4" t="s">
        <v>5152</v>
      </c>
      <c r="E1287" s="4" t="s">
        <v>5147</v>
      </c>
      <c r="F1287" s="4" t="s">
        <v>5148</v>
      </c>
      <c r="G1287" s="5" t="str">
        <f>IFERROR(__xludf.DUMMYFUNCTION("GOOGLETRANSLATE(D1287,""el"",""es"")"),"bueno")</f>
        <v>bueno</v>
      </c>
    </row>
    <row r="1288">
      <c r="A1288" s="4">
        <v>93.0</v>
      </c>
      <c r="B1288" s="4" t="s">
        <v>5668</v>
      </c>
      <c r="C1288" s="4"/>
      <c r="D1288" s="4" t="s">
        <v>5153</v>
      </c>
      <c r="E1288" s="4" t="s">
        <v>5154</v>
      </c>
      <c r="F1288" s="4" t="s">
        <v>5155</v>
      </c>
      <c r="G1288" s="5" t="str">
        <f>IFERROR(__xludf.DUMMYFUNCTION("GOOGLETRANSLATE(D1288,""el"",""es"")"),"moho")</f>
        <v>moho</v>
      </c>
      <c r="H1288" s="4" t="s">
        <v>5156</v>
      </c>
      <c r="I1288" s="4" t="s">
        <v>5157</v>
      </c>
      <c r="J1288" s="4" t="s">
        <v>5158</v>
      </c>
    </row>
    <row r="1289">
      <c r="A1289" s="4">
        <v>94.0</v>
      </c>
      <c r="B1289" s="4" t="s">
        <v>5668</v>
      </c>
      <c r="C1289" s="4"/>
      <c r="D1289" s="4" t="s">
        <v>5159</v>
      </c>
      <c r="E1289" s="4" t="s">
        <v>1121</v>
      </c>
      <c r="F1289" s="4" t="s">
        <v>1122</v>
      </c>
      <c r="G1289" s="5" t="str">
        <f>IFERROR(__xludf.DUMMYFUNCTION("GOOGLETRANSLATE(D1289,""el"",""es"")"),"incluso")</f>
        <v>incluso</v>
      </c>
    </row>
    <row r="1290">
      <c r="A1290" s="4">
        <v>95.0</v>
      </c>
      <c r="B1290" s="4" t="s">
        <v>5668</v>
      </c>
      <c r="C1290" s="4"/>
      <c r="D1290" s="4" t="s">
        <v>5160</v>
      </c>
      <c r="E1290" s="4" t="s">
        <v>5161</v>
      </c>
      <c r="F1290" s="4" t="s">
        <v>5162</v>
      </c>
      <c r="G1290" s="5" t="str">
        <f>IFERROR(__xludf.DUMMYFUNCTION("GOOGLETRANSLATE(D1290,""el"",""es"")"),"contra")</f>
        <v>contra</v>
      </c>
    </row>
    <row r="1291">
      <c r="A1291" s="4">
        <v>96.0</v>
      </c>
      <c r="B1291" s="4" t="s">
        <v>5668</v>
      </c>
      <c r="C1291" s="4"/>
      <c r="D1291" s="4" t="s">
        <v>5163</v>
      </c>
      <c r="E1291" s="4" t="s">
        <v>5164</v>
      </c>
      <c r="F1291" s="4" t="s">
        <v>5165</v>
      </c>
      <c r="G1291" s="5" t="str">
        <f>IFERROR(__xludf.DUMMYFUNCTION("GOOGLETRANSLATE(D1291,""el"",""es"")"),"Katar")</f>
        <v>Katar</v>
      </c>
      <c r="H1291" s="4" t="s">
        <v>5166</v>
      </c>
      <c r="I1291" s="4" t="s">
        <v>5167</v>
      </c>
      <c r="J1291" s="4" t="s">
        <v>5168</v>
      </c>
      <c r="K1291" s="4" t="s">
        <v>5169</v>
      </c>
    </row>
    <row r="1292">
      <c r="A1292" s="4">
        <v>97.0</v>
      </c>
      <c r="B1292" s="4" t="s">
        <v>5668</v>
      </c>
      <c r="C1292" s="4"/>
      <c r="D1292" s="4" t="s">
        <v>5170</v>
      </c>
      <c r="E1292" s="4" t="s">
        <v>5171</v>
      </c>
      <c r="F1292" s="4" t="s">
        <v>5172</v>
      </c>
      <c r="G1292" s="5" t="str">
        <f>IFERROR(__xludf.DUMMYFUNCTION("GOOGLETRANSLATE(D1292,""el"",""es"")"),"heces")</f>
        <v>heces</v>
      </c>
      <c r="H1292" s="4" t="s">
        <v>5173</v>
      </c>
      <c r="I1292" s="4" t="s">
        <v>5174</v>
      </c>
      <c r="J1292" s="4" t="s">
        <v>5175</v>
      </c>
    </row>
    <row r="1293">
      <c r="A1293" s="4">
        <v>98.0</v>
      </c>
      <c r="B1293" s="4" t="s">
        <v>5668</v>
      </c>
      <c r="C1293" s="4"/>
      <c r="D1293" s="4" t="s">
        <v>5176</v>
      </c>
      <c r="E1293" s="4" t="s">
        <v>5177</v>
      </c>
      <c r="F1293" s="4" t="s">
        <v>5178</v>
      </c>
      <c r="G1293" s="5" t="str">
        <f>IFERROR(__xludf.DUMMYFUNCTION("GOOGLETRANSLATE(D1293,""el"",""es"")"),"fueron catalizados")</f>
        <v>fueron catalizados</v>
      </c>
    </row>
    <row r="1294">
      <c r="A1294" s="4">
        <v>99.0</v>
      </c>
      <c r="B1294" s="4" t="s">
        <v>5668</v>
      </c>
      <c r="C1294" s="4"/>
      <c r="D1294" s="4" t="s">
        <v>5179</v>
      </c>
      <c r="E1294" s="4" t="s">
        <v>5180</v>
      </c>
      <c r="F1294" s="4" t="s">
        <v>5181</v>
      </c>
      <c r="G1294" s="5" t="str">
        <f>IFERROR(__xludf.DUMMYFUNCTION("GOOGLETRANSLATE(D1294,""el"",""es"")"),"Estaba catalizado")</f>
        <v>Estaba catalizado</v>
      </c>
    </row>
    <row r="1295">
      <c r="A1295" s="4">
        <v>100.0</v>
      </c>
      <c r="B1295" s="4" t="s">
        <v>5668</v>
      </c>
      <c r="C1295" s="4"/>
      <c r="D1295" s="4" t="s">
        <v>5182</v>
      </c>
      <c r="E1295" s="4" t="s">
        <v>5177</v>
      </c>
      <c r="F1295" s="4" t="s">
        <v>5178</v>
      </c>
      <c r="G1295" s="5" t="str">
        <f>IFERROR(__xludf.DUMMYFUNCTION("GOOGLETRANSLATE(D1295,""el"",""es"")"),"fueron derrocados")</f>
        <v>fueron derrocados</v>
      </c>
    </row>
    <row r="1296">
      <c r="A1296" s="4">
        <v>101.0</v>
      </c>
      <c r="B1296" s="4" t="s">
        <v>5668</v>
      </c>
      <c r="C1296" s="4"/>
      <c r="D1296" s="4" t="s">
        <v>5183</v>
      </c>
      <c r="E1296" s="4" t="s">
        <v>5184</v>
      </c>
      <c r="F1296" s="4" t="s">
        <v>5185</v>
      </c>
      <c r="G1296" s="5" t="str">
        <f>IFERROR(__xludf.DUMMYFUNCTION("GOOGLETRANSLATE(D1296,""el"",""es"")"),"Estaba pelado")</f>
        <v>Estaba pelado</v>
      </c>
    </row>
    <row r="1297">
      <c r="A1297" s="4">
        <v>102.0</v>
      </c>
      <c r="B1297" s="4" t="s">
        <v>5668</v>
      </c>
      <c r="C1297" s="4"/>
      <c r="D1297" s="4" t="s">
        <v>5186</v>
      </c>
      <c r="E1297" s="4" t="s">
        <v>5187</v>
      </c>
      <c r="F1297" s="4" t="s">
        <v>5188</v>
      </c>
      <c r="G1297" s="5" t="str">
        <f>IFERROR(__xludf.DUMMYFUNCTION("GOOGLETRANSLATE(D1297,""el"",""es"")"),"pipí")</f>
        <v>pipí</v>
      </c>
    </row>
    <row r="1298">
      <c r="A1298" s="4">
        <v>103.0</v>
      </c>
      <c r="B1298" s="4" t="s">
        <v>5668</v>
      </c>
      <c r="C1298" s="4"/>
      <c r="D1298" s="4" t="s">
        <v>5189</v>
      </c>
      <c r="E1298" s="4" t="s">
        <v>5190</v>
      </c>
      <c r="F1298" s="4" t="s">
        <v>5191</v>
      </c>
      <c r="G1298" s="5" t="str">
        <f>IFERROR(__xludf.DUMMYFUNCTION("GOOGLETRANSLATE(D1298,""el"",""es"")"),"Miré")</f>
        <v>Miré</v>
      </c>
    </row>
    <row r="1299">
      <c r="A1299" s="4">
        <v>104.0</v>
      </c>
      <c r="B1299" s="4" t="s">
        <v>5668</v>
      </c>
      <c r="C1299" s="4"/>
      <c r="D1299" s="4" t="s">
        <v>5192</v>
      </c>
      <c r="E1299" s="4" t="s">
        <v>5193</v>
      </c>
      <c r="F1299" s="4" t="s">
        <v>5194</v>
      </c>
      <c r="G1299" s="5" t="str">
        <f>IFERROR(__xludf.DUMMYFUNCTION("GOOGLETRANSLATE(D1299,""el"",""es"")"),"Capucha")</f>
        <v>Capucha</v>
      </c>
    </row>
    <row r="1300">
      <c r="A1300" s="4">
        <v>105.0</v>
      </c>
      <c r="B1300" s="4" t="s">
        <v>5668</v>
      </c>
      <c r="C1300" s="4"/>
      <c r="D1300" s="4" t="s">
        <v>5195</v>
      </c>
      <c r="E1300" s="4" t="s">
        <v>5196</v>
      </c>
      <c r="F1300" s="4" t="s">
        <v>5197</v>
      </c>
      <c r="G1300" s="5" t="str">
        <f>IFERROR(__xludf.DUMMYFUNCTION("GOOGLETRANSLATE(D1300,""el"",""es"")"),"rosquilla")</f>
        <v>rosquilla</v>
      </c>
    </row>
    <row r="1301">
      <c r="A1301" s="4">
        <v>106.0</v>
      </c>
      <c r="B1301" s="4" t="s">
        <v>5668</v>
      </c>
      <c r="C1301" s="4"/>
      <c r="D1301" s="4" t="s">
        <v>5198</v>
      </c>
      <c r="E1301" s="4" t="s">
        <v>324</v>
      </c>
      <c r="F1301" s="4" t="s">
        <v>325</v>
      </c>
      <c r="G1301" s="5" t="str">
        <f>IFERROR(__xludf.DUMMYFUNCTION("GOOGLETRANSLATE(D1301,""el"",""es"")"),"vaquero")</f>
        <v>vaquero</v>
      </c>
    </row>
    <row r="1302">
      <c r="A1302" s="4">
        <v>107.0</v>
      </c>
      <c r="B1302" s="4" t="s">
        <v>5668</v>
      </c>
      <c r="C1302" s="4"/>
      <c r="D1302" s="4" t="s">
        <v>5199</v>
      </c>
      <c r="E1302" s="4" t="s">
        <v>5200</v>
      </c>
      <c r="F1302" s="4" t="s">
        <v>5201</v>
      </c>
      <c r="G1302" s="5" t="str">
        <f>IFERROR(__xludf.DUMMYFUNCTION("GOOGLETRANSLATE(D1302,""el"",""es"")"),"primo")</f>
        <v>primo</v>
      </c>
    </row>
    <row r="1303">
      <c r="A1303" s="4">
        <v>108.0</v>
      </c>
      <c r="B1303" s="4" t="s">
        <v>5668</v>
      </c>
      <c r="C1303" s="4"/>
      <c r="D1303" s="4" t="s">
        <v>5202</v>
      </c>
      <c r="E1303" s="4" t="s">
        <v>5203</v>
      </c>
      <c r="F1303" s="4" t="s">
        <v>5204</v>
      </c>
      <c r="G1303" s="5" t="str">
        <f>IFERROR(__xludf.DUMMYFUNCTION("GOOGLETRANSLATE(D1303,""el"",""es"")"),"cucharón")</f>
        <v>cucharón</v>
      </c>
      <c r="H1303" s="4" t="s">
        <v>5205</v>
      </c>
    </row>
    <row r="1304">
      <c r="A1304" s="4">
        <v>109.0</v>
      </c>
      <c r="B1304" s="4" t="s">
        <v>5668</v>
      </c>
      <c r="C1304" s="4"/>
      <c r="D1304" s="4" t="s">
        <v>5206</v>
      </c>
      <c r="E1304" s="4" t="s">
        <v>5207</v>
      </c>
      <c r="F1304" s="4" t="s">
        <v>5208</v>
      </c>
      <c r="G1304" s="5" t="str">
        <f>IFERROR(__xludf.DUMMYFUNCTION("GOOGLETRANSLATE(D1304,""el"",""es"")"),"cucharada")</f>
        <v>cucharada</v>
      </c>
      <c r="H1304" s="4" t="s">
        <v>5209</v>
      </c>
      <c r="I1304" s="4" t="s">
        <v>5210</v>
      </c>
      <c r="J1304" s="4" t="s">
        <v>5211</v>
      </c>
      <c r="K1304" s="4" t="s">
        <v>5212</v>
      </c>
    </row>
    <row r="1305">
      <c r="A1305" s="4">
        <v>110.0</v>
      </c>
      <c r="B1305" s="4" t="s">
        <v>5668</v>
      </c>
      <c r="C1305" s="4"/>
      <c r="D1305" s="4" t="s">
        <v>5213</v>
      </c>
      <c r="E1305" s="4" t="s">
        <v>5214</v>
      </c>
      <c r="F1305" s="4" t="s">
        <v>5215</v>
      </c>
      <c r="G1305" s="5" t="str">
        <f>IFERROR(__xludf.DUMMYFUNCTION("GOOGLETRANSLATE(D1305,""el"",""es"")"),"estupidez")</f>
        <v>estupidez</v>
      </c>
      <c r="H1305" s="4" t="s">
        <v>5216</v>
      </c>
      <c r="I1305" s="4" t="s">
        <v>5217</v>
      </c>
      <c r="J1305" s="4" t="s">
        <v>5218</v>
      </c>
      <c r="K1305" s="4" t="s">
        <v>5219</v>
      </c>
      <c r="L1305" s="4" t="s">
        <v>5220</v>
      </c>
    </row>
    <row r="1306">
      <c r="A1306" s="4">
        <v>111.0</v>
      </c>
      <c r="B1306" s="4" t="s">
        <v>5668</v>
      </c>
      <c r="C1306" s="4"/>
      <c r="D1306" s="4" t="s">
        <v>5221</v>
      </c>
      <c r="E1306" s="4" t="s">
        <v>5196</v>
      </c>
      <c r="F1306" s="4" t="s">
        <v>5197</v>
      </c>
      <c r="G1306" s="5" t="str">
        <f>IFERROR(__xludf.DUMMYFUNCTION("GOOGLETRANSLATE(D1306,""el"",""es"")"),"koulouris")</f>
        <v>koulouris</v>
      </c>
    </row>
    <row r="1307">
      <c r="A1307" s="4">
        <v>112.0</v>
      </c>
      <c r="B1307" s="4" t="s">
        <v>5668</v>
      </c>
      <c r="C1307" s="4"/>
      <c r="D1307" s="4" t="s">
        <v>5222</v>
      </c>
      <c r="E1307" s="4" t="s">
        <v>5223</v>
      </c>
      <c r="F1307" s="4" t="s">
        <v>5224</v>
      </c>
      <c r="G1307" s="5" t="str">
        <f>IFERROR(__xludf.DUMMYFUNCTION("GOOGLETRANSLATE(D1307,""el"",""es"")"),"ritmo")</f>
        <v>ritmo</v>
      </c>
      <c r="H1307" s="4" t="s">
        <v>5225</v>
      </c>
      <c r="I1307" s="4" t="s">
        <v>5226</v>
      </c>
    </row>
    <row r="1308">
      <c r="A1308" s="4">
        <v>113.0</v>
      </c>
      <c r="B1308" s="4" t="s">
        <v>5668</v>
      </c>
      <c r="C1308" s="4"/>
      <c r="D1308" s="4" t="s">
        <v>5227</v>
      </c>
      <c r="E1308" s="4" t="s">
        <v>5228</v>
      </c>
      <c r="F1308" s="4" t="s">
        <v>5229</v>
      </c>
      <c r="G1308" s="5" t="str">
        <f>IFERROR(__xludf.DUMMYFUNCTION("GOOGLETRANSLATE(D1308,""el"",""es"")"),"taza")</f>
        <v>taza</v>
      </c>
      <c r="H1308" s="4" t="s">
        <v>3236</v>
      </c>
    </row>
    <row r="1309">
      <c r="A1309" s="4">
        <v>114.0</v>
      </c>
      <c r="B1309" s="4" t="s">
        <v>5668</v>
      </c>
      <c r="C1309" s="4"/>
      <c r="D1309" s="4" t="s">
        <v>5230</v>
      </c>
      <c r="E1309" s="4" t="s">
        <v>5231</v>
      </c>
      <c r="F1309" s="4" t="s">
        <v>5232</v>
      </c>
      <c r="G1309" s="5" t="str">
        <f>IFERROR(__xludf.DUMMYFUNCTION("GOOGLETRANSLATE(D1309,""el"",""es"")"),"cansado")</f>
        <v>cansado</v>
      </c>
    </row>
    <row r="1310">
      <c r="A1310" s="4">
        <v>115.0</v>
      </c>
      <c r="B1310" s="4" t="s">
        <v>5668</v>
      </c>
      <c r="C1310" s="4"/>
      <c r="D1310" s="4" t="s">
        <v>5233</v>
      </c>
      <c r="E1310" s="4" t="s">
        <v>5234</v>
      </c>
      <c r="F1310" s="4" t="s">
        <v>5235</v>
      </c>
      <c r="G1310" s="5" t="str">
        <f>IFERROR(__xludf.DUMMYFUNCTION("GOOGLETRANSLATE(D1310,""el"",""es"")"),"lamer")</f>
        <v>lamer</v>
      </c>
    </row>
    <row r="1311">
      <c r="A1311" s="4">
        <v>116.0</v>
      </c>
      <c r="B1311" s="4" t="s">
        <v>5668</v>
      </c>
      <c r="C1311" s="4"/>
      <c r="D1311" s="4" t="s">
        <v>5236</v>
      </c>
      <c r="E1311" s="4" t="s">
        <v>5237</v>
      </c>
      <c r="F1311" s="4" t="s">
        <v>5238</v>
      </c>
      <c r="G1311" s="5" t="str">
        <f>IFERROR(__xludf.DUMMYFUNCTION("GOOGLETRANSLATE(D1311,""el"",""es"")"),"olvido")</f>
        <v>olvido</v>
      </c>
    </row>
    <row r="1312">
      <c r="A1312" s="4">
        <v>117.0</v>
      </c>
      <c r="B1312" s="4" t="s">
        <v>5668</v>
      </c>
      <c r="C1312" s="4"/>
      <c r="D1312" s="4" t="s">
        <v>5239</v>
      </c>
      <c r="E1312" s="4" t="s">
        <v>5237</v>
      </c>
      <c r="F1312" s="4" t="s">
        <v>5238</v>
      </c>
      <c r="G1312" s="5" t="str">
        <f>IFERROR(__xludf.DUMMYFUNCTION("GOOGLETRANSLATE(D1312,""el"",""es"")"),"piedras")</f>
        <v>piedras</v>
      </c>
    </row>
    <row r="1313">
      <c r="A1313" s="4">
        <v>118.0</v>
      </c>
      <c r="B1313" s="4" t="s">
        <v>5668</v>
      </c>
      <c r="C1313" s="4"/>
      <c r="D1313" s="4" t="s">
        <v>5240</v>
      </c>
      <c r="E1313" s="4" t="s">
        <v>5241</v>
      </c>
      <c r="F1313" s="4" t="s">
        <v>5242</v>
      </c>
      <c r="G1313" s="5" t="str">
        <f>IFERROR(__xludf.DUMMYFUNCTION("GOOGLETRANSLATE(D1313,""el"",""es"")"),"madriguera")</f>
        <v>madriguera</v>
      </c>
    </row>
    <row r="1314">
      <c r="A1314" s="4">
        <v>119.0</v>
      </c>
      <c r="B1314" s="4" t="s">
        <v>5668</v>
      </c>
      <c r="C1314" s="4"/>
      <c r="D1314" s="4" t="s">
        <v>5243</v>
      </c>
      <c r="E1314" s="4" t="s">
        <v>5244</v>
      </c>
      <c r="F1314" s="4" t="s">
        <v>5245</v>
      </c>
      <c r="G1314" s="5" t="str">
        <f>IFERROR(__xludf.DUMMYFUNCTION("GOOGLETRANSLATE(D1314,""el"",""es"")"),"me fuí")</f>
        <v>me fuí</v>
      </c>
    </row>
    <row r="1315">
      <c r="A1315" s="4">
        <v>120.0</v>
      </c>
      <c r="B1315" s="4" t="s">
        <v>5668</v>
      </c>
      <c r="C1315" s="4"/>
      <c r="D1315" s="4" t="s">
        <v>5246</v>
      </c>
      <c r="E1315" s="4" t="s">
        <v>5247</v>
      </c>
      <c r="F1315" s="4" t="s">
        <v>5248</v>
      </c>
      <c r="G1315" s="5" t="str">
        <f>IFERROR(__xludf.DUMMYFUNCTION("GOOGLETRANSLATE(D1315,""el"",""es"")"),"Lasithi")</f>
        <v>Lasithi</v>
      </c>
    </row>
    <row r="1316">
      <c r="A1316" s="4">
        <v>121.0</v>
      </c>
      <c r="B1316" s="4" t="s">
        <v>5668</v>
      </c>
      <c r="C1316" s="4"/>
      <c r="D1316" s="4" t="s">
        <v>5249</v>
      </c>
      <c r="E1316" s="4" t="s">
        <v>5250</v>
      </c>
      <c r="F1316" s="4" t="s">
        <v>5251</v>
      </c>
      <c r="G1316" s="5" t="str">
        <f>IFERROR(__xludf.DUMMYFUNCTION("GOOGLETRANSLATE(D1316,""el"",""es"")"),"Puerto")</f>
        <v>Puerto</v>
      </c>
      <c r="H1316" s="4" t="s">
        <v>5252</v>
      </c>
      <c r="I1316" s="4" t="s">
        <v>5253</v>
      </c>
      <c r="J1316" s="4" t="s">
        <v>5254</v>
      </c>
      <c r="K1316" s="4" t="s">
        <v>5255</v>
      </c>
      <c r="L1316" s="4" t="s">
        <v>5256</v>
      </c>
    </row>
    <row r="1317">
      <c r="A1317" s="4">
        <v>122.0</v>
      </c>
      <c r="B1317" s="4" t="s">
        <v>5668</v>
      </c>
      <c r="C1317" s="4"/>
      <c r="D1317" s="4" t="s">
        <v>5257</v>
      </c>
      <c r="E1317" s="4" t="s">
        <v>5258</v>
      </c>
      <c r="F1317" s="4" t="s">
        <v>5259</v>
      </c>
      <c r="G1317" s="5" t="str">
        <f>IFERROR(__xludf.DUMMYFUNCTION("GOOGLETRANSLATE(D1317,""el"",""es"")"),"rosquilla")</f>
        <v>rosquilla</v>
      </c>
    </row>
    <row r="1318">
      <c r="A1318" s="4">
        <v>123.0</v>
      </c>
      <c r="B1318" s="4" t="s">
        <v>5668</v>
      </c>
      <c r="C1318" s="4"/>
      <c r="D1318" s="4" t="s">
        <v>5260</v>
      </c>
      <c r="E1318" s="4" t="s">
        <v>5261</v>
      </c>
      <c r="F1318" s="4" t="s">
        <v>5262</v>
      </c>
      <c r="G1318" s="5" t="str">
        <f>IFERROR(__xludf.DUMMYFUNCTION("GOOGLETRANSLATE(D1318,""el"",""es"")"),"Turquía")</f>
        <v>Turquía</v>
      </c>
    </row>
    <row r="1319">
      <c r="A1319" s="4">
        <v>124.0</v>
      </c>
      <c r="B1319" s="4" t="s">
        <v>5668</v>
      </c>
      <c r="C1319" s="4"/>
      <c r="D1319" s="4" t="s">
        <v>5263</v>
      </c>
      <c r="E1319" s="4" t="s">
        <v>5264</v>
      </c>
      <c r="F1319" s="4" t="s">
        <v>5265</v>
      </c>
      <c r="G1319" s="5" t="str">
        <f>IFERROR(__xludf.DUMMYFUNCTION("GOOGLETRANSLATE(D1319,""el"",""es"")"),"fueron resueltos")</f>
        <v>fueron resueltos</v>
      </c>
    </row>
    <row r="1320">
      <c r="A1320" s="4">
        <v>125.0</v>
      </c>
      <c r="B1320" s="4" t="s">
        <v>5668</v>
      </c>
      <c r="C1320" s="4"/>
      <c r="D1320" s="4" t="s">
        <v>5266</v>
      </c>
      <c r="E1320" s="4" t="s">
        <v>5237</v>
      </c>
      <c r="F1320" s="4" t="s">
        <v>5238</v>
      </c>
      <c r="G1320" s="5" t="str">
        <f>IFERROR(__xludf.DUMMYFUNCTION("GOOGLETRANSLATE(D1320,""el"",""es"")"),"resuelto")</f>
        <v>resuelto</v>
      </c>
    </row>
    <row r="1321">
      <c r="A1321" s="4">
        <v>126.0</v>
      </c>
      <c r="B1321" s="4" t="s">
        <v>5668</v>
      </c>
      <c r="C1321" s="4"/>
      <c r="D1321" s="4" t="s">
        <v>5267</v>
      </c>
      <c r="E1321" s="4" t="s">
        <v>5268</v>
      </c>
      <c r="F1321" s="4" t="s">
        <v>5269</v>
      </c>
      <c r="G1321" s="5" t="str">
        <f>IFERROR(__xludf.DUMMYFUNCTION("GOOGLETRANSLATE(D1321,""el"",""es"")"),"resuelto")</f>
        <v>resuelto</v>
      </c>
    </row>
    <row r="1322">
      <c r="A1322" s="4">
        <v>127.0</v>
      </c>
      <c r="B1322" s="4" t="s">
        <v>5668</v>
      </c>
      <c r="C1322" s="4"/>
      <c r="D1322" s="4" t="s">
        <v>5270</v>
      </c>
      <c r="E1322" s="4" t="s">
        <v>5271</v>
      </c>
      <c r="F1322" s="4" t="s">
        <v>5272</v>
      </c>
      <c r="G1322" s="5" t="str">
        <f>IFERROR(__xludf.DUMMYFUNCTION("GOOGLETRANSLATE(D1322,""el"",""es"")"),"resuelto")</f>
        <v>resuelto</v>
      </c>
    </row>
    <row r="1323">
      <c r="A1323" s="4">
        <v>128.0</v>
      </c>
      <c r="B1323" s="4" t="s">
        <v>5668</v>
      </c>
      <c r="C1323" s="4"/>
      <c r="D1323" s="4" t="s">
        <v>5273</v>
      </c>
      <c r="E1323" s="4" t="s">
        <v>5274</v>
      </c>
      <c r="F1323" s="4" t="s">
        <v>5275</v>
      </c>
      <c r="G1323" s="5" t="str">
        <f>IFERROR(__xludf.DUMMYFUNCTION("GOOGLETRANSLATE(D1323,""el"",""es"")"),"inteligente")</f>
        <v>inteligente</v>
      </c>
    </row>
    <row r="1324">
      <c r="A1324" s="4">
        <v>129.0</v>
      </c>
      <c r="B1324" s="4" t="s">
        <v>5668</v>
      </c>
      <c r="C1324" s="4"/>
      <c r="D1324" s="4" t="s">
        <v>5276</v>
      </c>
      <c r="E1324" s="4" t="s">
        <v>5264</v>
      </c>
      <c r="F1324" s="4" t="s">
        <v>5265</v>
      </c>
      <c r="G1324" s="5" t="str">
        <f>IFERROR(__xludf.DUMMYFUNCTION("GOOGLETRANSLATE(D1324,""el"",""es"")"),"fueron resueltos")</f>
        <v>fueron resueltos</v>
      </c>
    </row>
    <row r="1325">
      <c r="A1325" s="4">
        <v>130.0</v>
      </c>
      <c r="B1325" s="4" t="s">
        <v>5668</v>
      </c>
      <c r="C1325" s="4"/>
      <c r="D1325" s="4" t="s">
        <v>5277</v>
      </c>
      <c r="E1325" s="4" t="s">
        <v>5278</v>
      </c>
      <c r="F1325" s="4" t="s">
        <v>5279</v>
      </c>
      <c r="G1325" s="5" t="str">
        <f>IFERROR(__xludf.DUMMYFUNCTION("GOOGLETRANSLATE(D1325,""el"",""es"")"),"resolver")</f>
        <v>resolver</v>
      </c>
    </row>
    <row r="1326">
      <c r="A1326" s="4">
        <v>131.0</v>
      </c>
      <c r="B1326" s="4" t="s">
        <v>5668</v>
      </c>
      <c r="C1326" s="4"/>
      <c r="D1326" s="4" t="s">
        <v>5280</v>
      </c>
      <c r="E1326" s="4" t="s">
        <v>5281</v>
      </c>
      <c r="F1326" s="4" t="s">
        <v>5282</v>
      </c>
      <c r="G1326" s="5" t="str">
        <f>IFERROR(__xludf.DUMMYFUNCTION("GOOGLETRANSLATE(D1326,""el"",""es"")"),"resolución")</f>
        <v>resolución</v>
      </c>
    </row>
    <row r="1327">
      <c r="A1327" s="4">
        <v>132.0</v>
      </c>
      <c r="B1327" s="4" t="s">
        <v>5668</v>
      </c>
      <c r="C1327" s="4"/>
      <c r="D1327" s="4" t="s">
        <v>5283</v>
      </c>
      <c r="E1327" s="4" t="s">
        <v>5284</v>
      </c>
      <c r="F1327" s="4" t="s">
        <v>5285</v>
      </c>
      <c r="G1327" s="5" t="str">
        <f>IFERROR(__xludf.DUMMYFUNCTION("GOOGLETRANSLATE(D1327,""el"",""es"")"),"soluciones")</f>
        <v>soluciones</v>
      </c>
    </row>
    <row r="1328">
      <c r="A1328" s="4">
        <v>133.0</v>
      </c>
      <c r="B1328" s="4" t="s">
        <v>5668</v>
      </c>
      <c r="C1328" s="4"/>
      <c r="D1328" s="4" t="s">
        <v>5286</v>
      </c>
      <c r="E1328" s="4" t="s">
        <v>5287</v>
      </c>
      <c r="F1328" s="4" t="s">
        <v>5288</v>
      </c>
      <c r="G1328" s="5" t="str">
        <f>IFERROR(__xludf.DUMMYFUNCTION("GOOGLETRANSLATE(D1328,""el"",""es"")"),"ellos resuelven")</f>
        <v>ellos resuelven</v>
      </c>
    </row>
    <row r="1329">
      <c r="A1329" s="4">
        <v>134.0</v>
      </c>
      <c r="B1329" s="4" t="s">
        <v>5668</v>
      </c>
      <c r="C1329" s="4"/>
      <c r="D1329" s="4" t="s">
        <v>5289</v>
      </c>
      <c r="E1329" s="4" t="s">
        <v>5290</v>
      </c>
      <c r="F1329" s="4" t="s">
        <v>5291</v>
      </c>
      <c r="G1329" s="5" t="str">
        <f>IFERROR(__xludf.DUMMYFUNCTION("GOOGLETRANSLATE(D1329,""el"",""es"")"),"Me arrepentí")</f>
        <v>Me arrepentí</v>
      </c>
    </row>
    <row r="1330">
      <c r="A1330" s="4">
        <v>135.0</v>
      </c>
      <c r="B1330" s="4" t="s">
        <v>5668</v>
      </c>
      <c r="C1330" s="4"/>
      <c r="D1330" s="4" t="s">
        <v>5292</v>
      </c>
      <c r="E1330" s="4" t="s">
        <v>5293</v>
      </c>
      <c r="F1330" s="4" t="s">
        <v>5294</v>
      </c>
      <c r="G1330" s="5" t="str">
        <f>IFERROR(__xludf.DUMMYFUNCTION("GOOGLETRANSLATE(D1330,""el"",""es"")"),"espolvorear")</f>
        <v>espolvorear</v>
      </c>
    </row>
    <row r="1331">
      <c r="A1331" s="4">
        <v>136.0</v>
      </c>
      <c r="B1331" s="4" t="s">
        <v>5668</v>
      </c>
      <c r="C1331" s="4"/>
      <c r="D1331" s="4" t="s">
        <v>5295</v>
      </c>
      <c r="E1331" s="4" t="s">
        <v>2040</v>
      </c>
      <c r="F1331" s="4" t="s">
        <v>2041</v>
      </c>
      <c r="G1331" s="5" t="str">
        <f>IFERROR(__xludf.DUMMYFUNCTION("GOOGLETRANSLATE(D1331,""el"",""es"")"),"resuelto")</f>
        <v>resuelto</v>
      </c>
    </row>
    <row r="1332">
      <c r="A1332" s="4">
        <v>137.0</v>
      </c>
      <c r="B1332" s="4" t="s">
        <v>5668</v>
      </c>
      <c r="C1332" s="4"/>
      <c r="D1332" s="4" t="s">
        <v>5296</v>
      </c>
      <c r="E1332" s="4" t="s">
        <v>2043</v>
      </c>
      <c r="F1332" s="4" t="s">
        <v>2044</v>
      </c>
      <c r="G1332" s="5" t="str">
        <f>IFERROR(__xludf.DUMMYFUNCTION("GOOGLETRANSLATE(D1332,""el"",""es"")"),"soluciones")</f>
        <v>soluciones</v>
      </c>
    </row>
    <row r="1333">
      <c r="A1333" s="4">
        <v>138.0</v>
      </c>
      <c r="B1333" s="4" t="s">
        <v>5668</v>
      </c>
      <c r="C1333" s="4"/>
      <c r="D1333" s="4" t="s">
        <v>5297</v>
      </c>
      <c r="E1333" s="4" t="s">
        <v>2040</v>
      </c>
      <c r="F1333" s="4" t="s">
        <v>2041</v>
      </c>
      <c r="G1333" s="5" t="str">
        <f>IFERROR(__xludf.DUMMYFUNCTION("GOOGLETRANSLATE(D1333,""el"",""es"")"),"solución")</f>
        <v>solución</v>
      </c>
      <c r="H1333" s="4" t="s">
        <v>5298</v>
      </c>
      <c r="I1333" s="4" t="s">
        <v>5299</v>
      </c>
    </row>
    <row r="1334">
      <c r="A1334" s="4">
        <v>139.0</v>
      </c>
      <c r="B1334" s="4" t="s">
        <v>5668</v>
      </c>
      <c r="C1334" s="4"/>
      <c r="D1334" s="4" t="s">
        <v>5300</v>
      </c>
      <c r="E1334" s="4" t="s">
        <v>5301</v>
      </c>
      <c r="F1334" s="4" t="s">
        <v>5302</v>
      </c>
      <c r="G1334" s="5" t="str">
        <f>IFERROR(__xludf.DUMMYFUNCTION("GOOGLETRANSLATE(D1334,""el"",""es"")"),"soluble")</f>
        <v>soluble</v>
      </c>
    </row>
    <row r="1335">
      <c r="A1335" s="4">
        <v>140.0</v>
      </c>
      <c r="B1335" s="4" t="s">
        <v>5668</v>
      </c>
      <c r="C1335" s="4"/>
      <c r="D1335" s="4" t="s">
        <v>5303</v>
      </c>
      <c r="E1335" s="4" t="s">
        <v>5304</v>
      </c>
      <c r="F1335" s="4" t="s">
        <v>5305</v>
      </c>
      <c r="G1335" s="5" t="str">
        <f>IFERROR(__xludf.DUMMYFUNCTION("GOOGLETRANSLATE(D1335,""el"",""es"")"),"resolver")</f>
        <v>resolver</v>
      </c>
    </row>
    <row r="1336">
      <c r="A1336" s="4">
        <v>141.0</v>
      </c>
      <c r="B1336" s="4" t="s">
        <v>5668</v>
      </c>
      <c r="C1336" s="4"/>
      <c r="D1336" s="4" t="s">
        <v>5306</v>
      </c>
      <c r="E1336" s="4" t="s">
        <v>5307</v>
      </c>
      <c r="F1336" s="4" t="s">
        <v>5308</v>
      </c>
      <c r="G1336" s="5" t="str">
        <f>IFERROR(__xludf.DUMMYFUNCTION("GOOGLETRANSLATE(D1336,""el"",""es"")"),"rabia")</f>
        <v>rabia</v>
      </c>
    </row>
    <row r="1337">
      <c r="A1337" s="4">
        <v>142.0</v>
      </c>
      <c r="B1337" s="4" t="s">
        <v>5668</v>
      </c>
      <c r="C1337" s="4"/>
      <c r="D1337" s="4" t="s">
        <v>5309</v>
      </c>
      <c r="E1337" s="4" t="s">
        <v>5310</v>
      </c>
      <c r="F1337" s="4" t="s">
        <v>5311</v>
      </c>
      <c r="G1337" s="5" t="str">
        <f>IFERROR(__xludf.DUMMYFUNCTION("GOOGLETRANSLATE(D1337,""el"",""es"")"),"mamut")</f>
        <v>mamut</v>
      </c>
    </row>
    <row r="1338">
      <c r="A1338" s="4">
        <v>143.0</v>
      </c>
      <c r="B1338" s="4" t="s">
        <v>5668</v>
      </c>
      <c r="C1338" s="4"/>
      <c r="D1338" s="4" t="s">
        <v>5312</v>
      </c>
      <c r="E1338" s="4" t="s">
        <v>5313</v>
      </c>
      <c r="F1338" s="4" t="s">
        <v>5314</v>
      </c>
      <c r="G1338" s="5" t="str">
        <f>IFERROR(__xludf.DUMMYFUNCTION("GOOGLETRANSLATE(D1338,""el"",""es"")"),"masculino")</f>
        <v>masculino</v>
      </c>
    </row>
    <row r="1339">
      <c r="A1339" s="4">
        <v>144.0</v>
      </c>
      <c r="B1339" s="4" t="s">
        <v>5668</v>
      </c>
      <c r="C1339" s="4"/>
      <c r="D1339" s="4" t="s">
        <v>5315</v>
      </c>
      <c r="E1339" s="4" t="s">
        <v>5316</v>
      </c>
      <c r="F1339" s="4" t="s">
        <v>5317</v>
      </c>
      <c r="G1339" s="5" t="str">
        <f>IFERROR(__xludf.DUMMYFUNCTION("GOOGLETRANSLATE(D1339,""el"",""es"")"),"marina")</f>
        <v>marina</v>
      </c>
    </row>
    <row r="1340">
      <c r="A1340" s="4">
        <v>145.0</v>
      </c>
      <c r="B1340" s="4" t="s">
        <v>5668</v>
      </c>
      <c r="C1340" s="4"/>
      <c r="D1340" s="4" t="s">
        <v>5318</v>
      </c>
      <c r="E1340" s="4" t="s">
        <v>5319</v>
      </c>
      <c r="F1340" s="4" t="s">
        <v>5320</v>
      </c>
      <c r="G1340" s="5" t="str">
        <f>IFERROR(__xludf.DUMMYFUNCTION("GOOGLETRANSLATE(D1340,""el"",""es"")"),"marina")</f>
        <v>marina</v>
      </c>
    </row>
    <row r="1341">
      <c r="A1341" s="4">
        <v>146.0</v>
      </c>
      <c r="B1341" s="4" t="s">
        <v>5668</v>
      </c>
      <c r="C1341" s="4"/>
      <c r="D1341" s="4" t="s">
        <v>5321</v>
      </c>
      <c r="E1341" s="4" t="s">
        <v>2554</v>
      </c>
      <c r="F1341" s="4" t="s">
        <v>2553</v>
      </c>
      <c r="G1341" s="5" t="str">
        <f>IFERROR(__xludf.DUMMYFUNCTION("GOOGLETRANSLATE(D1341,""el"",""es"")"),"compañero")</f>
        <v>compañero</v>
      </c>
    </row>
    <row r="1342">
      <c r="A1342" s="4">
        <v>147.0</v>
      </c>
      <c r="B1342" s="4" t="s">
        <v>5668</v>
      </c>
      <c r="C1342" s="4"/>
      <c r="D1342" s="4" t="s">
        <v>5322</v>
      </c>
      <c r="E1342" s="4" t="s">
        <v>2903</v>
      </c>
      <c r="F1342" s="4" t="s">
        <v>2904</v>
      </c>
      <c r="G1342" s="5" t="str">
        <f>IFERROR(__xludf.DUMMYFUNCTION("GOOGLETRANSLATE(D1342,""el"",""es"")"),"mensaje")</f>
        <v>mensaje</v>
      </c>
      <c r="H1342" s="4" t="s">
        <v>5323</v>
      </c>
      <c r="I1342" s="4" t="s">
        <v>5323</v>
      </c>
      <c r="J1342" s="4" t="s">
        <v>5324</v>
      </c>
      <c r="K1342" s="4" t="s">
        <v>5325</v>
      </c>
      <c r="L1342" s="4" t="s">
        <v>5326</v>
      </c>
    </row>
    <row r="1343">
      <c r="A1343" s="4">
        <v>148.0</v>
      </c>
      <c r="B1343" s="4" t="s">
        <v>5668</v>
      </c>
      <c r="C1343" s="4"/>
      <c r="D1343" s="4" t="s">
        <v>5327</v>
      </c>
      <c r="E1343" s="4" t="s">
        <v>5328</v>
      </c>
      <c r="F1343" s="4" t="s">
        <v>5329</v>
      </c>
      <c r="G1343" s="5" t="str">
        <f>IFERROR(__xludf.DUMMYFUNCTION("GOOGLETRANSLATE(D1343,""el"",""es"")"),"imitar")</f>
        <v>imitar</v>
      </c>
    </row>
    <row r="1344">
      <c r="A1344" s="4">
        <v>149.0</v>
      </c>
      <c r="B1344" s="4" t="s">
        <v>5668</v>
      </c>
      <c r="C1344" s="4"/>
      <c r="D1344" s="4" t="s">
        <v>5330</v>
      </c>
      <c r="E1344" s="4" t="s">
        <v>5331</v>
      </c>
      <c r="F1344" s="4" t="s">
        <v>5332</v>
      </c>
      <c r="G1344" s="5" t="str">
        <f>IFERROR(__xludf.DUMMYFUNCTION("GOOGLETRANSLATE(D1344,""el"",""es"")"),"Odiaba")</f>
        <v>Odiaba</v>
      </c>
    </row>
    <row r="1345">
      <c r="A1345" s="4">
        <v>150.0</v>
      </c>
      <c r="B1345" s="4" t="s">
        <v>5668</v>
      </c>
      <c r="C1345" s="4"/>
      <c r="D1345" s="4" t="s">
        <v>5333</v>
      </c>
      <c r="E1345" s="4" t="s">
        <v>2279</v>
      </c>
      <c r="F1345" s="4" t="s">
        <v>2278</v>
      </c>
      <c r="G1345" s="5" t="str">
        <f>IFERROR(__xludf.DUMMYFUNCTION("GOOGLETRANSLATE(D1345,""el"",""es"")"),"pero")</f>
        <v>pero</v>
      </c>
    </row>
    <row r="1346">
      <c r="A1346" s="4">
        <v>151.0</v>
      </c>
      <c r="B1346" s="4" t="s">
        <v>5668</v>
      </c>
      <c r="C1346" s="4"/>
      <c r="D1346" s="4" t="s">
        <v>5334</v>
      </c>
      <c r="E1346" s="4" t="s">
        <v>5335</v>
      </c>
      <c r="F1346" s="4" t="s">
        <v>5336</v>
      </c>
      <c r="G1346" s="5" t="str">
        <f>IFERROR(__xludf.DUMMYFUNCTION("GOOGLETRANSLATE(D1346,""el"",""es"")"),"matemáticas")</f>
        <v>matemáticas</v>
      </c>
      <c r="H1346" s="4" t="s">
        <v>5337</v>
      </c>
      <c r="I1346" s="4" t="s">
        <v>5338</v>
      </c>
      <c r="J1346" s="4" t="s">
        <v>5339</v>
      </c>
    </row>
    <row r="1347">
      <c r="A1347" s="4">
        <v>152.0</v>
      </c>
      <c r="B1347" s="4" t="s">
        <v>5668</v>
      </c>
      <c r="C1347" s="4"/>
      <c r="D1347" s="4" t="s">
        <v>5340</v>
      </c>
      <c r="E1347" s="4" t="s">
        <v>5341</v>
      </c>
      <c r="F1347" s="4" t="s">
        <v>5342</v>
      </c>
      <c r="G1347" s="5" t="str">
        <f>IFERROR(__xludf.DUMMYFUNCTION("GOOGLETRANSLATE(D1347,""el"",""es"")"),"brazalete")</f>
        <v>brazalete</v>
      </c>
    </row>
    <row r="1348">
      <c r="A1348" s="4">
        <v>153.0</v>
      </c>
      <c r="B1348" s="4" t="s">
        <v>5668</v>
      </c>
      <c r="C1348" s="4"/>
      <c r="D1348" s="4" t="s">
        <v>5343</v>
      </c>
      <c r="E1348" s="4" t="s">
        <v>5344</v>
      </c>
      <c r="F1348" s="4" t="s">
        <v>5345</v>
      </c>
      <c r="G1348" s="5" t="str">
        <f>IFERROR(__xludf.DUMMYFUNCTION("GOOGLETRANSLATE(D1348,""el"",""es"")"),"chisme")</f>
        <v>chisme</v>
      </c>
    </row>
    <row r="1349">
      <c r="A1349" s="4">
        <v>154.0</v>
      </c>
      <c r="B1349" s="4" t="s">
        <v>5668</v>
      </c>
      <c r="C1349" s="4"/>
      <c r="D1349" s="4" t="s">
        <v>5346</v>
      </c>
      <c r="E1349" s="4" t="s">
        <v>5313</v>
      </c>
      <c r="F1349" s="4" t="s">
        <v>5314</v>
      </c>
      <c r="G1349" s="5" t="str">
        <f>IFERROR(__xludf.DUMMYFUNCTION("GOOGLETRANSLATE(D1349,""el"",""es"")"),"Malí")</f>
        <v>Malí</v>
      </c>
      <c r="H1349" s="4" t="s">
        <v>5347</v>
      </c>
      <c r="I1349" s="4" t="s">
        <v>5348</v>
      </c>
      <c r="J1349" s="4" t="s">
        <v>5349</v>
      </c>
    </row>
    <row r="1350">
      <c r="A1350" s="4">
        <v>155.0</v>
      </c>
      <c r="B1350" s="4" t="s">
        <v>5668</v>
      </c>
      <c r="C1350" s="4"/>
      <c r="D1350" s="4" t="s">
        <v>5350</v>
      </c>
      <c r="E1350" s="4" t="s">
        <v>5313</v>
      </c>
      <c r="F1350" s="4" t="s">
        <v>5314</v>
      </c>
      <c r="G1350" s="5" t="str">
        <f>IFERROR(__xludf.DUMMYFUNCTION("GOOGLETRANSLATE(D1350,""el"",""es"")"),"pelo")</f>
        <v>pelo</v>
      </c>
      <c r="H1350" s="4" t="s">
        <v>3624</v>
      </c>
      <c r="I1350" s="4" t="s">
        <v>5351</v>
      </c>
      <c r="J1350" s="4" t="s">
        <v>5352</v>
      </c>
      <c r="K1350" s="4" t="s">
        <v>5353</v>
      </c>
      <c r="L1350" s="4" t="s">
        <v>5354</v>
      </c>
      <c r="M1350" s="4" t="s">
        <v>5355</v>
      </c>
      <c r="N1350" s="4" t="s">
        <v>5356</v>
      </c>
      <c r="O1350" s="4" t="s">
        <v>2110</v>
      </c>
    </row>
    <row r="1351">
      <c r="A1351" s="4">
        <v>156.0</v>
      </c>
      <c r="B1351" s="4" t="s">
        <v>5668</v>
      </c>
      <c r="C1351" s="4"/>
      <c r="D1351" s="4" t="s">
        <v>5357</v>
      </c>
      <c r="E1351" s="4" t="s">
        <v>5358</v>
      </c>
      <c r="F1351" s="4" t="s">
        <v>5359</v>
      </c>
      <c r="G1351" s="5" t="str">
        <f>IFERROR(__xludf.DUMMYFUNCTION("GOOGLETRANSLATE(D1351,""el"",""es"")"),"Luche")</f>
        <v>Luche</v>
      </c>
    </row>
    <row r="1352">
      <c r="A1352" s="4">
        <v>157.0</v>
      </c>
      <c r="B1352" s="4" t="s">
        <v>5668</v>
      </c>
      <c r="C1352" s="4"/>
      <c r="D1352" s="4" t="s">
        <v>5360</v>
      </c>
      <c r="E1352" s="4" t="s">
        <v>5361</v>
      </c>
      <c r="F1352" s="4" t="s">
        <v>5362</v>
      </c>
      <c r="G1352" s="5" t="str">
        <f>IFERROR(__xludf.DUMMYFUNCTION("GOOGLETRANSLATE(D1352,""el"",""es"")"),"bobina")</f>
        <v>bobina</v>
      </c>
    </row>
    <row r="1353">
      <c r="A1353" s="4">
        <v>158.0</v>
      </c>
      <c r="B1353" s="4" t="s">
        <v>5668</v>
      </c>
      <c r="C1353" s="4"/>
      <c r="D1353" s="4" t="s">
        <v>5363</v>
      </c>
      <c r="E1353" s="4" t="s">
        <v>341</v>
      </c>
      <c r="F1353" s="4" t="s">
        <v>342</v>
      </c>
      <c r="G1353" s="5" t="str">
        <f>IFERROR(__xludf.DUMMYFUNCTION("GOOGLETRANSLATE(D1353,""el"",""es"")"),"no")</f>
        <v>no</v>
      </c>
    </row>
    <row r="1354">
      <c r="A1354" s="4">
        <v>159.0</v>
      </c>
      <c r="B1354" s="4" t="s">
        <v>5668</v>
      </c>
      <c r="C1354" s="4"/>
      <c r="D1354" s="4" t="s">
        <v>5364</v>
      </c>
      <c r="E1354" s="4" t="s">
        <v>2652</v>
      </c>
      <c r="F1354" s="4" t="s">
        <v>2651</v>
      </c>
      <c r="G1354" s="5" t="str">
        <f>IFERROR(__xludf.DUMMYFUNCTION("GOOGLETRANSLATE(D1354,""el"",""es"")"),"árbol de manzana")</f>
        <v>árbol de manzana</v>
      </c>
      <c r="H1354" s="4" t="s">
        <v>5365</v>
      </c>
    </row>
    <row r="1355">
      <c r="A1355" s="4">
        <v>160.0</v>
      </c>
      <c r="B1355" s="4" t="s">
        <v>5668</v>
      </c>
      <c r="C1355" s="4"/>
      <c r="D1355" s="4" t="s">
        <v>5366</v>
      </c>
      <c r="E1355" s="4" t="s">
        <v>5367</v>
      </c>
      <c r="F1355" s="4" t="s">
        <v>5368</v>
      </c>
      <c r="G1355" s="5" t="str">
        <f>IFERROR(__xludf.DUMMYFUNCTION("GOOGLETRANSLATE(D1355,""el"",""es"")"),"Fui demandado")</f>
        <v>Fui demandado</v>
      </c>
    </row>
    <row r="1356">
      <c r="A1356" s="4">
        <v>161.0</v>
      </c>
      <c r="B1356" s="4" t="s">
        <v>5668</v>
      </c>
      <c r="C1356" s="4"/>
      <c r="D1356" s="4" t="s">
        <v>5369</v>
      </c>
      <c r="E1356" s="4" t="s">
        <v>341</v>
      </c>
      <c r="F1356" s="4" t="s">
        <v>342</v>
      </c>
      <c r="G1356" s="5" t="str">
        <f>IFERROR(__xludf.DUMMYFUNCTION("GOOGLETRANSLATE(D1356,""el"",""es"")"),"metro")</f>
        <v>metro</v>
      </c>
    </row>
    <row r="1357">
      <c r="A1357" s="4">
        <v>162.0</v>
      </c>
      <c r="B1357" s="4" t="s">
        <v>5668</v>
      </c>
      <c r="C1357" s="4"/>
      <c r="D1357" s="4" t="s">
        <v>5370</v>
      </c>
      <c r="E1357" s="4" t="s">
        <v>5371</v>
      </c>
      <c r="F1357" s="4" t="s">
        <v>5372</v>
      </c>
      <c r="G1357" s="5" t="str">
        <f>IFERROR(__xludf.DUMMYFUNCTION("GOOGLETRANSLATE(D1357,""el"",""es"")"),"Odiaba")</f>
        <v>Odiaba</v>
      </c>
    </row>
    <row r="1358">
      <c r="A1358" s="4">
        <v>163.0</v>
      </c>
      <c r="B1358" s="4" t="s">
        <v>5668</v>
      </c>
      <c r="C1358" s="4"/>
      <c r="D1358" s="4" t="s">
        <v>5373</v>
      </c>
      <c r="E1358" s="4" t="s">
        <v>2717</v>
      </c>
      <c r="F1358" s="4" t="s">
        <v>2718</v>
      </c>
      <c r="G1358" s="5" t="str">
        <f>IFERROR(__xludf.DUMMYFUNCTION("GOOGLETRANSLATE(D1358,""el"",""es"")"),"Misisipí")</f>
        <v>Misisipí</v>
      </c>
    </row>
    <row r="1359">
      <c r="A1359" s="4">
        <v>164.0</v>
      </c>
      <c r="B1359" s="4" t="s">
        <v>5668</v>
      </c>
      <c r="C1359" s="4"/>
      <c r="D1359" s="4" t="s">
        <v>5374</v>
      </c>
      <c r="E1359" s="4" t="s">
        <v>5375</v>
      </c>
      <c r="F1359" s="4" t="s">
        <v>5376</v>
      </c>
      <c r="G1359" s="5" t="str">
        <f>IFERROR(__xludf.DUMMYFUNCTION("GOOGLETRANSLATE(D1359,""el"",""es"")"),"Miguel")</f>
        <v>Miguel</v>
      </c>
    </row>
    <row r="1360">
      <c r="A1360" s="4">
        <v>165.0</v>
      </c>
      <c r="B1360" s="4" t="s">
        <v>5668</v>
      </c>
      <c r="C1360" s="4"/>
      <c r="D1360" s="4" t="s">
        <v>5377</v>
      </c>
      <c r="E1360" s="4" t="s">
        <v>5378</v>
      </c>
      <c r="F1360" s="4" t="s">
        <v>5379</v>
      </c>
      <c r="G1360" s="5" t="str">
        <f>IFERROR(__xludf.DUMMYFUNCTION("GOOGLETRANSLATE(D1360,""el"",""es"")"),"intercambio")</f>
        <v>intercambio</v>
      </c>
    </row>
    <row r="1361">
      <c r="A1361" s="4">
        <v>166.0</v>
      </c>
      <c r="B1361" s="4" t="s">
        <v>5668</v>
      </c>
      <c r="C1361" s="4"/>
      <c r="D1361" s="4" t="s">
        <v>5380</v>
      </c>
      <c r="E1361" s="4" t="s">
        <v>5381</v>
      </c>
      <c r="F1361" s="4" t="s">
        <v>5382</v>
      </c>
      <c r="G1361" s="5" t="str">
        <f>IFERROR(__xludf.DUMMYFUNCTION("GOOGLETRANSLATE(D1361,""el"",""es"")"),"coño")</f>
        <v>coño</v>
      </c>
    </row>
    <row r="1362">
      <c r="A1362" s="4">
        <v>167.0</v>
      </c>
      <c r="B1362" s="4" t="s">
        <v>5668</v>
      </c>
      <c r="C1362" s="4"/>
      <c r="D1362" s="4" t="s">
        <v>5383</v>
      </c>
      <c r="E1362" s="4" t="s">
        <v>5384</v>
      </c>
      <c r="F1362" s="4" t="s">
        <v>5385</v>
      </c>
      <c r="G1362" s="5" t="str">
        <f>IFERROR(__xludf.DUMMYFUNCTION("GOOGLETRANSLATE(D1362,""el"",""es"")"),"coño")</f>
        <v>coño</v>
      </c>
      <c r="H1362" s="4" t="s">
        <v>3432</v>
      </c>
      <c r="I1362" s="4" t="s">
        <v>2724</v>
      </c>
      <c r="J1362" s="4" t="s">
        <v>2725</v>
      </c>
      <c r="K1362" s="4" t="s">
        <v>3433</v>
      </c>
      <c r="L1362" s="4" t="s">
        <v>3434</v>
      </c>
      <c r="M1362" s="4" t="s">
        <v>3435</v>
      </c>
    </row>
    <row r="1363">
      <c r="A1363" s="4">
        <v>168.0</v>
      </c>
      <c r="B1363" s="4" t="s">
        <v>5668</v>
      </c>
      <c r="C1363" s="4"/>
      <c r="D1363" s="4" t="s">
        <v>5386</v>
      </c>
      <c r="E1363" s="4" t="s">
        <v>5387</v>
      </c>
      <c r="F1363" s="4" t="s">
        <v>5388</v>
      </c>
      <c r="G1363" s="5" t="str">
        <f>IFERROR(__xludf.DUMMYFUNCTION("GOOGLETRANSLATE(D1363,""el"",""es"")"),"lienzo")</f>
        <v>lienzo</v>
      </c>
    </row>
    <row r="1364">
      <c r="A1364" s="4">
        <v>169.0</v>
      </c>
      <c r="B1364" s="4" t="s">
        <v>5668</v>
      </c>
      <c r="C1364" s="4"/>
      <c r="D1364" s="4" t="s">
        <v>5389</v>
      </c>
      <c r="E1364" s="4" t="s">
        <v>5390</v>
      </c>
      <c r="F1364" s="4" t="s">
        <v>5391</v>
      </c>
      <c r="G1364" s="5" t="str">
        <f>IFERROR(__xludf.DUMMYFUNCTION("GOOGLETRANSLATE(D1364,""el"",""es"")"),"arrojar")</f>
        <v>arrojar</v>
      </c>
    </row>
    <row r="1365">
      <c r="A1365" s="4">
        <v>170.0</v>
      </c>
      <c r="B1365" s="4" t="s">
        <v>5668</v>
      </c>
      <c r="C1365" s="4"/>
      <c r="D1365" s="4" t="s">
        <v>5392</v>
      </c>
      <c r="E1365" s="4" t="s">
        <v>2710</v>
      </c>
      <c r="F1365" s="4" t="s">
        <v>2711</v>
      </c>
      <c r="G1365" s="5" t="str">
        <f>IFERROR(__xludf.DUMMYFUNCTION("GOOGLETRANSLATE(D1365,""el"",""es"")"),"Sra")</f>
        <v>Sra</v>
      </c>
    </row>
    <row r="1366">
      <c r="A1366" s="4">
        <v>171.0</v>
      </c>
      <c r="B1366" s="4" t="s">
        <v>5668</v>
      </c>
      <c r="C1366" s="4"/>
      <c r="D1366" s="4" t="s">
        <v>5393</v>
      </c>
      <c r="E1366" s="4" t="s">
        <v>5394</v>
      </c>
      <c r="F1366" s="4" t="s">
        <v>5395</v>
      </c>
      <c r="G1366" s="5" t="str">
        <f>IFERROR(__xludf.DUMMYFUNCTION("GOOGLETRANSLATE(D1366,""el"",""es"")"),"mystara")</f>
        <v>mystara</v>
      </c>
    </row>
    <row r="1367">
      <c r="A1367" s="4">
        <v>172.0</v>
      </c>
      <c r="B1367" s="4" t="s">
        <v>5668</v>
      </c>
      <c r="C1367" s="4"/>
      <c r="D1367" s="4" t="s">
        <v>5396</v>
      </c>
      <c r="E1367" s="4" t="s">
        <v>5397</v>
      </c>
      <c r="F1367" s="4" t="s">
        <v>5398</v>
      </c>
      <c r="G1367" s="5" t="str">
        <f>IFERROR(__xludf.DUMMYFUNCTION("GOOGLETRANSLATE(D1367,""el"",""es"")"),"mystarass")</f>
        <v>mystarass</v>
      </c>
    </row>
    <row r="1368">
      <c r="A1368" s="4">
        <v>173.0</v>
      </c>
      <c r="B1368" s="4" t="s">
        <v>5668</v>
      </c>
      <c r="C1368" s="4"/>
      <c r="D1368" s="4" t="s">
        <v>5399</v>
      </c>
      <c r="E1368" s="4" t="s">
        <v>5400</v>
      </c>
      <c r="F1368" s="4" t="s">
        <v>5401</v>
      </c>
      <c r="G1368" s="5" t="str">
        <f>IFERROR(__xludf.DUMMYFUNCTION("GOOGLETRANSLATE(D1368,""el"",""es"")"),"mytar")</f>
        <v>mytar</v>
      </c>
    </row>
    <row r="1369">
      <c r="A1369" s="4">
        <v>174.0</v>
      </c>
      <c r="B1369" s="4" t="s">
        <v>5668</v>
      </c>
      <c r="C1369" s="4"/>
      <c r="D1369" s="4" t="s">
        <v>5402</v>
      </c>
      <c r="E1369" s="4" t="s">
        <v>5403</v>
      </c>
      <c r="F1369" s="4" t="s">
        <v>5404</v>
      </c>
      <c r="G1369" s="5" t="str">
        <f>IFERROR(__xludf.DUMMYFUNCTION("GOOGLETRANSLATE(D1369,""el"",""es"")"),"Mitileno")</f>
        <v>Mitileno</v>
      </c>
    </row>
    <row r="1370">
      <c r="A1370" s="4">
        <v>175.0</v>
      </c>
      <c r="B1370" s="4" t="s">
        <v>5668</v>
      </c>
      <c r="C1370" s="4"/>
      <c r="D1370" s="4" t="s">
        <v>5405</v>
      </c>
      <c r="E1370" s="4" t="s">
        <v>5406</v>
      </c>
      <c r="F1370" s="4" t="s">
        <v>5407</v>
      </c>
      <c r="G1370" s="5" t="str">
        <f>IFERROR(__xludf.DUMMYFUNCTION("GOOGLETRANSLATE(D1370,""el"",""es"")"),"nariz")</f>
        <v>nariz</v>
      </c>
    </row>
    <row r="1371">
      <c r="A1371" s="4">
        <v>176.0</v>
      </c>
      <c r="B1371" s="4" t="s">
        <v>5668</v>
      </c>
      <c r="C1371" s="4"/>
      <c r="D1371" s="4" t="s">
        <v>5408</v>
      </c>
      <c r="E1371" s="4" t="s">
        <v>5409</v>
      </c>
      <c r="F1371" s="4" t="s">
        <v>2601</v>
      </c>
      <c r="G1371" s="5" t="str">
        <f>IFERROR(__xludf.DUMMYFUNCTION("GOOGLETRANSLATE(D1371,""el"",""es"")"),"volar")</f>
        <v>volar</v>
      </c>
      <c r="H1371" s="4" t="s">
        <v>371</v>
      </c>
    </row>
    <row r="1372">
      <c r="A1372" s="4">
        <v>177.0</v>
      </c>
      <c r="B1372" s="4" t="s">
        <v>5668</v>
      </c>
      <c r="C1372" s="4"/>
      <c r="D1372" s="4" t="s">
        <v>5410</v>
      </c>
      <c r="E1372" s="4" t="s">
        <v>5411</v>
      </c>
      <c r="F1372" s="4" t="s">
        <v>5412</v>
      </c>
      <c r="G1372" s="5" t="str">
        <f>IFERROR(__xludf.DUMMYFUNCTION("GOOGLETRANSLATE(D1372,""el"",""es"")"),"nariz")</f>
        <v>nariz</v>
      </c>
      <c r="H1372" s="4" t="s">
        <v>5413</v>
      </c>
      <c r="I1372" s="4" t="s">
        <v>5414</v>
      </c>
      <c r="J1372" s="4" t="s">
        <v>5415</v>
      </c>
      <c r="K1372" s="4" t="s">
        <v>1187</v>
      </c>
      <c r="L1372" s="4" t="s">
        <v>3705</v>
      </c>
      <c r="M1372" s="4" t="s">
        <v>2933</v>
      </c>
      <c r="N1372" s="4" t="s">
        <v>2934</v>
      </c>
    </row>
    <row r="1373">
      <c r="A1373" s="4">
        <v>178.0</v>
      </c>
      <c r="B1373" s="4" t="s">
        <v>5668</v>
      </c>
      <c r="C1373" s="4"/>
      <c r="D1373" s="4" t="s">
        <v>5416</v>
      </c>
      <c r="E1373" s="4" t="s">
        <v>2926</v>
      </c>
      <c r="F1373" s="4" t="s">
        <v>2927</v>
      </c>
      <c r="G1373" s="5" t="str">
        <f>IFERROR(__xludf.DUMMYFUNCTION("GOOGLETRANSLATE(D1373,""el"",""es"")"),"enano")</f>
        <v>enano</v>
      </c>
    </row>
    <row r="1374">
      <c r="A1374" s="4">
        <v>179.0</v>
      </c>
      <c r="B1374" s="4" t="s">
        <v>5668</v>
      </c>
      <c r="C1374" s="4"/>
      <c r="D1374" s="4" t="s">
        <v>5417</v>
      </c>
      <c r="E1374" s="4" t="s">
        <v>2987</v>
      </c>
      <c r="F1374" s="4" t="s">
        <v>2988</v>
      </c>
      <c r="G1374" s="5" t="str">
        <f>IFERROR(__xludf.DUMMYFUNCTION("GOOGLETRANSLATE(D1374,""el"",""es"")"),"Islas")</f>
        <v>Islas</v>
      </c>
    </row>
    <row r="1375">
      <c r="A1375" s="4">
        <v>180.0</v>
      </c>
      <c r="B1375" s="4" t="s">
        <v>5668</v>
      </c>
      <c r="C1375" s="4"/>
      <c r="D1375" s="4" t="s">
        <v>5418</v>
      </c>
      <c r="E1375" s="4" t="s">
        <v>5419</v>
      </c>
      <c r="F1375" s="4" t="s">
        <v>5420</v>
      </c>
      <c r="G1375" s="5" t="str">
        <f>IFERROR(__xludf.DUMMYFUNCTION("GOOGLETRANSLATE(D1375,""el"",""es"")"),"Nichaga")</f>
        <v>Nichaga</v>
      </c>
    </row>
    <row r="1376">
      <c r="A1376" s="4">
        <v>181.0</v>
      </c>
      <c r="B1376" s="4" t="s">
        <v>5668</v>
      </c>
      <c r="C1376" s="4"/>
      <c r="D1376" s="4" t="s">
        <v>5421</v>
      </c>
      <c r="E1376" s="4" t="s">
        <v>388</v>
      </c>
      <c r="F1376" s="4" t="s">
        <v>389</v>
      </c>
      <c r="G1376" s="5" t="str">
        <f>IFERROR(__xludf.DUMMYFUNCTION("GOOGLETRANSLATE(D1376,""el"",""es"")"),"NI")</f>
        <v>NI</v>
      </c>
    </row>
    <row r="1377">
      <c r="A1377" s="4">
        <v>182.0</v>
      </c>
      <c r="B1377" s="4" t="s">
        <v>5668</v>
      </c>
      <c r="C1377" s="4"/>
      <c r="D1377" s="4" t="s">
        <v>5422</v>
      </c>
      <c r="E1377" s="4" t="s">
        <v>5423</v>
      </c>
      <c r="F1377" s="4" t="s">
        <v>5424</v>
      </c>
      <c r="G1377" s="5" t="str">
        <f>IFERROR(__xludf.DUMMYFUNCTION("GOOGLETRANSLATE(D1377,""el"",""es"")"),"juventud")</f>
        <v>juventud</v>
      </c>
    </row>
    <row r="1378">
      <c r="A1378" s="4">
        <v>183.0</v>
      </c>
      <c r="B1378" s="4" t="s">
        <v>5668</v>
      </c>
      <c r="C1378" s="4"/>
      <c r="D1378" s="4" t="s">
        <v>5425</v>
      </c>
      <c r="E1378" s="4" t="s">
        <v>5426</v>
      </c>
      <c r="F1378" s="4" t="s">
        <v>5427</v>
      </c>
      <c r="G1378" s="5" t="str">
        <f>IFERROR(__xludf.DUMMYFUNCTION("GOOGLETRANSLATE(D1378,""el"",""es"")"),"Fui derrotado")</f>
        <v>Fui derrotado</v>
      </c>
    </row>
    <row r="1379">
      <c r="A1379" s="4">
        <v>184.0</v>
      </c>
      <c r="B1379" s="4" t="s">
        <v>5668</v>
      </c>
      <c r="C1379" s="4"/>
      <c r="D1379" s="4" t="s">
        <v>5428</v>
      </c>
      <c r="E1379" s="4" t="s">
        <v>5429</v>
      </c>
      <c r="F1379" s="4" t="s">
        <v>5430</v>
      </c>
      <c r="G1379" s="5" t="str">
        <f>IFERROR(__xludf.DUMMYFUNCTION("GOOGLETRANSLATE(D1379,""el"",""es"")"),"Nicusa")</f>
        <v>Nicusa</v>
      </c>
    </row>
    <row r="1380">
      <c r="A1380" s="4">
        <v>185.0</v>
      </c>
      <c r="B1380" s="4" t="s">
        <v>5668</v>
      </c>
      <c r="C1380" s="4"/>
      <c r="D1380" s="4" t="s">
        <v>5431</v>
      </c>
      <c r="E1380" s="4" t="s">
        <v>5432</v>
      </c>
      <c r="F1380" s="4" t="s">
        <v>5433</v>
      </c>
      <c r="G1380" s="5" t="str">
        <f>IFERROR(__xludf.DUMMYFUNCTION("GOOGLETRANSLATE(D1380,""el"",""es"")"),"cicatriz")</f>
        <v>cicatriz</v>
      </c>
    </row>
    <row r="1381">
      <c r="A1381" s="4">
        <v>186.0</v>
      </c>
      <c r="B1381" s="4" t="s">
        <v>5668</v>
      </c>
      <c r="C1381" s="4"/>
      <c r="D1381" s="4" t="s">
        <v>5434</v>
      </c>
      <c r="E1381" s="4" t="s">
        <v>5435</v>
      </c>
      <c r="F1381" s="4" t="s">
        <v>5436</v>
      </c>
      <c r="G1381" s="5" t="str">
        <f>IFERROR(__xludf.DUMMYFUNCTION("GOOGLETRANSLATE(D1381,""el"",""es"")"),"Yo presioné")</f>
        <v>Yo presioné</v>
      </c>
    </row>
    <row r="1382">
      <c r="A1382" s="4">
        <v>187.0</v>
      </c>
      <c r="B1382" s="4" t="s">
        <v>5668</v>
      </c>
      <c r="C1382" s="4"/>
      <c r="D1382" s="4" t="s">
        <v>5437</v>
      </c>
      <c r="E1382" s="4" t="s">
        <v>5438</v>
      </c>
      <c r="F1382" s="4" t="s">
        <v>5439</v>
      </c>
      <c r="G1382" s="5" t="str">
        <f>IFERROR(__xludf.DUMMYFUNCTION("GOOGLETRANSLATE(D1382,""el"",""es"")"),"pitos")</f>
        <v>pitos</v>
      </c>
    </row>
    <row r="1383">
      <c r="A1383" s="4">
        <v>188.0</v>
      </c>
      <c r="B1383" s="4" t="s">
        <v>5668</v>
      </c>
      <c r="C1383" s="4"/>
      <c r="D1383" s="4" t="s">
        <v>5440</v>
      </c>
      <c r="E1383" s="4" t="s">
        <v>5441</v>
      </c>
      <c r="F1383" s="4" t="s">
        <v>5442</v>
      </c>
      <c r="G1383" s="5" t="str">
        <f>IFERROR(__xludf.DUMMYFUNCTION("GOOGLETRANSLATE(D1383,""el"",""es"")"),"médula")</f>
        <v>médula</v>
      </c>
    </row>
    <row r="1384">
      <c r="A1384" s="4">
        <v>189.0</v>
      </c>
      <c r="B1384" s="4" t="s">
        <v>5668</v>
      </c>
      <c r="C1384" s="4"/>
      <c r="D1384" s="4" t="s">
        <v>5443</v>
      </c>
      <c r="E1384" s="4" t="s">
        <v>5444</v>
      </c>
      <c r="F1384" s="4" t="s">
        <v>5445</v>
      </c>
      <c r="G1384" s="5" t="str">
        <f>IFERROR(__xludf.DUMMYFUNCTION("GOOGLETRANSLATE(D1384,""el"",""es"")"),"médula")</f>
        <v>médula</v>
      </c>
    </row>
    <row r="1385">
      <c r="A1385" s="4">
        <v>190.0</v>
      </c>
      <c r="B1385" s="4" t="s">
        <v>5668</v>
      </c>
      <c r="C1385" s="4"/>
      <c r="D1385" s="4" t="s">
        <v>5446</v>
      </c>
      <c r="E1385" s="4" t="s">
        <v>5447</v>
      </c>
      <c r="F1385" s="4" t="s">
        <v>5448</v>
      </c>
      <c r="G1385" s="5" t="str">
        <f>IFERROR(__xludf.DUMMYFUNCTION("GOOGLETRANSLATE(D1385,""el"",""es"")"),"él bebe")</f>
        <v>él bebe</v>
      </c>
    </row>
    <row r="1386">
      <c r="A1386" s="4">
        <v>191.0</v>
      </c>
      <c r="B1386" s="4" t="s">
        <v>5668</v>
      </c>
      <c r="C1386" s="4"/>
      <c r="D1386" s="4" t="s">
        <v>5449</v>
      </c>
      <c r="E1386" s="4" t="s">
        <v>5450</v>
      </c>
      <c r="F1386" s="4" t="s">
        <v>5451</v>
      </c>
      <c r="G1386" s="5" t="str">
        <f>IFERROR(__xludf.DUMMYFUNCTION("GOOGLETRANSLATE(D1386,""el"",""es"")"),"Bebiendo")</f>
        <v>Bebiendo</v>
      </c>
    </row>
    <row r="1387">
      <c r="A1387" s="4">
        <v>192.0</v>
      </c>
      <c r="B1387" s="4" t="s">
        <v>5668</v>
      </c>
      <c r="C1387" s="4"/>
      <c r="D1387" s="4" t="s">
        <v>5452</v>
      </c>
      <c r="E1387" s="4" t="s">
        <v>3554</v>
      </c>
      <c r="F1387" s="4" t="s">
        <v>3553</v>
      </c>
      <c r="G1387" s="5" t="str">
        <f>IFERROR(__xludf.DUMMYFUNCTION("GOOGLETRANSLATE(D1387,""el"",""es"")"),"tubo")</f>
        <v>tubo</v>
      </c>
      <c r="H1387" s="4" t="s">
        <v>5453</v>
      </c>
      <c r="I1387" s="4" t="s">
        <v>3555</v>
      </c>
      <c r="J1387" s="4" t="s">
        <v>3556</v>
      </c>
    </row>
    <row r="1388">
      <c r="A1388" s="4">
        <v>193.0</v>
      </c>
      <c r="B1388" s="4" t="s">
        <v>5668</v>
      </c>
      <c r="C1388" s="4"/>
      <c r="D1388" s="4" t="s">
        <v>5454</v>
      </c>
      <c r="E1388" s="4" t="s">
        <v>394</v>
      </c>
      <c r="F1388" s="4" t="s">
        <v>395</v>
      </c>
      <c r="G1388" s="5" t="str">
        <f>IFERROR(__xludf.DUMMYFUNCTION("GOOGLETRANSLATE(D1388,""el"",""es"")"),"tarta")</f>
        <v>tarta</v>
      </c>
      <c r="H1388" s="4" t="s">
        <v>5455</v>
      </c>
    </row>
    <row r="1389">
      <c r="A1389" s="4">
        <v>194.0</v>
      </c>
      <c r="B1389" s="4" t="s">
        <v>5668</v>
      </c>
      <c r="C1389" s="4"/>
      <c r="D1389" s="4" t="s">
        <v>5456</v>
      </c>
      <c r="E1389" s="4" t="s">
        <v>5457</v>
      </c>
      <c r="F1389" s="4" t="s">
        <v>5458</v>
      </c>
      <c r="G1389" s="5" t="str">
        <f>IFERROR(__xludf.DUMMYFUNCTION("GOOGLETRANSLATE(D1389,""el"",""es"")"),"cristal")</f>
        <v>cristal</v>
      </c>
    </row>
    <row r="1390">
      <c r="A1390" s="4">
        <v>195.0</v>
      </c>
      <c r="B1390" s="4" t="s">
        <v>5668</v>
      </c>
      <c r="C1390" s="4"/>
      <c r="D1390" s="4" t="s">
        <v>5459</v>
      </c>
      <c r="E1390" s="4" t="s">
        <v>3187</v>
      </c>
      <c r="F1390" s="4" t="s">
        <v>3186</v>
      </c>
      <c r="G1390" s="5" t="str">
        <f>IFERROR(__xludf.DUMMYFUNCTION("GOOGLETRANSLATE(D1390,""el"",""es"")"),"antiguo")</f>
        <v>antiguo</v>
      </c>
    </row>
    <row r="1391">
      <c r="A1391" s="4">
        <v>196.0</v>
      </c>
      <c r="B1391" s="4" t="s">
        <v>5668</v>
      </c>
      <c r="C1391" s="4"/>
      <c r="D1391" s="4" t="s">
        <v>5460</v>
      </c>
      <c r="E1391" s="4" t="s">
        <v>5461</v>
      </c>
      <c r="F1391" s="4" t="s">
        <v>5462</v>
      </c>
      <c r="G1391" s="5" t="str">
        <f>IFERROR(__xludf.DUMMYFUNCTION("GOOGLETRANSLATE(D1391,""el"",""es"")"),"Panamas")</f>
        <v>Panamas</v>
      </c>
    </row>
    <row r="1392">
      <c r="A1392" s="4">
        <v>197.0</v>
      </c>
      <c r="B1392" s="4" t="s">
        <v>5668</v>
      </c>
      <c r="C1392" s="4"/>
      <c r="D1392" s="4" t="s">
        <v>5463</v>
      </c>
      <c r="E1392" s="4" t="s">
        <v>5464</v>
      </c>
      <c r="F1392" s="4" t="s">
        <v>5465</v>
      </c>
      <c r="G1392" s="5" t="str">
        <f>IFERROR(__xludf.DUMMYFUNCTION("GOOGLETRANSLATE(D1392,""el"",""es"")"),"papara")</f>
        <v>papara</v>
      </c>
    </row>
    <row r="1393">
      <c r="A1393" s="4">
        <v>198.0</v>
      </c>
      <c r="B1393" s="4" t="s">
        <v>5668</v>
      </c>
      <c r="C1393" s="4"/>
      <c r="D1393" s="4" t="s">
        <v>5466</v>
      </c>
      <c r="E1393" s="4" t="s">
        <v>5467</v>
      </c>
      <c r="F1393" s="4" t="s">
        <v>5468</v>
      </c>
      <c r="G1393" s="5" t="str">
        <f>IFERROR(__xludf.DUMMYFUNCTION("GOOGLETRANSLATE(D1393,""el"",""es"")"),"paparazzi")</f>
        <v>paparazzi</v>
      </c>
    </row>
    <row r="1394">
      <c r="A1394" s="4">
        <v>199.0</v>
      </c>
      <c r="B1394" s="4" t="s">
        <v>5668</v>
      </c>
      <c r="C1394" s="4"/>
      <c r="D1394" s="4" t="s">
        <v>5469</v>
      </c>
      <c r="E1394" s="4" t="s">
        <v>5470</v>
      </c>
      <c r="F1394" s="4" t="s">
        <v>5471</v>
      </c>
      <c r="G1394" s="5" t="str">
        <f>IFERROR(__xludf.DUMMYFUNCTION("GOOGLETRANSLATE(D1394,""el"",""es"")"),"estallido")</f>
        <v>estallido</v>
      </c>
    </row>
    <row r="1395">
      <c r="A1395" s="4">
        <v>200.0</v>
      </c>
      <c r="B1395" s="4" t="s">
        <v>5668</v>
      </c>
      <c r="C1395" s="4"/>
      <c r="D1395" s="4" t="s">
        <v>5472</v>
      </c>
      <c r="E1395" s="4" t="s">
        <v>5473</v>
      </c>
      <c r="F1395" s="4" t="s">
        <v>5474</v>
      </c>
      <c r="G1395" s="5" t="str">
        <f>IFERROR(__xludf.DUMMYFUNCTION("GOOGLETRANSLATE(D1395,""el"",""es"")"),"abuelo")</f>
        <v>abuelo</v>
      </c>
    </row>
    <row r="1396">
      <c r="A1396" s="4">
        <v>201.0</v>
      </c>
      <c r="B1396" s="4" t="s">
        <v>5668</v>
      </c>
      <c r="C1396" s="4"/>
      <c r="D1396" s="4" t="s">
        <v>5475</v>
      </c>
      <c r="E1396" s="4" t="s">
        <v>5476</v>
      </c>
      <c r="F1396" s="4" t="s">
        <v>5477</v>
      </c>
      <c r="G1396" s="5" t="str">
        <f>IFERROR(__xludf.DUMMYFUNCTION("GOOGLETRANSLATE(D1396,""el"",""es"")"),"pausa")</f>
        <v>pausa</v>
      </c>
    </row>
    <row r="1397">
      <c r="A1397" s="4">
        <v>202.0</v>
      </c>
      <c r="B1397" s="4" t="s">
        <v>5668</v>
      </c>
      <c r="C1397" s="4"/>
      <c r="D1397" s="4" t="s">
        <v>5478</v>
      </c>
      <c r="E1397" s="4" t="s">
        <v>5479</v>
      </c>
      <c r="F1397" s="4" t="s">
        <v>5480</v>
      </c>
      <c r="G1397" s="5" t="str">
        <f>IFERROR(__xludf.DUMMYFUNCTION("GOOGLETRANSLATE(D1397,""el"",""es"")"),"París")</f>
        <v>París</v>
      </c>
      <c r="H1397" s="4" t="s">
        <v>3352</v>
      </c>
      <c r="I1397" s="4" t="s">
        <v>3358</v>
      </c>
      <c r="J1397" s="4" t="s">
        <v>3359</v>
      </c>
      <c r="K1397" s="4" t="s">
        <v>3360</v>
      </c>
    </row>
    <row r="1398">
      <c r="A1398" s="4">
        <v>203.0</v>
      </c>
      <c r="B1398" s="4" t="s">
        <v>5668</v>
      </c>
      <c r="C1398" s="4"/>
      <c r="D1398" s="4" t="s">
        <v>5481</v>
      </c>
      <c r="E1398" s="4" t="s">
        <v>5482</v>
      </c>
      <c r="F1398" s="4" t="s">
        <v>5483</v>
      </c>
      <c r="G1398" s="5" t="str">
        <f>IFERROR(__xludf.DUMMYFUNCTION("GOOGLETRANSLATE(D1398,""el"",""es"")"),"cuento de hadas")</f>
        <v>cuento de hadas</v>
      </c>
      <c r="H1398" s="4" t="s">
        <v>5484</v>
      </c>
      <c r="I1398" s="4" t="s">
        <v>5485</v>
      </c>
      <c r="J1398" s="4" t="s">
        <v>5486</v>
      </c>
    </row>
    <row r="1399">
      <c r="A1399" s="4">
        <v>204.0</v>
      </c>
      <c r="B1399" s="4" t="s">
        <v>5668</v>
      </c>
      <c r="C1399" s="4"/>
      <c r="D1399" s="4" t="s">
        <v>5487</v>
      </c>
      <c r="E1399" s="4" t="s">
        <v>3362</v>
      </c>
      <c r="F1399" s="4" t="s">
        <v>3361</v>
      </c>
      <c r="G1399" s="5" t="str">
        <f>IFERROR(__xludf.DUMMYFUNCTION("GOOGLETRANSLATE(D1399,""el"",""es"")"),"PASAR")</f>
        <v>PASAR</v>
      </c>
    </row>
    <row r="1400">
      <c r="A1400" s="4">
        <v>205.0</v>
      </c>
      <c r="B1400" s="4" t="s">
        <v>5668</v>
      </c>
      <c r="C1400" s="4"/>
      <c r="D1400" s="4" t="s">
        <v>5488</v>
      </c>
      <c r="E1400" s="4" t="s">
        <v>5489</v>
      </c>
      <c r="F1400" s="4" t="s">
        <v>5490</v>
      </c>
      <c r="G1400" s="5" t="str">
        <f>IFERROR(__xludf.DUMMYFUNCTION("GOOGLETRANSLATE(D1400,""el"",""es"")"),"Serví")</f>
        <v>Serví</v>
      </c>
    </row>
    <row r="1401">
      <c r="A1401" s="4">
        <v>206.0</v>
      </c>
      <c r="B1401" s="4" t="s">
        <v>5668</v>
      </c>
      <c r="C1401" s="4"/>
      <c r="D1401" s="4" t="s">
        <v>5491</v>
      </c>
      <c r="E1401" s="4" t="s">
        <v>5492</v>
      </c>
      <c r="F1401" s="4" t="s">
        <v>5493</v>
      </c>
      <c r="G1401" s="5" t="str">
        <f>IFERROR(__xludf.DUMMYFUNCTION("GOOGLETRANSLATE(D1401,""el"",""es"")"),"Pavimenté")</f>
        <v>Pavimenté</v>
      </c>
    </row>
    <row r="1402">
      <c r="A1402" s="4">
        <v>207.0</v>
      </c>
      <c r="B1402" s="4" t="s">
        <v>5668</v>
      </c>
      <c r="C1402" s="4"/>
      <c r="D1402" s="4" t="s">
        <v>5494</v>
      </c>
      <c r="E1402" s="4" t="s">
        <v>5495</v>
      </c>
      <c r="F1402" s="4" t="s">
        <v>5496</v>
      </c>
      <c r="G1402" s="5" t="str">
        <f>IFERROR(__xludf.DUMMYFUNCTION("GOOGLETRANSLATE(D1402,""el"",""es"")"),"pie")</f>
        <v>pie</v>
      </c>
      <c r="H1402" s="4" t="s">
        <v>2861</v>
      </c>
      <c r="I1402" s="4" t="s">
        <v>4040</v>
      </c>
    </row>
    <row r="1403">
      <c r="A1403" s="4">
        <v>208.0</v>
      </c>
      <c r="B1403" s="4" t="s">
        <v>5668</v>
      </c>
      <c r="C1403" s="4"/>
      <c r="D1403" s="4" t="s">
        <v>5497</v>
      </c>
      <c r="E1403" s="4" t="s">
        <v>3541</v>
      </c>
      <c r="F1403" s="4" t="s">
        <v>3542</v>
      </c>
      <c r="G1403" s="5" t="str">
        <f>IFERROR(__xludf.DUMMYFUNCTION("GOOGLETRANSLATE(D1403,""el"",""es"")"),"estaba hambriento")</f>
        <v>estaba hambriento</v>
      </c>
    </row>
    <row r="1404">
      <c r="A1404" s="4">
        <v>209.0</v>
      </c>
      <c r="B1404" s="4" t="s">
        <v>5668</v>
      </c>
      <c r="C1404" s="4"/>
      <c r="D1404" s="4" t="s">
        <v>5498</v>
      </c>
      <c r="E1404" s="4" t="s">
        <v>229</v>
      </c>
      <c r="F1404" s="4" t="s">
        <v>230</v>
      </c>
      <c r="G1404" s="5" t="str">
        <f>IFERROR(__xludf.DUMMYFUNCTION("GOOGLETRANSLATE(D1404,""el"",""es"")"),"Pi")</f>
        <v>Pi</v>
      </c>
    </row>
    <row r="1405">
      <c r="A1405" s="4">
        <v>210.0</v>
      </c>
      <c r="B1405" s="4" t="s">
        <v>5668</v>
      </c>
      <c r="C1405" s="4"/>
      <c r="D1405" s="4" t="s">
        <v>5499</v>
      </c>
      <c r="E1405" s="4" t="s">
        <v>5500</v>
      </c>
      <c r="F1405" s="4" t="s">
        <v>5501</v>
      </c>
      <c r="G1405" s="5" t="str">
        <f>IFERROR(__xludf.DUMMYFUNCTION("GOOGLETRANSLATE(D1405,""el"",""es"")"),"tocadiscos")</f>
        <v>tocadiscos</v>
      </c>
    </row>
    <row r="1406">
      <c r="A1406" s="4">
        <v>211.0</v>
      </c>
      <c r="B1406" s="4" t="s">
        <v>5668</v>
      </c>
      <c r="C1406" s="4"/>
      <c r="D1406" s="4" t="s">
        <v>5502</v>
      </c>
      <c r="E1406" s="4" t="s">
        <v>5503</v>
      </c>
      <c r="F1406" s="4" t="s">
        <v>5504</v>
      </c>
      <c r="G1406" s="5" t="str">
        <f>IFERROR(__xludf.DUMMYFUNCTION("GOOGLETRANSLATE(D1406,""el"",""es"")"),"pepita")</f>
        <v>pepita</v>
      </c>
    </row>
    <row r="1407">
      <c r="A1407" s="4">
        <v>212.0</v>
      </c>
      <c r="B1407" s="4" t="s">
        <v>5668</v>
      </c>
      <c r="C1407" s="4"/>
      <c r="D1407" s="4" t="s">
        <v>5505</v>
      </c>
      <c r="E1407" s="4" t="s">
        <v>5506</v>
      </c>
      <c r="F1407" s="4" t="s">
        <v>5507</v>
      </c>
      <c r="G1407" s="5" t="str">
        <f>IFERROR(__xludf.DUMMYFUNCTION("GOOGLETRANSLATE(D1407,""el"",""es"")"),"tenedores")</f>
        <v>tenedores</v>
      </c>
    </row>
    <row r="1408">
      <c r="A1408" s="4">
        <v>213.0</v>
      </c>
      <c r="B1408" s="4" t="s">
        <v>5668</v>
      </c>
      <c r="C1408" s="4"/>
      <c r="D1408" s="4" t="s">
        <v>5508</v>
      </c>
      <c r="E1408" s="4" t="s">
        <v>5509</v>
      </c>
      <c r="F1408" s="4" t="s">
        <v>5510</v>
      </c>
      <c r="G1408" s="5" t="str">
        <f>IFERROR(__xludf.DUMMYFUNCTION("GOOGLETRANSLATE(D1408,""el"",""es"")"),"potro")</f>
        <v>potro</v>
      </c>
      <c r="H1408" s="4" t="s">
        <v>3638</v>
      </c>
    </row>
    <row r="1409">
      <c r="A1409" s="4">
        <v>214.0</v>
      </c>
      <c r="B1409" s="4" t="s">
        <v>5668</v>
      </c>
      <c r="C1409" s="4"/>
      <c r="D1409" s="4" t="s">
        <v>5511</v>
      </c>
      <c r="E1409" s="4" t="s">
        <v>5512</v>
      </c>
      <c r="F1409" s="4" t="s">
        <v>5513</v>
      </c>
      <c r="G1409" s="5" t="str">
        <f>IFERROR(__xludf.DUMMYFUNCTION("GOOGLETRANSLATE(D1409,""el"",""es"")"),"Me vendieron")</f>
        <v>Me vendieron</v>
      </c>
    </row>
    <row r="1410">
      <c r="A1410" s="4">
        <v>215.0</v>
      </c>
      <c r="B1410" s="4" t="s">
        <v>5668</v>
      </c>
      <c r="C1410" s="4"/>
      <c r="D1410" s="4" t="s">
        <v>5514</v>
      </c>
      <c r="E1410" s="4" t="s">
        <v>3615</v>
      </c>
      <c r="F1410" s="4" t="s">
        <v>3616</v>
      </c>
      <c r="G1410" s="5" t="str">
        <f>IFERROR(__xludf.DUMMYFUNCTION("GOOGLETRANSLATE(D1410,""el"",""es"")"),"pájaro")</f>
        <v>pájaro</v>
      </c>
      <c r="H1410" s="4" t="s">
        <v>5515</v>
      </c>
      <c r="I1410" s="4" t="s">
        <v>3596</v>
      </c>
      <c r="J1410" s="4" t="s">
        <v>3497</v>
      </c>
      <c r="K1410" s="4" t="s">
        <v>3597</v>
      </c>
      <c r="L1410" s="4" t="s">
        <v>3598</v>
      </c>
      <c r="M1410" s="4" t="s">
        <v>3599</v>
      </c>
      <c r="N1410" s="4" t="s">
        <v>3600</v>
      </c>
      <c r="O1410" s="4" t="s">
        <v>3601</v>
      </c>
      <c r="P1410" s="4" t="s">
        <v>3602</v>
      </c>
    </row>
    <row r="1411">
      <c r="A1411" s="4">
        <v>216.0</v>
      </c>
      <c r="B1411" s="4" t="s">
        <v>5668</v>
      </c>
      <c r="C1411" s="4"/>
      <c r="D1411" s="4" t="s">
        <v>5516</v>
      </c>
      <c r="E1411" s="4" t="s">
        <v>3783</v>
      </c>
      <c r="F1411" s="4" t="s">
        <v>3782</v>
      </c>
      <c r="G1411" s="5" t="str">
        <f>IFERROR(__xludf.DUMMYFUNCTION("GOOGLETRANSLATE(D1411,""el"",""es"")"),"puta")</f>
        <v>puta</v>
      </c>
    </row>
    <row r="1412">
      <c r="A1412" s="4">
        <v>217.0</v>
      </c>
      <c r="B1412" s="4" t="s">
        <v>5668</v>
      </c>
      <c r="C1412" s="4"/>
      <c r="D1412" s="4" t="s">
        <v>5517</v>
      </c>
      <c r="E1412" s="4" t="s">
        <v>5518</v>
      </c>
      <c r="F1412" s="4" t="s">
        <v>5519</v>
      </c>
      <c r="G1412" s="5" t="str">
        <f>IFERROR(__xludf.DUMMYFUNCTION("GOOGLETRANSLATE(D1412,""el"",""es"")"),"denunciante")</f>
        <v>denunciante</v>
      </c>
    </row>
    <row r="1413">
      <c r="A1413" s="4">
        <v>218.0</v>
      </c>
      <c r="B1413" s="4" t="s">
        <v>5668</v>
      </c>
      <c r="C1413" s="4"/>
      <c r="D1413" s="4" t="s">
        <v>5520</v>
      </c>
      <c r="E1413" s="4" t="s">
        <v>5521</v>
      </c>
      <c r="F1413" s="4" t="s">
        <v>5522</v>
      </c>
      <c r="G1413" s="5" t="str">
        <f>IFERROR(__xludf.DUMMYFUNCTION("GOOGLETRANSLATE(D1413,""el"",""es"")"),"vendido")</f>
        <v>vendido</v>
      </c>
    </row>
    <row r="1414">
      <c r="A1414" s="4">
        <v>219.0</v>
      </c>
      <c r="B1414" s="4" t="s">
        <v>5668</v>
      </c>
      <c r="C1414" s="4"/>
      <c r="D1414" s="4" t="s">
        <v>5523</v>
      </c>
      <c r="E1414" s="4" t="s">
        <v>3615</v>
      </c>
      <c r="F1414" s="4" t="s">
        <v>3616</v>
      </c>
      <c r="G1414" s="5" t="str">
        <f>IFERROR(__xludf.DUMMYFUNCTION("GOOGLETRANSLATE(D1414,""el"",""es"")"),"pájaro")</f>
        <v>pájaro</v>
      </c>
    </row>
    <row r="1415">
      <c r="A1415" s="4">
        <v>220.0</v>
      </c>
      <c r="B1415" s="4" t="s">
        <v>5668</v>
      </c>
      <c r="C1415" s="4"/>
      <c r="D1415" s="4" t="s">
        <v>5524</v>
      </c>
      <c r="E1415" s="4" t="s">
        <v>5525</v>
      </c>
      <c r="F1415" s="4" t="s">
        <v>5526</v>
      </c>
      <c r="G1415" s="5" t="str">
        <f>IFERROR(__xludf.DUMMYFUNCTION("GOOGLETRANSLATE(D1415,""el"",""es"")"),"pira")</f>
        <v>pira</v>
      </c>
      <c r="H1415" s="4" t="s">
        <v>907</v>
      </c>
      <c r="I1415" s="4" t="s">
        <v>5527</v>
      </c>
      <c r="J1415" s="4" t="s">
        <v>5528</v>
      </c>
      <c r="K1415" s="4" t="s">
        <v>5529</v>
      </c>
    </row>
    <row r="1416">
      <c r="A1416" s="4">
        <v>221.0</v>
      </c>
      <c r="B1416" s="4" t="s">
        <v>5668</v>
      </c>
      <c r="C1416" s="4"/>
      <c r="D1416" s="4" t="s">
        <v>5530</v>
      </c>
      <c r="E1416" s="4" t="s">
        <v>5531</v>
      </c>
      <c r="F1416" s="4" t="s">
        <v>5532</v>
      </c>
      <c r="G1416" s="5" t="str">
        <f>IFERROR(__xludf.DUMMYFUNCTION("GOOGLETRANSLATE(D1416,""el"",""es"")"),"fosa nasal")</f>
        <v>fosa nasal</v>
      </c>
    </row>
    <row r="1417">
      <c r="A1417" s="4">
        <v>222.0</v>
      </c>
      <c r="B1417" s="4" t="s">
        <v>5668</v>
      </c>
      <c r="C1417" s="4"/>
      <c r="D1417" s="4" t="s">
        <v>5533</v>
      </c>
      <c r="E1417" s="4" t="s">
        <v>5534</v>
      </c>
      <c r="F1417" s="4" t="s">
        <v>5535</v>
      </c>
      <c r="G1417" s="5" t="str">
        <f>IFERROR(__xludf.DUMMYFUNCTION("GOOGLETRANSLATE(D1417,""el"",""es"")"),"bofetada")</f>
        <v>bofetada</v>
      </c>
    </row>
    <row r="1418">
      <c r="A1418" s="4">
        <v>223.0</v>
      </c>
      <c r="B1418" s="4" t="s">
        <v>5668</v>
      </c>
      <c r="C1418" s="4"/>
      <c r="D1418" s="4" t="s">
        <v>5536</v>
      </c>
      <c r="E1418" s="4" t="s">
        <v>5537</v>
      </c>
      <c r="F1418" s="4" t="s">
        <v>5538</v>
      </c>
      <c r="G1418" s="5" t="str">
        <f>IFERROR(__xludf.DUMMYFUNCTION("GOOGLETRANSLATE(D1418,""el"",""es"")"),"chip")</f>
        <v>chip</v>
      </c>
    </row>
    <row r="1419">
      <c r="A1419" s="4">
        <v>224.0</v>
      </c>
      <c r="B1419" s="4" t="s">
        <v>5668</v>
      </c>
      <c r="C1419" s="4"/>
      <c r="D1419" s="4" t="s">
        <v>5539</v>
      </c>
      <c r="E1419" s="4" t="s">
        <v>5540</v>
      </c>
      <c r="F1419" s="4" t="s">
        <v>5541</v>
      </c>
      <c r="G1419" s="5" t="str">
        <f>IFERROR(__xludf.DUMMYFUNCTION("GOOGLETRANSLATE(D1419,""el"",""es"")"),"chaqueta")</f>
        <v>chaqueta</v>
      </c>
    </row>
    <row r="1420">
      <c r="A1420" s="4">
        <v>225.0</v>
      </c>
      <c r="B1420" s="4" t="s">
        <v>5668</v>
      </c>
      <c r="C1420" s="4"/>
      <c r="D1420" s="4" t="s">
        <v>5542</v>
      </c>
      <c r="E1420" s="4" t="s">
        <v>5543</v>
      </c>
      <c r="F1420" s="4" t="s">
        <v>5544</v>
      </c>
      <c r="G1420" s="5" t="str">
        <f>IFERROR(__xludf.DUMMYFUNCTION("GOOGLETRANSLATE(D1420,""el"",""es"")"),"salamis")</f>
        <v>salamis</v>
      </c>
    </row>
    <row r="1421">
      <c r="A1421" s="4">
        <v>226.0</v>
      </c>
      <c r="B1421" s="4" t="s">
        <v>5668</v>
      </c>
      <c r="C1421" s="4"/>
      <c r="D1421" s="4" t="s">
        <v>5545</v>
      </c>
      <c r="E1421" s="4" t="s">
        <v>5546</v>
      </c>
      <c r="F1421" s="4" t="s">
        <v>5547</v>
      </c>
      <c r="G1421" s="5" t="str">
        <f>IFERROR(__xludf.DUMMYFUNCTION("GOOGLETRANSLATE(D1421,""el"",""es"")"),"sable")</f>
        <v>sable</v>
      </c>
    </row>
    <row r="1422">
      <c r="A1422" s="4">
        <v>227.0</v>
      </c>
      <c r="B1422" s="4" t="s">
        <v>5668</v>
      </c>
      <c r="C1422" s="4"/>
      <c r="D1422" s="4" t="s">
        <v>5548</v>
      </c>
      <c r="E1422" s="4" t="s">
        <v>5549</v>
      </c>
      <c r="F1422" s="4" t="s">
        <v>5550</v>
      </c>
      <c r="G1422" s="5" t="str">
        <f>IFERROR(__xludf.DUMMYFUNCTION("GOOGLETRANSLATE(D1422,""el"",""es"")"),"jabón")</f>
        <v>jabón</v>
      </c>
      <c r="H1422" s="4" t="s">
        <v>5551</v>
      </c>
    </row>
    <row r="1423">
      <c r="A1423" s="4">
        <v>228.0</v>
      </c>
      <c r="B1423" s="4" t="s">
        <v>5668</v>
      </c>
      <c r="C1423" s="4"/>
      <c r="D1423" s="4" t="s">
        <v>5552</v>
      </c>
      <c r="E1423" s="4" t="s">
        <v>5553</v>
      </c>
      <c r="F1423" s="4" t="s">
        <v>5554</v>
      </c>
      <c r="G1423" s="5" t="str">
        <f>IFERROR(__xludf.DUMMYFUNCTION("GOOGLETRANSLATE(D1423,""el"",""es"")"),"despacio")</f>
        <v>despacio</v>
      </c>
    </row>
    <row r="1424">
      <c r="A1424" s="4">
        <v>229.0</v>
      </c>
      <c r="B1424" s="4" t="s">
        <v>5668</v>
      </c>
      <c r="C1424" s="4"/>
      <c r="D1424" s="4" t="s">
        <v>5555</v>
      </c>
      <c r="E1424" s="4" t="s">
        <v>5534</v>
      </c>
      <c r="F1424" s="4" t="s">
        <v>5535</v>
      </c>
      <c r="G1424" s="5" t="str">
        <f>IFERROR(__xludf.DUMMYFUNCTION("GOOGLETRANSLATE(D1424,""el"",""es"")"),"silas")</f>
        <v>silas</v>
      </c>
    </row>
    <row r="1425">
      <c r="A1425" s="4">
        <v>230.0</v>
      </c>
      <c r="B1425" s="4" t="s">
        <v>5668</v>
      </c>
      <c r="C1425" s="4"/>
      <c r="D1425" s="4" t="s">
        <v>5556</v>
      </c>
      <c r="E1425" s="4" t="s">
        <v>5557</v>
      </c>
      <c r="F1425" s="4" t="s">
        <v>5558</v>
      </c>
      <c r="G1425" s="5" t="str">
        <f>IFERROR(__xludf.DUMMYFUNCTION("GOOGLETRANSLATE(D1425,""el"",""es"")"),"Era")</f>
        <v>Era</v>
      </c>
    </row>
    <row r="1426">
      <c r="A1426" s="4">
        <v>231.0</v>
      </c>
      <c r="B1426" s="4" t="s">
        <v>5668</v>
      </c>
      <c r="C1426" s="4"/>
      <c r="D1426" s="4" t="s">
        <v>5559</v>
      </c>
      <c r="E1426" s="4" t="s">
        <v>4173</v>
      </c>
      <c r="F1426" s="4" t="s">
        <v>4172</v>
      </c>
      <c r="G1426" s="5" t="str">
        <f>IFERROR(__xludf.DUMMYFUNCTION("GOOGLETRANSLATE(D1426,""el"",""es"")"),"Surinam")</f>
        <v>Surinam</v>
      </c>
      <c r="H1426" s="4" t="s">
        <v>5560</v>
      </c>
      <c r="I1426" s="4" t="s">
        <v>5561</v>
      </c>
      <c r="J1426" s="4" t="s">
        <v>5562</v>
      </c>
      <c r="K1426" s="4" t="s">
        <v>5563</v>
      </c>
      <c r="L1426" s="4" t="s">
        <v>5564</v>
      </c>
    </row>
    <row r="1427">
      <c r="A1427" s="4">
        <v>232.0</v>
      </c>
      <c r="B1427" s="4" t="s">
        <v>5668</v>
      </c>
      <c r="C1427" s="4"/>
      <c r="D1427" s="4" t="s">
        <v>5565</v>
      </c>
      <c r="E1427" s="4" t="s">
        <v>5566</v>
      </c>
      <c r="F1427" s="4" t="s">
        <v>5567</v>
      </c>
      <c r="G1427" s="5" t="str">
        <f>IFERROR(__xludf.DUMMYFUNCTION("GOOGLETRANSLATE(D1427,""el"",""es"")"),"disparar")</f>
        <v>disparar</v>
      </c>
    </row>
    <row r="1428">
      <c r="A1428" s="4">
        <v>233.0</v>
      </c>
      <c r="B1428" s="4" t="s">
        <v>5668</v>
      </c>
      <c r="C1428" s="4"/>
      <c r="D1428" s="4" t="s">
        <v>5568</v>
      </c>
      <c r="E1428" s="4" t="s">
        <v>5569</v>
      </c>
      <c r="F1428" s="4" t="s">
        <v>5570</v>
      </c>
      <c r="G1428" s="5" t="str">
        <f>IFERROR(__xludf.DUMMYFUNCTION("GOOGLETRANSLATE(D1428,""el"",""es"")"),"Disparo")</f>
        <v>Disparo</v>
      </c>
    </row>
    <row r="1429">
      <c r="A1429" s="4">
        <v>234.0</v>
      </c>
      <c r="B1429" s="4" t="s">
        <v>5668</v>
      </c>
      <c r="C1429" s="4"/>
      <c r="D1429" s="4" t="s">
        <v>5571</v>
      </c>
      <c r="E1429" s="4" t="s">
        <v>5572</v>
      </c>
      <c r="F1429" s="4" t="s">
        <v>5573</v>
      </c>
      <c r="G1429" s="5" t="str">
        <f>IFERROR(__xludf.DUMMYFUNCTION("GOOGLETRANSLATE(D1429,""el"",""es"")"),"higo")</f>
        <v>higo</v>
      </c>
    </row>
    <row r="1430">
      <c r="A1430" s="4">
        <v>235.0</v>
      </c>
      <c r="B1430" s="4" t="s">
        <v>5668</v>
      </c>
      <c r="C1430" s="4"/>
      <c r="D1430" s="4" t="s">
        <v>5574</v>
      </c>
      <c r="E1430" s="4" t="s">
        <v>5575</v>
      </c>
      <c r="F1430" s="4" t="s">
        <v>5576</v>
      </c>
      <c r="G1430" s="5" t="str">
        <f>IFERROR(__xludf.DUMMYFUNCTION("GOOGLETRANSLATE(D1430,""el"",""es"")"),"habitual")</f>
        <v>habitual</v>
      </c>
    </row>
    <row r="1431">
      <c r="A1431" s="4">
        <v>236.0</v>
      </c>
      <c r="B1431" s="4" t="s">
        <v>5668</v>
      </c>
      <c r="C1431" s="4"/>
      <c r="D1431" s="4" t="s">
        <v>5577</v>
      </c>
      <c r="E1431" s="4" t="s">
        <v>5578</v>
      </c>
      <c r="F1431" s="4" t="s">
        <v>5579</v>
      </c>
      <c r="G1431" s="5" t="str">
        <f>IFERROR(__xludf.DUMMYFUNCTION("GOOGLETRANSLATE(D1431,""el"",""es"")"),"Fui atacado")</f>
        <v>Fui atacado</v>
      </c>
    </row>
    <row r="1432">
      <c r="A1432" s="4">
        <v>237.0</v>
      </c>
      <c r="B1432" s="4" t="s">
        <v>5668</v>
      </c>
      <c r="C1432" s="4"/>
      <c r="D1432" s="4" t="s">
        <v>5580</v>
      </c>
      <c r="E1432" s="4" t="s">
        <v>5581</v>
      </c>
      <c r="F1432" s="4" t="s">
        <v>5582</v>
      </c>
      <c r="G1432" s="5" t="str">
        <f>IFERROR(__xludf.DUMMYFUNCTION("GOOGLETRANSLATE(D1432,""el"",""es"")"),"tam")</f>
        <v>tam</v>
      </c>
    </row>
    <row r="1433">
      <c r="A1433" s="4">
        <v>238.0</v>
      </c>
      <c r="B1433" s="4" t="s">
        <v>5668</v>
      </c>
      <c r="C1433" s="4"/>
      <c r="D1433" s="4" t="s">
        <v>5583</v>
      </c>
      <c r="E1433" s="4" t="s">
        <v>5584</v>
      </c>
      <c r="F1433" s="4" t="s">
        <v>4226</v>
      </c>
      <c r="G1433" s="5" t="str">
        <f>IFERROR(__xludf.DUMMYFUNCTION("GOOGLETRANSLATE(D1433,""el"",""es"")"),"según cabe suponer")</f>
        <v>según cabe suponer</v>
      </c>
    </row>
    <row r="1434">
      <c r="A1434" s="4">
        <v>239.0</v>
      </c>
      <c r="B1434" s="4" t="s">
        <v>5668</v>
      </c>
      <c r="C1434" s="4"/>
      <c r="D1434" s="4" t="s">
        <v>5585</v>
      </c>
      <c r="E1434" s="4" t="s">
        <v>5586</v>
      </c>
      <c r="F1434" s="4" t="s">
        <v>5587</v>
      </c>
      <c r="G1434" s="5" t="str">
        <f>IFERROR(__xludf.DUMMYFUNCTION("GOOGLETRANSLATE(D1434,""el"",""es"")"),"Tina")</f>
        <v>Tina</v>
      </c>
    </row>
    <row r="1435">
      <c r="A1435" s="4">
        <v>240.0</v>
      </c>
      <c r="B1435" s="4" t="s">
        <v>5668</v>
      </c>
      <c r="C1435" s="4"/>
      <c r="D1435" s="4" t="s">
        <v>5588</v>
      </c>
      <c r="E1435" s="4" t="s">
        <v>5589</v>
      </c>
      <c r="F1435" s="4" t="s">
        <v>5590</v>
      </c>
      <c r="G1435" s="5" t="str">
        <f>IFERROR(__xludf.DUMMYFUNCTION("GOOGLETRANSLATE(D1435,""el"",""es"")"),"oropel")</f>
        <v>oropel</v>
      </c>
    </row>
    <row r="1436">
      <c r="A1436" s="4">
        <v>241.0</v>
      </c>
      <c r="B1436" s="4" t="s">
        <v>5668</v>
      </c>
      <c r="C1436" s="4"/>
      <c r="D1436" s="4" t="s">
        <v>5591</v>
      </c>
      <c r="E1436" s="4" t="s">
        <v>5592</v>
      </c>
      <c r="F1436" s="4" t="s">
        <v>5593</v>
      </c>
      <c r="G1436" s="5" t="str">
        <f>IFERROR(__xludf.DUMMYFUNCTION("GOOGLETRANSLATE(D1436,""el"",""es"")"),"estaño")</f>
        <v>estaño</v>
      </c>
    </row>
    <row r="1437">
      <c r="A1437" s="4">
        <v>242.0</v>
      </c>
      <c r="B1437" s="4" t="s">
        <v>5668</v>
      </c>
      <c r="C1437" s="4"/>
      <c r="D1437" s="4" t="s">
        <v>5594</v>
      </c>
      <c r="E1437" s="4" t="s">
        <v>5595</v>
      </c>
      <c r="F1437" s="4" t="s">
        <v>5596</v>
      </c>
      <c r="G1437" s="5" t="str">
        <f>IFERROR(__xludf.DUMMYFUNCTION("GOOGLETRANSLATE(D1437,""el"",""es"")"),"tisi")</f>
        <v>tisi</v>
      </c>
    </row>
    <row r="1438">
      <c r="A1438" s="4">
        <v>243.0</v>
      </c>
      <c r="B1438" s="4" t="s">
        <v>5668</v>
      </c>
      <c r="C1438" s="4"/>
      <c r="D1438" s="4" t="s">
        <v>5597</v>
      </c>
      <c r="E1438" s="4" t="s">
        <v>5598</v>
      </c>
      <c r="F1438" s="4" t="s">
        <v>5599</v>
      </c>
      <c r="G1438" s="5" t="str">
        <f>IFERROR(__xludf.DUMMYFUNCTION("GOOGLETRANSLATE(D1438,""el"",""es"")"),"bolsa")</f>
        <v>bolsa</v>
      </c>
    </row>
    <row r="1439">
      <c r="A1439" s="4">
        <v>244.0</v>
      </c>
      <c r="B1439" s="4" t="s">
        <v>5668</v>
      </c>
      <c r="C1439" s="4"/>
      <c r="D1439" s="4" t="s">
        <v>5600</v>
      </c>
      <c r="E1439" s="4" t="s">
        <v>5601</v>
      </c>
      <c r="F1439" s="4" t="s">
        <v>5602</v>
      </c>
      <c r="G1439" s="5" t="str">
        <f>IFERROR(__xludf.DUMMYFUNCTION("GOOGLETRANSLATE(D1439,""el"",""es"")"),"taramas")</f>
        <v>taramas</v>
      </c>
    </row>
    <row r="1440">
      <c r="A1440" s="4">
        <v>245.0</v>
      </c>
      <c r="B1440" s="4" t="s">
        <v>5668</v>
      </c>
      <c r="C1440" s="4"/>
      <c r="D1440" s="4" t="s">
        <v>5603</v>
      </c>
      <c r="E1440" s="4" t="s">
        <v>427</v>
      </c>
      <c r="F1440" s="4" t="s">
        <v>428</v>
      </c>
      <c r="G1440" s="5" t="str">
        <f>IFERROR(__xludf.DUMMYFUNCTION("GOOGLETRANSLATE(D1440,""el"",""es"")"),"de")</f>
        <v>de</v>
      </c>
    </row>
    <row r="1441">
      <c r="A1441" s="4">
        <v>246.0</v>
      </c>
      <c r="B1441" s="4" t="s">
        <v>5668</v>
      </c>
      <c r="C1441" s="4"/>
      <c r="D1441" s="4" t="s">
        <v>5604</v>
      </c>
      <c r="E1441" s="4" t="s">
        <v>5605</v>
      </c>
      <c r="F1441" s="4" t="s">
        <v>5606</v>
      </c>
      <c r="G1441" s="5" t="str">
        <f>IFERROR(__xludf.DUMMYFUNCTION("GOOGLETRANSLATE(D1441,""el"",""es"")"),"precio")</f>
        <v>precio</v>
      </c>
      <c r="H1441" s="4" t="s">
        <v>5607</v>
      </c>
      <c r="I1441" s="4" t="s">
        <v>5608</v>
      </c>
      <c r="J1441" s="4" t="s">
        <v>5607</v>
      </c>
      <c r="K1441" s="4" t="s">
        <v>5609</v>
      </c>
      <c r="L1441" s="4" t="s">
        <v>5610</v>
      </c>
      <c r="M1441" s="4" t="s">
        <v>5611</v>
      </c>
      <c r="N1441" s="4" t="s">
        <v>5612</v>
      </c>
    </row>
    <row r="1442">
      <c r="A1442" s="4">
        <v>247.0</v>
      </c>
      <c r="B1442" s="4" t="s">
        <v>5668</v>
      </c>
      <c r="C1442" s="4"/>
      <c r="D1442" s="4" t="s">
        <v>5613</v>
      </c>
      <c r="E1442" s="4" t="s">
        <v>427</v>
      </c>
      <c r="F1442" s="4" t="s">
        <v>428</v>
      </c>
      <c r="G1442" s="5" t="str">
        <f>IFERROR(__xludf.DUMMYFUNCTION("GOOGLETRANSLATE(D1442,""el"",""es"")"),"Tis")</f>
        <v>Tis</v>
      </c>
    </row>
    <row r="1443">
      <c r="A1443" s="4">
        <v>248.0</v>
      </c>
      <c r="B1443" s="4" t="s">
        <v>5668</v>
      </c>
      <c r="C1443" s="4"/>
      <c r="D1443" s="4" t="s">
        <v>5614</v>
      </c>
      <c r="E1443" s="4" t="s">
        <v>430</v>
      </c>
      <c r="F1443" s="4" t="s">
        <v>431</v>
      </c>
      <c r="G1443" s="5" t="str">
        <f>IFERROR(__xludf.DUMMYFUNCTION("GOOGLETRANSLATE(D1443,""el"",""es"")"),"Titán")</f>
        <v>Titán</v>
      </c>
    </row>
    <row r="1444">
      <c r="A1444" s="4">
        <v>249.0</v>
      </c>
      <c r="B1444" s="4" t="s">
        <v>5668</v>
      </c>
      <c r="C1444" s="4"/>
      <c r="D1444" s="4" t="s">
        <v>5615</v>
      </c>
      <c r="E1444" s="4" t="s">
        <v>5616</v>
      </c>
      <c r="F1444" s="4" t="s">
        <v>5617</v>
      </c>
      <c r="G1444" s="5" t="str">
        <f>IFERROR(__xludf.DUMMYFUNCTION("GOOGLETRANSLATE(D1444,""el"",""es"")"),"Titán")</f>
        <v>Titán</v>
      </c>
    </row>
    <row r="1445">
      <c r="A1445" s="4">
        <v>250.0</v>
      </c>
      <c r="B1445" s="4" t="s">
        <v>5668</v>
      </c>
      <c r="C1445" s="4"/>
      <c r="D1445" s="4" t="s">
        <v>5618</v>
      </c>
      <c r="E1445" s="4" t="s">
        <v>5619</v>
      </c>
      <c r="F1445" s="4" t="s">
        <v>5620</v>
      </c>
      <c r="G1445" s="5" t="str">
        <f>IFERROR(__xludf.DUMMYFUNCTION("GOOGLETRANSLATE(D1445,""el"",""es"")"),"Titanas")</f>
        <v>Titanas</v>
      </c>
    </row>
    <row r="1446">
      <c r="A1446" s="4">
        <v>251.0</v>
      </c>
      <c r="B1446" s="4" t="s">
        <v>5668</v>
      </c>
      <c r="C1446" s="4"/>
      <c r="D1446" s="4" t="s">
        <v>5621</v>
      </c>
      <c r="E1446" s="4" t="s">
        <v>5622</v>
      </c>
      <c r="F1446" s="4" t="s">
        <v>5623</v>
      </c>
      <c r="G1446" s="5" t="str">
        <f>IFERROR(__xludf.DUMMYFUNCTION("GOOGLETRANSLATE(D1446,""el"",""es"")"),"tulum")</f>
        <v>tulum</v>
      </c>
    </row>
    <row r="1447">
      <c r="A1447" s="4">
        <v>252.0</v>
      </c>
      <c r="B1447" s="4" t="s">
        <v>5668</v>
      </c>
      <c r="C1447" s="4"/>
      <c r="D1447" s="4" t="s">
        <v>5624</v>
      </c>
      <c r="E1447" s="4" t="s">
        <v>5625</v>
      </c>
      <c r="F1447" s="4" t="s">
        <v>5626</v>
      </c>
      <c r="G1447" s="5" t="str">
        <f>IFERROR(__xludf.DUMMYFUNCTION("GOOGLETRANSLATE(D1447,""el"",""es"")"),"esta es la m")</f>
        <v>esta es la m</v>
      </c>
    </row>
    <row r="1448">
      <c r="A1448" s="4">
        <v>253.0</v>
      </c>
      <c r="B1448" s="4" t="s">
        <v>5668</v>
      </c>
      <c r="C1448" s="4"/>
      <c r="D1448" s="4" t="s">
        <v>5627</v>
      </c>
      <c r="E1448" s="4" t="s">
        <v>5628</v>
      </c>
      <c r="F1448" s="4" t="s">
        <v>5629</v>
      </c>
      <c r="G1448" s="5" t="str">
        <f>IFERROR(__xludf.DUMMYFUNCTION("GOOGLETRANSLATE(D1448,""el"",""es"")"),"tiranismo")</f>
        <v>tiranismo</v>
      </c>
    </row>
    <row r="1449">
      <c r="A1449" s="4">
        <v>254.0</v>
      </c>
      <c r="B1449" s="4" t="s">
        <v>5668</v>
      </c>
      <c r="C1449" s="4"/>
      <c r="D1449" s="4" t="s">
        <v>5630</v>
      </c>
      <c r="E1449" s="4" t="s">
        <v>5631</v>
      </c>
      <c r="F1449" s="4" t="s">
        <v>5632</v>
      </c>
      <c r="G1449" s="5" t="str">
        <f>IFERROR(__xludf.DUMMYFUNCTION("GOOGLETRANSLATE(D1449,""el"",""es"")"),"me perdí")</f>
        <v>me perdí</v>
      </c>
    </row>
    <row r="1450">
      <c r="A1450" s="4">
        <v>255.0</v>
      </c>
      <c r="B1450" s="4" t="s">
        <v>5668</v>
      </c>
      <c r="C1450" s="4"/>
      <c r="D1450" s="4" t="s">
        <v>5633</v>
      </c>
      <c r="E1450" s="4" t="s">
        <v>5634</v>
      </c>
      <c r="F1450" s="4" t="s">
        <v>5635</v>
      </c>
      <c r="G1450" s="5" t="str">
        <f>IFERROR(__xludf.DUMMYFUNCTION("GOOGLETRANSLATE(D1450,""el"",""es"")"),"Me estropeé")</f>
        <v>Me estropeé</v>
      </c>
    </row>
    <row r="1451">
      <c r="A1451" s="4">
        <v>256.0</v>
      </c>
      <c r="B1451" s="4" t="s">
        <v>5668</v>
      </c>
      <c r="C1451" s="4"/>
      <c r="D1451" s="4" t="s">
        <v>5636</v>
      </c>
      <c r="E1451" s="4" t="s">
        <v>5637</v>
      </c>
      <c r="F1451" s="4" t="s">
        <v>5638</v>
      </c>
      <c r="G1451" s="5" t="str">
        <f>IFERROR(__xludf.DUMMYFUNCTION("GOOGLETRANSLATE(D1451,""el"",""es"")"),"píldora")</f>
        <v>píldora</v>
      </c>
    </row>
    <row r="1452">
      <c r="A1452" s="4">
        <v>257.0</v>
      </c>
      <c r="B1452" s="4" t="s">
        <v>5668</v>
      </c>
      <c r="C1452" s="4"/>
      <c r="D1452" s="4" t="s">
        <v>5639</v>
      </c>
      <c r="E1452" s="4" t="s">
        <v>5640</v>
      </c>
      <c r="F1452" s="4" t="s">
        <v>5641</v>
      </c>
      <c r="G1452" s="5" t="str">
        <f>IFERROR(__xludf.DUMMYFUNCTION("GOOGLETRANSLATE(D1452,""el"",""es"")"),"jajaja")</f>
        <v>jajaja</v>
      </c>
    </row>
    <row r="1453">
      <c r="A1453" s="4">
        <v>258.0</v>
      </c>
      <c r="B1453" s="4" t="s">
        <v>5668</v>
      </c>
      <c r="C1453" s="4"/>
      <c r="D1453" s="4" t="s">
        <v>5642</v>
      </c>
      <c r="E1453" s="4" t="s">
        <v>5643</v>
      </c>
      <c r="F1453" s="4" t="s">
        <v>5644</v>
      </c>
      <c r="G1453" s="5" t="str">
        <f>IFERROR(__xludf.DUMMYFUNCTION("GOOGLETRANSLATE(D1453,""el"",""es"")"),"perdió")</f>
        <v>perdió</v>
      </c>
    </row>
    <row r="1454">
      <c r="A1454" s="4">
        <v>259.0</v>
      </c>
      <c r="B1454" s="4" t="s">
        <v>5668</v>
      </c>
      <c r="C1454" s="4"/>
      <c r="D1454" s="4" t="s">
        <v>5645</v>
      </c>
      <c r="E1454" s="4" t="s">
        <v>5646</v>
      </c>
      <c r="F1454" s="4" t="s">
        <v>5148</v>
      </c>
      <c r="G1454" s="5" t="str">
        <f>IFERROR(__xludf.DUMMYFUNCTION("GOOGLETRANSLATE(D1454,""el"",""es"")"),"alfombra")</f>
        <v>alfombra</v>
      </c>
      <c r="H1454" s="4" t="s">
        <v>5647</v>
      </c>
      <c r="I1454" s="4" t="s">
        <v>5648</v>
      </c>
      <c r="J1454" s="4" t="s">
        <v>5649</v>
      </c>
    </row>
    <row r="1455">
      <c r="A1455" s="4">
        <v>260.0</v>
      </c>
      <c r="B1455" s="4" t="s">
        <v>5668</v>
      </c>
      <c r="C1455" s="4"/>
      <c r="D1455" s="4" t="s">
        <v>5650</v>
      </c>
      <c r="E1455" s="4" t="s">
        <v>5651</v>
      </c>
      <c r="F1455" s="4" t="s">
        <v>5652</v>
      </c>
      <c r="G1455" s="5" t="str">
        <f>IFERROR(__xludf.DUMMYFUNCTION("GOOGLETRANSLATE(D1455,""el"",""es"")"),"hammam")</f>
        <v>hammam</v>
      </c>
      <c r="H1455" s="4" t="s">
        <v>5653</v>
      </c>
      <c r="I1455" s="4" t="s">
        <v>5654</v>
      </c>
    </row>
    <row r="1456">
      <c r="A1456" s="4">
        <v>261.0</v>
      </c>
      <c r="B1456" s="4" t="s">
        <v>5668</v>
      </c>
      <c r="C1456" s="4"/>
      <c r="D1456" s="4" t="s">
        <v>5655</v>
      </c>
      <c r="E1456" s="4" t="s">
        <v>5656</v>
      </c>
      <c r="F1456" s="4" t="s">
        <v>1186</v>
      </c>
      <c r="G1456" s="5" t="str">
        <f>IFERROR(__xludf.DUMMYFUNCTION("GOOGLETRANSLATE(D1456,""el"",""es"")"),"Chania")</f>
        <v>Chania</v>
      </c>
    </row>
    <row r="1457">
      <c r="A1457" s="4">
        <v>262.0</v>
      </c>
      <c r="B1457" s="4" t="s">
        <v>5668</v>
      </c>
      <c r="C1457" s="4"/>
      <c r="D1457" s="4" t="s">
        <v>5657</v>
      </c>
      <c r="E1457" s="4" t="s">
        <v>5658</v>
      </c>
      <c r="F1457" s="4" t="s">
        <v>5659</v>
      </c>
      <c r="G1457" s="5" t="str">
        <f>IFERROR(__xludf.DUMMYFUNCTION("GOOGLETRANSLATE(D1457,""el"",""es"")"),"Harami")</f>
        <v>Harami</v>
      </c>
    </row>
    <row r="1458">
      <c r="A1458" s="4">
        <v>263.0</v>
      </c>
      <c r="B1458" s="4" t="s">
        <v>5668</v>
      </c>
      <c r="C1458" s="4"/>
      <c r="D1458" s="4" t="s">
        <v>5660</v>
      </c>
      <c r="E1458" s="4" t="s">
        <v>5661</v>
      </c>
      <c r="F1458" s="4" t="s">
        <v>5662</v>
      </c>
      <c r="G1458" s="5" t="str">
        <f>IFERROR(__xludf.DUMMYFUNCTION("GOOGLETRANSLATE(D1458,""el"",""es"")"),"lámpara")</f>
        <v>lámpara</v>
      </c>
    </row>
    <row r="1459">
      <c r="A1459" s="4">
        <v>264.0</v>
      </c>
      <c r="B1459" s="4" t="s">
        <v>5668</v>
      </c>
      <c r="C1459" s="4"/>
      <c r="D1459" s="4" t="s">
        <v>5663</v>
      </c>
      <c r="E1459" s="4" t="s">
        <v>5664</v>
      </c>
      <c r="F1459" s="4" t="s">
        <v>5665</v>
      </c>
      <c r="G1459" s="5" t="str">
        <f>IFERROR(__xludf.DUMMYFUNCTION("GOOGLETRANSLATE(D1459,""el"",""es"")"),"hachís")</f>
        <v>hachís</v>
      </c>
    </row>
    <row r="1460">
      <c r="A1460" s="4">
        <v>265.0</v>
      </c>
      <c r="B1460" s="4" t="s">
        <v>5668</v>
      </c>
      <c r="C1460" s="4"/>
      <c r="D1460" s="4" t="s">
        <v>5666</v>
      </c>
      <c r="E1460" s="4" t="s">
        <v>5667</v>
      </c>
      <c r="F1460" s="4" t="s">
        <v>471</v>
      </c>
      <c r="G1460" s="5" t="str">
        <f>IFERROR(__xludf.DUMMYFUNCTION("GOOGLETRANSLATE(D1460,""el"",""es"")"),"humus")</f>
        <v>humus</v>
      </c>
    </row>
    <row r="1461">
      <c r="A1461" s="4">
        <v>1.0</v>
      </c>
      <c r="B1461" s="4" t="s">
        <v>5669</v>
      </c>
      <c r="C1461" s="4"/>
      <c r="D1461" s="4" t="s">
        <v>5670</v>
      </c>
      <c r="E1461" s="4" t="s">
        <v>5671</v>
      </c>
      <c r="F1461" s="4" t="s">
        <v>5672</v>
      </c>
      <c r="G1461" s="5" t="str">
        <f>IFERROR(__xludf.DUMMYFUNCTION("GOOGLETRANSLATE(D1461,""el"",""es"")"),"engañar")</f>
        <v>engañar</v>
      </c>
    </row>
    <row r="1462">
      <c r="A1462" s="4">
        <v>2.0</v>
      </c>
      <c r="B1462" s="4" t="s">
        <v>5669</v>
      </c>
      <c r="C1462" s="4"/>
      <c r="D1462" s="4" t="s">
        <v>5673</v>
      </c>
      <c r="E1462" s="4" t="s">
        <v>5674</v>
      </c>
      <c r="F1462" s="4" t="s">
        <v>5675</v>
      </c>
      <c r="G1462" s="5" t="str">
        <f>IFERROR(__xludf.DUMMYFUNCTION("GOOGLETRANSLATE(D1462,""el"",""es"")"),"ecuación")</f>
        <v>ecuación</v>
      </c>
    </row>
    <row r="1463">
      <c r="A1463" s="4">
        <v>3.0</v>
      </c>
      <c r="B1463" s="4" t="s">
        <v>5669</v>
      </c>
      <c r="C1463" s="4"/>
      <c r="D1463" s="4" t="s">
        <v>5676</v>
      </c>
      <c r="E1463" s="4" t="s">
        <v>5677</v>
      </c>
      <c r="F1463" s="4" t="s">
        <v>5678</v>
      </c>
      <c r="G1463" s="5" t="str">
        <f>IFERROR(__xludf.DUMMYFUNCTION("GOOGLETRANSLATE(D1463,""el"",""es"")"),"amor")</f>
        <v>amor</v>
      </c>
      <c r="H1463" s="4" t="s">
        <v>572</v>
      </c>
      <c r="I1463" s="4" t="s">
        <v>5679</v>
      </c>
      <c r="J1463" s="4" t="s">
        <v>572</v>
      </c>
      <c r="K1463" s="4" t="s">
        <v>5680</v>
      </c>
      <c r="L1463" s="4" t="s">
        <v>5681</v>
      </c>
      <c r="M1463" s="4" t="s">
        <v>5682</v>
      </c>
      <c r="N1463" s="4" t="s">
        <v>5683</v>
      </c>
      <c r="O1463" s="4" t="s">
        <v>5684</v>
      </c>
      <c r="P1463" s="4" t="s">
        <v>5685</v>
      </c>
      <c r="Q1463" s="4" t="s">
        <v>5686</v>
      </c>
    </row>
    <row r="1464">
      <c r="A1464" s="4">
        <v>4.0</v>
      </c>
      <c r="B1464" s="4" t="s">
        <v>5669</v>
      </c>
      <c r="C1464" s="4"/>
      <c r="D1464" s="4" t="s">
        <v>5687</v>
      </c>
      <c r="E1464" s="4" t="s">
        <v>5688</v>
      </c>
      <c r="F1464" s="4" t="s">
        <v>5689</v>
      </c>
      <c r="G1464" s="5" t="str">
        <f>IFERROR(__xludf.DUMMYFUNCTION("GOOGLETRANSLATE(D1464,""el"",""es"")"),"sal")</f>
        <v>sal</v>
      </c>
      <c r="H1464" s="4" t="s">
        <v>3887</v>
      </c>
      <c r="I1464" s="4" t="s">
        <v>3888</v>
      </c>
      <c r="J1464" s="4" t="s">
        <v>3889</v>
      </c>
    </row>
    <row r="1465">
      <c r="A1465" s="4">
        <v>5.0</v>
      </c>
      <c r="B1465" s="4" t="s">
        <v>5669</v>
      </c>
      <c r="C1465" s="4"/>
      <c r="D1465" s="4" t="s">
        <v>5690</v>
      </c>
      <c r="E1465" s="4" t="s">
        <v>5691</v>
      </c>
      <c r="F1465" s="4" t="s">
        <v>5692</v>
      </c>
      <c r="G1465" s="5" t="str">
        <f>IFERROR(__xludf.DUMMYFUNCTION("GOOGLETRANSLATE(D1465,""el"",""es"")"),"estafa")</f>
        <v>estafa</v>
      </c>
      <c r="H1465" s="4" t="s">
        <v>5693</v>
      </c>
      <c r="I1465" s="4" t="s">
        <v>5694</v>
      </c>
      <c r="J1465" s="4" t="s">
        <v>5695</v>
      </c>
      <c r="K1465" s="4" t="s">
        <v>5696</v>
      </c>
      <c r="L1465" s="4" t="s">
        <v>5697</v>
      </c>
      <c r="M1465" s="4" t="s">
        <v>5698</v>
      </c>
      <c r="N1465" s="4" t="s">
        <v>5699</v>
      </c>
    </row>
    <row r="1466">
      <c r="A1466" s="4">
        <v>6.0</v>
      </c>
      <c r="B1466" s="4" t="s">
        <v>5669</v>
      </c>
      <c r="C1466" s="4"/>
      <c r="D1466" s="4" t="s">
        <v>5700</v>
      </c>
      <c r="E1466" s="4" t="s">
        <v>5701</v>
      </c>
      <c r="F1466" s="4" t="s">
        <v>5702</v>
      </c>
      <c r="G1466" s="5" t="str">
        <f>IFERROR(__xludf.DUMMYFUNCTION("GOOGLETRANSLATE(D1466,""el"",""es"")"),"desnudo")</f>
        <v>desnudo</v>
      </c>
    </row>
    <row r="1467">
      <c r="A1467" s="4">
        <v>7.0</v>
      </c>
      <c r="B1467" s="4" t="s">
        <v>5669</v>
      </c>
      <c r="C1467" s="4"/>
      <c r="D1467" s="4" t="s">
        <v>5703</v>
      </c>
      <c r="E1467" s="4" t="s">
        <v>5704</v>
      </c>
      <c r="F1467" s="4" t="s">
        <v>978</v>
      </c>
      <c r="G1467" s="5" t="str">
        <f>IFERROR(__xludf.DUMMYFUNCTION("GOOGLETRANSLATE(D1467,""el"",""es"")"),"Leche")</f>
        <v>Leche</v>
      </c>
      <c r="H1467" s="4" t="s">
        <v>2830</v>
      </c>
      <c r="I1467" s="4" t="s">
        <v>5705</v>
      </c>
      <c r="J1467" s="4" t="s">
        <v>5706</v>
      </c>
      <c r="K1467" s="4" t="s">
        <v>2830</v>
      </c>
      <c r="L1467" s="4" t="s">
        <v>2830</v>
      </c>
    </row>
    <row r="1468">
      <c r="A1468" s="4">
        <v>8.0</v>
      </c>
      <c r="B1468" s="4" t="s">
        <v>5669</v>
      </c>
      <c r="C1468" s="4"/>
      <c r="D1468" s="4" t="s">
        <v>5707</v>
      </c>
      <c r="E1468" s="4" t="s">
        <v>5708</v>
      </c>
      <c r="F1468" s="4" t="s">
        <v>5709</v>
      </c>
      <c r="G1468" s="5" t="str">
        <f>IFERROR(__xludf.DUMMYFUNCTION("GOOGLETRANSLATE(D1468,""el"",""es"")"),"Mierda")</f>
        <v>Mierda</v>
      </c>
    </row>
    <row r="1469">
      <c r="A1469" s="4">
        <v>9.0</v>
      </c>
      <c r="B1469" s="4" t="s">
        <v>5669</v>
      </c>
      <c r="C1469" s="4"/>
      <c r="D1469" s="4" t="s">
        <v>5710</v>
      </c>
      <c r="E1469" s="4" t="s">
        <v>300</v>
      </c>
      <c r="F1469" s="4" t="s">
        <v>301</v>
      </c>
      <c r="G1469" s="5" t="str">
        <f>IFERROR(__xludf.DUMMYFUNCTION("GOOGLETRANSLATE(D1469,""el"",""es"")"),"Contraseña")</f>
        <v>Contraseña</v>
      </c>
    </row>
    <row r="1470">
      <c r="A1470" s="4">
        <v>10.0</v>
      </c>
      <c r="B1470" s="4" t="s">
        <v>5669</v>
      </c>
      <c r="C1470" s="4"/>
      <c r="D1470" s="4" t="s">
        <v>5711</v>
      </c>
      <c r="E1470" s="4" t="s">
        <v>5712</v>
      </c>
      <c r="F1470" s="4" t="s">
        <v>5713</v>
      </c>
      <c r="G1470" s="5" t="str">
        <f>IFERROR(__xludf.DUMMYFUNCTION("GOOGLETRANSLATE(D1470,""el"",""es"")"),"mar")</f>
        <v>mar</v>
      </c>
      <c r="H1470" s="4" t="s">
        <v>5714</v>
      </c>
      <c r="I1470" s="4" t="s">
        <v>5715</v>
      </c>
      <c r="J1470" s="4" t="s">
        <v>2474</v>
      </c>
      <c r="K1470" s="4" t="s">
        <v>2475</v>
      </c>
      <c r="L1470" s="4" t="s">
        <v>2474</v>
      </c>
      <c r="M1470" s="4" t="s">
        <v>5716</v>
      </c>
      <c r="N1470" s="4" t="s">
        <v>5717</v>
      </c>
      <c r="O1470" s="4" t="s">
        <v>5718</v>
      </c>
    </row>
    <row r="1471">
      <c r="A1471" s="4">
        <v>11.0</v>
      </c>
      <c r="B1471" s="4" t="s">
        <v>5669</v>
      </c>
      <c r="C1471" s="4"/>
      <c r="D1471" s="4" t="s">
        <v>5719</v>
      </c>
      <c r="E1471" s="4" t="s">
        <v>5720</v>
      </c>
      <c r="F1471" s="4" t="s">
        <v>5721</v>
      </c>
      <c r="G1471" s="5" t="str">
        <f>IFERROR(__xludf.DUMMYFUNCTION("GOOGLETRANSLATE(D1471,""el"",""es"")"),"pezón")</f>
        <v>pezón</v>
      </c>
      <c r="H1471" s="4" t="s">
        <v>5722</v>
      </c>
      <c r="I1471" s="4" t="s">
        <v>5722</v>
      </c>
    </row>
    <row r="1472">
      <c r="A1472" s="4">
        <v>12.0</v>
      </c>
      <c r="B1472" s="4" t="s">
        <v>5669</v>
      </c>
      <c r="C1472" s="4"/>
      <c r="D1472" s="4" t="s">
        <v>5723</v>
      </c>
      <c r="E1472" s="4" t="s">
        <v>5724</v>
      </c>
      <c r="F1472" s="4" t="s">
        <v>5725</v>
      </c>
      <c r="G1472" s="5" t="str">
        <f>IFERROR(__xludf.DUMMYFUNCTION("GOOGLETRANSLATE(D1472,""el"",""es"")"),"camello")</f>
        <v>camello</v>
      </c>
      <c r="H1472" s="4" t="s">
        <v>5726</v>
      </c>
    </row>
    <row r="1473">
      <c r="A1473" s="4">
        <v>13.0</v>
      </c>
      <c r="B1473" s="4" t="s">
        <v>5669</v>
      </c>
      <c r="C1473" s="4"/>
      <c r="D1473" s="4" t="s">
        <v>5727</v>
      </c>
      <c r="E1473" s="4" t="s">
        <v>5728</v>
      </c>
      <c r="F1473" s="4" t="s">
        <v>5729</v>
      </c>
      <c r="G1473" s="5" t="str">
        <f>IFERROR(__xludf.DUMMYFUNCTION("GOOGLETRANSLATE(D1473,""el"",""es"")"),"linaza")</f>
        <v>linaza</v>
      </c>
    </row>
    <row r="1474">
      <c r="A1474" s="4">
        <v>14.0</v>
      </c>
      <c r="B1474" s="4" t="s">
        <v>5669</v>
      </c>
      <c r="C1474" s="4"/>
      <c r="D1474" s="4" t="s">
        <v>5730</v>
      </c>
      <c r="E1474" s="4" t="s">
        <v>2574</v>
      </c>
      <c r="F1474" s="4" t="s">
        <v>2575</v>
      </c>
      <c r="G1474" s="5" t="str">
        <f>IFERROR(__xludf.DUMMYFUNCTION("GOOGLETRANSLATE(D1474,""el"",""es"")"),"ojo")</f>
        <v>ojo</v>
      </c>
      <c r="H1474" s="4" t="s">
        <v>4619</v>
      </c>
      <c r="I1474" s="4" t="s">
        <v>4619</v>
      </c>
      <c r="J1474" s="4" t="s">
        <v>4620</v>
      </c>
      <c r="K1474" s="4" t="s">
        <v>3072</v>
      </c>
    </row>
    <row r="1475">
      <c r="A1475" s="4">
        <v>15.0</v>
      </c>
      <c r="B1475" s="4" t="s">
        <v>5669</v>
      </c>
      <c r="C1475" s="4"/>
      <c r="D1475" s="4" t="s">
        <v>5731</v>
      </c>
      <c r="E1475" s="4" t="s">
        <v>2371</v>
      </c>
      <c r="F1475" s="4" t="s">
        <v>2370</v>
      </c>
      <c r="G1475" s="5" t="str">
        <f>IFERROR(__xludf.DUMMYFUNCTION("GOOGLETRANSLATE(D1475,""el"",""es"")"),"pelo")</f>
        <v>pelo</v>
      </c>
    </row>
    <row r="1476">
      <c r="A1476" s="4">
        <v>16.0</v>
      </c>
      <c r="B1476" s="4" t="s">
        <v>5669</v>
      </c>
      <c r="C1476" s="4"/>
      <c r="D1476" s="4" t="s">
        <v>5732</v>
      </c>
      <c r="E1476" s="4" t="s">
        <v>2382</v>
      </c>
      <c r="F1476" s="4" t="s">
        <v>2381</v>
      </c>
      <c r="G1476" s="5" t="str">
        <f>IFERROR(__xludf.DUMMYFUNCTION("GOOGLETRANSLATE(D1476,""el"",""es"")"),"mamá")</f>
        <v>mamá</v>
      </c>
    </row>
    <row r="1477">
      <c r="A1477" s="4">
        <v>17.0</v>
      </c>
      <c r="B1477" s="4" t="s">
        <v>5669</v>
      </c>
      <c r="C1477" s="4"/>
      <c r="D1477" s="4" t="s">
        <v>5733</v>
      </c>
      <c r="E1477" s="4" t="s">
        <v>5734</v>
      </c>
      <c r="F1477" s="4" t="s">
        <v>5735</v>
      </c>
      <c r="G1477" s="5" t="str">
        <f>IFERROR(__xludf.DUMMYFUNCTION("GOOGLETRANSLATE(D1477,""el"",""es"")"),"mousse")</f>
        <v>mousse</v>
      </c>
    </row>
    <row r="1478">
      <c r="A1478" s="4">
        <v>18.0</v>
      </c>
      <c r="B1478" s="4" t="s">
        <v>5669</v>
      </c>
      <c r="C1478" s="4"/>
      <c r="D1478" s="4" t="s">
        <v>5736</v>
      </c>
      <c r="E1478" s="4" t="s">
        <v>2754</v>
      </c>
      <c r="F1478" s="4" t="s">
        <v>2755</v>
      </c>
      <c r="G1478" s="5" t="str">
        <f>IFERROR(__xludf.DUMMYFUNCTION("GOOGLETRANSLATE(D1478,""el"",""es"")"),"baya")</f>
        <v>baya</v>
      </c>
      <c r="H1478" s="4" t="s">
        <v>1310</v>
      </c>
      <c r="I1478" s="4" t="s">
        <v>1315</v>
      </c>
    </row>
    <row r="1479">
      <c r="A1479" s="4">
        <v>19.0</v>
      </c>
      <c r="B1479" s="4" t="s">
        <v>5669</v>
      </c>
      <c r="C1479" s="4"/>
      <c r="D1479" s="4" t="s">
        <v>5737</v>
      </c>
      <c r="E1479" s="4" t="s">
        <v>2754</v>
      </c>
      <c r="F1479" s="4" t="s">
        <v>5738</v>
      </c>
      <c r="G1479" s="5" t="str">
        <f>IFERROR(__xludf.DUMMYFUNCTION("GOOGLETRANSLATE(D1479,""el"",""es"")"),"cara")</f>
        <v>cara</v>
      </c>
    </row>
    <row r="1480">
      <c r="A1480" s="4">
        <v>20.0</v>
      </c>
      <c r="B1480" s="4" t="s">
        <v>5669</v>
      </c>
      <c r="C1480" s="4"/>
      <c r="D1480" s="4" t="s">
        <v>5739</v>
      </c>
      <c r="E1480" s="4" t="s">
        <v>3185</v>
      </c>
      <c r="F1480" s="4" t="s">
        <v>3184</v>
      </c>
      <c r="G1480" s="5" t="str">
        <f>IFERROR(__xludf.DUMMYFUNCTION("GOOGLETRANSLATE(D1480,""el"",""es"")"),"lucha")</f>
        <v>lucha</v>
      </c>
      <c r="H1480" s="4" t="s">
        <v>5740</v>
      </c>
      <c r="I1480" s="4" t="s">
        <v>5741</v>
      </c>
      <c r="J1480" s="4" t="s">
        <v>5742</v>
      </c>
      <c r="K1480" s="4" t="s">
        <v>5743</v>
      </c>
      <c r="L1480" s="4" t="s">
        <v>5744</v>
      </c>
    </row>
    <row r="1481">
      <c r="A1481" s="4">
        <v>21.0</v>
      </c>
      <c r="B1481" s="4" t="s">
        <v>5669</v>
      </c>
      <c r="C1481" s="4"/>
      <c r="D1481" s="4" t="s">
        <v>5745</v>
      </c>
      <c r="E1481" s="4" t="s">
        <v>3185</v>
      </c>
      <c r="F1481" s="4" t="s">
        <v>3184</v>
      </c>
      <c r="G1481" s="5" t="str">
        <f>IFERROR(__xludf.DUMMYFUNCTION("GOOGLETRANSLATE(D1481,""el"",""es"")"),"otra vez")</f>
        <v>otra vez</v>
      </c>
    </row>
    <row r="1482">
      <c r="A1482" s="4">
        <v>22.0</v>
      </c>
      <c r="B1482" s="4" t="s">
        <v>5669</v>
      </c>
      <c r="C1482" s="4"/>
      <c r="D1482" s="4" t="s">
        <v>5746</v>
      </c>
      <c r="E1482" s="4" t="s">
        <v>5747</v>
      </c>
      <c r="F1482" s="4" t="s">
        <v>5748</v>
      </c>
      <c r="G1482" s="5" t="str">
        <f>IFERROR(__xludf.DUMMYFUNCTION("GOOGLETRANSLATE(D1482,""el"",""es"")"),"barbilla")</f>
        <v>barbilla</v>
      </c>
      <c r="H1482" s="4" t="s">
        <v>5749</v>
      </c>
      <c r="I1482" s="4" t="s">
        <v>5750</v>
      </c>
    </row>
    <row r="1483">
      <c r="A1483" s="4">
        <v>23.0</v>
      </c>
      <c r="B1483" s="4" t="s">
        <v>5669</v>
      </c>
      <c r="C1483" s="4"/>
      <c r="D1483" s="4" t="s">
        <v>5751</v>
      </c>
      <c r="E1483" s="4" t="s">
        <v>5752</v>
      </c>
      <c r="F1483" s="4" t="s">
        <v>5753</v>
      </c>
      <c r="G1483" s="5" t="str">
        <f>IFERROR(__xludf.DUMMYFUNCTION("GOOGLETRANSLATE(D1483,""el"",""es"")"),"pájaro")</f>
        <v>pájaro</v>
      </c>
    </row>
    <row r="1484">
      <c r="A1484" s="4">
        <v>24.0</v>
      </c>
      <c r="B1484" s="4" t="s">
        <v>5669</v>
      </c>
      <c r="C1484" s="4"/>
      <c r="D1484" s="4" t="s">
        <v>5754</v>
      </c>
      <c r="E1484" s="4" t="s">
        <v>5755</v>
      </c>
      <c r="F1484" s="4" t="s">
        <v>5756</v>
      </c>
      <c r="G1484" s="5" t="str">
        <f>IFERROR(__xludf.DUMMYFUNCTION("GOOGLETRANSLATE(D1484,""el"",""es"")"),"Satán")</f>
        <v>Satán</v>
      </c>
    </row>
    <row r="1485">
      <c r="A1485" s="4">
        <v>1.0</v>
      </c>
      <c r="B1485" s="4" t="s">
        <v>5757</v>
      </c>
      <c r="C1485" s="4"/>
      <c r="D1485" s="6" t="s">
        <v>5758</v>
      </c>
      <c r="E1485" s="4" t="s">
        <v>5759</v>
      </c>
      <c r="F1485" s="4" t="s">
        <v>304</v>
      </c>
      <c r="G1485" s="5" t="str">
        <f>IFERROR(__xludf.DUMMYFUNCTION("GOOGLETRANSLATE(D1485,""en"",""es"")"),"Em")</f>
        <v>Em</v>
      </c>
    </row>
    <row r="1486">
      <c r="A1486" s="4">
        <v>2.0</v>
      </c>
      <c r="B1486" s="4" t="s">
        <v>5757</v>
      </c>
      <c r="C1486" s="4"/>
      <c r="D1486" s="4" t="s">
        <v>5760</v>
      </c>
      <c r="E1486" s="4" t="s">
        <v>5761</v>
      </c>
      <c r="F1486" s="4" t="s">
        <v>1776</v>
      </c>
      <c r="G1486" s="5" t="str">
        <f>IFERROR(__xludf.DUMMYFUNCTION("GOOGLETRANSLATE(D1486,""en"",""es"")"),"aach")</f>
        <v>aach</v>
      </c>
    </row>
    <row r="1487">
      <c r="A1487" s="4">
        <v>3.0</v>
      </c>
      <c r="B1487" s="4" t="s">
        <v>5757</v>
      </c>
      <c r="C1487" s="4"/>
      <c r="D1487" s="4" t="s">
        <v>5762</v>
      </c>
      <c r="E1487" s="4" t="s">
        <v>5763</v>
      </c>
      <c r="F1487" s="4" t="s">
        <v>4910</v>
      </c>
      <c r="G1487" s="5" t="str">
        <f>IFERROR(__xludf.DUMMYFUNCTION("GOOGLETRANSLATE(D1487,""en"",""es"")"),"aacu")</f>
        <v>aacu</v>
      </c>
    </row>
    <row r="1488">
      <c r="A1488" s="4">
        <v>4.0</v>
      </c>
      <c r="B1488" s="4" t="s">
        <v>5757</v>
      </c>
      <c r="C1488" s="4"/>
      <c r="D1488" s="4" t="s">
        <v>5764</v>
      </c>
      <c r="E1488" s="4" t="s">
        <v>5765</v>
      </c>
      <c r="F1488" s="4" t="s">
        <v>5766</v>
      </c>
      <c r="G1488" s="5" t="str">
        <f>IFERROR(__xludf.DUMMYFUNCTION("GOOGLETRANSLATE(D1488,""en"",""es"")"),"acetal")</f>
        <v>acetal</v>
      </c>
      <c r="H1488" s="4" t="s">
        <v>5764</v>
      </c>
    </row>
    <row r="1489">
      <c r="A1489" s="4">
        <v>5.0</v>
      </c>
      <c r="B1489" s="4" t="s">
        <v>5757</v>
      </c>
      <c r="C1489" s="4"/>
      <c r="D1489" s="4" t="s">
        <v>5767</v>
      </c>
      <c r="E1489" s="4" t="s">
        <v>5761</v>
      </c>
      <c r="F1489" s="4" t="s">
        <v>1776</v>
      </c>
      <c r="G1489" s="5" t="str">
        <f>IFERROR(__xludf.DUMMYFUNCTION("GOOGLETRANSLATE(D1489,""en"",""es"")"),"ack")</f>
        <v>ack</v>
      </c>
    </row>
    <row r="1490">
      <c r="A1490" s="4">
        <v>6.0</v>
      </c>
      <c r="B1490" s="4" t="s">
        <v>5757</v>
      </c>
      <c r="C1490" s="4"/>
      <c r="D1490" s="4" t="s">
        <v>5768</v>
      </c>
      <c r="E1490" s="4" t="s">
        <v>5769</v>
      </c>
      <c r="F1490" s="4" t="s">
        <v>5770</v>
      </c>
      <c r="G1490" s="5" t="str">
        <f>IFERROR(__xludf.DUMMYFUNCTION("GOOGLETRANSLATE(D1490,""en"",""es"")"),"acilo")</f>
        <v>acilo</v>
      </c>
      <c r="H1490" s="4" t="s">
        <v>5768</v>
      </c>
      <c r="I1490" s="4" t="s">
        <v>5771</v>
      </c>
    </row>
    <row r="1491">
      <c r="A1491" s="4">
        <v>7.0</v>
      </c>
      <c r="B1491" s="4" t="s">
        <v>5757</v>
      </c>
      <c r="C1491" s="4"/>
      <c r="D1491" s="4" t="s">
        <v>5772</v>
      </c>
      <c r="E1491" s="4" t="s">
        <v>5773</v>
      </c>
      <c r="F1491" s="4" t="s">
        <v>1776</v>
      </c>
      <c r="G1491" s="5" t="str">
        <f>IFERROR(__xludf.DUMMYFUNCTION("GOOGLETRANSLATE(D1491,""en"",""es"")"),"agotamiento")</f>
        <v>agotamiento</v>
      </c>
      <c r="H1491" s="4" t="s">
        <v>5774</v>
      </c>
      <c r="I1491" s="4" t="s">
        <v>5775</v>
      </c>
      <c r="J1491" s="4" t="s">
        <v>5776</v>
      </c>
    </row>
    <row r="1492">
      <c r="A1492" s="4">
        <v>8.0</v>
      </c>
      <c r="B1492" s="4" t="s">
        <v>5757</v>
      </c>
      <c r="C1492" s="4"/>
      <c r="D1492" s="4" t="s">
        <v>5777</v>
      </c>
      <c r="E1492" s="4" t="s">
        <v>5778</v>
      </c>
      <c r="F1492" s="4" t="s">
        <v>5777</v>
      </c>
      <c r="G1492" s="5" t="str">
        <f>IFERROR(__xludf.DUMMYFUNCTION("GOOGLETRANSLATE(D1492,""en"",""es"")"),"ahi")</f>
        <v>ahi</v>
      </c>
    </row>
    <row r="1493">
      <c r="A1493" s="4">
        <v>9.0</v>
      </c>
      <c r="B1493" s="4" t="s">
        <v>5757</v>
      </c>
      <c r="C1493" s="4"/>
      <c r="D1493" s="4" t="s">
        <v>5779</v>
      </c>
      <c r="E1493" s="4" t="s">
        <v>5761</v>
      </c>
      <c r="F1493" s="4" t="s">
        <v>1776</v>
      </c>
      <c r="G1493" s="5" t="str">
        <f>IFERROR(__xludf.DUMMYFUNCTION("GOOGLETRANSLATE(D1493,""en"",""es"")"),"akh")</f>
        <v>akh</v>
      </c>
    </row>
    <row r="1494">
      <c r="A1494" s="4">
        <v>10.0</v>
      </c>
      <c r="B1494" s="4" t="s">
        <v>5757</v>
      </c>
      <c r="C1494" s="4"/>
      <c r="D1494" s="4" t="s">
        <v>5780</v>
      </c>
      <c r="E1494" s="4" t="s">
        <v>5781</v>
      </c>
      <c r="F1494" s="4" t="s">
        <v>816</v>
      </c>
      <c r="G1494" s="5" t="str">
        <f>IFERROR(__xludf.DUMMYFUNCTION("GOOGLETRANSLATE(D1494,""en"",""es"")"),"akhi")</f>
        <v>akhi</v>
      </c>
    </row>
    <row r="1495">
      <c r="A1495" s="4">
        <v>11.0</v>
      </c>
      <c r="B1495" s="4" t="s">
        <v>5757</v>
      </c>
      <c r="C1495" s="4"/>
      <c r="D1495" s="4" t="s">
        <v>506</v>
      </c>
      <c r="E1495" s="4" t="s">
        <v>5782</v>
      </c>
      <c r="F1495" s="4" t="s">
        <v>506</v>
      </c>
      <c r="G1495" s="5" t="str">
        <f>IFERROR(__xludf.DUMMYFUNCTION("GOOGLETRANSLATE(D1495,""en"",""es"")"),"Alabama")</f>
        <v>Alabama</v>
      </c>
      <c r="H1495" s="4" t="s">
        <v>556</v>
      </c>
      <c r="I1495" s="4" t="s">
        <v>557</v>
      </c>
      <c r="J1495" s="4" t="s">
        <v>558</v>
      </c>
      <c r="K1495" s="4" t="s">
        <v>559</v>
      </c>
      <c r="L1495" s="4" t="s">
        <v>5783</v>
      </c>
      <c r="M1495" s="4" t="s">
        <v>5784</v>
      </c>
      <c r="N1495" s="4" t="s">
        <v>5785</v>
      </c>
      <c r="O1495" s="4" t="s">
        <v>5786</v>
      </c>
    </row>
    <row r="1496">
      <c r="A1496" s="4">
        <v>12.0</v>
      </c>
      <c r="B1496" s="4" t="s">
        <v>5757</v>
      </c>
      <c r="C1496" s="4"/>
      <c r="D1496" s="4" t="s">
        <v>5787</v>
      </c>
      <c r="E1496" s="4" t="s">
        <v>5788</v>
      </c>
      <c r="F1496" s="4" t="s">
        <v>5789</v>
      </c>
      <c r="G1496" s="5" t="str">
        <f>IFERROR(__xludf.DUMMYFUNCTION("GOOGLETRANSLATE(D1496,""en"",""es"")"),"alec")</f>
        <v>alec</v>
      </c>
    </row>
    <row r="1497">
      <c r="A1497" s="4">
        <v>13.0</v>
      </c>
      <c r="B1497" s="4" t="s">
        <v>5757</v>
      </c>
      <c r="C1497" s="4"/>
      <c r="D1497" s="4" t="s">
        <v>5790</v>
      </c>
      <c r="E1497" s="4" t="s">
        <v>5791</v>
      </c>
      <c r="F1497" s="4" t="s">
        <v>5792</v>
      </c>
      <c r="G1497" s="5" t="str">
        <f>IFERROR(__xludf.DUMMYFUNCTION("GOOGLETRANSLATE(D1497,""en"",""es"")"),"alemánico")</f>
        <v>alemánico</v>
      </c>
    </row>
    <row r="1498">
      <c r="A1498" s="4">
        <v>14.0</v>
      </c>
      <c r="B1498" s="4" t="s">
        <v>5757</v>
      </c>
      <c r="C1498" s="4"/>
      <c r="D1498" s="4" t="s">
        <v>5793</v>
      </c>
      <c r="E1498" s="4" t="s">
        <v>5794</v>
      </c>
      <c r="F1498" s="4" t="s">
        <v>5793</v>
      </c>
      <c r="G1498" s="5" t="str">
        <f>IFERROR(__xludf.DUMMYFUNCTION("GOOGLETRANSLATE(D1498,""en"",""es"")"),"ali")</f>
        <v>ali</v>
      </c>
      <c r="H1498" s="4" t="s">
        <v>5795</v>
      </c>
      <c r="I1498" s="4" t="s">
        <v>5796</v>
      </c>
      <c r="J1498" s="4" t="s">
        <v>5797</v>
      </c>
      <c r="K1498" s="4" t="s">
        <v>5798</v>
      </c>
      <c r="L1498" s="4" t="s">
        <v>5795</v>
      </c>
    </row>
    <row r="1499">
      <c r="A1499" s="4">
        <v>15.0</v>
      </c>
      <c r="B1499" s="4" t="s">
        <v>5757</v>
      </c>
      <c r="C1499" s="4"/>
      <c r="D1499" s="4" t="s">
        <v>5799</v>
      </c>
      <c r="E1499" s="4" t="s">
        <v>5800</v>
      </c>
      <c r="F1499" s="4" t="s">
        <v>5801</v>
      </c>
      <c r="G1499" s="5" t="str">
        <f>IFERROR(__xludf.DUMMYFUNCTION("GOOGLETRANSLATE(D1499,""en"",""es"")"),"Alicia")</f>
        <v>Alicia</v>
      </c>
    </row>
    <row r="1500">
      <c r="A1500" s="4">
        <v>16.0</v>
      </c>
      <c r="B1500" s="4" t="s">
        <v>5757</v>
      </c>
      <c r="C1500" s="4"/>
      <c r="D1500" s="4" t="s">
        <v>5802</v>
      </c>
      <c r="E1500" s="4" t="s">
        <v>5794</v>
      </c>
      <c r="F1500" s="4" t="s">
        <v>5793</v>
      </c>
      <c r="G1500" s="5" t="str">
        <f>IFERROR(__xludf.DUMMYFUNCTION("GOOGLETRANSLATE(D1500,""en"",""es"")"),"callejón")</f>
        <v>callejón</v>
      </c>
      <c r="H1500" s="4" t="s">
        <v>5802</v>
      </c>
      <c r="I1500" s="4" t="s">
        <v>5803</v>
      </c>
      <c r="J1500" s="4" t="s">
        <v>5804</v>
      </c>
      <c r="K1500" s="4" t="s">
        <v>5805</v>
      </c>
      <c r="L1500" s="4" t="s">
        <v>5802</v>
      </c>
      <c r="M1500" s="4" t="s">
        <v>5806</v>
      </c>
    </row>
    <row r="1501">
      <c r="A1501" s="4">
        <v>17.0</v>
      </c>
      <c r="B1501" s="4" t="s">
        <v>5757</v>
      </c>
      <c r="C1501" s="4"/>
      <c r="D1501" s="4" t="s">
        <v>5807</v>
      </c>
      <c r="E1501" s="4" t="s">
        <v>5808</v>
      </c>
      <c r="F1501" s="4" t="s">
        <v>5809</v>
      </c>
      <c r="G1501" s="5" t="str">
        <f>IFERROR(__xludf.DUMMYFUNCTION("GOOGLETRANSLATE(D1501,""en"",""es"")"),"callejón")</f>
        <v>callejón</v>
      </c>
    </row>
    <row r="1502">
      <c r="A1502" s="4">
        <v>18.0</v>
      </c>
      <c r="B1502" s="4" t="s">
        <v>5757</v>
      </c>
      <c r="C1502" s="4"/>
      <c r="D1502" s="4" t="s">
        <v>5810</v>
      </c>
      <c r="E1502" s="4" t="s">
        <v>5811</v>
      </c>
      <c r="F1502" s="4" t="s">
        <v>5801</v>
      </c>
      <c r="G1502" s="5" t="str">
        <f>IFERROR(__xludf.DUMMYFUNCTION("GOOGLETRANSLATE(D1502,""en"",""es"")"),"alice")</f>
        <v>alice</v>
      </c>
      <c r="H1502" s="4" t="s">
        <v>5812</v>
      </c>
      <c r="I1502" s="4" t="s">
        <v>5813</v>
      </c>
      <c r="J1502" s="4" t="s">
        <v>5810</v>
      </c>
      <c r="K1502" s="4" t="s">
        <v>5814</v>
      </c>
      <c r="L1502" s="4" t="s">
        <v>5815</v>
      </c>
    </row>
    <row r="1503">
      <c r="A1503" s="4">
        <v>19.0</v>
      </c>
      <c r="B1503" s="4" t="s">
        <v>5757</v>
      </c>
      <c r="C1503" s="4"/>
      <c r="D1503" s="4" t="s">
        <v>5816</v>
      </c>
      <c r="E1503" s="4" t="s">
        <v>5794</v>
      </c>
      <c r="F1503" s="4" t="s">
        <v>5793</v>
      </c>
      <c r="G1503" s="5" t="str">
        <f>IFERROR(__xludf.DUMMYFUNCTION("GOOGLETRANSLATE(D1503,""en"",""es"")"),"aliado")</f>
        <v>aliado</v>
      </c>
      <c r="H1503" s="4" t="s">
        <v>5816</v>
      </c>
      <c r="I1503" s="4" t="s">
        <v>5816</v>
      </c>
      <c r="J1503" s="4" t="s">
        <v>602</v>
      </c>
      <c r="K1503" s="4" t="s">
        <v>5816</v>
      </c>
    </row>
    <row r="1504">
      <c r="A1504" s="4">
        <v>20.0</v>
      </c>
      <c r="B1504" s="4" t="s">
        <v>5757</v>
      </c>
      <c r="C1504" s="4"/>
      <c r="D1504" s="4" t="s">
        <v>5817</v>
      </c>
      <c r="E1504" s="4" t="s">
        <v>5818</v>
      </c>
      <c r="F1504" s="4" t="s">
        <v>5819</v>
      </c>
      <c r="G1504" s="5" t="str">
        <f>IFERROR(__xludf.DUMMYFUNCTION("GOOGLETRANSLATE(D1504,""en"",""es"")"),"alílico")</f>
        <v>alílico</v>
      </c>
      <c r="H1504" s="4" t="s">
        <v>5817</v>
      </c>
      <c r="I1504" s="4" t="s">
        <v>5820</v>
      </c>
      <c r="J1504" s="4" t="s">
        <v>5821</v>
      </c>
    </row>
    <row r="1505">
      <c r="A1505" s="4">
        <v>21.0</v>
      </c>
      <c r="B1505" s="4" t="s">
        <v>5757</v>
      </c>
      <c r="C1505" s="4"/>
      <c r="D1505" s="4" t="s">
        <v>610</v>
      </c>
      <c r="E1505" s="4" t="s">
        <v>5822</v>
      </c>
      <c r="F1505" s="4" t="s">
        <v>4994</v>
      </c>
      <c r="G1505" s="5" t="str">
        <f>IFERROR(__xludf.DUMMYFUNCTION("GOOGLETRANSLATE(D1505,""en"",""es"")"),"amina")</f>
        <v>amina</v>
      </c>
      <c r="H1505" s="4" t="s">
        <v>610</v>
      </c>
      <c r="I1505" s="4" t="s">
        <v>611</v>
      </c>
    </row>
    <row r="1506">
      <c r="A1506" s="4">
        <v>22.0</v>
      </c>
      <c r="B1506" s="4" t="s">
        <v>5757</v>
      </c>
      <c r="C1506" s="4"/>
      <c r="D1506" s="4" t="s">
        <v>5823</v>
      </c>
      <c r="E1506" s="4" t="s">
        <v>5824</v>
      </c>
      <c r="F1506" s="4" t="s">
        <v>5823</v>
      </c>
      <c r="G1506" s="5" t="str">
        <f>IFERROR(__xludf.DUMMYFUNCTION("GOOGLETRANSLATE(D1506,""en"",""es"")"),"amish")</f>
        <v>amish</v>
      </c>
      <c r="H1506" s="4" t="s">
        <v>5825</v>
      </c>
    </row>
    <row r="1507">
      <c r="A1507" s="4">
        <v>23.0</v>
      </c>
      <c r="B1507" s="4" t="s">
        <v>5757</v>
      </c>
      <c r="C1507" s="4"/>
      <c r="D1507" s="4" t="s">
        <v>5826</v>
      </c>
      <c r="E1507" s="4" t="s">
        <v>5827</v>
      </c>
      <c r="F1507" s="4" t="s">
        <v>5828</v>
      </c>
      <c r="G1507" s="5" t="str">
        <f>IFERROR(__xludf.DUMMYFUNCTION("GOOGLETRANSLATE(D1507,""en"",""es"")"),"amilo")</f>
        <v>amilo</v>
      </c>
      <c r="H1507" s="4" t="s">
        <v>5826</v>
      </c>
    </row>
    <row r="1508">
      <c r="A1508" s="4">
        <v>24.0</v>
      </c>
      <c r="B1508" s="4" t="s">
        <v>5757</v>
      </c>
      <c r="C1508" s="4"/>
      <c r="D1508" s="4" t="s">
        <v>594</v>
      </c>
      <c r="E1508" s="4" t="s">
        <v>5829</v>
      </c>
      <c r="F1508" s="4" t="s">
        <v>594</v>
      </c>
      <c r="G1508" s="5" t="str">
        <f>IFERROR(__xludf.DUMMYFUNCTION("GOOGLETRANSLATE(D1508,""en"",""es"")"),"un")</f>
        <v>un</v>
      </c>
      <c r="H1508" s="4" t="s">
        <v>5830</v>
      </c>
      <c r="I1508" s="4" t="s">
        <v>5831</v>
      </c>
    </row>
    <row r="1509">
      <c r="A1509" s="4">
        <v>25.0</v>
      </c>
      <c r="B1509" s="4" t="s">
        <v>5757</v>
      </c>
      <c r="C1509" s="4"/>
      <c r="D1509" s="4" t="s">
        <v>5832</v>
      </c>
      <c r="E1509" s="4" t="s">
        <v>5829</v>
      </c>
      <c r="F1509" s="4" t="s">
        <v>594</v>
      </c>
      <c r="G1509" s="5" t="str">
        <f>IFERROR(__xludf.DUMMYFUNCTION("GOOGLETRANSLATE(D1509,""en"",""es"")"),"un'")</f>
        <v>un'</v>
      </c>
    </row>
    <row r="1510">
      <c r="A1510" s="4">
        <v>26.0</v>
      </c>
      <c r="B1510" s="4" t="s">
        <v>5757</v>
      </c>
      <c r="C1510" s="4"/>
      <c r="D1510" s="4" t="s">
        <v>5833</v>
      </c>
      <c r="E1510" s="4" t="s">
        <v>5834</v>
      </c>
      <c r="F1510" s="4" t="s">
        <v>5835</v>
      </c>
      <c r="G1510" s="5" t="str">
        <f>IFERROR(__xludf.DUMMYFUNCTION("GOOGLETRANSLATE(D1510,""en"",""es"")"),"animático")</f>
        <v>animático</v>
      </c>
    </row>
    <row r="1511">
      <c r="A1511" s="4">
        <v>27.0</v>
      </c>
      <c r="B1511" s="4" t="s">
        <v>5757</v>
      </c>
      <c r="C1511" s="4"/>
      <c r="D1511" s="4" t="s">
        <v>5836</v>
      </c>
      <c r="E1511" s="4" t="s">
        <v>5837</v>
      </c>
      <c r="F1511" s="4" t="s">
        <v>5836</v>
      </c>
      <c r="G1511" s="5" t="str">
        <f>IFERROR(__xludf.DUMMYFUNCTION("GOOGLETRANSLATE(D1511,""en"",""es"")"),"animu")</f>
        <v>animu</v>
      </c>
    </row>
    <row r="1512">
      <c r="A1512" s="4">
        <v>28.0</v>
      </c>
      <c r="B1512" s="4" t="s">
        <v>5757</v>
      </c>
      <c r="C1512" s="4"/>
      <c r="D1512" s="4" t="s">
        <v>748</v>
      </c>
      <c r="E1512" s="4" t="s">
        <v>5838</v>
      </c>
      <c r="F1512" s="4" t="s">
        <v>747</v>
      </c>
      <c r="G1512" s="5" t="str">
        <f>IFERROR(__xludf.DUMMYFUNCTION("GOOGLETRANSLATE(D1512,""en"",""es"")"),"anís")</f>
        <v>anís</v>
      </c>
      <c r="H1512" s="4" t="s">
        <v>748</v>
      </c>
      <c r="I1512" s="4" t="s">
        <v>753</v>
      </c>
      <c r="J1512" s="4" t="s">
        <v>754</v>
      </c>
      <c r="K1512" s="4" t="s">
        <v>748</v>
      </c>
      <c r="L1512" s="4" t="s">
        <v>749</v>
      </c>
      <c r="M1512" s="4" t="s">
        <v>750</v>
      </c>
    </row>
    <row r="1513">
      <c r="A1513" s="4">
        <v>29.0</v>
      </c>
      <c r="B1513" s="4" t="s">
        <v>5757</v>
      </c>
      <c r="C1513" s="4"/>
      <c r="D1513" s="4" t="s">
        <v>5839</v>
      </c>
      <c r="E1513" s="4" t="s">
        <v>5829</v>
      </c>
      <c r="F1513" s="4" t="s">
        <v>594</v>
      </c>
      <c r="G1513" s="5" t="str">
        <f>IFERROR(__xludf.DUMMYFUNCTION("GOOGLETRANSLATE(D1513,""en"",""es"")"),"Ana")</f>
        <v>Ana</v>
      </c>
    </row>
    <row r="1514">
      <c r="A1514" s="4">
        <v>30.0</v>
      </c>
      <c r="B1514" s="4" t="s">
        <v>5757</v>
      </c>
      <c r="C1514" s="4"/>
      <c r="D1514" s="4" t="s">
        <v>5840</v>
      </c>
      <c r="E1514" s="4" t="s">
        <v>5829</v>
      </c>
      <c r="F1514" s="4" t="s">
        <v>594</v>
      </c>
      <c r="G1514" s="5" t="str">
        <f>IFERROR(__xludf.DUMMYFUNCTION("GOOGLETRANSLATE(D1514,""en"",""es"")"),"Ana")</f>
        <v>Ana</v>
      </c>
      <c r="H1514" s="4" t="s">
        <v>5841</v>
      </c>
    </row>
    <row r="1515">
      <c r="A1515" s="4">
        <v>31.0</v>
      </c>
      <c r="B1515" s="4" t="s">
        <v>5757</v>
      </c>
      <c r="C1515" s="4"/>
      <c r="D1515" s="4" t="s">
        <v>5842</v>
      </c>
      <c r="E1515" s="4" t="s">
        <v>5843</v>
      </c>
      <c r="F1515" s="4" t="s">
        <v>5844</v>
      </c>
      <c r="G1515" s="5" t="str">
        <f>IFERROR(__xludf.DUMMYFUNCTION("GOOGLETRANSLATE(D1515,""en"",""es"")"),"anular")</f>
        <v>anular</v>
      </c>
    </row>
    <row r="1516">
      <c r="A1516" s="4">
        <v>32.0</v>
      </c>
      <c r="B1516" s="4" t="s">
        <v>5757</v>
      </c>
      <c r="C1516" s="4"/>
      <c r="D1516" s="4" t="s">
        <v>733</v>
      </c>
      <c r="E1516" s="4" t="s">
        <v>5845</v>
      </c>
      <c r="F1516" s="4" t="s">
        <v>744</v>
      </c>
      <c r="G1516" s="5" t="str">
        <f>IFERROR(__xludf.DUMMYFUNCTION("GOOGLETRANSLATE(D1516,""en"",""es"")"),"ningún")</f>
        <v>ningún</v>
      </c>
      <c r="H1516" s="4" t="s">
        <v>733</v>
      </c>
      <c r="I1516" s="4" t="s">
        <v>5846</v>
      </c>
      <c r="J1516" s="4" t="s">
        <v>5847</v>
      </c>
      <c r="K1516" s="4" t="s">
        <v>733</v>
      </c>
    </row>
    <row r="1517">
      <c r="A1517" s="4">
        <v>33.0</v>
      </c>
      <c r="B1517" s="4" t="s">
        <v>5757</v>
      </c>
      <c r="C1517" s="4"/>
      <c r="D1517" s="4" t="s">
        <v>784</v>
      </c>
      <c r="E1517" s="4" t="s">
        <v>5848</v>
      </c>
      <c r="F1517" s="4" t="s">
        <v>475</v>
      </c>
      <c r="G1517" s="5" t="str">
        <f>IFERROR(__xludf.DUMMYFUNCTION("GOOGLETRANSLATE(D1517,""en"",""es"")"),"aplicación")</f>
        <v>aplicación</v>
      </c>
    </row>
    <row r="1518">
      <c r="A1518" s="4">
        <v>34.0</v>
      </c>
      <c r="B1518" s="4" t="s">
        <v>5757</v>
      </c>
      <c r="C1518" s="4"/>
      <c r="D1518" s="4" t="s">
        <v>5849</v>
      </c>
      <c r="E1518" s="4" t="s">
        <v>5850</v>
      </c>
      <c r="F1518" s="4" t="s">
        <v>757</v>
      </c>
      <c r="G1518" s="5" t="str">
        <f>IFERROR(__xludf.DUMMYFUNCTION("GOOGLETRANSLATE(D1518,""en"",""es"")"),"colocar")</f>
        <v>colocar</v>
      </c>
    </row>
    <row r="1519">
      <c r="A1519" s="4">
        <v>35.0</v>
      </c>
      <c r="B1519" s="4" t="s">
        <v>5757</v>
      </c>
      <c r="C1519" s="4"/>
      <c r="D1519" s="4" t="s">
        <v>295</v>
      </c>
      <c r="E1519" s="4" t="s">
        <v>5851</v>
      </c>
      <c r="F1519" s="4" t="s">
        <v>295</v>
      </c>
      <c r="G1519" s="5" t="str">
        <f>IFERROR(__xludf.DUMMYFUNCTION("GOOGLETRANSLATE(D1519,""en"",""es"")"),"como")</f>
        <v>como</v>
      </c>
      <c r="H1519" s="4" t="s">
        <v>5852</v>
      </c>
      <c r="I1519" s="4" t="s">
        <v>5853</v>
      </c>
      <c r="J1519" s="4" t="s">
        <v>5854</v>
      </c>
      <c r="K1519" s="4" t="s">
        <v>5855</v>
      </c>
      <c r="L1519" s="4" t="s">
        <v>5856</v>
      </c>
      <c r="M1519" s="4" t="s">
        <v>5857</v>
      </c>
      <c r="N1519" s="4" t="s">
        <v>5858</v>
      </c>
      <c r="O1519" s="4" t="s">
        <v>5859</v>
      </c>
      <c r="P1519" s="4" t="s">
        <v>5860</v>
      </c>
      <c r="Q1519" s="4" t="s">
        <v>5861</v>
      </c>
      <c r="R1519" s="4" t="s">
        <v>5862</v>
      </c>
      <c r="S1519" s="4" t="s">
        <v>5863</v>
      </c>
      <c r="T1519" s="4" t="s">
        <v>5860</v>
      </c>
      <c r="U1519" s="4" t="s">
        <v>5864</v>
      </c>
      <c r="V1519" s="4" t="s">
        <v>5860</v>
      </c>
      <c r="W1519" s="4" t="s">
        <v>5865</v>
      </c>
      <c r="X1519" s="4" t="s">
        <v>5860</v>
      </c>
      <c r="Y1519" s="4" t="s">
        <v>5866</v>
      </c>
      <c r="Z1519" s="4" t="s">
        <v>5867</v>
      </c>
      <c r="AA1519" s="4" t="s">
        <v>5860</v>
      </c>
      <c r="AB1519" s="4" t="s">
        <v>5860</v>
      </c>
      <c r="AC1519" s="4" t="s">
        <v>5868</v>
      </c>
      <c r="AD1519" s="4" t="s">
        <v>5860</v>
      </c>
      <c r="AE1519" s="4" t="s">
        <v>5869</v>
      </c>
      <c r="AF1519" s="4" t="s">
        <v>5870</v>
      </c>
      <c r="AG1519" s="4" t="s">
        <v>5871</v>
      </c>
      <c r="AH1519" s="4" t="s">
        <v>295</v>
      </c>
      <c r="AI1519" s="4" t="s">
        <v>5872</v>
      </c>
    </row>
    <row r="1520">
      <c r="A1520" s="4">
        <v>36.0</v>
      </c>
      <c r="B1520" s="4" t="s">
        <v>5757</v>
      </c>
      <c r="C1520" s="4"/>
      <c r="D1520" s="4" t="s">
        <v>5873</v>
      </c>
      <c r="E1520" s="4" t="s">
        <v>5874</v>
      </c>
      <c r="F1520" s="4" t="s">
        <v>5875</v>
      </c>
      <c r="G1520" s="5" t="str">
        <f>IFERROR(__xludf.DUMMYFUNCTION("GOOGLETRANSLATE(D1520,""en"",""es"")"),"Asenath")</f>
        <v>Asenath</v>
      </c>
    </row>
    <row r="1521">
      <c r="A1521" s="4">
        <v>37.0</v>
      </c>
      <c r="B1521" s="4" t="s">
        <v>5757</v>
      </c>
      <c r="C1521" s="4"/>
      <c r="D1521" s="4" t="s">
        <v>5876</v>
      </c>
      <c r="E1521" s="4" t="s">
        <v>5877</v>
      </c>
      <c r="F1521" s="4" t="s">
        <v>5876</v>
      </c>
      <c r="G1521" s="5" t="str">
        <f>IFERROR(__xludf.DUMMYFUNCTION("GOOGLETRANSLATE(D1521,""en"",""es"")"),"ceniza")</f>
        <v>ceniza</v>
      </c>
      <c r="H1521" s="4" t="s">
        <v>5876</v>
      </c>
      <c r="I1521" s="4" t="s">
        <v>5876</v>
      </c>
      <c r="J1521" s="4" t="s">
        <v>5878</v>
      </c>
      <c r="K1521" s="4" t="s">
        <v>5876</v>
      </c>
      <c r="L1521" s="4" t="s">
        <v>5876</v>
      </c>
    </row>
    <row r="1522">
      <c r="A1522" s="4">
        <v>38.0</v>
      </c>
      <c r="B1522" s="4" t="s">
        <v>5757</v>
      </c>
      <c r="C1522" s="4"/>
      <c r="D1522" s="4" t="s">
        <v>5879</v>
      </c>
      <c r="E1522" s="4" t="s">
        <v>5880</v>
      </c>
      <c r="F1522" s="4" t="s">
        <v>5881</v>
      </c>
      <c r="G1522" s="5" t="str">
        <f>IFERROR(__xludf.DUMMYFUNCTION("GOOGLETRANSLATE(D1522,""en"",""es"")"),"pálido")</f>
        <v>pálido</v>
      </c>
      <c r="H1522" s="4" t="s">
        <v>5879</v>
      </c>
      <c r="I1522" s="4" t="s">
        <v>5882</v>
      </c>
      <c r="J1522" s="4" t="s">
        <v>5883</v>
      </c>
      <c r="K1522" s="4" t="s">
        <v>5884</v>
      </c>
      <c r="L1522" s="4" t="s">
        <v>5885</v>
      </c>
      <c r="M1522" s="4" t="s">
        <v>5879</v>
      </c>
    </row>
    <row r="1523">
      <c r="A1523" s="4">
        <v>39.0</v>
      </c>
      <c r="B1523" s="4" t="s">
        <v>5757</v>
      </c>
      <c r="C1523" s="4"/>
      <c r="D1523" s="4" t="s">
        <v>5886</v>
      </c>
      <c r="E1523" s="4" t="s">
        <v>5887</v>
      </c>
      <c r="F1523" s="4" t="s">
        <v>5888</v>
      </c>
      <c r="G1523" s="5" t="str">
        <f>IFERROR(__xludf.DUMMYFUNCTION("GOOGLETRANSLATE(D1523,""en"",""es"")"),"ceniciento")</f>
        <v>ceniciento</v>
      </c>
      <c r="H1523" s="4" t="s">
        <v>5889</v>
      </c>
      <c r="I1523" s="4" t="s">
        <v>5890</v>
      </c>
      <c r="J1523" s="4" t="s">
        <v>5886</v>
      </c>
    </row>
    <row r="1524">
      <c r="A1524" s="4">
        <v>40.0</v>
      </c>
      <c r="B1524" s="4" t="s">
        <v>5757</v>
      </c>
      <c r="C1524" s="4"/>
      <c r="D1524" s="4" t="s">
        <v>1627</v>
      </c>
      <c r="E1524" s="4" t="s">
        <v>5851</v>
      </c>
      <c r="F1524" s="4" t="s">
        <v>295</v>
      </c>
      <c r="G1524" s="5" t="str">
        <f>IFERROR(__xludf.DUMMYFUNCTION("GOOGLETRANSLATE(D1524,""en"",""es"")"),"culo")</f>
        <v>culo</v>
      </c>
      <c r="H1524" s="4" t="s">
        <v>1602</v>
      </c>
      <c r="I1524" s="4" t="s">
        <v>1603</v>
      </c>
      <c r="J1524" s="4" t="s">
        <v>1604</v>
      </c>
      <c r="K1524" s="4" t="s">
        <v>1605</v>
      </c>
      <c r="L1524" s="4" t="s">
        <v>1606</v>
      </c>
      <c r="M1524" s="4" t="s">
        <v>1147</v>
      </c>
      <c r="N1524" s="4" t="s">
        <v>1607</v>
      </c>
      <c r="O1524" s="4" t="s">
        <v>1120</v>
      </c>
      <c r="P1524" s="4" t="s">
        <v>1608</v>
      </c>
      <c r="Q1524" s="4" t="s">
        <v>1609</v>
      </c>
      <c r="R1524" s="4" t="s">
        <v>1610</v>
      </c>
      <c r="S1524" s="4" t="s">
        <v>1611</v>
      </c>
      <c r="T1524" s="4" t="s">
        <v>1612</v>
      </c>
      <c r="U1524" s="4" t="s">
        <v>1613</v>
      </c>
      <c r="V1524" s="4" t="s">
        <v>1614</v>
      </c>
      <c r="W1524" s="4" t="s">
        <v>1615</v>
      </c>
      <c r="X1524" s="4" t="s">
        <v>1616</v>
      </c>
      <c r="Y1524" s="4" t="s">
        <v>1617</v>
      </c>
      <c r="Z1524" s="4" t="s">
        <v>1618</v>
      </c>
      <c r="AA1524" s="4" t="s">
        <v>1619</v>
      </c>
      <c r="AB1524" s="4" t="s">
        <v>1620</v>
      </c>
      <c r="AC1524" s="4" t="s">
        <v>1621</v>
      </c>
      <c r="AD1524" s="4" t="s">
        <v>1622</v>
      </c>
      <c r="AE1524" s="4" t="s">
        <v>1623</v>
      </c>
      <c r="AF1524" s="4" t="s">
        <v>1624</v>
      </c>
      <c r="AG1524" s="4" t="s">
        <v>1625</v>
      </c>
      <c r="AH1524" s="4" t="s">
        <v>1626</v>
      </c>
      <c r="AI1524" s="4" t="s">
        <v>1627</v>
      </c>
      <c r="AJ1524" s="4" t="s">
        <v>1627</v>
      </c>
      <c r="AK1524" s="4" t="s">
        <v>1627</v>
      </c>
      <c r="AL1524" s="4" t="s">
        <v>5891</v>
      </c>
      <c r="AM1524" s="4" t="s">
        <v>5892</v>
      </c>
      <c r="AN1524" s="4" t="s">
        <v>5893</v>
      </c>
      <c r="AO1524" s="4" t="s">
        <v>5894</v>
      </c>
      <c r="AP1524" s="4" t="s">
        <v>1627</v>
      </c>
      <c r="AQ1524" s="4" t="s">
        <v>5895</v>
      </c>
      <c r="AR1524" s="4" t="s">
        <v>5896</v>
      </c>
      <c r="AS1524" s="4" t="s">
        <v>5897</v>
      </c>
      <c r="AT1524" s="4" t="s">
        <v>5898</v>
      </c>
      <c r="AU1524" s="4" t="s">
        <v>5899</v>
      </c>
      <c r="AV1524" s="4" t="s">
        <v>5900</v>
      </c>
      <c r="AW1524" s="4" t="s">
        <v>5901</v>
      </c>
      <c r="AX1524" s="4" t="s">
        <v>5852</v>
      </c>
      <c r="AY1524" s="4" t="s">
        <v>5853</v>
      </c>
      <c r="AZ1524" s="4" t="s">
        <v>5854</v>
      </c>
      <c r="BA1524" s="4" t="s">
        <v>5855</v>
      </c>
      <c r="BB1524" s="4" t="s">
        <v>5856</v>
      </c>
      <c r="BC1524" s="4" t="s">
        <v>5857</v>
      </c>
    </row>
    <row r="1525">
      <c r="A1525" s="4">
        <v>41.0</v>
      </c>
      <c r="B1525" s="4" t="s">
        <v>5757</v>
      </c>
      <c r="C1525" s="4"/>
      <c r="D1525" s="4" t="s">
        <v>5902</v>
      </c>
      <c r="E1525" s="4" t="s">
        <v>5903</v>
      </c>
      <c r="F1525" s="4" t="s">
        <v>5904</v>
      </c>
      <c r="G1525" s="5" t="str">
        <f>IFERROR(__xludf.DUMMYFUNCTION("GOOGLETRANSLATE(D1525,""en"",""es"")"),"asalto")</f>
        <v>asalto</v>
      </c>
      <c r="H1525" s="4" t="s">
        <v>5905</v>
      </c>
    </row>
    <row r="1526">
      <c r="A1526" s="4">
        <v>42.0</v>
      </c>
      <c r="B1526" s="4" t="s">
        <v>5757</v>
      </c>
      <c r="C1526" s="4"/>
      <c r="D1526" s="4" t="s">
        <v>5906</v>
      </c>
      <c r="E1526" s="4" t="s">
        <v>5851</v>
      </c>
      <c r="F1526" s="4" t="s">
        <v>295</v>
      </c>
      <c r="G1526" s="5" t="str">
        <f>IFERROR(__xludf.DUMMYFUNCTION("GOOGLETRANSLATE(D1526,""en"",""es"")"),"ASSE")</f>
        <v>ASSE</v>
      </c>
    </row>
    <row r="1527">
      <c r="A1527" s="4">
        <v>43.0</v>
      </c>
      <c r="B1527" s="4" t="s">
        <v>5757</v>
      </c>
      <c r="C1527" s="4"/>
      <c r="D1527" s="4" t="s">
        <v>5907</v>
      </c>
      <c r="E1527" s="4" t="s">
        <v>5908</v>
      </c>
      <c r="F1527" s="4" t="s">
        <v>5909</v>
      </c>
      <c r="G1527" s="5" t="str">
        <f>IFERROR(__xludf.DUMMYFUNCTION("GOOGLETRANSLATE(D1527,""en"",""es"")"),"atormentar")</f>
        <v>atormentar</v>
      </c>
    </row>
    <row r="1528">
      <c r="A1528" s="4">
        <v>44.0</v>
      </c>
      <c r="B1528" s="4" t="s">
        <v>5757</v>
      </c>
      <c r="C1528" s="4"/>
      <c r="D1528" s="4" t="s">
        <v>5910</v>
      </c>
      <c r="E1528" s="4" t="s">
        <v>5911</v>
      </c>
      <c r="F1528" s="4" t="s">
        <v>5912</v>
      </c>
      <c r="G1528" s="5" t="str">
        <f>IFERROR(__xludf.DUMMYFUNCTION("GOOGLETRANSLATE(D1528,""en"",""es"")"),"atimy")</f>
        <v>atimy</v>
      </c>
    </row>
    <row r="1529">
      <c r="A1529" s="4">
        <v>45.0</v>
      </c>
      <c r="B1529" s="4" t="s">
        <v>5757</v>
      </c>
      <c r="C1529" s="4"/>
      <c r="D1529" s="4" t="s">
        <v>5913</v>
      </c>
      <c r="E1529" s="4" t="s">
        <v>5914</v>
      </c>
      <c r="F1529" s="4" t="s">
        <v>4769</v>
      </c>
      <c r="G1529" s="5" t="str">
        <f>IFERROR(__xludf.DUMMYFUNCTION("GOOGLETRANSLATE(D1529,""en"",""es"")"),"ático")</f>
        <v>ático</v>
      </c>
      <c r="H1529" s="4" t="s">
        <v>1473</v>
      </c>
      <c r="I1529" s="4" t="s">
        <v>5913</v>
      </c>
      <c r="J1529" s="4" t="s">
        <v>5915</v>
      </c>
      <c r="K1529" s="4" t="s">
        <v>4770</v>
      </c>
      <c r="L1529" s="4" t="s">
        <v>4771</v>
      </c>
      <c r="M1529" s="4" t="s">
        <v>4772</v>
      </c>
      <c r="N1529" s="4" t="s">
        <v>4773</v>
      </c>
      <c r="O1529" s="4" t="s">
        <v>5913</v>
      </c>
      <c r="P1529" s="4" t="s">
        <v>5916</v>
      </c>
      <c r="Q1529" s="4" t="s">
        <v>5917</v>
      </c>
      <c r="R1529" s="4" t="s">
        <v>5918</v>
      </c>
      <c r="S1529" s="4" t="s">
        <v>5919</v>
      </c>
      <c r="T1529" s="4" t="s">
        <v>5920</v>
      </c>
      <c r="U1529" s="4" t="s">
        <v>5913</v>
      </c>
      <c r="V1529" s="4" t="s">
        <v>4770</v>
      </c>
    </row>
    <row r="1530">
      <c r="A1530" s="4">
        <v>46.0</v>
      </c>
      <c r="B1530" s="4" t="s">
        <v>5757</v>
      </c>
      <c r="C1530" s="4"/>
      <c r="D1530" s="4" t="s">
        <v>5921</v>
      </c>
      <c r="E1530" s="4" t="s">
        <v>5922</v>
      </c>
      <c r="F1530" s="4" t="s">
        <v>5921</v>
      </c>
      <c r="G1530" s="5" t="str">
        <f>IFERROR(__xludf.DUMMYFUNCTION("GOOGLETRANSLATE(D1530,""en"",""es"")"),"ayin")</f>
        <v>ayin</v>
      </c>
      <c r="H1530" s="4" t="s">
        <v>5921</v>
      </c>
    </row>
    <row r="1531">
      <c r="A1531" s="4">
        <v>47.0</v>
      </c>
      <c r="B1531" s="4" t="s">
        <v>5757</v>
      </c>
      <c r="C1531" s="4"/>
      <c r="D1531" s="4" t="s">
        <v>496</v>
      </c>
      <c r="E1531" s="4" t="s">
        <v>5923</v>
      </c>
      <c r="F1531" s="4" t="s">
        <v>5924</v>
      </c>
      <c r="G1531" s="5" t="str">
        <f>IFERROR(__xludf.DUMMYFUNCTION("GOOGLETRANSLATE(D1531,""en"",""es"")"),"cache")</f>
        <v>cache</v>
      </c>
      <c r="H1531" s="4" t="s">
        <v>496</v>
      </c>
      <c r="I1531" s="4" t="s">
        <v>494</v>
      </c>
      <c r="J1531" s="4" t="s">
        <v>496</v>
      </c>
      <c r="K1531" s="4" t="s">
        <v>495</v>
      </c>
      <c r="L1531" s="4" t="s">
        <v>496</v>
      </c>
      <c r="M1531" s="4" t="s">
        <v>5925</v>
      </c>
      <c r="N1531" s="4" t="s">
        <v>494</v>
      </c>
      <c r="O1531" s="4" t="s">
        <v>495</v>
      </c>
      <c r="P1531" s="4" t="s">
        <v>496</v>
      </c>
      <c r="Q1531" s="4" t="s">
        <v>497</v>
      </c>
      <c r="R1531" s="4" t="s">
        <v>498</v>
      </c>
      <c r="S1531" s="4" t="s">
        <v>499</v>
      </c>
    </row>
    <row r="1532">
      <c r="A1532" s="4">
        <v>48.0</v>
      </c>
      <c r="B1532" s="4" t="s">
        <v>5757</v>
      </c>
      <c r="C1532" s="4"/>
      <c r="D1532" s="4" t="s">
        <v>5926</v>
      </c>
      <c r="E1532" s="4" t="s">
        <v>5927</v>
      </c>
      <c r="F1532" s="4" t="s">
        <v>319</v>
      </c>
      <c r="G1532" s="5" t="str">
        <f>IFERROR(__xludf.DUMMYFUNCTION("GOOGLETRANSLATE(D1532,""en"",""es"")"),"caca")</f>
        <v>caca</v>
      </c>
    </row>
    <row r="1533">
      <c r="A1533" s="4">
        <v>49.0</v>
      </c>
      <c r="B1533" s="4" t="s">
        <v>5757</v>
      </c>
      <c r="C1533" s="4"/>
      <c r="D1533" s="4" t="s">
        <v>5928</v>
      </c>
      <c r="E1533" s="4" t="s">
        <v>5929</v>
      </c>
      <c r="F1533" s="4" t="s">
        <v>1122</v>
      </c>
      <c r="G1533" s="5" t="str">
        <f>IFERROR(__xludf.DUMMYFUNCTION("GOOGLETRANSLATE(D1533,""en"",""es"")"),"caen")</f>
        <v>caen</v>
      </c>
    </row>
    <row r="1534">
      <c r="A1534" s="4">
        <v>50.0</v>
      </c>
      <c r="B1534" s="4" t="s">
        <v>5757</v>
      </c>
      <c r="C1534" s="4"/>
      <c r="D1534" s="4" t="s">
        <v>973</v>
      </c>
      <c r="E1534" s="4" t="s">
        <v>5930</v>
      </c>
      <c r="F1534" s="4" t="s">
        <v>975</v>
      </c>
      <c r="G1534" s="5" t="str">
        <f>IFERROR(__xludf.DUMMYFUNCTION("GOOGLETRANSLATE(D1534,""en"",""es"")"),"California")</f>
        <v>California</v>
      </c>
    </row>
    <row r="1535">
      <c r="A1535" s="4">
        <v>51.0</v>
      </c>
      <c r="B1535" s="4" t="s">
        <v>5757</v>
      </c>
      <c r="C1535" s="4"/>
      <c r="D1535" s="4" t="s">
        <v>5931</v>
      </c>
      <c r="E1535" s="4" t="s">
        <v>5932</v>
      </c>
      <c r="F1535" s="4" t="s">
        <v>5148</v>
      </c>
      <c r="G1535" s="5" t="str">
        <f>IFERROR(__xludf.DUMMYFUNCTION("GOOGLETRANSLATE(D1535,""en"",""es"")"),"cali")</f>
        <v>cali</v>
      </c>
      <c r="H1535" s="4" t="s">
        <v>5933</v>
      </c>
    </row>
    <row r="1536">
      <c r="A1536" s="4">
        <v>52.0</v>
      </c>
      <c r="B1536" s="4" t="s">
        <v>5757</v>
      </c>
      <c r="C1536" s="4"/>
      <c r="D1536" s="4" t="s">
        <v>5934</v>
      </c>
      <c r="E1536" s="4" t="s">
        <v>5935</v>
      </c>
      <c r="F1536" s="4" t="s">
        <v>5936</v>
      </c>
      <c r="G1536" s="5" t="str">
        <f>IFERROR(__xludf.DUMMYFUNCTION("GOOGLETRANSLATE(D1536,""en"",""es"")"),"calipas")</f>
        <v>calipas</v>
      </c>
    </row>
    <row r="1537">
      <c r="A1537" s="4">
        <v>53.0</v>
      </c>
      <c r="B1537" s="4" t="s">
        <v>5757</v>
      </c>
      <c r="C1537" s="4"/>
      <c r="D1537" s="4" t="s">
        <v>5937</v>
      </c>
      <c r="E1537" s="4" t="s">
        <v>5935</v>
      </c>
      <c r="F1537" s="4" t="s">
        <v>5936</v>
      </c>
      <c r="G1537" s="5" t="str">
        <f>IFERROR(__xludf.DUMMYFUNCTION("GOOGLETRANSLATE(D1537,""en"",""es"")"),"callipash")</f>
        <v>callipash</v>
      </c>
    </row>
    <row r="1538">
      <c r="A1538" s="4">
        <v>54.0</v>
      </c>
      <c r="B1538" s="4" t="s">
        <v>5757</v>
      </c>
      <c r="C1538" s="4"/>
      <c r="D1538" s="4" t="s">
        <v>5938</v>
      </c>
      <c r="E1538" s="4" t="s">
        <v>5939</v>
      </c>
      <c r="F1538" s="4" t="s">
        <v>1108</v>
      </c>
      <c r="G1538" s="5" t="str">
        <f>IFERROR(__xludf.DUMMYFUNCTION("GOOGLETRANSLATE(D1538,""en"",""es"")"),"cami")</f>
        <v>cami</v>
      </c>
    </row>
    <row r="1539">
      <c r="A1539" s="4">
        <v>55.0</v>
      </c>
      <c r="B1539" s="4" t="s">
        <v>5757</v>
      </c>
      <c r="C1539" s="4"/>
      <c r="D1539" s="4" t="s">
        <v>5940</v>
      </c>
      <c r="E1539" s="4" t="s">
        <v>5941</v>
      </c>
      <c r="F1539" s="4" t="s">
        <v>5942</v>
      </c>
      <c r="G1539" s="5" t="str">
        <f>IFERROR(__xludf.DUMMYFUNCTION("GOOGLETRANSLATE(D1539,""en"",""es"")"),"camis")</f>
        <v>camis</v>
      </c>
    </row>
    <row r="1540">
      <c r="A1540" s="4">
        <v>56.0</v>
      </c>
      <c r="B1540" s="4" t="s">
        <v>5757</v>
      </c>
      <c r="C1540" s="4"/>
      <c r="D1540" s="4" t="s">
        <v>1120</v>
      </c>
      <c r="E1540" s="4" t="s">
        <v>5943</v>
      </c>
      <c r="F1540" s="4" t="s">
        <v>1122</v>
      </c>
      <c r="G1540" s="5" t="str">
        <f>IFERROR(__xludf.DUMMYFUNCTION("GOOGLETRANSLATE(D1540,""en"",""es"")"),"pueden")</f>
        <v>pueden</v>
      </c>
      <c r="H1540" s="4" t="s">
        <v>1120</v>
      </c>
      <c r="I1540" s="4" t="s">
        <v>5944</v>
      </c>
      <c r="J1540" s="4" t="s">
        <v>5945</v>
      </c>
      <c r="K1540" s="4" t="s">
        <v>1120</v>
      </c>
      <c r="L1540" s="4" t="s">
        <v>5946</v>
      </c>
      <c r="M1540" s="4" t="s">
        <v>1120</v>
      </c>
      <c r="N1540" s="4" t="s">
        <v>5947</v>
      </c>
      <c r="O1540" s="4" t="s">
        <v>1602</v>
      </c>
      <c r="P1540" s="4" t="s">
        <v>1603</v>
      </c>
      <c r="Q1540" s="4" t="s">
        <v>1604</v>
      </c>
      <c r="R1540" s="4" t="s">
        <v>1605</v>
      </c>
      <c r="S1540" s="4" t="s">
        <v>1606</v>
      </c>
      <c r="T1540" s="4" t="s">
        <v>1147</v>
      </c>
      <c r="U1540" s="4" t="s">
        <v>1607</v>
      </c>
      <c r="V1540" s="4" t="s">
        <v>1120</v>
      </c>
      <c r="W1540" s="4" t="s">
        <v>1608</v>
      </c>
      <c r="X1540" s="4" t="s">
        <v>1609</v>
      </c>
      <c r="Y1540" s="4" t="s">
        <v>1610</v>
      </c>
      <c r="Z1540" s="4" t="s">
        <v>1611</v>
      </c>
      <c r="AA1540" s="4" t="s">
        <v>1612</v>
      </c>
      <c r="AB1540" s="4" t="s">
        <v>1613</v>
      </c>
      <c r="AC1540" s="4" t="s">
        <v>1614</v>
      </c>
      <c r="AD1540" s="4" t="s">
        <v>1615</v>
      </c>
      <c r="AE1540" s="4" t="s">
        <v>1616</v>
      </c>
      <c r="AF1540" s="4" t="s">
        <v>1617</v>
      </c>
      <c r="AG1540" s="4" t="s">
        <v>1618</v>
      </c>
      <c r="AH1540" s="4" t="s">
        <v>1619</v>
      </c>
      <c r="AI1540" s="4" t="s">
        <v>1620</v>
      </c>
      <c r="AJ1540" s="4" t="s">
        <v>1621</v>
      </c>
      <c r="AK1540" s="4" t="s">
        <v>1622</v>
      </c>
      <c r="AL1540" s="4" t="s">
        <v>1623</v>
      </c>
      <c r="AM1540" s="4" t="s">
        <v>1624</v>
      </c>
      <c r="AN1540" s="4" t="s">
        <v>1625</v>
      </c>
      <c r="AO1540" s="4" t="s">
        <v>1626</v>
      </c>
      <c r="AP1540" s="4" t="s">
        <v>1627</v>
      </c>
      <c r="AQ1540" s="4" t="s">
        <v>5948</v>
      </c>
      <c r="AR1540" s="4" t="s">
        <v>1120</v>
      </c>
      <c r="AS1540" s="4" t="s">
        <v>5949</v>
      </c>
      <c r="AT1540" s="4" t="s">
        <v>5950</v>
      </c>
      <c r="AU1540" s="4" t="s">
        <v>1752</v>
      </c>
      <c r="AV1540" s="4" t="s">
        <v>5951</v>
      </c>
      <c r="AW1540" s="4" t="s">
        <v>5952</v>
      </c>
      <c r="AX1540" s="4" t="s">
        <v>5953</v>
      </c>
      <c r="AY1540" s="4" t="s">
        <v>5948</v>
      </c>
      <c r="AZ1540" s="4" t="s">
        <v>5954</v>
      </c>
      <c r="BA1540" s="4" t="s">
        <v>5955</v>
      </c>
      <c r="BB1540" s="4" t="s">
        <v>1120</v>
      </c>
      <c r="BC1540" s="4" t="s">
        <v>5956</v>
      </c>
      <c r="BD1540" s="4" t="s">
        <v>5957</v>
      </c>
      <c r="BE1540" s="4" t="s">
        <v>5958</v>
      </c>
      <c r="BF1540" s="4" t="s">
        <v>1120</v>
      </c>
      <c r="BG1540" s="4" t="s">
        <v>5944</v>
      </c>
      <c r="BH1540" s="4" t="s">
        <v>2996</v>
      </c>
      <c r="BI1540" s="4" t="s">
        <v>5959</v>
      </c>
      <c r="BJ1540" s="4" t="s">
        <v>907</v>
      </c>
      <c r="BK1540" s="4" t="s">
        <v>5960</v>
      </c>
      <c r="BL1540" s="4" t="s">
        <v>1120</v>
      </c>
      <c r="BM1540" s="4" t="s">
        <v>5961</v>
      </c>
      <c r="BN1540" s="4" t="s">
        <v>5962</v>
      </c>
      <c r="BO1540" s="4" t="s">
        <v>5963</v>
      </c>
      <c r="BP1540" s="4" t="s">
        <v>1785</v>
      </c>
      <c r="BQ1540" s="4" t="s">
        <v>5964</v>
      </c>
      <c r="BR1540" s="4" t="s">
        <v>5965</v>
      </c>
      <c r="BS1540" s="4" t="s">
        <v>952</v>
      </c>
    </row>
    <row r="1541">
      <c r="A1541" s="4">
        <v>57.0</v>
      </c>
      <c r="B1541" s="4" t="s">
        <v>5757</v>
      </c>
      <c r="C1541" s="4"/>
      <c r="D1541" s="4" t="s">
        <v>5966</v>
      </c>
      <c r="E1541" s="4" t="s">
        <v>5943</v>
      </c>
      <c r="F1541" s="4" t="s">
        <v>1122</v>
      </c>
      <c r="G1541" s="5" t="str">
        <f>IFERROR(__xludf.DUMMYFUNCTION("GOOGLETRANSLATE(D1541,""en"",""es"")"),"Cannes")</f>
        <v>Cannes</v>
      </c>
      <c r="H1541" s="4" t="s">
        <v>5967</v>
      </c>
    </row>
    <row r="1542">
      <c r="A1542" s="4">
        <v>58.0</v>
      </c>
      <c r="B1542" s="4" t="s">
        <v>5757</v>
      </c>
      <c r="C1542" s="4"/>
      <c r="D1542" s="4" t="s">
        <v>5968</v>
      </c>
      <c r="E1542" s="4" t="s">
        <v>5969</v>
      </c>
      <c r="F1542" s="4" t="s">
        <v>1207</v>
      </c>
      <c r="G1542" s="5" t="str">
        <f>IFERROR(__xludf.DUMMYFUNCTION("GOOGLETRANSLATE(D1542,""en"",""es"")"),"astuto")</f>
        <v>astuto</v>
      </c>
      <c r="H1542" s="4" t="s">
        <v>5970</v>
      </c>
      <c r="I1542" s="4" t="s">
        <v>5971</v>
      </c>
      <c r="J1542" s="4" t="s">
        <v>5968</v>
      </c>
      <c r="K1542" s="4" t="s">
        <v>5972</v>
      </c>
    </row>
    <row r="1543">
      <c r="A1543" s="4">
        <v>59.0</v>
      </c>
      <c r="B1543" s="4" t="s">
        <v>5757</v>
      </c>
      <c r="C1543" s="4"/>
      <c r="D1543" s="4" t="s">
        <v>1208</v>
      </c>
      <c r="E1543" s="4" t="s">
        <v>5973</v>
      </c>
      <c r="F1543" s="4" t="s">
        <v>322</v>
      </c>
      <c r="G1543" s="5" t="str">
        <f>IFERROR(__xludf.DUMMYFUNCTION("GOOGLETRANSLATE(D1543,""en"",""es"")"),"gorra")</f>
        <v>gorra</v>
      </c>
      <c r="H1543" s="4" t="s">
        <v>1208</v>
      </c>
      <c r="I1543" s="4" t="s">
        <v>1208</v>
      </c>
      <c r="J1543" s="4" t="s">
        <v>5974</v>
      </c>
      <c r="K1543" s="4" t="s">
        <v>5975</v>
      </c>
      <c r="L1543" s="4" t="s">
        <v>1208</v>
      </c>
      <c r="M1543" s="4" t="s">
        <v>1208</v>
      </c>
      <c r="N1543" s="4" t="s">
        <v>1208</v>
      </c>
      <c r="O1543" s="4" t="s">
        <v>5976</v>
      </c>
      <c r="P1543" s="4" t="s">
        <v>5977</v>
      </c>
      <c r="Q1543" s="4" t="s">
        <v>1208</v>
      </c>
      <c r="R1543" s="4" t="s">
        <v>5978</v>
      </c>
      <c r="S1543" s="4" t="s">
        <v>5979</v>
      </c>
      <c r="T1543" s="4" t="s">
        <v>1208</v>
      </c>
      <c r="U1543" s="4" t="s">
        <v>1401</v>
      </c>
      <c r="V1543" s="4" t="s">
        <v>5980</v>
      </c>
      <c r="W1543" s="4" t="s">
        <v>5981</v>
      </c>
      <c r="X1543" s="4" t="s">
        <v>5982</v>
      </c>
      <c r="Y1543" s="4" t="s">
        <v>1208</v>
      </c>
      <c r="Z1543" s="4" t="s">
        <v>1274</v>
      </c>
      <c r="AA1543" s="4" t="s">
        <v>5983</v>
      </c>
      <c r="AB1543" s="4" t="s">
        <v>1208</v>
      </c>
      <c r="AC1543" s="4" t="s">
        <v>1208</v>
      </c>
      <c r="AD1543" s="4" t="s">
        <v>1402</v>
      </c>
      <c r="AE1543" s="4" t="s">
        <v>1208</v>
      </c>
    </row>
    <row r="1544">
      <c r="A1544" s="4">
        <v>60.0</v>
      </c>
      <c r="B1544" s="4" t="s">
        <v>5757</v>
      </c>
      <c r="C1544" s="4"/>
      <c r="D1544" s="4" t="s">
        <v>5984</v>
      </c>
      <c r="E1544" s="4" t="s">
        <v>5985</v>
      </c>
      <c r="F1544" s="4" t="s">
        <v>5986</v>
      </c>
      <c r="G1544" s="5" t="str">
        <f>IFERROR(__xludf.DUMMYFUNCTION("GOOGLETRANSLATE(D1544,""en"",""es"")"),"capitán")</f>
        <v>capitán</v>
      </c>
    </row>
    <row r="1545">
      <c r="A1545" s="4">
        <v>61.0</v>
      </c>
      <c r="B1545" s="4" t="s">
        <v>5757</v>
      </c>
      <c r="C1545" s="4"/>
      <c r="D1545" s="4" t="s">
        <v>5987</v>
      </c>
      <c r="E1545" s="4" t="s">
        <v>5988</v>
      </c>
      <c r="F1545" s="4" t="s">
        <v>5638</v>
      </c>
      <c r="G1545" s="5" t="str">
        <f>IFERROR(__xludf.DUMMYFUNCTION("GOOGLETRANSLATE(D1545,""en"",""es"")"),"pez")</f>
        <v>pez</v>
      </c>
    </row>
    <row r="1546">
      <c r="A1546" s="4">
        <v>62.0</v>
      </c>
      <c r="B1546" s="4" t="s">
        <v>5757</v>
      </c>
      <c r="C1546" s="4"/>
      <c r="D1546" s="4" t="s">
        <v>5989</v>
      </c>
      <c r="E1546" s="4" t="s">
        <v>5923</v>
      </c>
      <c r="F1546" s="4" t="s">
        <v>5924</v>
      </c>
      <c r="G1546" s="5" t="str">
        <f>IFERROR(__xludf.DUMMYFUNCTION("GOOGLETRANSLATE(D1546,""en"",""es"")"),"dinero")</f>
        <v>dinero</v>
      </c>
      <c r="H1546" s="4" t="s">
        <v>5989</v>
      </c>
      <c r="I1546" s="4" t="s">
        <v>5990</v>
      </c>
      <c r="J1546" s="4" t="s">
        <v>5991</v>
      </c>
      <c r="K1546" s="4" t="s">
        <v>5989</v>
      </c>
      <c r="L1546" s="4" t="s">
        <v>5992</v>
      </c>
      <c r="M1546" s="4" t="s">
        <v>5993</v>
      </c>
      <c r="N1546" s="4" t="s">
        <v>5994</v>
      </c>
      <c r="O1546" s="4" t="s">
        <v>5995</v>
      </c>
      <c r="P1546" s="4" t="s">
        <v>5989</v>
      </c>
      <c r="Q1546" s="4" t="s">
        <v>5996</v>
      </c>
    </row>
    <row r="1547">
      <c r="A1547" s="4">
        <v>63.0</v>
      </c>
      <c r="B1547" s="4" t="s">
        <v>5757</v>
      </c>
      <c r="C1547" s="4"/>
      <c r="D1547" s="4" t="s">
        <v>5997</v>
      </c>
      <c r="E1547" s="4" t="s">
        <v>5998</v>
      </c>
      <c r="F1547" s="4" t="s">
        <v>5999</v>
      </c>
      <c r="G1547" s="5" t="str">
        <f>IFERROR(__xludf.DUMMYFUNCTION("GOOGLETRANSLATE(D1547,""en"",""es"")"),"cath")</f>
        <v>cath</v>
      </c>
    </row>
    <row r="1548">
      <c r="A1548" s="4">
        <v>64.0</v>
      </c>
      <c r="B1548" s="4" t="s">
        <v>5757</v>
      </c>
      <c r="C1548" s="4"/>
      <c r="D1548" s="4" t="s">
        <v>6000</v>
      </c>
      <c r="E1548" s="4" t="s">
        <v>6001</v>
      </c>
      <c r="F1548" s="4" t="s">
        <v>6002</v>
      </c>
      <c r="G1548" s="5" t="str">
        <f>IFERROR(__xludf.DUMMYFUNCTION("GOOGLETRANSLATE(D1548,""en"",""es"")"),"cathy")</f>
        <v>cathy</v>
      </c>
    </row>
    <row r="1549">
      <c r="A1549" s="4">
        <v>65.0</v>
      </c>
      <c r="B1549" s="4" t="s">
        <v>5757</v>
      </c>
      <c r="C1549" s="4"/>
      <c r="D1549" s="4" t="s">
        <v>6003</v>
      </c>
      <c r="E1549" s="4" t="s">
        <v>6004</v>
      </c>
      <c r="F1549" s="4" t="s">
        <v>6005</v>
      </c>
      <c r="G1549" s="5" t="str">
        <f>IFERROR(__xludf.DUMMYFUNCTION("GOOGLETRANSLATE(D1549,""en"",""es"")"),"challis")</f>
        <v>challis</v>
      </c>
      <c r="H1549" s="4" t="s">
        <v>6003</v>
      </c>
    </row>
    <row r="1550">
      <c r="A1550" s="4">
        <v>66.0</v>
      </c>
      <c r="B1550" s="4" t="s">
        <v>5757</v>
      </c>
      <c r="C1550" s="4"/>
      <c r="D1550" s="4" t="s">
        <v>6006</v>
      </c>
      <c r="E1550" s="4" t="s">
        <v>6007</v>
      </c>
      <c r="F1550" s="4" t="s">
        <v>1039</v>
      </c>
      <c r="G1550" s="5" t="str">
        <f>IFERROR(__xludf.DUMMYFUNCTION("GOOGLETRANSLATE(D1550,""en"",""es"")"),"cham")</f>
        <v>cham</v>
      </c>
    </row>
    <row r="1551">
      <c r="A1551" s="4">
        <v>67.0</v>
      </c>
      <c r="B1551" s="4" t="s">
        <v>5757</v>
      </c>
      <c r="C1551" s="4"/>
      <c r="D1551" s="4" t="s">
        <v>1092</v>
      </c>
      <c r="E1551" s="4" t="s">
        <v>6008</v>
      </c>
      <c r="F1551" s="4" t="s">
        <v>6009</v>
      </c>
      <c r="G1551" s="5" t="str">
        <f>IFERROR(__xludf.DUMMYFUNCTION("GOOGLETRANSLATE(D1551,""en"",""es"")"),"gamuza")</f>
        <v>gamuza</v>
      </c>
      <c r="H1551" s="4" t="s">
        <v>1092</v>
      </c>
      <c r="I1551" s="4" t="s">
        <v>1094</v>
      </c>
      <c r="J1551" s="4" t="s">
        <v>1095</v>
      </c>
      <c r="K1551" s="4" t="s">
        <v>1096</v>
      </c>
      <c r="L1551" s="4" t="s">
        <v>1097</v>
      </c>
      <c r="M1551" s="4" t="s">
        <v>1098</v>
      </c>
      <c r="N1551" s="4" t="s">
        <v>1092</v>
      </c>
      <c r="O1551" s="4" t="s">
        <v>1093</v>
      </c>
    </row>
    <row r="1552">
      <c r="A1552" s="4">
        <v>68.0</v>
      </c>
      <c r="B1552" s="4" t="s">
        <v>5757</v>
      </c>
      <c r="C1552" s="4"/>
      <c r="D1552" s="4" t="s">
        <v>6010</v>
      </c>
      <c r="E1552" s="4" t="s">
        <v>6011</v>
      </c>
      <c r="F1552" s="4" t="s">
        <v>6012</v>
      </c>
      <c r="G1552" s="5" t="str">
        <f>IFERROR(__xludf.DUMMYFUNCTION("GOOGLETRANSLATE(D1552,""en"",""es"")"),"chapé")</f>
        <v>chapé</v>
      </c>
    </row>
    <row r="1553">
      <c r="A1553" s="4">
        <v>69.0</v>
      </c>
      <c r="B1553" s="4" t="s">
        <v>5757</v>
      </c>
      <c r="C1553" s="4"/>
      <c r="D1553" s="4" t="s">
        <v>6013</v>
      </c>
      <c r="E1553" s="4" t="s">
        <v>6014</v>
      </c>
      <c r="F1553" s="4" t="s">
        <v>6015</v>
      </c>
      <c r="G1553" s="5" t="str">
        <f>IFERROR(__xludf.DUMMYFUNCTION("GOOGLETRANSLATE(D1553,""en"",""es"")"),"chasse")</f>
        <v>chasse</v>
      </c>
      <c r="H1553" s="4" t="s">
        <v>6013</v>
      </c>
      <c r="I1553" s="4" t="s">
        <v>6016</v>
      </c>
      <c r="J1553" s="4" t="s">
        <v>6013</v>
      </c>
      <c r="K1553" s="4" t="s">
        <v>6016</v>
      </c>
    </row>
    <row r="1554">
      <c r="A1554" s="4">
        <v>70.0</v>
      </c>
      <c r="B1554" s="4" t="s">
        <v>5757</v>
      </c>
      <c r="C1554" s="4"/>
      <c r="D1554" s="4" t="s">
        <v>6017</v>
      </c>
      <c r="E1554" s="4" t="s">
        <v>6018</v>
      </c>
      <c r="F1554" s="4" t="s">
        <v>6019</v>
      </c>
      <c r="G1554" s="5" t="str">
        <f>IFERROR(__xludf.DUMMYFUNCTION("GOOGLETRANSLATE(D1554,""en"",""es"")"),"chasis")</f>
        <v>chasis</v>
      </c>
      <c r="H1554" s="4" t="s">
        <v>6020</v>
      </c>
      <c r="I1554" s="4" t="s">
        <v>6021</v>
      </c>
      <c r="J1554" s="4" t="s">
        <v>6022</v>
      </c>
      <c r="K1554" s="4" t="s">
        <v>6023</v>
      </c>
      <c r="L1554" s="4" t="s">
        <v>6024</v>
      </c>
      <c r="M1554" s="4" t="s">
        <v>4861</v>
      </c>
      <c r="N1554" s="4" t="s">
        <v>6025</v>
      </c>
      <c r="O1554" s="4" t="s">
        <v>6026</v>
      </c>
      <c r="P1554" s="4" t="s">
        <v>6027</v>
      </c>
      <c r="Q1554" s="4" t="s">
        <v>6028</v>
      </c>
      <c r="R1554" s="4" t="s">
        <v>6017</v>
      </c>
      <c r="S1554" s="4" t="s">
        <v>6029</v>
      </c>
      <c r="T1554" s="4" t="s">
        <v>1679</v>
      </c>
      <c r="U1554" s="4" t="s">
        <v>6030</v>
      </c>
      <c r="V1554" s="4" t="s">
        <v>6017</v>
      </c>
      <c r="W1554" s="4" t="s">
        <v>6017</v>
      </c>
    </row>
    <row r="1555">
      <c r="A1555" s="4">
        <v>71.0</v>
      </c>
      <c r="B1555" s="4" t="s">
        <v>5757</v>
      </c>
      <c r="C1555" s="4"/>
      <c r="D1555" s="4" t="s">
        <v>6031</v>
      </c>
      <c r="E1555" s="4" t="s">
        <v>6032</v>
      </c>
      <c r="F1555" s="4" t="s">
        <v>6033</v>
      </c>
      <c r="G1555" s="5" t="str">
        <f>IFERROR(__xludf.DUMMYFUNCTION("GOOGLETRANSLATE(D1555,""en"",""es"")"),"chichi")</f>
        <v>chichi</v>
      </c>
      <c r="H1555" s="4" t="s">
        <v>6031</v>
      </c>
      <c r="I1555" s="4" t="s">
        <v>6034</v>
      </c>
      <c r="J1555" s="4" t="s">
        <v>6035</v>
      </c>
      <c r="K1555" s="4" t="s">
        <v>6031</v>
      </c>
      <c r="L1555" s="4" t="s">
        <v>6036</v>
      </c>
      <c r="M1555" s="4" t="s">
        <v>6037</v>
      </c>
      <c r="N1555" s="4" t="s">
        <v>6038</v>
      </c>
      <c r="O1555" s="4" t="s">
        <v>6039</v>
      </c>
      <c r="P1555" s="4" t="s">
        <v>6040</v>
      </c>
      <c r="Q1555" s="4" t="s">
        <v>6031</v>
      </c>
    </row>
    <row r="1556">
      <c r="A1556" s="4">
        <v>72.0</v>
      </c>
      <c r="B1556" s="4" t="s">
        <v>5757</v>
      </c>
      <c r="C1556" s="4"/>
      <c r="D1556" s="4" t="s">
        <v>6041</v>
      </c>
      <c r="E1556" s="4" t="s">
        <v>6042</v>
      </c>
      <c r="F1556" s="4" t="s">
        <v>6043</v>
      </c>
      <c r="G1556" s="5" t="str">
        <f>IFERROR(__xludf.DUMMYFUNCTION("GOOGLETRANSLATE(D1556,""en"",""es"")"),"chinook")</f>
        <v>chinook</v>
      </c>
      <c r="H1556" s="4" t="s">
        <v>6041</v>
      </c>
      <c r="I1556" s="4" t="s">
        <v>6044</v>
      </c>
      <c r="J1556" s="4" t="s">
        <v>6045</v>
      </c>
      <c r="K1556" s="4" t="s">
        <v>6046</v>
      </c>
      <c r="L1556" s="4" t="s">
        <v>6047</v>
      </c>
      <c r="M1556" s="4" t="s">
        <v>6041</v>
      </c>
      <c r="N1556" s="4" t="s">
        <v>6048</v>
      </c>
      <c r="O1556" s="4" t="s">
        <v>6049</v>
      </c>
      <c r="P1556" s="4" t="s">
        <v>6046</v>
      </c>
      <c r="Q1556" s="4" t="s">
        <v>6041</v>
      </c>
      <c r="R1556" s="4" t="s">
        <v>6047</v>
      </c>
      <c r="S1556" s="4" t="s">
        <v>6048</v>
      </c>
      <c r="T1556" s="4" t="s">
        <v>6050</v>
      </c>
      <c r="U1556" s="4" t="s">
        <v>6051</v>
      </c>
    </row>
    <row r="1557">
      <c r="A1557" s="4">
        <v>73.0</v>
      </c>
      <c r="B1557" s="4" t="s">
        <v>5757</v>
      </c>
      <c r="C1557" s="4"/>
      <c r="D1557" s="4" t="s">
        <v>6052</v>
      </c>
      <c r="E1557" s="4" t="s">
        <v>6053</v>
      </c>
      <c r="F1557" s="4" t="s">
        <v>4004</v>
      </c>
      <c r="G1557" s="5" t="str">
        <f>IFERROR(__xludf.DUMMYFUNCTION("GOOGLETRANSLATE(D1557,""en"",""es"")"),"cis")</f>
        <v>cis</v>
      </c>
      <c r="H1557" s="4" t="s">
        <v>6054</v>
      </c>
      <c r="I1557" s="4" t="s">
        <v>6055</v>
      </c>
      <c r="J1557" s="4" t="s">
        <v>6056</v>
      </c>
      <c r="K1557" s="4" t="s">
        <v>6057</v>
      </c>
    </row>
    <row r="1558">
      <c r="A1558" s="4">
        <v>74.0</v>
      </c>
      <c r="B1558" s="4" t="s">
        <v>5757</v>
      </c>
      <c r="C1558" s="4"/>
      <c r="D1558" s="4" t="s">
        <v>6058</v>
      </c>
      <c r="E1558" s="4" t="s">
        <v>6053</v>
      </c>
      <c r="F1558" s="4" t="s">
        <v>4004</v>
      </c>
      <c r="G1558" s="5" t="str">
        <f>IFERROR(__xludf.DUMMYFUNCTION("GOOGLETRANSLATE(D1558,""en"",""es"")"),"lata")</f>
        <v>lata</v>
      </c>
      <c r="H1558" s="4" t="s">
        <v>6054</v>
      </c>
      <c r="I1558" s="4" t="s">
        <v>6055</v>
      </c>
    </row>
    <row r="1559">
      <c r="A1559" s="4">
        <v>75.0</v>
      </c>
      <c r="B1559" s="4" t="s">
        <v>5757</v>
      </c>
      <c r="C1559" s="4"/>
      <c r="D1559" s="4" t="s">
        <v>6059</v>
      </c>
      <c r="E1559" s="4" t="s">
        <v>6060</v>
      </c>
      <c r="F1559" s="4" t="s">
        <v>6061</v>
      </c>
      <c r="G1559" s="5" t="str">
        <f>IFERROR(__xludf.DUMMYFUNCTION("GOOGLETRANSLATE(D1559,""en"",""es"")"),"mariquita")</f>
        <v>mariquita</v>
      </c>
      <c r="H1559" s="4" t="s">
        <v>6062</v>
      </c>
      <c r="I1559" s="4" t="s">
        <v>6063</v>
      </c>
      <c r="J1559" s="4" t="s">
        <v>6064</v>
      </c>
      <c r="K1559" s="4" t="s">
        <v>6059</v>
      </c>
      <c r="L1559" s="4" t="s">
        <v>6065</v>
      </c>
      <c r="M1559" s="4" t="s">
        <v>6066</v>
      </c>
      <c r="N1559" s="4" t="s">
        <v>6067</v>
      </c>
    </row>
    <row r="1560">
      <c r="A1560" s="4">
        <v>76.0</v>
      </c>
      <c r="B1560" s="4" t="s">
        <v>5757</v>
      </c>
      <c r="C1560" s="4"/>
      <c r="D1560" s="4" t="s">
        <v>6068</v>
      </c>
      <c r="E1560" s="4" t="s">
        <v>6069</v>
      </c>
      <c r="F1560" s="4" t="s">
        <v>4019</v>
      </c>
      <c r="G1560" s="5" t="str">
        <f>IFERROR(__xludf.DUMMYFUNCTION("GOOGLETRANSLATE(D1560,""en"",""es"")"),"ciudad")</f>
        <v>ciudad</v>
      </c>
      <c r="H1560" s="4" t="s">
        <v>6068</v>
      </c>
      <c r="I1560" s="4" t="s">
        <v>6070</v>
      </c>
      <c r="J1560" s="4" t="s">
        <v>6071</v>
      </c>
      <c r="K1560" s="4" t="s">
        <v>6068</v>
      </c>
      <c r="L1560" s="4" t="s">
        <v>6068</v>
      </c>
      <c r="M1560" s="4" t="s">
        <v>6070</v>
      </c>
    </row>
    <row r="1561">
      <c r="A1561" s="4">
        <v>77.0</v>
      </c>
      <c r="B1561" s="4" t="s">
        <v>5757</v>
      </c>
      <c r="C1561" s="4"/>
      <c r="D1561" s="4" t="s">
        <v>6072</v>
      </c>
      <c r="E1561" s="4" t="s">
        <v>6073</v>
      </c>
      <c r="F1561" s="4" t="s">
        <v>1588</v>
      </c>
      <c r="G1561" s="5" t="str">
        <f>IFERROR(__xludf.DUMMYFUNCTION("GOOGLETRANSLATE(D1561,""en"",""es"")"),"cocinero")</f>
        <v>cocinero</v>
      </c>
      <c r="H1561" s="4" t="s">
        <v>6072</v>
      </c>
      <c r="I1561" s="4" t="s">
        <v>6074</v>
      </c>
      <c r="J1561" s="4" t="s">
        <v>6075</v>
      </c>
      <c r="K1561" s="4" t="s">
        <v>6076</v>
      </c>
      <c r="L1561" s="4" t="s">
        <v>6077</v>
      </c>
      <c r="M1561" s="4" t="s">
        <v>6072</v>
      </c>
      <c r="N1561" s="4" t="s">
        <v>6072</v>
      </c>
      <c r="O1561" s="4" t="s">
        <v>6078</v>
      </c>
      <c r="P1561" s="4" t="s">
        <v>6079</v>
      </c>
      <c r="Q1561" s="4" t="s">
        <v>3000</v>
      </c>
      <c r="R1561" s="4" t="s">
        <v>6080</v>
      </c>
      <c r="S1561" s="4" t="s">
        <v>6072</v>
      </c>
      <c r="T1561" s="4" t="s">
        <v>6081</v>
      </c>
      <c r="U1561" s="4" t="s">
        <v>2424</v>
      </c>
      <c r="V1561" s="4" t="s">
        <v>6082</v>
      </c>
      <c r="W1561" s="4" t="s">
        <v>6083</v>
      </c>
      <c r="X1561" s="4" t="s">
        <v>6072</v>
      </c>
      <c r="Y1561" s="4" t="s">
        <v>6084</v>
      </c>
      <c r="Z1561" s="4" t="s">
        <v>6085</v>
      </c>
      <c r="AA1561" s="4" t="s">
        <v>6072</v>
      </c>
    </row>
    <row r="1562">
      <c r="A1562" s="4">
        <v>78.0</v>
      </c>
      <c r="B1562" s="4" t="s">
        <v>5757</v>
      </c>
      <c r="C1562" s="4"/>
      <c r="D1562" s="4" t="s">
        <v>1554</v>
      </c>
      <c r="E1562" s="4" t="s">
        <v>6086</v>
      </c>
      <c r="F1562" s="4" t="s">
        <v>1556</v>
      </c>
      <c r="G1562" s="5" t="str">
        <f>IFERROR(__xludf.DUMMYFUNCTION("GOOGLETRANSLATE(D1562,""en"",""es"")"),"Galleta")</f>
        <v>Galleta</v>
      </c>
      <c r="H1562" s="4" t="s">
        <v>1554</v>
      </c>
      <c r="I1562" s="4" t="s">
        <v>6087</v>
      </c>
      <c r="J1562" s="4" t="s">
        <v>6088</v>
      </c>
      <c r="K1562" s="4" t="s">
        <v>1554</v>
      </c>
      <c r="L1562" s="4" t="s">
        <v>6087</v>
      </c>
      <c r="M1562" s="4" t="s">
        <v>1554</v>
      </c>
    </row>
    <row r="1563">
      <c r="A1563" s="4">
        <v>79.0</v>
      </c>
      <c r="B1563" s="4" t="s">
        <v>5757</v>
      </c>
      <c r="C1563" s="4"/>
      <c r="D1563" s="4" t="s">
        <v>6089</v>
      </c>
      <c r="E1563" s="4" t="s">
        <v>1479</v>
      </c>
      <c r="F1563" s="4" t="s">
        <v>1480</v>
      </c>
      <c r="G1563" s="5" t="str">
        <f>IFERROR(__xludf.DUMMYFUNCTION("GOOGLETRANSLATE(D1563,""en"",""es"")"),"cooley")</f>
        <v>cooley</v>
      </c>
    </row>
    <row r="1564">
      <c r="A1564" s="4">
        <v>80.0</v>
      </c>
      <c r="B1564" s="4" t="s">
        <v>5757</v>
      </c>
      <c r="C1564" s="4"/>
      <c r="D1564" s="4" t="s">
        <v>6090</v>
      </c>
      <c r="E1564" s="4" t="s">
        <v>6091</v>
      </c>
      <c r="F1564" s="4" t="s">
        <v>6092</v>
      </c>
      <c r="G1564" s="5" t="str">
        <f>IFERROR(__xludf.DUMMYFUNCTION("GOOGLETRANSLATE(D1564,""en"",""es"")"),"semen")</f>
        <v>semen</v>
      </c>
      <c r="H1564" s="4" t="s">
        <v>6093</v>
      </c>
      <c r="I1564" s="4" t="s">
        <v>6094</v>
      </c>
      <c r="J1564" s="4" t="s">
        <v>6095</v>
      </c>
      <c r="K1564" s="4" t="s">
        <v>6096</v>
      </c>
      <c r="L1564" s="4" t="s">
        <v>6090</v>
      </c>
      <c r="M1564" s="4" t="s">
        <v>4146</v>
      </c>
    </row>
    <row r="1565">
      <c r="A1565" s="4">
        <v>81.0</v>
      </c>
      <c r="B1565" s="4" t="s">
        <v>5757</v>
      </c>
      <c r="C1565" s="4"/>
      <c r="D1565" s="4" t="s">
        <v>6097</v>
      </c>
      <c r="E1565" s="4" t="s">
        <v>6098</v>
      </c>
      <c r="F1565" s="4" t="s">
        <v>6099</v>
      </c>
      <c r="G1565" s="5" t="str">
        <f>IFERROR(__xludf.DUMMYFUNCTION("GOOGLETRANSLATE(D1565,""en"",""es"")"),"cusa")</f>
        <v>cusa</v>
      </c>
    </row>
    <row r="1566">
      <c r="A1566" s="4">
        <v>82.0</v>
      </c>
      <c r="B1566" s="4" t="s">
        <v>5757</v>
      </c>
      <c r="C1566" s="4"/>
      <c r="D1566" s="4" t="s">
        <v>6100</v>
      </c>
      <c r="E1566" s="4" t="s">
        <v>6101</v>
      </c>
      <c r="F1566" s="4" t="s">
        <v>1451</v>
      </c>
      <c r="G1566" s="5" t="str">
        <f>IFERROR(__xludf.DUMMYFUNCTION("GOOGLETRANSLATE(D1566,""en"",""es"")"),"fácil")</f>
        <v>fácil</v>
      </c>
      <c r="H1566" s="4" t="s">
        <v>6100</v>
      </c>
      <c r="I1566" s="4" t="s">
        <v>6102</v>
      </c>
      <c r="J1566" s="4" t="s">
        <v>6103</v>
      </c>
    </row>
    <row r="1567">
      <c r="A1567" s="4">
        <v>83.0</v>
      </c>
      <c r="B1567" s="4" t="s">
        <v>5757</v>
      </c>
      <c r="C1567" s="4"/>
      <c r="D1567" s="4" t="s">
        <v>6104</v>
      </c>
      <c r="E1567" s="4" t="s">
        <v>6091</v>
      </c>
      <c r="F1567" s="4" t="s">
        <v>6092</v>
      </c>
      <c r="G1567" s="5" t="str">
        <f>IFERROR(__xludf.DUMMYFUNCTION("GOOGLETRANSLATE(D1567,""en"",""es"")"),"CWM")</f>
        <v>CWM</v>
      </c>
      <c r="H1567" s="4" t="s">
        <v>6105</v>
      </c>
      <c r="I1567" s="4" t="s">
        <v>6106</v>
      </c>
      <c r="J1567" s="4" t="s">
        <v>6104</v>
      </c>
    </row>
    <row r="1568">
      <c r="A1568" s="4">
        <v>84.0</v>
      </c>
      <c r="B1568" s="4" t="s">
        <v>5757</v>
      </c>
      <c r="C1568" s="4"/>
      <c r="D1568" s="4" t="s">
        <v>1716</v>
      </c>
      <c r="E1568" s="4" t="s">
        <v>6107</v>
      </c>
      <c r="F1568" s="4" t="s">
        <v>1712</v>
      </c>
      <c r="G1568" s="5" t="str">
        <f>IFERROR(__xludf.DUMMYFUNCTION("GOOGLETRANSLATE(D1568,""en"",""es"")"),"cínico")</f>
        <v>cínico</v>
      </c>
      <c r="H1568" s="4" t="s">
        <v>1716</v>
      </c>
      <c r="I1568" s="4" t="s">
        <v>1717</v>
      </c>
      <c r="J1568" s="4" t="s">
        <v>6108</v>
      </c>
    </row>
    <row r="1569">
      <c r="A1569" s="4">
        <v>85.0</v>
      </c>
      <c r="B1569" s="4" t="s">
        <v>5757</v>
      </c>
      <c r="C1569" s="4"/>
      <c r="D1569" s="4" t="s">
        <v>6109</v>
      </c>
      <c r="E1569" s="4" t="s">
        <v>6110</v>
      </c>
      <c r="F1569" s="4" t="s">
        <v>6111</v>
      </c>
      <c r="G1569" s="5" t="str">
        <f>IFERROR(__xludf.DUMMYFUNCTION("GOOGLETRANSLATE(D1569,""en"",""es"")"),"EEP")</f>
        <v>EEP</v>
      </c>
    </row>
    <row r="1570">
      <c r="A1570" s="4">
        <v>86.0</v>
      </c>
      <c r="B1570" s="4" t="s">
        <v>5757</v>
      </c>
      <c r="C1570" s="4"/>
      <c r="D1570" s="4" t="s">
        <v>6112</v>
      </c>
      <c r="E1570" s="4" t="s">
        <v>6113</v>
      </c>
      <c r="F1570" s="4" t="s">
        <v>6114</v>
      </c>
      <c r="G1570" s="5" t="str">
        <f>IFERROR(__xludf.DUMMYFUNCTION("GOOGLETRANSLATE(D1570,""en"",""es"")"),"eunice")</f>
        <v>eunice</v>
      </c>
    </row>
    <row r="1571">
      <c r="A1571" s="4">
        <v>87.0</v>
      </c>
      <c r="B1571" s="4" t="s">
        <v>5757</v>
      </c>
      <c r="C1571" s="4"/>
      <c r="D1571" s="4" t="s">
        <v>6115</v>
      </c>
      <c r="E1571" s="4" t="s">
        <v>6116</v>
      </c>
      <c r="F1571" s="4" t="s">
        <v>6117</v>
      </c>
      <c r="G1571" s="5" t="str">
        <f>IFERROR(__xludf.DUMMYFUNCTION("GOOGLETRANSLATE(D1571,""en"",""es"")"),"expediente")</f>
        <v>expediente</v>
      </c>
    </row>
    <row r="1572">
      <c r="A1572" s="4">
        <v>88.0</v>
      </c>
      <c r="B1572" s="4" t="s">
        <v>5757</v>
      </c>
      <c r="C1572" s="4"/>
      <c r="D1572" s="4" t="s">
        <v>6118</v>
      </c>
      <c r="E1572" s="4" t="s">
        <v>6119</v>
      </c>
      <c r="F1572" s="4" t="s">
        <v>6120</v>
      </c>
      <c r="G1572" s="5" t="str">
        <f>IFERROR(__xludf.DUMMYFUNCTION("GOOGLETRANSLATE(D1572,""en"",""es"")"),"Eyak")</f>
        <v>Eyak</v>
      </c>
    </row>
    <row r="1573">
      <c r="A1573" s="4">
        <v>89.0</v>
      </c>
      <c r="B1573" s="4" t="s">
        <v>5757</v>
      </c>
      <c r="C1573" s="4"/>
      <c r="D1573" s="4" t="s">
        <v>6121</v>
      </c>
      <c r="E1573" s="4" t="s">
        <v>6122</v>
      </c>
      <c r="F1573" s="4" t="s">
        <v>383</v>
      </c>
      <c r="G1573" s="5" t="str">
        <f>IFERROR(__xludf.DUMMYFUNCTION("GOOGLETRANSLATE(D1573,""en"",""es"")"),"rechinar")</f>
        <v>rechinar</v>
      </c>
      <c r="H1573" s="4" t="s">
        <v>6121</v>
      </c>
    </row>
    <row r="1574">
      <c r="A1574" s="4">
        <v>90.0</v>
      </c>
      <c r="B1574" s="4" t="s">
        <v>5757</v>
      </c>
      <c r="C1574" s="4"/>
      <c r="D1574" s="4" t="s">
        <v>6123</v>
      </c>
      <c r="E1574" s="4" t="s">
        <v>6124</v>
      </c>
      <c r="F1574" s="4" t="s">
        <v>6125</v>
      </c>
      <c r="G1574" s="5" t="str">
        <f>IFERROR(__xludf.DUMMYFUNCTION("GOOGLETRANSLATE(D1574,""en"",""es"")"),"gnático")</f>
        <v>gnático</v>
      </c>
    </row>
    <row r="1575">
      <c r="A1575" s="4">
        <v>91.0</v>
      </c>
      <c r="B1575" s="4" t="s">
        <v>5757</v>
      </c>
      <c r="C1575" s="4"/>
      <c r="D1575" s="4" t="s">
        <v>3492</v>
      </c>
      <c r="E1575" s="4" t="s">
        <v>6126</v>
      </c>
      <c r="F1575" s="4" t="s">
        <v>6127</v>
      </c>
      <c r="G1575" s="5" t="str">
        <f>IFERROR(__xludf.DUMMYFUNCTION("GOOGLETRANSLATE(D1575,""en"",""es"")"),"cortar a tajos")</f>
        <v>cortar a tajos</v>
      </c>
      <c r="H1575" s="4" t="s">
        <v>3492</v>
      </c>
      <c r="I1575" s="4" t="s">
        <v>6128</v>
      </c>
      <c r="J1575" s="4" t="s">
        <v>6129</v>
      </c>
      <c r="K1575" s="4" t="s">
        <v>6130</v>
      </c>
      <c r="L1575" s="4" t="s">
        <v>6131</v>
      </c>
      <c r="M1575" s="4" t="s">
        <v>6132</v>
      </c>
      <c r="N1575" s="4" t="s">
        <v>3492</v>
      </c>
      <c r="O1575" s="4" t="s">
        <v>3492</v>
      </c>
      <c r="P1575" s="4" t="s">
        <v>6133</v>
      </c>
      <c r="Q1575" s="4" t="s">
        <v>6134</v>
      </c>
      <c r="R1575" s="4" t="s">
        <v>3492</v>
      </c>
      <c r="S1575" s="4" t="s">
        <v>6135</v>
      </c>
      <c r="T1575" s="4" t="s">
        <v>3492</v>
      </c>
      <c r="U1575" s="4" t="s">
        <v>6136</v>
      </c>
      <c r="V1575" s="4" t="s">
        <v>6137</v>
      </c>
      <c r="W1575" s="4" t="s">
        <v>3492</v>
      </c>
      <c r="X1575" s="4" t="s">
        <v>6138</v>
      </c>
      <c r="Y1575" s="4" t="s">
        <v>6139</v>
      </c>
      <c r="Z1575" s="4" t="s">
        <v>4323</v>
      </c>
      <c r="AA1575" s="4" t="s">
        <v>3492</v>
      </c>
      <c r="AB1575" s="4" t="s">
        <v>3492</v>
      </c>
      <c r="AC1575" s="4" t="s">
        <v>3491</v>
      </c>
      <c r="AD1575" s="4" t="s">
        <v>3492</v>
      </c>
      <c r="AE1575" s="4" t="s">
        <v>3492</v>
      </c>
      <c r="AF1575" s="4" t="s">
        <v>1250</v>
      </c>
      <c r="AG1575" s="4" t="s">
        <v>3492</v>
      </c>
      <c r="AH1575" s="4" t="s">
        <v>3492</v>
      </c>
      <c r="AI1575" s="4" t="s">
        <v>3492</v>
      </c>
      <c r="AJ1575" s="4" t="s">
        <v>3492</v>
      </c>
      <c r="AK1575" s="4" t="s">
        <v>6140</v>
      </c>
      <c r="AL1575" s="4" t="s">
        <v>3492</v>
      </c>
      <c r="AM1575" s="4" t="s">
        <v>4288</v>
      </c>
      <c r="AN1575" s="4" t="s">
        <v>3492</v>
      </c>
      <c r="AO1575" s="4" t="s">
        <v>6141</v>
      </c>
    </row>
    <row r="1576">
      <c r="A1576" s="4">
        <v>92.0</v>
      </c>
      <c r="B1576" s="4" t="s">
        <v>5757</v>
      </c>
      <c r="C1576" s="4"/>
      <c r="D1576" s="4" t="s">
        <v>6142</v>
      </c>
      <c r="E1576" s="4" t="s">
        <v>4874</v>
      </c>
      <c r="F1576" s="4" t="s">
        <v>4812</v>
      </c>
      <c r="G1576" s="5" t="str">
        <f>IFERROR(__xludf.DUMMYFUNCTION("GOOGLETRANSLATE(D1576,""en"",""es"")"),"jajaja")</f>
        <v>jajaja</v>
      </c>
    </row>
    <row r="1577">
      <c r="A1577" s="4">
        <v>93.0</v>
      </c>
      <c r="B1577" s="4" t="s">
        <v>5757</v>
      </c>
      <c r="C1577" s="4"/>
      <c r="D1577" s="4" t="s">
        <v>4814</v>
      </c>
      <c r="E1577" s="4" t="s">
        <v>6143</v>
      </c>
      <c r="F1577" s="4" t="s">
        <v>4814</v>
      </c>
      <c r="G1577" s="5" t="str">
        <f>IFERROR(__xludf.DUMMYFUNCTION("GOOGLETRANSLATE(D1577,""en"",""es"")"),"Hal")</f>
        <v>Hal</v>
      </c>
    </row>
    <row r="1578">
      <c r="A1578" s="4">
        <v>94.0</v>
      </c>
      <c r="B1578" s="4" t="s">
        <v>5757</v>
      </c>
      <c r="C1578" s="4"/>
      <c r="D1578" s="4" t="s">
        <v>6144</v>
      </c>
      <c r="E1578" s="4" t="s">
        <v>6145</v>
      </c>
      <c r="F1578" s="4" t="s">
        <v>6146</v>
      </c>
      <c r="G1578" s="5" t="str">
        <f>IFERROR(__xludf.DUMMYFUNCTION("GOOGLETRANSLATE(D1578,""en"",""es"")"),"halley")</f>
        <v>halley</v>
      </c>
      <c r="H1578" s="4" t="s">
        <v>6147</v>
      </c>
      <c r="I1578" s="4" t="s">
        <v>6148</v>
      </c>
      <c r="J1578" s="4" t="s">
        <v>6149</v>
      </c>
    </row>
    <row r="1579">
      <c r="A1579" s="4">
        <v>95.0</v>
      </c>
      <c r="B1579" s="4" t="s">
        <v>5757</v>
      </c>
      <c r="C1579" s="4"/>
      <c r="D1579" s="4" t="s">
        <v>6150</v>
      </c>
      <c r="E1579" s="4" t="s">
        <v>6145</v>
      </c>
      <c r="F1579" s="4" t="s">
        <v>6146</v>
      </c>
      <c r="G1579" s="5" t="str">
        <f>IFERROR(__xludf.DUMMYFUNCTION("GOOGLETRANSLATE(D1579,""en"",""es"")"),"Hally")</f>
        <v>Hally</v>
      </c>
    </row>
    <row r="1580">
      <c r="A1580" s="4">
        <v>96.0</v>
      </c>
      <c r="B1580" s="4" t="s">
        <v>5757</v>
      </c>
      <c r="C1580" s="4"/>
      <c r="D1580" s="4" t="s">
        <v>1778</v>
      </c>
      <c r="E1580" s="4" t="s">
        <v>6151</v>
      </c>
      <c r="F1580" s="4" t="s">
        <v>1778</v>
      </c>
      <c r="G1580" s="5" t="str">
        <f>IFERROR(__xludf.DUMMYFUNCTION("GOOGLETRANSLATE(D1580,""en"",""es"")"),"jamón")</f>
        <v>jamón</v>
      </c>
      <c r="H1580" s="4" t="s">
        <v>1778</v>
      </c>
      <c r="I1580" s="4" t="s">
        <v>6152</v>
      </c>
      <c r="J1580" s="4" t="s">
        <v>6153</v>
      </c>
      <c r="K1580" s="4" t="s">
        <v>6154</v>
      </c>
      <c r="L1580" s="4" t="s">
        <v>1778</v>
      </c>
      <c r="M1580" s="4" t="s">
        <v>1778</v>
      </c>
      <c r="N1580" s="4" t="s">
        <v>6155</v>
      </c>
      <c r="O1580" s="4" t="s">
        <v>6156</v>
      </c>
      <c r="P1580" s="4" t="s">
        <v>6157</v>
      </c>
      <c r="Q1580" s="4" t="s">
        <v>1778</v>
      </c>
      <c r="R1580" s="4" t="s">
        <v>6158</v>
      </c>
    </row>
    <row r="1581">
      <c r="A1581" s="4">
        <v>97.0</v>
      </c>
      <c r="B1581" s="4" t="s">
        <v>5757</v>
      </c>
      <c r="C1581" s="4"/>
      <c r="D1581" s="4" t="s">
        <v>1786</v>
      </c>
      <c r="E1581" s="4" t="s">
        <v>4876</v>
      </c>
      <c r="F1581" s="4" t="s">
        <v>1786</v>
      </c>
      <c r="G1581" s="5" t="str">
        <f>IFERROR(__xludf.DUMMYFUNCTION("GOOGLETRANSLATE(D1581,""en"",""es"")"),"Han")</f>
        <v>Han</v>
      </c>
      <c r="H1581" s="4" t="s">
        <v>6159</v>
      </c>
      <c r="I1581" s="4" t="s">
        <v>6160</v>
      </c>
    </row>
    <row r="1582">
      <c r="A1582" s="4">
        <v>98.0</v>
      </c>
      <c r="B1582" s="4" t="s">
        <v>5757</v>
      </c>
      <c r="C1582" s="4"/>
      <c r="D1582" s="4" t="s">
        <v>3399</v>
      </c>
      <c r="E1582" s="4" t="s">
        <v>6161</v>
      </c>
      <c r="F1582" s="4" t="s">
        <v>3399</v>
      </c>
      <c r="G1582" s="5" t="str">
        <f>IFERROR(__xludf.DUMMYFUNCTION("GOOGLETRANSLATE(D1582,""en"",""es"")"),"tener suerte")</f>
        <v>tener suerte</v>
      </c>
      <c r="H1582" s="4" t="s">
        <v>3399</v>
      </c>
      <c r="I1582" s="4" t="s">
        <v>3398</v>
      </c>
      <c r="J1582" s="4" t="s">
        <v>3399</v>
      </c>
      <c r="K1582" s="4" t="s">
        <v>3400</v>
      </c>
      <c r="L1582" s="4" t="s">
        <v>3401</v>
      </c>
      <c r="M1582" s="4" t="s">
        <v>3402</v>
      </c>
      <c r="N1582" s="4" t="s">
        <v>647</v>
      </c>
      <c r="O1582" s="4" t="s">
        <v>3403</v>
      </c>
      <c r="P1582" s="4" t="s">
        <v>3404</v>
      </c>
      <c r="Q1582" s="4" t="s">
        <v>3405</v>
      </c>
    </row>
    <row r="1583">
      <c r="A1583" s="4">
        <v>99.0</v>
      </c>
      <c r="B1583" s="4" t="s">
        <v>5757</v>
      </c>
      <c r="C1583" s="4"/>
      <c r="D1583" s="4" t="s">
        <v>6162</v>
      </c>
      <c r="E1583" s="4" t="s">
        <v>6163</v>
      </c>
      <c r="F1583" s="4" t="s">
        <v>6164</v>
      </c>
      <c r="G1583" s="5" t="str">
        <f>IFERROR(__xludf.DUMMYFUNCTION("GOOGLETRANSLATE(D1583,""en"",""es"")"),"felicidad")</f>
        <v>felicidad</v>
      </c>
      <c r="H1583" s="4" t="s">
        <v>6162</v>
      </c>
      <c r="I1583" s="4" t="s">
        <v>6165</v>
      </c>
      <c r="J1583" s="4" t="s">
        <v>6162</v>
      </c>
    </row>
    <row r="1584">
      <c r="A1584" s="4">
        <v>100.0</v>
      </c>
      <c r="B1584" s="4" t="s">
        <v>5757</v>
      </c>
      <c r="C1584" s="4"/>
      <c r="D1584" s="4" t="s">
        <v>6166</v>
      </c>
      <c r="E1584" s="4" t="s">
        <v>6167</v>
      </c>
      <c r="F1584" s="4" t="s">
        <v>6168</v>
      </c>
      <c r="G1584" s="5" t="str">
        <f>IFERROR(__xludf.DUMMYFUNCTION("GOOGLETRANSLATE(D1584,""en"",""es"")"),"contento")</f>
        <v>contento</v>
      </c>
      <c r="H1584" s="4" t="s">
        <v>6166</v>
      </c>
      <c r="I1584" s="4" t="s">
        <v>6169</v>
      </c>
      <c r="J1584" s="4" t="s">
        <v>6166</v>
      </c>
      <c r="K1584" s="4" t="s">
        <v>6170</v>
      </c>
      <c r="L1584" s="4" t="s">
        <v>6166</v>
      </c>
      <c r="M1584" s="4" t="s">
        <v>6166</v>
      </c>
      <c r="N1584" s="4" t="s">
        <v>6171</v>
      </c>
    </row>
    <row r="1585">
      <c r="A1585" s="4">
        <v>101.0</v>
      </c>
      <c r="B1585" s="4" t="s">
        <v>5757</v>
      </c>
      <c r="C1585" s="4"/>
      <c r="D1585" s="4" t="s">
        <v>6172</v>
      </c>
      <c r="E1585" s="4" t="s">
        <v>6173</v>
      </c>
      <c r="F1585" s="4" t="s">
        <v>6172</v>
      </c>
      <c r="G1585" s="5" t="str">
        <f>IFERROR(__xludf.DUMMYFUNCTION("GOOGLETRANSLATE(D1585,""en"",""es"")"),"picadillo")</f>
        <v>picadillo</v>
      </c>
      <c r="H1585" s="4" t="s">
        <v>6172</v>
      </c>
      <c r="I1585" s="4" t="s">
        <v>6174</v>
      </c>
      <c r="J1585" s="4" t="s">
        <v>6175</v>
      </c>
      <c r="K1585" s="4" t="s">
        <v>6176</v>
      </c>
      <c r="L1585" s="4" t="s">
        <v>6172</v>
      </c>
      <c r="M1585" s="4" t="s">
        <v>6172</v>
      </c>
    </row>
    <row r="1586">
      <c r="A1586" s="4">
        <v>102.0</v>
      </c>
      <c r="B1586" s="4" t="s">
        <v>5757</v>
      </c>
      <c r="C1586" s="4"/>
      <c r="D1586" s="4" t="s">
        <v>6174</v>
      </c>
      <c r="E1586" s="4" t="s">
        <v>6177</v>
      </c>
      <c r="F1586" s="4" t="s">
        <v>6174</v>
      </c>
      <c r="G1586" s="5" t="str">
        <f>IFERROR(__xludf.DUMMYFUNCTION("GOOGLETRANSLATE(D1586,""en"",""es"")"),"hachís")</f>
        <v>hachís</v>
      </c>
      <c r="H1586" s="4" t="s">
        <v>6174</v>
      </c>
      <c r="I1586" s="4" t="s">
        <v>6175</v>
      </c>
      <c r="J1586" s="4" t="s">
        <v>6176</v>
      </c>
      <c r="K1586" s="4" t="s">
        <v>6172</v>
      </c>
    </row>
    <row r="1587">
      <c r="A1587" s="4">
        <v>103.0</v>
      </c>
      <c r="B1587" s="4" t="s">
        <v>5757</v>
      </c>
      <c r="C1587" s="4"/>
      <c r="D1587" s="4" t="s">
        <v>6178</v>
      </c>
      <c r="E1587" s="4" t="s">
        <v>6179</v>
      </c>
      <c r="F1587" s="4" t="s">
        <v>6178</v>
      </c>
      <c r="G1587" s="5" t="str">
        <f>IFERROR(__xludf.DUMMYFUNCTION("GOOGLETRANSLATE(D1587,""en"",""es"")"),"ha")</f>
        <v>ha</v>
      </c>
    </row>
    <row r="1588">
      <c r="A1588" s="4">
        <v>104.0</v>
      </c>
      <c r="B1588" s="4" t="s">
        <v>5757</v>
      </c>
      <c r="C1588" s="4"/>
      <c r="D1588" s="4" t="s">
        <v>6180</v>
      </c>
      <c r="E1588" s="4" t="s">
        <v>6181</v>
      </c>
      <c r="F1588" s="4" t="s">
        <v>6182</v>
      </c>
      <c r="G1588" s="5" t="str">
        <f>IFERROR(__xludf.DUMMYFUNCTION("GOOGLETRANSLATE(D1588,""en"",""es"")"),"él")</f>
        <v>él</v>
      </c>
      <c r="H1588" s="4" t="s">
        <v>6183</v>
      </c>
      <c r="I1588" s="4" t="s">
        <v>6184</v>
      </c>
      <c r="J1588" s="4" t="s">
        <v>6185</v>
      </c>
      <c r="K1588" s="4" t="s">
        <v>6180</v>
      </c>
    </row>
    <row r="1589">
      <c r="A1589" s="4">
        <v>105.0</v>
      </c>
      <c r="B1589" s="4" t="s">
        <v>5757</v>
      </c>
      <c r="C1589" s="4"/>
      <c r="D1589" s="4" t="s">
        <v>6186</v>
      </c>
      <c r="E1589" s="4" t="s">
        <v>6187</v>
      </c>
      <c r="F1589" s="4" t="s">
        <v>6188</v>
      </c>
      <c r="G1589" s="5" t="str">
        <f>IFERROR(__xludf.DUMMYFUNCTION("GOOGLETRANSLATE(D1589,""en"",""es"")"),"infierno")</f>
        <v>infierno</v>
      </c>
    </row>
    <row r="1590">
      <c r="A1590" s="4">
        <v>106.0</v>
      </c>
      <c r="B1590" s="4" t="s">
        <v>5757</v>
      </c>
      <c r="C1590" s="4"/>
      <c r="D1590" s="4" t="s">
        <v>6189</v>
      </c>
      <c r="E1590" s="4" t="s">
        <v>6190</v>
      </c>
      <c r="F1590" s="4" t="s">
        <v>6191</v>
      </c>
      <c r="G1590" s="5" t="str">
        <f>IFERROR(__xludf.DUMMYFUNCTION("GOOGLETRANSLATE(D1590,""en"",""es"")"),"dobladillo")</f>
        <v>dobladillo</v>
      </c>
      <c r="H1590" s="4" t="s">
        <v>6189</v>
      </c>
      <c r="I1590" s="4" t="s">
        <v>6189</v>
      </c>
      <c r="J1590" s="4" t="s">
        <v>6192</v>
      </c>
      <c r="K1590" s="4" t="s">
        <v>6189</v>
      </c>
      <c r="L1590" s="4" t="s">
        <v>6189</v>
      </c>
    </row>
    <row r="1591">
      <c r="A1591" s="4">
        <v>107.0</v>
      </c>
      <c r="B1591" s="4" t="s">
        <v>5757</v>
      </c>
      <c r="C1591" s="4"/>
      <c r="D1591" s="4" t="s">
        <v>6193</v>
      </c>
      <c r="E1591" s="4" t="s">
        <v>6194</v>
      </c>
      <c r="F1591" s="4" t="s">
        <v>6195</v>
      </c>
      <c r="G1591" s="5" t="str">
        <f>IFERROR(__xludf.DUMMYFUNCTION("GOOGLETRANSLATE(D1591,""en"",""es"")"),"hemítico")</f>
        <v>hemítico</v>
      </c>
      <c r="H1591" s="4" t="s">
        <v>6193</v>
      </c>
      <c r="I1591" s="4" t="s">
        <v>6196</v>
      </c>
      <c r="J1591" s="4" t="s">
        <v>6197</v>
      </c>
      <c r="K1591" s="4" t="s">
        <v>6198</v>
      </c>
    </row>
    <row r="1592">
      <c r="A1592" s="4">
        <v>108.0</v>
      </c>
      <c r="B1592" s="4" t="s">
        <v>5757</v>
      </c>
      <c r="C1592" s="4"/>
      <c r="D1592" s="4" t="s">
        <v>6199</v>
      </c>
      <c r="E1592" s="4" t="s">
        <v>6200</v>
      </c>
      <c r="F1592" s="4" t="s">
        <v>6201</v>
      </c>
      <c r="G1592" s="5" t="str">
        <f>IFERROR(__xludf.DUMMYFUNCTION("GOOGLETRANSLATE(D1592,""en"",""es"")"),"hemina")</f>
        <v>hemina</v>
      </c>
      <c r="H1592" s="4" t="s">
        <v>6199</v>
      </c>
      <c r="I1592" s="4" t="s">
        <v>6202</v>
      </c>
    </row>
    <row r="1593">
      <c r="A1593" s="4">
        <v>109.0</v>
      </c>
      <c r="B1593" s="4" t="s">
        <v>5757</v>
      </c>
      <c r="C1593" s="4"/>
      <c r="D1593" s="4" t="s">
        <v>6203</v>
      </c>
      <c r="E1593" s="4" t="s">
        <v>6204</v>
      </c>
      <c r="F1593" s="4" t="s">
        <v>6205</v>
      </c>
      <c r="G1593" s="5" t="str">
        <f>IFERROR(__xludf.DUMMYFUNCTION("GOOGLETRANSLATE(D1593,""en"",""es"")"),"hepático")</f>
        <v>hepático</v>
      </c>
      <c r="H1593" s="4" t="s">
        <v>6206</v>
      </c>
      <c r="I1593" s="4" t="s">
        <v>6203</v>
      </c>
      <c r="J1593" s="4" t="s">
        <v>6203</v>
      </c>
    </row>
    <row r="1594">
      <c r="A1594" s="4">
        <v>110.0</v>
      </c>
      <c r="B1594" s="4" t="s">
        <v>5757</v>
      </c>
      <c r="C1594" s="4"/>
      <c r="D1594" s="4" t="s">
        <v>6207</v>
      </c>
      <c r="E1594" s="4" t="s">
        <v>6208</v>
      </c>
      <c r="F1594" s="4" t="s">
        <v>6209</v>
      </c>
      <c r="G1594" s="5" t="str">
        <f>IFERROR(__xludf.DUMMYFUNCTION("GOOGLETRANSLATE(D1594,""en"",""es"")"),"paleto")</f>
        <v>paleto</v>
      </c>
      <c r="H1594" s="4" t="s">
        <v>6210</v>
      </c>
      <c r="I1594" s="4" t="s">
        <v>6211</v>
      </c>
      <c r="J1594" s="4" t="s">
        <v>6207</v>
      </c>
      <c r="K1594" s="4" t="s">
        <v>6212</v>
      </c>
      <c r="L1594" s="4" t="s">
        <v>6213</v>
      </c>
      <c r="M1594" s="4" t="s">
        <v>6214</v>
      </c>
      <c r="N1594" s="4" t="s">
        <v>6215</v>
      </c>
      <c r="O1594" s="4" t="s">
        <v>6216</v>
      </c>
      <c r="P1594" s="4" t="s">
        <v>6207</v>
      </c>
      <c r="Q1594" s="4" t="s">
        <v>6217</v>
      </c>
      <c r="R1594" s="4" t="s">
        <v>6218</v>
      </c>
    </row>
    <row r="1595">
      <c r="A1595" s="4">
        <v>111.0</v>
      </c>
      <c r="B1595" s="4" t="s">
        <v>5757</v>
      </c>
      <c r="C1595" s="4"/>
      <c r="D1595" s="4" t="s">
        <v>6219</v>
      </c>
      <c r="E1595" s="4" t="s">
        <v>6220</v>
      </c>
      <c r="F1595" s="4" t="s">
        <v>6221</v>
      </c>
      <c r="G1595" s="5" t="str">
        <f>IFERROR(__xludf.DUMMYFUNCTION("GOOGLETRANSLATE(D1595,""en"",""es"")"),"coso")</f>
        <v>coso</v>
      </c>
      <c r="H1595" s="4" t="s">
        <v>6222</v>
      </c>
      <c r="I1595" s="4" t="s">
        <v>6219</v>
      </c>
      <c r="J1595" s="4" t="s">
        <v>6223</v>
      </c>
      <c r="K1595" s="4" t="s">
        <v>6219</v>
      </c>
      <c r="L1595" s="4" t="s">
        <v>6224</v>
      </c>
    </row>
    <row r="1596">
      <c r="A1596" s="4">
        <v>112.0</v>
      </c>
      <c r="B1596" s="4" t="s">
        <v>5757</v>
      </c>
      <c r="C1596" s="4"/>
      <c r="D1596" s="4" t="s">
        <v>4536</v>
      </c>
      <c r="E1596" s="4" t="s">
        <v>6187</v>
      </c>
      <c r="F1596" s="4" t="s">
        <v>6188</v>
      </c>
      <c r="G1596" s="5" t="str">
        <f>IFERROR(__xludf.DUMMYFUNCTION("GOOGLETRANSLATE(D1596,""en"",""es"")"),"Cerro")</f>
        <v>Cerro</v>
      </c>
      <c r="H1596" s="4" t="s">
        <v>4536</v>
      </c>
      <c r="I1596" s="4" t="s">
        <v>2824</v>
      </c>
      <c r="J1596" s="4" t="s">
        <v>4536</v>
      </c>
      <c r="K1596" s="4" t="s">
        <v>6225</v>
      </c>
      <c r="L1596" s="4" t="s">
        <v>6226</v>
      </c>
      <c r="M1596" s="4" t="s">
        <v>6227</v>
      </c>
      <c r="N1596" s="4" t="s">
        <v>6225</v>
      </c>
      <c r="O1596" s="4" t="s">
        <v>6228</v>
      </c>
      <c r="P1596" s="4" t="s">
        <v>6229</v>
      </c>
      <c r="Q1596" s="4" t="s">
        <v>2824</v>
      </c>
      <c r="R1596" s="4" t="s">
        <v>4536</v>
      </c>
      <c r="S1596" s="4" t="s">
        <v>6230</v>
      </c>
      <c r="T1596" s="4" t="s">
        <v>4536</v>
      </c>
    </row>
    <row r="1597">
      <c r="A1597" s="4">
        <v>113.0</v>
      </c>
      <c r="B1597" s="4" t="s">
        <v>5757</v>
      </c>
      <c r="C1597" s="4"/>
      <c r="D1597" s="4" t="s">
        <v>6231</v>
      </c>
      <c r="E1597" s="4" t="s">
        <v>6232</v>
      </c>
      <c r="F1597" s="4" t="s">
        <v>6233</v>
      </c>
      <c r="G1597" s="5" t="str">
        <f>IFERROR(__xludf.DUMMYFUNCTION("GOOGLETRANSLATE(D1597,""en"",""es"")"),"montañoso")</f>
        <v>montañoso</v>
      </c>
      <c r="H1597" s="4" t="s">
        <v>6234</v>
      </c>
      <c r="I1597" s="4" t="s">
        <v>6235</v>
      </c>
      <c r="J1597" s="4" t="s">
        <v>6231</v>
      </c>
      <c r="K1597" s="4" t="s">
        <v>6236</v>
      </c>
    </row>
    <row r="1598">
      <c r="A1598" s="4">
        <v>114.0</v>
      </c>
      <c r="B1598" s="4" t="s">
        <v>5757</v>
      </c>
      <c r="C1598" s="4"/>
      <c r="D1598" s="4" t="s">
        <v>6191</v>
      </c>
      <c r="E1598" s="4" t="s">
        <v>6190</v>
      </c>
      <c r="F1598" s="4" t="s">
        <v>6191</v>
      </c>
      <c r="G1598" s="5" t="str">
        <f>IFERROR(__xludf.DUMMYFUNCTION("GOOGLETRANSLATE(D1598,""en"",""es"")"),"a él")</f>
        <v>a él</v>
      </c>
    </row>
    <row r="1599">
      <c r="A1599" s="4">
        <v>115.0</v>
      </c>
      <c r="B1599" s="4" t="s">
        <v>5757</v>
      </c>
      <c r="C1599" s="4"/>
      <c r="D1599" s="4" t="s">
        <v>6237</v>
      </c>
      <c r="E1599" s="4" t="s">
        <v>6238</v>
      </c>
      <c r="F1599" s="4" t="s">
        <v>6239</v>
      </c>
      <c r="G1599" s="5" t="str">
        <f>IFERROR(__xludf.DUMMYFUNCTION("GOOGLETRANSLATE(D1599,""en"",""es"")"),"Hinny")</f>
        <v>Hinny</v>
      </c>
      <c r="H1599" s="4" t="s">
        <v>6237</v>
      </c>
    </row>
    <row r="1600">
      <c r="A1600" s="4">
        <v>116.0</v>
      </c>
      <c r="B1600" s="4" t="s">
        <v>5757</v>
      </c>
      <c r="C1600" s="4"/>
      <c r="D1600" s="4" t="s">
        <v>2377</v>
      </c>
      <c r="E1600" s="4" t="s">
        <v>6240</v>
      </c>
      <c r="F1600" s="4" t="s">
        <v>2377</v>
      </c>
      <c r="G1600" s="5" t="str">
        <f>IFERROR(__xludf.DUMMYFUNCTION("GOOGLETRANSLATE(D1600,""en"",""es"")"),"cadera")</f>
        <v>cadera</v>
      </c>
      <c r="H1600" s="4" t="s">
        <v>2377</v>
      </c>
      <c r="I1600" s="4" t="s">
        <v>6241</v>
      </c>
      <c r="J1600" s="4" t="s">
        <v>6242</v>
      </c>
      <c r="K1600" s="4" t="s">
        <v>6243</v>
      </c>
      <c r="L1600" s="4" t="s">
        <v>2377</v>
      </c>
      <c r="M1600" s="4" t="s">
        <v>2377</v>
      </c>
      <c r="N1600" s="4" t="s">
        <v>2378</v>
      </c>
      <c r="O1600" s="4" t="s">
        <v>2379</v>
      </c>
      <c r="P1600" s="4" t="s">
        <v>2380</v>
      </c>
      <c r="Q1600" s="4" t="s">
        <v>2377</v>
      </c>
      <c r="R1600" s="4" t="s">
        <v>2377</v>
      </c>
      <c r="S1600" s="4" t="s">
        <v>6244</v>
      </c>
      <c r="T1600" s="4" t="s">
        <v>6245</v>
      </c>
      <c r="U1600" s="4" t="s">
        <v>6246</v>
      </c>
      <c r="V1600" s="4" t="s">
        <v>2377</v>
      </c>
      <c r="W1600" s="4" t="s">
        <v>6247</v>
      </c>
    </row>
    <row r="1601">
      <c r="A1601" s="4">
        <v>117.0</v>
      </c>
      <c r="B1601" s="4" t="s">
        <v>5757</v>
      </c>
      <c r="C1601" s="4"/>
      <c r="D1601" s="4" t="s">
        <v>6248</v>
      </c>
      <c r="E1601" s="4" t="s">
        <v>6249</v>
      </c>
      <c r="F1601" s="4" t="s">
        <v>6250</v>
      </c>
      <c r="G1601" s="5" t="str">
        <f>IFERROR(__xludf.DUMMYFUNCTION("GOOGLETRANSLATE(D1601,""en"",""es"")"),"hippico")</f>
        <v>hippico</v>
      </c>
    </row>
    <row r="1602">
      <c r="A1602" s="4">
        <v>118.0</v>
      </c>
      <c r="B1602" s="4" t="s">
        <v>5757</v>
      </c>
      <c r="C1602" s="4"/>
      <c r="D1602" s="4" t="s">
        <v>6251</v>
      </c>
      <c r="E1602" s="4" t="s">
        <v>6252</v>
      </c>
      <c r="F1602" s="4" t="s">
        <v>6253</v>
      </c>
      <c r="G1602" s="5" t="str">
        <f>IFERROR(__xludf.DUMMYFUNCTION("GOOGLETRANSLATE(D1602,""en"",""es"")"),"hippie")</f>
        <v>hippie</v>
      </c>
      <c r="H1602" s="4" t="s">
        <v>6251</v>
      </c>
      <c r="I1602" s="4" t="s">
        <v>6254</v>
      </c>
      <c r="J1602" s="4" t="s">
        <v>6255</v>
      </c>
      <c r="K1602" s="4" t="s">
        <v>6256</v>
      </c>
    </row>
    <row r="1603">
      <c r="A1603" s="4">
        <v>119.0</v>
      </c>
      <c r="B1603" s="4" t="s">
        <v>5757</v>
      </c>
      <c r="C1603" s="4"/>
      <c r="D1603" s="4" t="s">
        <v>6254</v>
      </c>
      <c r="E1603" s="4" t="s">
        <v>6252</v>
      </c>
      <c r="F1603" s="4" t="s">
        <v>6253</v>
      </c>
      <c r="G1603" s="5" t="str">
        <f>IFERROR(__xludf.DUMMYFUNCTION("GOOGLETRANSLATE(D1603,""en"",""es"")"),"hippy")</f>
        <v>hippy</v>
      </c>
      <c r="H1603" s="4" t="s">
        <v>6251</v>
      </c>
      <c r="I1603" s="4" t="s">
        <v>6254</v>
      </c>
      <c r="J1603" s="4" t="s">
        <v>6255</v>
      </c>
      <c r="K1603" s="4" t="s">
        <v>6256</v>
      </c>
    </row>
    <row r="1604">
      <c r="A1604" s="4">
        <v>120.0</v>
      </c>
      <c r="B1604" s="4" t="s">
        <v>5757</v>
      </c>
      <c r="C1604" s="4"/>
      <c r="D1604" s="4" t="s">
        <v>6257</v>
      </c>
      <c r="E1604" s="4" t="s">
        <v>6258</v>
      </c>
      <c r="F1604" s="4" t="s">
        <v>6259</v>
      </c>
      <c r="G1604" s="5" t="str">
        <f>IFERROR(__xludf.DUMMYFUNCTION("GOOGLETRANSLATE(D1604,""en"",""es"")"),"silbido")</f>
        <v>silbido</v>
      </c>
      <c r="H1604" s="4" t="s">
        <v>6257</v>
      </c>
      <c r="I1604" s="4" t="s">
        <v>6260</v>
      </c>
      <c r="J1604" s="4" t="s">
        <v>6261</v>
      </c>
      <c r="K1604" s="4" t="s">
        <v>6262</v>
      </c>
      <c r="L1604" s="4" t="s">
        <v>6263</v>
      </c>
      <c r="M1604" s="4" t="s">
        <v>6264</v>
      </c>
      <c r="N1604" s="4" t="s">
        <v>6265</v>
      </c>
      <c r="O1604" s="4" t="s">
        <v>6266</v>
      </c>
      <c r="P1604" s="4" t="s">
        <v>6257</v>
      </c>
      <c r="Q1604" s="4" t="s">
        <v>6267</v>
      </c>
      <c r="R1604" s="4" t="s">
        <v>6268</v>
      </c>
      <c r="S1604" s="4" t="s">
        <v>6269</v>
      </c>
      <c r="T1604" s="4" t="s">
        <v>6270</v>
      </c>
      <c r="U1604" s="4" t="s">
        <v>5515</v>
      </c>
      <c r="V1604" s="4" t="s">
        <v>6257</v>
      </c>
      <c r="W1604" s="4" t="s">
        <v>6271</v>
      </c>
      <c r="X1604" s="4" t="s">
        <v>6272</v>
      </c>
      <c r="Y1604" s="4" t="s">
        <v>6273</v>
      </c>
      <c r="Z1604" s="4" t="s">
        <v>6257</v>
      </c>
      <c r="AA1604" s="4" t="s">
        <v>6274</v>
      </c>
      <c r="AB1604" s="4" t="s">
        <v>6257</v>
      </c>
      <c r="AC1604" s="4" t="s">
        <v>6272</v>
      </c>
      <c r="AD1604" s="4" t="s">
        <v>6271</v>
      </c>
      <c r="AE1604" s="4" t="s">
        <v>6273</v>
      </c>
      <c r="AF1604" s="4" t="s">
        <v>6264</v>
      </c>
      <c r="AG1604" s="4" t="s">
        <v>6257</v>
      </c>
    </row>
    <row r="1605">
      <c r="A1605" s="4">
        <v>121.0</v>
      </c>
      <c r="B1605" s="4" t="s">
        <v>5757</v>
      </c>
      <c r="C1605" s="4"/>
      <c r="D1605" s="4" t="s">
        <v>6275</v>
      </c>
      <c r="E1605" s="4" t="s">
        <v>6276</v>
      </c>
      <c r="F1605" s="4" t="s">
        <v>6277</v>
      </c>
      <c r="G1605" s="5" t="str">
        <f>IFERROR(__xludf.DUMMYFUNCTION("GOOGLETRANSLATE(D1605,""en"",""es"")"),"hiseño")</f>
        <v>hiseño</v>
      </c>
    </row>
    <row r="1606">
      <c r="A1606" s="4">
        <v>122.0</v>
      </c>
      <c r="B1606" s="4" t="s">
        <v>5757</v>
      </c>
      <c r="C1606" s="4"/>
      <c r="D1606" s="4" t="s">
        <v>6278</v>
      </c>
      <c r="E1606" s="4" t="s">
        <v>6279</v>
      </c>
      <c r="F1606" s="4" t="s">
        <v>6280</v>
      </c>
      <c r="G1606" s="5" t="str">
        <f>IFERROR(__xludf.DUMMYFUNCTION("GOOGLETRANSLATE(D1606,""en"",""es"")"),"gancho")</f>
        <v>gancho</v>
      </c>
      <c r="H1606" s="4" t="s">
        <v>6278</v>
      </c>
      <c r="I1606" s="4" t="s">
        <v>6278</v>
      </c>
      <c r="J1606" s="4" t="s">
        <v>6281</v>
      </c>
      <c r="K1606" s="4" t="s">
        <v>3334</v>
      </c>
      <c r="L1606" s="4" t="s">
        <v>6282</v>
      </c>
      <c r="M1606" s="4" t="s">
        <v>6278</v>
      </c>
      <c r="N1606" s="4" t="s">
        <v>3336</v>
      </c>
      <c r="O1606" s="4" t="s">
        <v>6283</v>
      </c>
      <c r="P1606" s="4" t="s">
        <v>6278</v>
      </c>
      <c r="Q1606" s="4" t="s">
        <v>6284</v>
      </c>
      <c r="R1606" s="4" t="s">
        <v>6278</v>
      </c>
      <c r="S1606" s="4" t="s">
        <v>6278</v>
      </c>
      <c r="T1606" s="4" t="s">
        <v>3414</v>
      </c>
      <c r="U1606" s="4" t="s">
        <v>6285</v>
      </c>
      <c r="V1606" s="4" t="s">
        <v>6278</v>
      </c>
      <c r="W1606" s="4" t="s">
        <v>6286</v>
      </c>
      <c r="X1606" s="4" t="s">
        <v>6278</v>
      </c>
      <c r="Y1606" s="4" t="s">
        <v>6278</v>
      </c>
      <c r="Z1606" s="4" t="s">
        <v>6287</v>
      </c>
      <c r="AA1606" s="4" t="s">
        <v>579</v>
      </c>
      <c r="AB1606" s="4" t="s">
        <v>6288</v>
      </c>
      <c r="AC1606" s="4" t="s">
        <v>6289</v>
      </c>
      <c r="AD1606" s="4" t="s">
        <v>2110</v>
      </c>
      <c r="AE1606" s="4" t="s">
        <v>6290</v>
      </c>
      <c r="AF1606" s="4" t="s">
        <v>6291</v>
      </c>
      <c r="AG1606" s="4" t="s">
        <v>6292</v>
      </c>
      <c r="AH1606" s="4" t="s">
        <v>6278</v>
      </c>
      <c r="AI1606" s="4" t="s">
        <v>6293</v>
      </c>
      <c r="AJ1606" s="4" t="s">
        <v>6278</v>
      </c>
      <c r="AK1606" s="4" t="s">
        <v>6278</v>
      </c>
      <c r="AL1606" s="4" t="s">
        <v>6278</v>
      </c>
      <c r="AM1606" s="4" t="s">
        <v>6294</v>
      </c>
      <c r="AN1606" s="4" t="s">
        <v>6295</v>
      </c>
      <c r="AO1606" s="4" t="s">
        <v>6296</v>
      </c>
      <c r="AP1606" s="4" t="s">
        <v>6297</v>
      </c>
      <c r="AQ1606" s="4" t="s">
        <v>6298</v>
      </c>
      <c r="AR1606" s="4" t="s">
        <v>6299</v>
      </c>
      <c r="AS1606" s="4" t="s">
        <v>6300</v>
      </c>
      <c r="AT1606" s="4" t="s">
        <v>6301</v>
      </c>
      <c r="AU1606" s="4" t="s">
        <v>6302</v>
      </c>
      <c r="AV1606" s="4" t="s">
        <v>6303</v>
      </c>
      <c r="AW1606" s="4" t="s">
        <v>6304</v>
      </c>
      <c r="AX1606" s="4" t="s">
        <v>6305</v>
      </c>
      <c r="AY1606" s="4" t="s">
        <v>6278</v>
      </c>
      <c r="AZ1606" s="4" t="s">
        <v>6306</v>
      </c>
      <c r="BA1606" s="4" t="s">
        <v>6307</v>
      </c>
      <c r="BB1606" s="4" t="s">
        <v>6308</v>
      </c>
      <c r="BC1606" s="4" t="s">
        <v>1800</v>
      </c>
      <c r="BD1606" s="4" t="s">
        <v>6278</v>
      </c>
      <c r="BE1606" s="4" t="s">
        <v>6278</v>
      </c>
      <c r="BF1606" s="4" t="s">
        <v>6309</v>
      </c>
      <c r="BG1606" s="4" t="s">
        <v>6278</v>
      </c>
      <c r="BH1606" s="4" t="s">
        <v>6278</v>
      </c>
      <c r="BI1606" s="4" t="s">
        <v>6278</v>
      </c>
      <c r="BJ1606" s="4" t="s">
        <v>6310</v>
      </c>
      <c r="BK1606" s="4" t="s">
        <v>6278</v>
      </c>
      <c r="BL1606" s="4" t="s">
        <v>6311</v>
      </c>
      <c r="BM1606" s="4" t="s">
        <v>6312</v>
      </c>
    </row>
    <row r="1607">
      <c r="A1607" s="4">
        <v>123.0</v>
      </c>
      <c r="B1607" s="4" t="s">
        <v>5757</v>
      </c>
      <c r="C1607" s="4"/>
      <c r="D1607" s="4" t="s">
        <v>6313</v>
      </c>
      <c r="E1607" s="4" t="s">
        <v>6314</v>
      </c>
      <c r="F1607" s="4" t="s">
        <v>6315</v>
      </c>
      <c r="G1607" s="5" t="str">
        <f>IFERROR(__xludf.DUMMYFUNCTION("GOOGLETRANSLATE(D1607,""en"",""es"")"),"gancho")</f>
        <v>gancho</v>
      </c>
      <c r="H1607" s="4" t="s">
        <v>6316</v>
      </c>
      <c r="I1607" s="4" t="s">
        <v>6313</v>
      </c>
    </row>
    <row r="1608">
      <c r="A1608" s="4">
        <v>124.0</v>
      </c>
      <c r="B1608" s="4" t="s">
        <v>5757</v>
      </c>
      <c r="C1608" s="4"/>
      <c r="D1608" s="4" t="s">
        <v>1017</v>
      </c>
      <c r="E1608" s="4" t="s">
        <v>6317</v>
      </c>
      <c r="F1608" s="4" t="s">
        <v>1017</v>
      </c>
      <c r="G1608" s="5" t="str">
        <f>IFERROR(__xludf.DUMMYFUNCTION("GOOGLETRANSLATE(D1608,""en"",""es"")"),"Cállate")</f>
        <v>Cállate</v>
      </c>
      <c r="H1608" s="4" t="s">
        <v>1017</v>
      </c>
      <c r="I1608" s="4" t="s">
        <v>6318</v>
      </c>
      <c r="J1608" s="4" t="s">
        <v>6319</v>
      </c>
      <c r="K1608" s="4" t="s">
        <v>1017</v>
      </c>
      <c r="L1608" s="4" t="s">
        <v>1017</v>
      </c>
      <c r="M1608" s="4" t="s">
        <v>1026</v>
      </c>
      <c r="N1608" s="4" t="s">
        <v>443</v>
      </c>
      <c r="O1608" s="4" t="s">
        <v>6319</v>
      </c>
      <c r="P1608" s="4" t="s">
        <v>1021</v>
      </c>
      <c r="Q1608" s="4" t="s">
        <v>6320</v>
      </c>
      <c r="R1608" s="4" t="s">
        <v>1026</v>
      </c>
      <c r="S1608" s="4" t="s">
        <v>1017</v>
      </c>
      <c r="T1608" s="4" t="s">
        <v>439</v>
      </c>
      <c r="U1608" s="4" t="s">
        <v>1027</v>
      </c>
      <c r="V1608" s="4" t="s">
        <v>1028</v>
      </c>
      <c r="W1608" s="4" t="s">
        <v>1029</v>
      </c>
      <c r="X1608" s="4" t="s">
        <v>1017</v>
      </c>
      <c r="Y1608" s="4" t="s">
        <v>1017</v>
      </c>
    </row>
    <row r="1609">
      <c r="A1609" s="4">
        <v>125.0</v>
      </c>
      <c r="B1609" s="4" t="s">
        <v>5757</v>
      </c>
      <c r="C1609" s="4"/>
      <c r="D1609" s="4" t="s">
        <v>6321</v>
      </c>
      <c r="E1609" s="4" t="s">
        <v>6190</v>
      </c>
      <c r="F1609" s="4" t="s">
        <v>6191</v>
      </c>
      <c r="G1609" s="5" t="str">
        <f>IFERROR(__xludf.DUMMYFUNCTION("GOOGLETRANSLATE(D1609,""en"",""es"")"),"himno")</f>
        <v>himno</v>
      </c>
      <c r="H1609" s="4" t="s">
        <v>6321</v>
      </c>
      <c r="I1609" s="4" t="s">
        <v>6322</v>
      </c>
      <c r="J1609" s="4" t="s">
        <v>6321</v>
      </c>
      <c r="K1609" s="4" t="s">
        <v>6321</v>
      </c>
    </row>
    <row r="1610">
      <c r="A1610" s="4">
        <v>126.0</v>
      </c>
      <c r="B1610" s="4" t="s">
        <v>5757</v>
      </c>
      <c r="C1610" s="4"/>
      <c r="D1610" s="4" t="s">
        <v>6323</v>
      </c>
      <c r="E1610" s="4" t="s">
        <v>6240</v>
      </c>
      <c r="F1610" s="4" t="s">
        <v>2377</v>
      </c>
      <c r="G1610" s="5" t="str">
        <f>IFERROR(__xludf.DUMMYFUNCTION("GOOGLETRANSLATE(D1610,""en"",""es"")"),"exagerado")</f>
        <v>exagerado</v>
      </c>
    </row>
    <row r="1611">
      <c r="A1611" s="4">
        <v>127.0</v>
      </c>
      <c r="B1611" s="4" t="s">
        <v>5757</v>
      </c>
      <c r="C1611" s="4"/>
      <c r="D1611" s="4" t="s">
        <v>6324</v>
      </c>
      <c r="E1611" s="4" t="s">
        <v>507</v>
      </c>
      <c r="F1611" s="4" t="s">
        <v>506</v>
      </c>
      <c r="G1611" s="5" t="str">
        <f>IFERROR(__xludf.DUMMYFUNCTION("GOOGLETRANSLATE(D1611,""en"",""es"")"),"voy a")</f>
        <v>voy a</v>
      </c>
    </row>
    <row r="1612">
      <c r="A1612" s="4">
        <v>128.0</v>
      </c>
      <c r="B1612" s="4" t="s">
        <v>5757</v>
      </c>
      <c r="C1612" s="4"/>
      <c r="D1612" s="4" t="s">
        <v>6325</v>
      </c>
      <c r="E1612" s="4" t="s">
        <v>4823</v>
      </c>
      <c r="F1612" s="4" t="s">
        <v>4824</v>
      </c>
      <c r="G1612" s="5" t="str">
        <f>IFERROR(__xludf.DUMMYFUNCTION("GOOGLETRANSLATE(D1612,""en"",""es"")"),"en")</f>
        <v>en</v>
      </c>
    </row>
    <row r="1613">
      <c r="A1613" s="4">
        <v>129.0</v>
      </c>
      <c r="B1613" s="4" t="s">
        <v>5757</v>
      </c>
      <c r="C1613" s="4"/>
      <c r="D1613" s="4" t="s">
        <v>6326</v>
      </c>
      <c r="E1613" s="4" t="s">
        <v>6327</v>
      </c>
      <c r="F1613" s="4" t="s">
        <v>6328</v>
      </c>
      <c r="G1613" s="5" t="str">
        <f>IFERROR(__xludf.DUMMYFUNCTION("GOOGLETRANSLATE(D1613,""en"",""es"")"),"ICH")</f>
        <v>ICH</v>
      </c>
    </row>
    <row r="1614">
      <c r="A1614" s="4">
        <v>130.0</v>
      </c>
      <c r="B1614" s="4" t="s">
        <v>5757</v>
      </c>
      <c r="C1614" s="4"/>
      <c r="D1614" s="4" t="s">
        <v>6329</v>
      </c>
      <c r="E1614" s="4" t="s">
        <v>6327</v>
      </c>
      <c r="F1614" s="4" t="s">
        <v>6328</v>
      </c>
      <c r="G1614" s="5" t="str">
        <f>IFERROR(__xludf.DUMMYFUNCTION("GOOGLETRANSLATE(D1614,""en"",""es"")"),"hurgir")</f>
        <v>hurgir</v>
      </c>
    </row>
    <row r="1615">
      <c r="A1615" s="4">
        <v>131.0</v>
      </c>
      <c r="B1615" s="4" t="s">
        <v>5757</v>
      </c>
      <c r="C1615" s="4"/>
      <c r="D1615" s="4" t="s">
        <v>6330</v>
      </c>
      <c r="E1615" s="4" t="s">
        <v>6331</v>
      </c>
      <c r="F1615" s="4" t="s">
        <v>6332</v>
      </c>
      <c r="G1615" s="5" t="str">
        <f>IFERROR(__xludf.DUMMYFUNCTION("GOOGLETRANSLATE(D1615,""en"",""es"")"),"espeluznante")</f>
        <v>espeluznante</v>
      </c>
      <c r="H1615" s="4" t="s">
        <v>6330</v>
      </c>
      <c r="I1615" s="4" t="s">
        <v>6333</v>
      </c>
      <c r="J1615" s="4" t="s">
        <v>6334</v>
      </c>
      <c r="K1615" s="4" t="s">
        <v>6335</v>
      </c>
      <c r="L1615" s="4" t="s">
        <v>6336</v>
      </c>
      <c r="M1615" s="4" t="s">
        <v>6337</v>
      </c>
      <c r="N1615" s="4" t="s">
        <v>6338</v>
      </c>
      <c r="O1615" s="4" t="s">
        <v>6339</v>
      </c>
      <c r="P1615" s="4" t="s">
        <v>6330</v>
      </c>
    </row>
    <row r="1616">
      <c r="A1616" s="4">
        <v>132.0</v>
      </c>
      <c r="B1616" s="4" t="s">
        <v>5757</v>
      </c>
      <c r="C1616" s="4"/>
      <c r="D1616" s="4" t="s">
        <v>2345</v>
      </c>
      <c r="E1616" s="4" t="s">
        <v>6340</v>
      </c>
      <c r="F1616" s="4" t="s">
        <v>6341</v>
      </c>
      <c r="G1616" s="5" t="str">
        <f>IFERROR(__xludf.DUMMYFUNCTION("GOOGLETRANSLATE(D1616,""en"",""es"")"),"enfermo")</f>
        <v>enfermo</v>
      </c>
      <c r="H1616" s="4" t="s">
        <v>2343</v>
      </c>
      <c r="I1616" s="4" t="s">
        <v>2344</v>
      </c>
      <c r="J1616" s="4" t="s">
        <v>2345</v>
      </c>
      <c r="K1616" s="4" t="s">
        <v>2345</v>
      </c>
      <c r="L1616" s="4" t="s">
        <v>4402</v>
      </c>
      <c r="M1616" s="4" t="s">
        <v>2345</v>
      </c>
      <c r="N1616" s="4" t="s">
        <v>2345</v>
      </c>
      <c r="O1616" s="4" t="s">
        <v>2345</v>
      </c>
      <c r="P1616" s="4" t="s">
        <v>2345</v>
      </c>
      <c r="Q1616" s="4" t="s">
        <v>6342</v>
      </c>
      <c r="R1616" s="4" t="s">
        <v>6343</v>
      </c>
      <c r="S1616" s="4" t="s">
        <v>2345</v>
      </c>
      <c r="T1616" s="4" t="s">
        <v>6344</v>
      </c>
      <c r="U1616" s="4" t="s">
        <v>6345</v>
      </c>
      <c r="V1616" s="4" t="s">
        <v>2345</v>
      </c>
      <c r="W1616" s="4" t="s">
        <v>6344</v>
      </c>
      <c r="X1616" s="4" t="s">
        <v>2345</v>
      </c>
    </row>
    <row r="1617">
      <c r="A1617" s="4">
        <v>133.0</v>
      </c>
      <c r="B1617" s="4" t="s">
        <v>5757</v>
      </c>
      <c r="C1617" s="4"/>
      <c r="D1617" s="4" t="s">
        <v>4824</v>
      </c>
      <c r="E1617" s="4" t="s">
        <v>4823</v>
      </c>
      <c r="F1617" s="4" t="s">
        <v>4824</v>
      </c>
      <c r="G1617" s="5" t="str">
        <f>IFERROR(__xludf.DUMMYFUNCTION("GOOGLETRANSLATE(D1617,""en"",""es"")"),"en")</f>
        <v>en</v>
      </c>
      <c r="H1617" s="4" t="s">
        <v>6346</v>
      </c>
      <c r="I1617" s="4" t="s">
        <v>4824</v>
      </c>
      <c r="J1617" s="4" t="s">
        <v>6347</v>
      </c>
      <c r="K1617" s="4" t="s">
        <v>6348</v>
      </c>
      <c r="L1617" s="4" t="s">
        <v>6349</v>
      </c>
      <c r="M1617" s="4" t="s">
        <v>6350</v>
      </c>
      <c r="N1617" s="4" t="s">
        <v>6351</v>
      </c>
      <c r="O1617" s="4" t="s">
        <v>6352</v>
      </c>
      <c r="P1617" s="4" t="s">
        <v>4824</v>
      </c>
      <c r="Q1617" s="4" t="s">
        <v>4824</v>
      </c>
      <c r="R1617" s="4" t="s">
        <v>4824</v>
      </c>
      <c r="S1617" s="4" t="s">
        <v>4824</v>
      </c>
      <c r="T1617" s="4" t="s">
        <v>6353</v>
      </c>
      <c r="U1617" s="4" t="s">
        <v>6354</v>
      </c>
    </row>
    <row r="1618">
      <c r="A1618" s="4">
        <v>134.0</v>
      </c>
      <c r="B1618" s="4" t="s">
        <v>5757</v>
      </c>
      <c r="C1618" s="4"/>
      <c r="D1618" s="4" t="s">
        <v>6355</v>
      </c>
      <c r="E1618" s="4" t="s">
        <v>6356</v>
      </c>
      <c r="F1618" s="4" t="s">
        <v>6357</v>
      </c>
      <c r="G1618" s="5" t="str">
        <f>IFERROR(__xludf.DUMMYFUNCTION("GOOGLETRANSLATE(D1618,""en"",""es"")"),"inanidad")</f>
        <v>inanidad</v>
      </c>
      <c r="H1618" s="4" t="s">
        <v>6355</v>
      </c>
      <c r="I1618" s="4" t="s">
        <v>6358</v>
      </c>
      <c r="J1618" s="4" t="s">
        <v>6359</v>
      </c>
      <c r="K1618" s="4" t="s">
        <v>6360</v>
      </c>
      <c r="L1618" s="4" t="s">
        <v>6361</v>
      </c>
    </row>
    <row r="1619">
      <c r="A1619" s="4">
        <v>135.0</v>
      </c>
      <c r="B1619" s="4" t="s">
        <v>5757</v>
      </c>
      <c r="C1619" s="4"/>
      <c r="D1619" s="4" t="s">
        <v>4822</v>
      </c>
      <c r="E1619" s="4" t="s">
        <v>4823</v>
      </c>
      <c r="F1619" s="4" t="s">
        <v>4824</v>
      </c>
      <c r="G1619" s="5" t="str">
        <f>IFERROR(__xludf.DUMMYFUNCTION("GOOGLETRANSLATE(D1619,""en"",""es"")"),"Posada")</f>
        <v>Posada</v>
      </c>
      <c r="H1619" s="4" t="s">
        <v>6362</v>
      </c>
      <c r="I1619" s="4" t="s">
        <v>6363</v>
      </c>
      <c r="J1619" s="4" t="s">
        <v>4822</v>
      </c>
      <c r="K1619" s="4" t="s">
        <v>6364</v>
      </c>
      <c r="L1619" s="4" t="s">
        <v>6365</v>
      </c>
    </row>
    <row r="1620">
      <c r="A1620" s="4">
        <v>136.0</v>
      </c>
      <c r="B1620" s="4" t="s">
        <v>5757</v>
      </c>
      <c r="C1620" s="4"/>
      <c r="D1620" s="4" t="s">
        <v>6366</v>
      </c>
      <c r="E1620" s="4" t="s">
        <v>6367</v>
      </c>
      <c r="F1620" s="4" t="s">
        <v>6368</v>
      </c>
      <c r="G1620" s="5" t="str">
        <f>IFERROR(__xludf.DUMMYFUNCTION("GOOGLETRANSLATE(D1620,""en"",""es"")"),"innie")</f>
        <v>innie</v>
      </c>
    </row>
    <row r="1621">
      <c r="A1621" s="4">
        <v>137.0</v>
      </c>
      <c r="B1621" s="4" t="s">
        <v>5757</v>
      </c>
      <c r="C1621" s="4"/>
      <c r="D1621" s="4" t="s">
        <v>6369</v>
      </c>
      <c r="E1621" s="4" t="s">
        <v>6370</v>
      </c>
      <c r="F1621" s="4" t="s">
        <v>6371</v>
      </c>
      <c r="G1621" s="5" t="str">
        <f>IFERROR(__xludf.DUMMYFUNCTION("GOOGLETRANSLATE(D1621,""en"",""es"")"),"ipecac")</f>
        <v>ipecac</v>
      </c>
      <c r="H1621" s="4" t="s">
        <v>6369</v>
      </c>
    </row>
    <row r="1622">
      <c r="A1622" s="4">
        <v>138.0</v>
      </c>
      <c r="B1622" s="4" t="s">
        <v>5757</v>
      </c>
      <c r="C1622" s="4"/>
      <c r="D1622" s="4" t="s">
        <v>2007</v>
      </c>
      <c r="E1622" s="4" t="s">
        <v>6372</v>
      </c>
      <c r="F1622" s="4" t="s">
        <v>2007</v>
      </c>
      <c r="G1622" s="5" t="str">
        <f>IFERROR(__xludf.DUMMYFUNCTION("GOOGLETRANSLATE(D1622,""en"",""es"")"),"ish")</f>
        <v>ish</v>
      </c>
    </row>
    <row r="1623">
      <c r="A1623" s="4">
        <v>139.0</v>
      </c>
      <c r="B1623" s="4" t="s">
        <v>5757</v>
      </c>
      <c r="C1623" s="4"/>
      <c r="D1623" s="4" t="s">
        <v>6373</v>
      </c>
      <c r="E1623" s="4" t="s">
        <v>6374</v>
      </c>
      <c r="F1623" s="4" t="s">
        <v>6375</v>
      </c>
      <c r="G1623" s="5" t="str">
        <f>IFERROR(__xludf.DUMMYFUNCTION("GOOGLETRANSLATE(D1623,""en"",""es"")"),"itálico")</f>
        <v>itálico</v>
      </c>
      <c r="H1623" s="4" t="s">
        <v>6373</v>
      </c>
      <c r="I1623" s="4" t="s">
        <v>6376</v>
      </c>
      <c r="J1623" s="4" t="s">
        <v>6377</v>
      </c>
      <c r="K1623" s="4" t="s">
        <v>6373</v>
      </c>
      <c r="L1623" s="4" t="s">
        <v>6373</v>
      </c>
      <c r="M1623" s="4" t="s">
        <v>6376</v>
      </c>
    </row>
    <row r="1624">
      <c r="A1624" s="4">
        <v>140.0</v>
      </c>
      <c r="B1624" s="4" t="s">
        <v>5757</v>
      </c>
      <c r="C1624" s="4"/>
      <c r="D1624" s="4" t="s">
        <v>6373</v>
      </c>
      <c r="E1624" s="4" t="s">
        <v>6378</v>
      </c>
      <c r="F1624" s="4" t="s">
        <v>6375</v>
      </c>
      <c r="G1624" s="5" t="str">
        <f>IFERROR(__xludf.DUMMYFUNCTION("GOOGLETRANSLATE(D1624,""en"",""es"")"),"itálico")</f>
        <v>itálico</v>
      </c>
      <c r="H1624" s="4" t="s">
        <v>6373</v>
      </c>
      <c r="I1624" s="4" t="s">
        <v>6376</v>
      </c>
      <c r="J1624" s="4" t="s">
        <v>6377</v>
      </c>
      <c r="K1624" s="4" t="s">
        <v>6373</v>
      </c>
      <c r="L1624" s="4" t="s">
        <v>6373</v>
      </c>
      <c r="M1624" s="4" t="s">
        <v>6376</v>
      </c>
    </row>
    <row r="1625">
      <c r="A1625" s="4">
        <v>141.0</v>
      </c>
      <c r="B1625" s="4" t="s">
        <v>5757</v>
      </c>
      <c r="C1625" s="4"/>
      <c r="D1625" s="4" t="s">
        <v>6379</v>
      </c>
      <c r="E1625" s="4" t="s">
        <v>6380</v>
      </c>
      <c r="F1625" s="4" t="s">
        <v>6379</v>
      </c>
      <c r="G1625" s="5" t="str">
        <f>IFERROR(__xludf.DUMMYFUNCTION("GOOGLETRANSLATE(D1625,""en"",""es"")"),"ortuquilizado")</f>
        <v>ortuquilizado</v>
      </c>
    </row>
    <row r="1626">
      <c r="A1626" s="4">
        <v>142.0</v>
      </c>
      <c r="B1626" s="4" t="s">
        <v>5757</v>
      </c>
      <c r="C1626" s="4"/>
      <c r="D1626" s="4" t="s">
        <v>6381</v>
      </c>
      <c r="E1626" s="4" t="s">
        <v>6382</v>
      </c>
      <c r="F1626" s="4" t="s">
        <v>6381</v>
      </c>
      <c r="G1626" s="5" t="str">
        <f>IFERROR(__xludf.DUMMYFUNCTION("GOOGLETRANSLATE(D1626,""en"",""es"")"),"con todo")</f>
        <v>con todo</v>
      </c>
    </row>
    <row r="1627">
      <c r="A1627" s="4">
        <v>143.0</v>
      </c>
      <c r="B1627" s="4" t="s">
        <v>5757</v>
      </c>
      <c r="C1627" s="4"/>
      <c r="D1627" s="4" t="s">
        <v>6383</v>
      </c>
      <c r="E1627" s="4" t="s">
        <v>6384</v>
      </c>
      <c r="F1627" s="4" t="s">
        <v>6385</v>
      </c>
      <c r="G1627" s="5" t="str">
        <f>IFERROR(__xludf.DUMMYFUNCTION("GOOGLETRANSLATE(D1627,""en"",""es"")"),"itty")</f>
        <v>itty</v>
      </c>
    </row>
    <row r="1628">
      <c r="A1628" s="4">
        <v>144.0</v>
      </c>
      <c r="B1628" s="4" t="s">
        <v>5757</v>
      </c>
      <c r="C1628" s="4"/>
      <c r="D1628" s="4" t="s">
        <v>6386</v>
      </c>
      <c r="E1628" s="4" t="s">
        <v>6387</v>
      </c>
      <c r="F1628" s="4" t="s">
        <v>6388</v>
      </c>
      <c r="G1628" s="5" t="str">
        <f>IFERROR(__xludf.DUMMYFUNCTION("GOOGLETRANSLATE(D1628,""en"",""es"")"),"ene")</f>
        <v>ene</v>
      </c>
      <c r="H1628" s="4" t="s">
        <v>6389</v>
      </c>
      <c r="I1628" s="4" t="s">
        <v>6390</v>
      </c>
    </row>
    <row r="1629">
      <c r="A1629" s="4">
        <v>145.0</v>
      </c>
      <c r="B1629" s="4" t="s">
        <v>5757</v>
      </c>
      <c r="C1629" s="4"/>
      <c r="D1629" s="4" t="s">
        <v>6386</v>
      </c>
      <c r="E1629" s="4" t="s">
        <v>6391</v>
      </c>
      <c r="F1629" s="4" t="s">
        <v>6388</v>
      </c>
      <c r="G1629" s="5" t="str">
        <f>IFERROR(__xludf.DUMMYFUNCTION("GOOGLETRANSLATE(D1629,""en"",""es"")"),"ene")</f>
        <v>ene</v>
      </c>
      <c r="H1629" s="4" t="s">
        <v>6389</v>
      </c>
      <c r="I1629" s="4" t="s">
        <v>6390</v>
      </c>
    </row>
    <row r="1630">
      <c r="A1630" s="4">
        <v>146.0</v>
      </c>
      <c r="B1630" s="4" t="s">
        <v>5757</v>
      </c>
      <c r="C1630" s="4"/>
      <c r="D1630" s="4" t="s">
        <v>6392</v>
      </c>
      <c r="E1630" s="4" t="s">
        <v>6393</v>
      </c>
      <c r="F1630" s="4" t="s">
        <v>6394</v>
      </c>
      <c r="G1630" s="5" t="str">
        <f>IFERROR(__xludf.DUMMYFUNCTION("GOOGLETRANSLATE(D1630,""en"",""es"")"),"jas")</f>
        <v>jas</v>
      </c>
    </row>
    <row r="1631">
      <c r="A1631" s="4">
        <v>147.0</v>
      </c>
      <c r="B1631" s="4" t="s">
        <v>5757</v>
      </c>
      <c r="C1631" s="4"/>
      <c r="D1631" s="4" t="s">
        <v>1297</v>
      </c>
      <c r="E1631" s="4" t="s">
        <v>6395</v>
      </c>
      <c r="F1631" s="4" t="s">
        <v>1297</v>
      </c>
      <c r="G1631" s="5" t="str">
        <f>IFERROR(__xludf.DUMMYFUNCTION("GOOGLETRANSLATE(D1631,""en"",""es"")"),"kaki")</f>
        <v>kaki</v>
      </c>
      <c r="H1631" s="4" t="s">
        <v>6396</v>
      </c>
      <c r="I1631" s="4" t="s">
        <v>1297</v>
      </c>
      <c r="J1631" s="4" t="s">
        <v>6397</v>
      </c>
      <c r="K1631" s="4" t="s">
        <v>1297</v>
      </c>
      <c r="L1631" s="4" t="s">
        <v>6398</v>
      </c>
    </row>
    <row r="1632">
      <c r="A1632" s="4">
        <v>148.0</v>
      </c>
      <c r="B1632" s="4" t="s">
        <v>5757</v>
      </c>
      <c r="C1632" s="4"/>
      <c r="D1632" s="4" t="s">
        <v>6399</v>
      </c>
      <c r="E1632" s="4" t="s">
        <v>5969</v>
      </c>
      <c r="F1632" s="4" t="s">
        <v>1207</v>
      </c>
      <c r="G1632" s="5" t="str">
        <f>IFERROR(__xludf.DUMMYFUNCTION("GOOGLETRANSLATE(D1632,""en"",""es"")"),"kanny")</f>
        <v>kanny</v>
      </c>
    </row>
    <row r="1633">
      <c r="A1633" s="4">
        <v>149.0</v>
      </c>
      <c r="B1633" s="4" t="s">
        <v>5757</v>
      </c>
      <c r="C1633" s="4"/>
      <c r="D1633" s="4" t="s">
        <v>5924</v>
      </c>
      <c r="E1633" s="4" t="s">
        <v>5923</v>
      </c>
      <c r="F1633" s="4" t="s">
        <v>5924</v>
      </c>
      <c r="G1633" s="5" t="str">
        <f>IFERROR(__xludf.DUMMYFUNCTION("GOOGLETRANSLATE(D1633,""en"",""es"")"),"kash")</f>
        <v>kash</v>
      </c>
    </row>
    <row r="1634">
      <c r="A1634" s="4">
        <v>150.0</v>
      </c>
      <c r="B1634" s="4" t="s">
        <v>5757</v>
      </c>
      <c r="C1634" s="4"/>
      <c r="D1634" s="4" t="s">
        <v>4744</v>
      </c>
      <c r="E1634" s="4" t="s">
        <v>6400</v>
      </c>
      <c r="F1634" s="4" t="s">
        <v>6401</v>
      </c>
      <c r="G1634" s="5" t="str">
        <f>IFERROR(__xludf.DUMMYFUNCTION("GOOGLETRANSLATE(D1634,""en"",""es"")"),"patada")</f>
        <v>patada</v>
      </c>
      <c r="H1634" s="4" t="s">
        <v>4744</v>
      </c>
      <c r="I1634" s="4" t="s">
        <v>6402</v>
      </c>
      <c r="J1634" s="4" t="s">
        <v>6403</v>
      </c>
      <c r="K1634" s="4" t="s">
        <v>6404</v>
      </c>
      <c r="L1634" s="4" t="s">
        <v>6402</v>
      </c>
      <c r="M1634" s="4" t="s">
        <v>917</v>
      </c>
      <c r="N1634" s="4" t="s">
        <v>6405</v>
      </c>
      <c r="O1634" s="4" t="s">
        <v>6406</v>
      </c>
      <c r="P1634" s="4" t="s">
        <v>6407</v>
      </c>
      <c r="Q1634" s="4" t="s">
        <v>4744</v>
      </c>
      <c r="R1634" s="4" t="s">
        <v>6408</v>
      </c>
      <c r="S1634" s="4" t="s">
        <v>4744</v>
      </c>
      <c r="T1634" s="4" t="s">
        <v>6409</v>
      </c>
      <c r="U1634" s="4" t="s">
        <v>4744</v>
      </c>
      <c r="V1634" s="4" t="s">
        <v>6410</v>
      </c>
      <c r="W1634" s="4" t="s">
        <v>6411</v>
      </c>
      <c r="X1634" s="4" t="s">
        <v>6412</v>
      </c>
      <c r="Y1634" s="4" t="s">
        <v>4744</v>
      </c>
      <c r="Z1634" s="4" t="s">
        <v>4744</v>
      </c>
      <c r="AA1634" s="4" t="s">
        <v>6403</v>
      </c>
      <c r="AB1634" s="4" t="s">
        <v>4744</v>
      </c>
      <c r="AC1634" s="4" t="s">
        <v>4744</v>
      </c>
      <c r="AD1634" s="4" t="s">
        <v>4744</v>
      </c>
      <c r="AE1634" s="4" t="s">
        <v>4744</v>
      </c>
      <c r="AF1634" s="4" t="s">
        <v>6413</v>
      </c>
      <c r="AG1634" s="4" t="s">
        <v>6408</v>
      </c>
      <c r="AH1634" s="4" t="s">
        <v>4744</v>
      </c>
      <c r="AI1634" s="4" t="s">
        <v>4744</v>
      </c>
      <c r="AJ1634" s="4" t="s">
        <v>3347</v>
      </c>
      <c r="AK1634" s="4" t="s">
        <v>4744</v>
      </c>
      <c r="AL1634" s="4" t="s">
        <v>6414</v>
      </c>
      <c r="AM1634" s="4" t="s">
        <v>4744</v>
      </c>
      <c r="AN1634" s="4" t="s">
        <v>6415</v>
      </c>
      <c r="AO1634" s="4" t="s">
        <v>6416</v>
      </c>
      <c r="AP1634" s="4" t="s">
        <v>6417</v>
      </c>
      <c r="AQ1634" s="4" t="s">
        <v>6418</v>
      </c>
    </row>
    <row r="1635">
      <c r="A1635" s="4">
        <v>151.0</v>
      </c>
      <c r="B1635" s="4" t="s">
        <v>5757</v>
      </c>
      <c r="C1635" s="4"/>
      <c r="D1635" s="4" t="s">
        <v>2570</v>
      </c>
      <c r="E1635" s="4" t="s">
        <v>6419</v>
      </c>
      <c r="F1635" s="4" t="s">
        <v>3801</v>
      </c>
      <c r="G1635" s="5" t="str">
        <f>IFERROR(__xludf.DUMMYFUNCTION("GOOGLETRANSLATE(D1635,""en"",""es"")"),"matar")</f>
        <v>matar</v>
      </c>
      <c r="H1635" s="4" t="s">
        <v>6420</v>
      </c>
      <c r="I1635" s="4" t="s">
        <v>2570</v>
      </c>
      <c r="J1635" s="4" t="s">
        <v>6421</v>
      </c>
      <c r="K1635" s="4" t="s">
        <v>2570</v>
      </c>
      <c r="L1635" s="4" t="s">
        <v>2570</v>
      </c>
      <c r="M1635" s="4" t="s">
        <v>2570</v>
      </c>
      <c r="N1635" s="4" t="s">
        <v>6422</v>
      </c>
      <c r="O1635" s="4" t="s">
        <v>4937</v>
      </c>
      <c r="P1635" s="4" t="s">
        <v>6423</v>
      </c>
      <c r="Q1635" s="4" t="s">
        <v>6424</v>
      </c>
      <c r="R1635" s="4" t="s">
        <v>2569</v>
      </c>
      <c r="S1635" s="4" t="s">
        <v>2570</v>
      </c>
      <c r="T1635" s="4" t="s">
        <v>2570</v>
      </c>
      <c r="U1635" s="4" t="s">
        <v>2570</v>
      </c>
      <c r="V1635" s="4" t="s">
        <v>2570</v>
      </c>
      <c r="W1635" s="4" t="s">
        <v>2570</v>
      </c>
      <c r="X1635" s="4" t="s">
        <v>2570</v>
      </c>
      <c r="Y1635" s="4" t="s">
        <v>2570</v>
      </c>
      <c r="Z1635" s="4" t="s">
        <v>2570</v>
      </c>
      <c r="AA1635" s="4" t="s">
        <v>6425</v>
      </c>
      <c r="AB1635" s="4" t="s">
        <v>3298</v>
      </c>
      <c r="AC1635" s="4" t="s">
        <v>6426</v>
      </c>
      <c r="AD1635" s="4" t="s">
        <v>6427</v>
      </c>
      <c r="AE1635" s="4" t="s">
        <v>6428</v>
      </c>
      <c r="AF1635" s="4" t="s">
        <v>3624</v>
      </c>
      <c r="AG1635" s="4" t="s">
        <v>6429</v>
      </c>
      <c r="AH1635" s="4" t="s">
        <v>2570</v>
      </c>
      <c r="AI1635" s="4" t="s">
        <v>2570</v>
      </c>
      <c r="AJ1635" s="4" t="s">
        <v>6430</v>
      </c>
      <c r="AK1635" s="4" t="s">
        <v>6431</v>
      </c>
      <c r="AL1635" s="4" t="s">
        <v>2570</v>
      </c>
      <c r="AM1635" s="4" t="s">
        <v>2570</v>
      </c>
      <c r="AN1635" s="4" t="s">
        <v>2570</v>
      </c>
    </row>
    <row r="1636">
      <c r="A1636" s="4">
        <v>152.0</v>
      </c>
      <c r="B1636" s="4" t="s">
        <v>5757</v>
      </c>
      <c r="C1636" s="4"/>
      <c r="D1636" s="4" t="s">
        <v>3814</v>
      </c>
      <c r="E1636" s="4" t="s">
        <v>6432</v>
      </c>
      <c r="F1636" s="4" t="s">
        <v>3814</v>
      </c>
      <c r="G1636" s="5" t="str">
        <f>IFERROR(__xludf.DUMMYFUNCTION("GOOGLETRANSLATE(D1636,""en"",""es"")"),"Kim")</f>
        <v>Kim</v>
      </c>
    </row>
    <row r="1637">
      <c r="A1637" s="4">
        <v>153.0</v>
      </c>
      <c r="B1637" s="4" t="s">
        <v>5757</v>
      </c>
      <c r="C1637" s="4"/>
      <c r="D1637" s="4" t="s">
        <v>6433</v>
      </c>
      <c r="E1637" s="4" t="s">
        <v>6434</v>
      </c>
      <c r="F1637" s="4" t="s">
        <v>6435</v>
      </c>
      <c r="G1637" s="5" t="str">
        <f>IFERROR(__xludf.DUMMYFUNCTION("GOOGLETRANSLATE(D1637,""en"",""es"")"),"kimmy")</f>
        <v>kimmy</v>
      </c>
    </row>
    <row r="1638">
      <c r="A1638" s="4">
        <v>154.0</v>
      </c>
      <c r="B1638" s="4" t="s">
        <v>5757</v>
      </c>
      <c r="C1638" s="4"/>
      <c r="D1638" s="4" t="s">
        <v>3817</v>
      </c>
      <c r="E1638" s="4" t="s">
        <v>6436</v>
      </c>
      <c r="F1638" s="4" t="s">
        <v>3817</v>
      </c>
      <c r="G1638" s="5" t="str">
        <f>IFERROR(__xludf.DUMMYFUNCTION("GOOGLETRANSLATE(D1638,""en"",""es"")"),"familiares")</f>
        <v>familiares</v>
      </c>
      <c r="H1638" s="4" t="s">
        <v>3817</v>
      </c>
      <c r="I1638" s="4" t="s">
        <v>6437</v>
      </c>
      <c r="J1638" s="4" t="s">
        <v>2128</v>
      </c>
      <c r="K1638" s="4" t="s">
        <v>3817</v>
      </c>
      <c r="L1638" s="4" t="s">
        <v>6438</v>
      </c>
      <c r="M1638" s="4" t="s">
        <v>6439</v>
      </c>
      <c r="N1638" s="4" t="s">
        <v>6440</v>
      </c>
      <c r="O1638" s="4" t="s">
        <v>6441</v>
      </c>
      <c r="P1638" s="4" t="s">
        <v>6442</v>
      </c>
      <c r="Q1638" s="4" t="s">
        <v>6443</v>
      </c>
      <c r="R1638" s="4" t="s">
        <v>6444</v>
      </c>
      <c r="S1638" s="4" t="s">
        <v>6445</v>
      </c>
      <c r="T1638" s="4" t="s">
        <v>6446</v>
      </c>
      <c r="U1638" s="4" t="s">
        <v>6447</v>
      </c>
      <c r="V1638" s="4" t="s">
        <v>6448</v>
      </c>
      <c r="W1638" s="4" t="s">
        <v>3817</v>
      </c>
    </row>
    <row r="1639">
      <c r="A1639" s="4">
        <v>155.0</v>
      </c>
      <c r="B1639" s="4" t="s">
        <v>5757</v>
      </c>
      <c r="C1639" s="4"/>
      <c r="D1639" s="4" t="s">
        <v>6449</v>
      </c>
      <c r="E1639" s="4" t="s">
        <v>6450</v>
      </c>
      <c r="F1639" s="4" t="s">
        <v>6451</v>
      </c>
      <c r="G1639" s="5" t="str">
        <f>IFERROR(__xludf.DUMMYFUNCTION("GOOGLETRANSLATE(D1639,""en"",""es"")"),"cinemático")</f>
        <v>cinemático</v>
      </c>
    </row>
    <row r="1640">
      <c r="A1640" s="4">
        <v>156.0</v>
      </c>
      <c r="B1640" s="4" t="s">
        <v>5757</v>
      </c>
      <c r="C1640" s="4"/>
      <c r="D1640" s="4" t="s">
        <v>6452</v>
      </c>
      <c r="E1640" s="4" t="s">
        <v>6453</v>
      </c>
      <c r="F1640" s="4" t="s">
        <v>6454</v>
      </c>
      <c r="G1640" s="5" t="str">
        <f>IFERROR(__xludf.DUMMYFUNCTION("GOOGLETRANSLATE(D1640,""en"",""es"")"),"Kinney")</f>
        <v>Kinney</v>
      </c>
    </row>
    <row r="1641">
      <c r="A1641" s="4">
        <v>157.0</v>
      </c>
      <c r="B1641" s="4" t="s">
        <v>5757</v>
      </c>
      <c r="C1641" s="4"/>
      <c r="D1641" s="4" t="s">
        <v>6455</v>
      </c>
      <c r="E1641" s="4" t="s">
        <v>6456</v>
      </c>
      <c r="F1641" s="4" t="s">
        <v>6457</v>
      </c>
      <c r="G1641" s="5" t="str">
        <f>IFERROR(__xludf.DUMMYFUNCTION("GOOGLETRANSLATE(D1641,""en"",""es"")"),"kinnikinnick")</f>
        <v>kinnikinnick</v>
      </c>
    </row>
    <row r="1642">
      <c r="A1642" s="4">
        <v>158.0</v>
      </c>
      <c r="B1642" s="4" t="s">
        <v>5757</v>
      </c>
      <c r="C1642" s="4"/>
      <c r="D1642" s="4" t="s">
        <v>6458</v>
      </c>
      <c r="E1642" s="4" t="s">
        <v>6459</v>
      </c>
      <c r="F1642" s="4" t="s">
        <v>6458</v>
      </c>
      <c r="G1642" s="5" t="str">
        <f>IFERROR(__xludf.DUMMYFUNCTION("GOOGLETRANSLATE(D1642,""en"",""es"")"),"dormir")</f>
        <v>dormir</v>
      </c>
      <c r="H1642" s="4" t="s">
        <v>6458</v>
      </c>
      <c r="I1642" s="4" t="s">
        <v>6458</v>
      </c>
      <c r="J1642" s="4" t="s">
        <v>6458</v>
      </c>
      <c r="K1642" s="4" t="s">
        <v>6460</v>
      </c>
      <c r="L1642" s="4" t="s">
        <v>6461</v>
      </c>
      <c r="M1642" s="4" t="s">
        <v>6458</v>
      </c>
      <c r="N1642" s="4" t="s">
        <v>6462</v>
      </c>
      <c r="O1642" s="4" t="s">
        <v>6463</v>
      </c>
      <c r="P1642" s="4" t="s">
        <v>6464</v>
      </c>
    </row>
    <row r="1643">
      <c r="A1643" s="4">
        <v>159.0</v>
      </c>
      <c r="B1643" s="4" t="s">
        <v>5757</v>
      </c>
      <c r="C1643" s="4"/>
      <c r="D1643" s="4" t="s">
        <v>6465</v>
      </c>
      <c r="E1643" s="4" t="s">
        <v>6466</v>
      </c>
      <c r="F1643" s="4" t="s">
        <v>6465</v>
      </c>
      <c r="G1643" s="5" t="str">
        <f>IFERROR(__xludf.DUMMYFUNCTION("GOOGLETRANSLATE(D1643,""en"",""es"")"),"kish")</f>
        <v>kish</v>
      </c>
    </row>
    <row r="1644">
      <c r="A1644" s="4">
        <v>160.0</v>
      </c>
      <c r="B1644" s="4" t="s">
        <v>5757</v>
      </c>
      <c r="C1644" s="4"/>
      <c r="D1644" s="4" t="s">
        <v>6467</v>
      </c>
      <c r="E1644" s="4" t="s">
        <v>6468</v>
      </c>
      <c r="F1644" s="4" t="s">
        <v>6469</v>
      </c>
      <c r="G1644" s="5" t="str">
        <f>IFERROR(__xludf.DUMMYFUNCTION("GOOGLETRANSLATE(D1644,""en"",""es"")"),"Beso")</f>
        <v>Beso</v>
      </c>
      <c r="H1644" s="4" t="s">
        <v>6467</v>
      </c>
      <c r="I1644" s="4" t="s">
        <v>6470</v>
      </c>
      <c r="J1644" s="4" t="s">
        <v>6471</v>
      </c>
      <c r="K1644" s="4" t="s">
        <v>6467</v>
      </c>
      <c r="L1644" s="4" t="s">
        <v>6467</v>
      </c>
      <c r="M1644" s="4" t="s">
        <v>6472</v>
      </c>
      <c r="N1644" s="4" t="s">
        <v>6467</v>
      </c>
      <c r="O1644" s="4" t="s">
        <v>6473</v>
      </c>
      <c r="P1644" s="4" t="s">
        <v>6467</v>
      </c>
      <c r="Q1644" s="4" t="s">
        <v>6470</v>
      </c>
      <c r="R1644" s="4" t="s">
        <v>6474</v>
      </c>
      <c r="S1644" s="4" t="s">
        <v>6467</v>
      </c>
    </row>
    <row r="1645">
      <c r="A1645" s="4">
        <v>161.0</v>
      </c>
      <c r="B1645" s="4" t="s">
        <v>5757</v>
      </c>
      <c r="C1645" s="4"/>
      <c r="D1645" s="4" t="s">
        <v>6475</v>
      </c>
      <c r="E1645" s="4" t="s">
        <v>6476</v>
      </c>
      <c r="F1645" s="4" t="s">
        <v>6475</v>
      </c>
      <c r="G1645" s="5" t="str">
        <f>IFERROR(__xludf.DUMMYFUNCTION("GOOGLETRANSLATE(D1645,""en"",""es"")"),"kith")</f>
        <v>kith</v>
      </c>
      <c r="H1645" s="4" t="s">
        <v>6475</v>
      </c>
    </row>
    <row r="1646">
      <c r="A1646" s="4">
        <v>162.0</v>
      </c>
      <c r="B1646" s="4" t="s">
        <v>5757</v>
      </c>
      <c r="C1646" s="4"/>
      <c r="D1646" s="4" t="s">
        <v>2722</v>
      </c>
      <c r="E1646" s="4" t="s">
        <v>6477</v>
      </c>
      <c r="F1646" s="4" t="s">
        <v>6478</v>
      </c>
      <c r="G1646" s="5" t="str">
        <f>IFERROR(__xludf.DUMMYFUNCTION("GOOGLETRANSLATE(D1646,""en"",""es"")"),"gatito")</f>
        <v>gatito</v>
      </c>
      <c r="H1646" s="4" t="s">
        <v>6479</v>
      </c>
      <c r="I1646" s="4" t="s">
        <v>2722</v>
      </c>
      <c r="J1646" s="4" t="s">
        <v>1752</v>
      </c>
      <c r="K1646" s="4" t="s">
        <v>6480</v>
      </c>
      <c r="L1646" s="4" t="s">
        <v>2722</v>
      </c>
      <c r="M1646" s="4" t="s">
        <v>6481</v>
      </c>
      <c r="N1646" s="4" t="s">
        <v>2722</v>
      </c>
      <c r="O1646" s="4" t="s">
        <v>2722</v>
      </c>
      <c r="P1646" s="4" t="s">
        <v>2723</v>
      </c>
      <c r="Q1646" s="4" t="s">
        <v>2724</v>
      </c>
      <c r="R1646" s="4" t="s">
        <v>2725</v>
      </c>
      <c r="S1646" s="4" t="s">
        <v>2726</v>
      </c>
    </row>
    <row r="1647">
      <c r="A1647" s="4">
        <v>163.0</v>
      </c>
      <c r="B1647" s="4" t="s">
        <v>5757</v>
      </c>
      <c r="C1647" s="4"/>
      <c r="D1647" s="4" t="s">
        <v>2447</v>
      </c>
      <c r="E1647" s="4" t="s">
        <v>6482</v>
      </c>
      <c r="F1647" s="4" t="s">
        <v>6483</v>
      </c>
      <c r="G1647" s="5" t="str">
        <f>IFERROR(__xludf.DUMMYFUNCTION("GOOGLETRANSLATE(D1647,""en"",""es"")"),"maña")</f>
        <v>maña</v>
      </c>
      <c r="H1647" s="4" t="s">
        <v>2446</v>
      </c>
      <c r="I1647" s="4" t="s">
        <v>2447</v>
      </c>
      <c r="J1647" s="4" t="s">
        <v>2448</v>
      </c>
    </row>
    <row r="1648">
      <c r="A1648" s="4">
        <v>164.0</v>
      </c>
      <c r="B1648" s="4" t="s">
        <v>5757</v>
      </c>
      <c r="C1648" s="4"/>
      <c r="D1648" s="4" t="s">
        <v>6484</v>
      </c>
      <c r="E1648" s="4" t="s">
        <v>6485</v>
      </c>
      <c r="F1648" s="4" t="s">
        <v>2928</v>
      </c>
      <c r="G1648" s="5" t="str">
        <f>IFERROR(__xludf.DUMMYFUNCTION("GOOGLETRANSLATE(D1648,""en"",""es"")"),"mierda")</f>
        <v>mierda</v>
      </c>
      <c r="H1648" s="4" t="s">
        <v>6486</v>
      </c>
      <c r="I1648" s="4" t="s">
        <v>6484</v>
      </c>
      <c r="J1648" s="4" t="s">
        <v>2603</v>
      </c>
      <c r="K1648" s="4" t="s">
        <v>6484</v>
      </c>
      <c r="L1648" s="4" t="s">
        <v>944</v>
      </c>
      <c r="M1648" s="4" t="s">
        <v>6487</v>
      </c>
    </row>
    <row r="1649">
      <c r="A1649" s="4">
        <v>165.0</v>
      </c>
      <c r="B1649" s="4" t="s">
        <v>5757</v>
      </c>
      <c r="C1649" s="4"/>
      <c r="D1649" s="4" t="s">
        <v>6488</v>
      </c>
      <c r="E1649" s="4" t="s">
        <v>6086</v>
      </c>
      <c r="F1649" s="4" t="s">
        <v>1556</v>
      </c>
      <c r="G1649" s="5" t="str">
        <f>IFERROR(__xludf.DUMMYFUNCTION("GOOGLETRANSLATE(D1649,""en"",""es"")"),"gooky")</f>
        <v>gooky</v>
      </c>
      <c r="H1649" s="4" t="s">
        <v>6489</v>
      </c>
      <c r="I1649" s="4" t="s">
        <v>6490</v>
      </c>
      <c r="J1649" s="4" t="s">
        <v>6491</v>
      </c>
      <c r="K1649" s="4" t="s">
        <v>6492</v>
      </c>
      <c r="L1649" s="4" t="s">
        <v>6493</v>
      </c>
      <c r="M1649" s="4" t="s">
        <v>6494</v>
      </c>
      <c r="N1649" s="4" t="s">
        <v>6495</v>
      </c>
      <c r="O1649" s="4" t="s">
        <v>6496</v>
      </c>
      <c r="P1649" s="4" t="s">
        <v>6497</v>
      </c>
      <c r="Q1649" s="4" t="s">
        <v>6498</v>
      </c>
      <c r="R1649" s="4" t="s">
        <v>6499</v>
      </c>
      <c r="S1649" s="4" t="s">
        <v>6500</v>
      </c>
      <c r="T1649" s="4" t="s">
        <v>6488</v>
      </c>
      <c r="U1649" s="4" t="s">
        <v>6501</v>
      </c>
      <c r="V1649" s="4" t="s">
        <v>6502</v>
      </c>
      <c r="W1649" s="4" t="s">
        <v>6503</v>
      </c>
      <c r="X1649" s="4" t="s">
        <v>6504</v>
      </c>
      <c r="Y1649" s="4" t="s">
        <v>6505</v>
      </c>
      <c r="Z1649" s="4" t="s">
        <v>6506</v>
      </c>
      <c r="AA1649" s="4" t="s">
        <v>6507</v>
      </c>
      <c r="AB1649" s="4" t="s">
        <v>6508</v>
      </c>
      <c r="AC1649" s="4" t="s">
        <v>6509</v>
      </c>
      <c r="AD1649" s="4" t="s">
        <v>6510</v>
      </c>
    </row>
    <row r="1650">
      <c r="A1650" s="4">
        <v>166.0</v>
      </c>
      <c r="B1650" s="4" t="s">
        <v>5757</v>
      </c>
      <c r="C1650" s="4"/>
      <c r="D1650" s="4" t="s">
        <v>6099</v>
      </c>
      <c r="E1650" s="4" t="s">
        <v>6098</v>
      </c>
      <c r="F1650" s="4" t="s">
        <v>6099</v>
      </c>
      <c r="G1650" s="5" t="str">
        <f>IFERROR(__xludf.DUMMYFUNCTION("GOOGLETRANSLATE(D1650,""en"",""es"")"),"kush")</f>
        <v>kush</v>
      </c>
    </row>
    <row r="1651">
      <c r="A1651" s="4">
        <v>167.0</v>
      </c>
      <c r="B1651" s="4" t="s">
        <v>5757</v>
      </c>
      <c r="C1651" s="4"/>
      <c r="D1651" s="4" t="s">
        <v>6511</v>
      </c>
      <c r="E1651" s="4" t="s">
        <v>6512</v>
      </c>
      <c r="F1651" s="4" t="s">
        <v>6513</v>
      </c>
      <c r="G1651" s="5" t="str">
        <f>IFERROR(__xludf.DUMMYFUNCTION("GOOGLETRANSLATE(D1651,""en"",""es"")"),"Kylym")</f>
        <v>Kylym</v>
      </c>
    </row>
    <row r="1652">
      <c r="A1652" s="4">
        <v>168.0</v>
      </c>
      <c r="B1652" s="4" t="s">
        <v>5757</v>
      </c>
      <c r="C1652" s="4"/>
      <c r="D1652" s="4" t="s">
        <v>6514</v>
      </c>
      <c r="E1652" s="4" t="s">
        <v>6515</v>
      </c>
      <c r="F1652" s="4" t="s">
        <v>4831</v>
      </c>
      <c r="G1652" s="5" t="str">
        <f>IFERROR(__xludf.DUMMYFUNCTION("GOOGLETRANSLATE(D1652,""en"",""es"")"),"laca")</f>
        <v>laca</v>
      </c>
      <c r="H1652" s="4" t="s">
        <v>6514</v>
      </c>
    </row>
    <row r="1653">
      <c r="A1653" s="4">
        <v>169.0</v>
      </c>
      <c r="B1653" s="4" t="s">
        <v>5757</v>
      </c>
      <c r="C1653" s="4"/>
      <c r="D1653" s="4" t="s">
        <v>6514</v>
      </c>
      <c r="E1653" s="4" t="s">
        <v>6516</v>
      </c>
      <c r="F1653" s="4" t="s">
        <v>6517</v>
      </c>
      <c r="G1653" s="5" t="str">
        <f>IFERROR(__xludf.DUMMYFUNCTION("GOOGLETRANSLATE(D1653,""en"",""es"")"),"laca")</f>
        <v>laca</v>
      </c>
      <c r="H1653" s="4" t="s">
        <v>6514</v>
      </c>
    </row>
    <row r="1654">
      <c r="A1654" s="4">
        <v>170.0</v>
      </c>
      <c r="B1654" s="4" t="s">
        <v>5757</v>
      </c>
      <c r="C1654" s="4"/>
      <c r="D1654" s="4" t="s">
        <v>6518</v>
      </c>
      <c r="E1654" s="4" t="s">
        <v>6519</v>
      </c>
      <c r="F1654" s="4" t="s">
        <v>6520</v>
      </c>
      <c r="G1654" s="5" t="str">
        <f>IFERROR(__xludf.DUMMYFUNCTION("GOOGLETRANSLATE(D1654,""en"",""es"")"),"lacera")</f>
        <v>lacera</v>
      </c>
    </row>
    <row r="1655">
      <c r="A1655" s="4">
        <v>171.0</v>
      </c>
      <c r="B1655" s="4" t="s">
        <v>5757</v>
      </c>
      <c r="C1655" s="4"/>
      <c r="D1655" s="4" t="s">
        <v>6521</v>
      </c>
      <c r="E1655" s="4" t="s">
        <v>6522</v>
      </c>
      <c r="F1655" s="4" t="s">
        <v>6523</v>
      </c>
      <c r="G1655" s="5" t="str">
        <f>IFERROR(__xludf.DUMMYFUNCTION("GOOGLETRANSLATE(D1655,""en"",""es"")"),"Lachesis")</f>
        <v>Lachesis</v>
      </c>
      <c r="H1655" s="4" t="s">
        <v>6524</v>
      </c>
    </row>
    <row r="1656">
      <c r="A1656" s="4">
        <v>172.0</v>
      </c>
      <c r="B1656" s="4" t="s">
        <v>5757</v>
      </c>
      <c r="C1656" s="4"/>
      <c r="D1656" s="4" t="s">
        <v>6525</v>
      </c>
      <c r="E1656" s="4" t="s">
        <v>2019</v>
      </c>
      <c r="F1656" s="4" t="s">
        <v>2020</v>
      </c>
      <c r="G1656" s="5" t="str">
        <f>IFERROR(__xludf.DUMMYFUNCTION("GOOGLETRANSLATE(D1656,""en"",""es"")"),"lacis")</f>
        <v>lacis</v>
      </c>
    </row>
    <row r="1657">
      <c r="A1657" s="4">
        <v>173.0</v>
      </c>
      <c r="B1657" s="4" t="s">
        <v>5757</v>
      </c>
      <c r="C1657" s="4"/>
      <c r="D1657" s="4" t="s">
        <v>6526</v>
      </c>
      <c r="E1657" s="4" t="s">
        <v>4832</v>
      </c>
      <c r="F1657" s="4" t="s">
        <v>4831</v>
      </c>
      <c r="G1657" s="5" t="str">
        <f>IFERROR(__xludf.DUMMYFUNCTION("GOOGLETRANSLATE(D1657,""en"",""es"")"),"falta")</f>
        <v>falta</v>
      </c>
      <c r="H1657" s="4" t="s">
        <v>6526</v>
      </c>
      <c r="I1657" s="4" t="s">
        <v>6527</v>
      </c>
      <c r="J1657" s="4" t="s">
        <v>6528</v>
      </c>
      <c r="K1657" s="4" t="s">
        <v>2709</v>
      </c>
      <c r="L1657" s="4" t="s">
        <v>6526</v>
      </c>
    </row>
    <row r="1658">
      <c r="A1658" s="4">
        <v>174.0</v>
      </c>
      <c r="B1658" s="4" t="s">
        <v>5757</v>
      </c>
      <c r="C1658" s="4"/>
      <c r="D1658" s="4" t="s">
        <v>6529</v>
      </c>
      <c r="E1658" s="4" t="s">
        <v>6530</v>
      </c>
      <c r="F1658" s="4" t="s">
        <v>6531</v>
      </c>
      <c r="G1658" s="5" t="str">
        <f>IFERROR(__xludf.DUMMYFUNCTION("GOOGLETRANSLATE(D1658,""en"",""es"")"),"lacayo")</f>
        <v>lacayo</v>
      </c>
      <c r="H1658" s="4" t="s">
        <v>6529</v>
      </c>
      <c r="I1658" s="4" t="s">
        <v>6532</v>
      </c>
      <c r="J1658" s="4" t="s">
        <v>6533</v>
      </c>
      <c r="K1658" s="4" t="s">
        <v>6534</v>
      </c>
      <c r="L1658" s="4" t="s">
        <v>6535</v>
      </c>
      <c r="M1658" s="4" t="s">
        <v>6536</v>
      </c>
      <c r="N1658" s="4" t="s">
        <v>6529</v>
      </c>
      <c r="O1658" s="4" t="s">
        <v>6537</v>
      </c>
    </row>
    <row r="1659">
      <c r="A1659" s="4">
        <v>175.0</v>
      </c>
      <c r="B1659" s="4" t="s">
        <v>5757</v>
      </c>
      <c r="C1659" s="4"/>
      <c r="D1659" s="4" t="s">
        <v>2017</v>
      </c>
      <c r="E1659" s="4" t="s">
        <v>4888</v>
      </c>
      <c r="F1659" s="4" t="s">
        <v>2015</v>
      </c>
      <c r="G1659" s="5" t="str">
        <f>IFERROR(__xludf.DUMMYFUNCTION("GOOGLETRANSLATE(D1659,""en"",""es"")"),"llah")</f>
        <v>llah</v>
      </c>
      <c r="H1659" s="4" t="s">
        <v>2015</v>
      </c>
      <c r="I1659" s="4" t="s">
        <v>2017</v>
      </c>
    </row>
    <row r="1660">
      <c r="A1660" s="4">
        <v>176.0</v>
      </c>
      <c r="B1660" s="4" t="s">
        <v>5757</v>
      </c>
      <c r="C1660" s="4"/>
      <c r="D1660" s="4" t="s">
        <v>4836</v>
      </c>
      <c r="E1660" s="4" t="s">
        <v>6538</v>
      </c>
      <c r="F1660" s="4" t="s">
        <v>4836</v>
      </c>
      <c r="G1660" s="5" t="str">
        <f>IFERROR(__xludf.DUMMYFUNCTION("GOOGLETRANSLATE(D1660,""en"",""es"")"),"justicia")</f>
        <v>justicia</v>
      </c>
      <c r="H1660" s="4" t="s">
        <v>6539</v>
      </c>
      <c r="I1660" s="4" t="s">
        <v>4836</v>
      </c>
      <c r="J1660" s="4" t="s">
        <v>6540</v>
      </c>
      <c r="K1660" s="4" t="s">
        <v>646</v>
      </c>
      <c r="L1660" s="4" t="s">
        <v>6541</v>
      </c>
      <c r="M1660" s="4" t="s">
        <v>6542</v>
      </c>
      <c r="N1660" s="4" t="s">
        <v>4836</v>
      </c>
      <c r="O1660" s="4" t="s">
        <v>6543</v>
      </c>
      <c r="P1660" s="4" t="s">
        <v>6544</v>
      </c>
      <c r="Q1660" s="4" t="s">
        <v>6545</v>
      </c>
      <c r="R1660" s="4" t="s">
        <v>6546</v>
      </c>
      <c r="S1660" s="4" t="s">
        <v>6547</v>
      </c>
      <c r="T1660" s="4" t="s">
        <v>6548</v>
      </c>
      <c r="U1660" s="4" t="s">
        <v>6549</v>
      </c>
      <c r="V1660" s="4" t="s">
        <v>4306</v>
      </c>
      <c r="W1660" s="4" t="s">
        <v>6550</v>
      </c>
      <c r="X1660" s="4" t="s">
        <v>6551</v>
      </c>
      <c r="Y1660" s="4" t="s">
        <v>4836</v>
      </c>
      <c r="Z1660" s="4" t="s">
        <v>6552</v>
      </c>
    </row>
    <row r="1661">
      <c r="A1661" s="4">
        <v>177.0</v>
      </c>
      <c r="B1661" s="4" t="s">
        <v>5757</v>
      </c>
      <c r="C1661" s="4"/>
      <c r="D1661" s="4" t="s">
        <v>4678</v>
      </c>
      <c r="E1661" s="4" t="s">
        <v>6538</v>
      </c>
      <c r="F1661" s="4" t="s">
        <v>4836</v>
      </c>
      <c r="G1661" s="5" t="str">
        <f>IFERROR(__xludf.DUMMYFUNCTION("GOOGLETRANSLATE(D1661,""en"",""es"")"),"cordero")</f>
        <v>cordero</v>
      </c>
      <c r="H1661" s="4" t="s">
        <v>4678</v>
      </c>
      <c r="I1661" s="4" t="s">
        <v>6553</v>
      </c>
      <c r="J1661" s="4" t="s">
        <v>6554</v>
      </c>
      <c r="K1661" s="4" t="s">
        <v>6555</v>
      </c>
      <c r="L1661" s="4" t="s">
        <v>4678</v>
      </c>
      <c r="M1661" s="4" t="s">
        <v>4678</v>
      </c>
      <c r="N1661" s="4" t="s">
        <v>6556</v>
      </c>
      <c r="O1661" s="4" t="s">
        <v>4678</v>
      </c>
      <c r="P1661" s="4" t="s">
        <v>4678</v>
      </c>
    </row>
    <row r="1662">
      <c r="A1662" s="4">
        <v>178.0</v>
      </c>
      <c r="B1662" s="4" t="s">
        <v>5757</v>
      </c>
      <c r="C1662" s="4"/>
      <c r="D1662" s="4" t="s">
        <v>6557</v>
      </c>
      <c r="E1662" s="4" t="s">
        <v>6558</v>
      </c>
      <c r="F1662" s="4" t="s">
        <v>6557</v>
      </c>
      <c r="G1662" s="5" t="str">
        <f>IFERROR(__xludf.DUMMYFUNCTION("GOOGLETRANSLATE(D1662,""en"",""es"")"),"lan")</f>
        <v>lan</v>
      </c>
      <c r="H1662" s="4" t="s">
        <v>6559</v>
      </c>
      <c r="I1662" s="4" t="s">
        <v>6560</v>
      </c>
    </row>
    <row r="1663">
      <c r="A1663" s="4">
        <v>179.0</v>
      </c>
      <c r="B1663" s="4" t="s">
        <v>5757</v>
      </c>
      <c r="C1663" s="4"/>
      <c r="D1663" s="4" t="s">
        <v>4724</v>
      </c>
      <c r="E1663" s="4" t="s">
        <v>6561</v>
      </c>
      <c r="F1663" s="4" t="s">
        <v>4724</v>
      </c>
      <c r="G1663" s="5" t="str">
        <f>IFERROR(__xludf.DUMMYFUNCTION("GOOGLETRANSLATE(D1663,""en"",""es"")"),"vuelta")</f>
        <v>vuelta</v>
      </c>
      <c r="H1663" s="4" t="s">
        <v>4724</v>
      </c>
      <c r="I1663" s="4" t="s">
        <v>4724</v>
      </c>
      <c r="J1663" s="4" t="s">
        <v>4724</v>
      </c>
      <c r="K1663" s="4" t="s">
        <v>6562</v>
      </c>
      <c r="L1663" s="4" t="s">
        <v>4724</v>
      </c>
      <c r="M1663" s="4" t="s">
        <v>6563</v>
      </c>
      <c r="N1663" s="4" t="s">
        <v>4724</v>
      </c>
      <c r="O1663" s="4" t="s">
        <v>6564</v>
      </c>
      <c r="P1663" s="4" t="s">
        <v>6565</v>
      </c>
      <c r="Q1663" s="4" t="s">
        <v>6566</v>
      </c>
      <c r="R1663" s="4" t="s">
        <v>4724</v>
      </c>
      <c r="S1663" s="4" t="s">
        <v>4724</v>
      </c>
      <c r="T1663" s="4" t="s">
        <v>6566</v>
      </c>
      <c r="U1663" s="4" t="s">
        <v>4724</v>
      </c>
      <c r="V1663" s="4" t="s">
        <v>4724</v>
      </c>
      <c r="W1663" s="4" t="s">
        <v>4725</v>
      </c>
      <c r="X1663" s="4" t="s">
        <v>4726</v>
      </c>
      <c r="Y1663" s="4" t="s">
        <v>4727</v>
      </c>
      <c r="Z1663" s="4" t="s">
        <v>4724</v>
      </c>
      <c r="AA1663" s="4" t="s">
        <v>6567</v>
      </c>
      <c r="AB1663" s="4" t="s">
        <v>6566</v>
      </c>
      <c r="AC1663" s="4" t="s">
        <v>6568</v>
      </c>
      <c r="AD1663" s="4" t="s">
        <v>4724</v>
      </c>
      <c r="AE1663" s="4" t="s">
        <v>2800</v>
      </c>
    </row>
    <row r="1664">
      <c r="A1664" s="4">
        <v>180.0</v>
      </c>
      <c r="B1664" s="4" t="s">
        <v>5757</v>
      </c>
      <c r="C1664" s="4"/>
      <c r="D1664" s="4" t="s">
        <v>6569</v>
      </c>
      <c r="E1664" s="4" t="s">
        <v>6570</v>
      </c>
      <c r="F1664" s="4" t="s">
        <v>6569</v>
      </c>
      <c r="G1664" s="5" t="str">
        <f>IFERROR(__xludf.DUMMYFUNCTION("GOOGLETRANSLATE(D1664,""en"",""es"")"),"lapis")</f>
        <v>lapis</v>
      </c>
    </row>
    <row r="1665">
      <c r="A1665" s="4">
        <v>181.0</v>
      </c>
      <c r="B1665" s="4" t="s">
        <v>5757</v>
      </c>
      <c r="C1665" s="4"/>
      <c r="D1665" s="4" t="s">
        <v>6520</v>
      </c>
      <c r="E1665" s="4" t="s">
        <v>6519</v>
      </c>
      <c r="F1665" s="4" t="s">
        <v>6520</v>
      </c>
      <c r="G1665" s="5" t="str">
        <f>IFERROR(__xludf.DUMMYFUNCTION("GOOGLETRANSLATE(D1665,""en"",""es"")"),"latigazo")</f>
        <v>latigazo</v>
      </c>
      <c r="H1665" s="4" t="s">
        <v>6571</v>
      </c>
      <c r="I1665" s="4" t="s">
        <v>6520</v>
      </c>
      <c r="J1665" s="4" t="s">
        <v>6572</v>
      </c>
      <c r="K1665" s="4" t="s">
        <v>6520</v>
      </c>
      <c r="L1665" s="4" t="s">
        <v>6573</v>
      </c>
      <c r="M1665" s="4" t="s">
        <v>6574</v>
      </c>
      <c r="N1665" s="4" t="s">
        <v>6520</v>
      </c>
      <c r="O1665" s="4" t="s">
        <v>6575</v>
      </c>
      <c r="P1665" s="4" t="s">
        <v>6576</v>
      </c>
      <c r="Q1665" s="4" t="s">
        <v>6577</v>
      </c>
      <c r="R1665" s="4" t="s">
        <v>6574</v>
      </c>
      <c r="S1665" s="4" t="s">
        <v>6578</v>
      </c>
      <c r="T1665" s="4" t="s">
        <v>6520</v>
      </c>
      <c r="U1665" s="4" t="s">
        <v>4283</v>
      </c>
      <c r="V1665" s="4" t="s">
        <v>6579</v>
      </c>
      <c r="W1665" s="4" t="s">
        <v>6580</v>
      </c>
      <c r="X1665" s="4" t="s">
        <v>6520</v>
      </c>
      <c r="Y1665" s="4" t="s">
        <v>6574</v>
      </c>
      <c r="Z1665" s="4" t="s">
        <v>6520</v>
      </c>
      <c r="AA1665" s="4" t="s">
        <v>6520</v>
      </c>
    </row>
    <row r="1666">
      <c r="A1666" s="4">
        <v>182.0</v>
      </c>
      <c r="B1666" s="4" t="s">
        <v>5757</v>
      </c>
      <c r="C1666" s="4"/>
      <c r="D1666" s="4" t="s">
        <v>6581</v>
      </c>
      <c r="E1666" s="4" t="s">
        <v>6516</v>
      </c>
      <c r="F1666" s="4" t="s">
        <v>6517</v>
      </c>
      <c r="G1666" s="5" t="str">
        <f>IFERROR(__xludf.DUMMYFUNCTION("GOOGLETRANSLATE(D1666,""en"",""es"")"),"muchacha")</f>
        <v>muchacha</v>
      </c>
      <c r="H1666" s="4" t="s">
        <v>6581</v>
      </c>
      <c r="I1666" s="4" t="s">
        <v>6582</v>
      </c>
      <c r="J1666" s="4" t="s">
        <v>6583</v>
      </c>
      <c r="K1666" s="4" t="s">
        <v>6584</v>
      </c>
    </row>
    <row r="1667">
      <c r="A1667" s="4">
        <v>183.0</v>
      </c>
      <c r="B1667" s="4" t="s">
        <v>5757</v>
      </c>
      <c r="C1667" s="4"/>
      <c r="D1667" s="4" t="s">
        <v>6585</v>
      </c>
      <c r="E1667" s="4" t="s">
        <v>6586</v>
      </c>
      <c r="F1667" s="4" t="s">
        <v>2020</v>
      </c>
      <c r="G1667" s="5" t="str">
        <f>IFERROR(__xludf.DUMMYFUNCTION("GOOGLETRANSLATE(D1667,""en"",""es"")"),"lassi")</f>
        <v>lassi</v>
      </c>
    </row>
    <row r="1668">
      <c r="A1668" s="4">
        <v>184.0</v>
      </c>
      <c r="B1668" s="4" t="s">
        <v>5757</v>
      </c>
      <c r="C1668" s="4"/>
      <c r="D1668" s="4" t="s">
        <v>6582</v>
      </c>
      <c r="E1668" s="4" t="s">
        <v>6586</v>
      </c>
      <c r="F1668" s="4" t="s">
        <v>2020</v>
      </c>
      <c r="G1668" s="5" t="str">
        <f>IFERROR(__xludf.DUMMYFUNCTION("GOOGLETRANSLATE(D1668,""en"",""es"")"),"muchacha")</f>
        <v>muchacha</v>
      </c>
      <c r="H1668" s="4" t="s">
        <v>6581</v>
      </c>
      <c r="I1668" s="4" t="s">
        <v>6582</v>
      </c>
      <c r="J1668" s="4" t="s">
        <v>6583</v>
      </c>
      <c r="K1668" s="4" t="s">
        <v>6584</v>
      </c>
    </row>
    <row r="1669">
      <c r="A1669" s="4">
        <v>185.0</v>
      </c>
      <c r="B1669" s="4" t="s">
        <v>5757</v>
      </c>
      <c r="C1669" s="4"/>
      <c r="D1669" s="4" t="s">
        <v>6587</v>
      </c>
      <c r="E1669" s="4" t="s">
        <v>6588</v>
      </c>
      <c r="F1669" s="4" t="s">
        <v>6587</v>
      </c>
      <c r="G1669" s="5" t="str">
        <f>IFERROR(__xludf.DUMMYFUNCTION("GOOGLETRANSLATE(D1669,""en"",""es"")"),"listón")</f>
        <v>listón</v>
      </c>
      <c r="H1669" s="4" t="s">
        <v>6587</v>
      </c>
    </row>
    <row r="1670">
      <c r="A1670" s="4">
        <v>186.0</v>
      </c>
      <c r="B1670" s="4" t="s">
        <v>5757</v>
      </c>
      <c r="C1670" s="4"/>
      <c r="D1670" s="4" t="s">
        <v>6589</v>
      </c>
      <c r="E1670" s="4" t="s">
        <v>6590</v>
      </c>
      <c r="F1670" s="4" t="s">
        <v>6589</v>
      </c>
      <c r="G1670" s="5" t="str">
        <f>IFERROR(__xludf.DUMMYFUNCTION("GOOGLETRANSLATE(D1670,""en"",""es"")"),"latín")</f>
        <v>latín</v>
      </c>
      <c r="H1670" s="4" t="s">
        <v>2141</v>
      </c>
      <c r="I1670" s="4" t="s">
        <v>2141</v>
      </c>
      <c r="J1670" s="4" t="s">
        <v>2141</v>
      </c>
      <c r="K1670" s="4" t="s">
        <v>2141</v>
      </c>
      <c r="L1670" s="4" t="s">
        <v>2141</v>
      </c>
      <c r="M1670" s="4" t="s">
        <v>6591</v>
      </c>
      <c r="N1670" s="4" t="s">
        <v>2141</v>
      </c>
      <c r="O1670" s="4" t="s">
        <v>2141</v>
      </c>
    </row>
    <row r="1671">
      <c r="A1671" s="4">
        <v>187.0</v>
      </c>
      <c r="B1671" s="4" t="s">
        <v>5757</v>
      </c>
      <c r="C1671" s="4"/>
      <c r="D1671" s="4" t="s">
        <v>6592</v>
      </c>
      <c r="E1671" s="4" t="s">
        <v>6593</v>
      </c>
      <c r="F1671" s="4" t="s">
        <v>6594</v>
      </c>
      <c r="G1671" s="5" t="str">
        <f>IFERROR(__xludf.DUMMYFUNCTION("GOOGLETRANSLATE(D1671,""en"",""es"")"),"enrejado")</f>
        <v>enrejado</v>
      </c>
      <c r="H1671" s="4" t="s">
        <v>6592</v>
      </c>
      <c r="I1671" s="4" t="s">
        <v>6595</v>
      </c>
      <c r="J1671" s="4" t="s">
        <v>6592</v>
      </c>
      <c r="K1671" s="4" t="s">
        <v>6596</v>
      </c>
      <c r="L1671" s="4" t="s">
        <v>6592</v>
      </c>
      <c r="M1671" s="4" t="s">
        <v>6597</v>
      </c>
      <c r="N1671" s="4" t="s">
        <v>6598</v>
      </c>
    </row>
    <row r="1672">
      <c r="A1672" s="4">
        <v>188.0</v>
      </c>
      <c r="B1672" s="4" t="s">
        <v>5757</v>
      </c>
      <c r="C1672" s="4"/>
      <c r="D1672" s="4" t="s">
        <v>6566</v>
      </c>
      <c r="E1672" s="4" t="s">
        <v>6599</v>
      </c>
      <c r="F1672" s="4" t="s">
        <v>6600</v>
      </c>
      <c r="G1672" s="5" t="str">
        <f>IFERROR(__xludf.DUMMYFUNCTION("GOOGLETRANSLATE(D1672,""en"",""es"")"),"lamer")</f>
        <v>lamer</v>
      </c>
      <c r="H1672" s="4" t="s">
        <v>6601</v>
      </c>
      <c r="I1672" s="4" t="s">
        <v>6566</v>
      </c>
      <c r="J1672" s="4" t="s">
        <v>6566</v>
      </c>
      <c r="K1672" s="4" t="s">
        <v>4724</v>
      </c>
      <c r="L1672" s="4" t="s">
        <v>3498</v>
      </c>
      <c r="M1672" s="4" t="s">
        <v>6602</v>
      </c>
      <c r="N1672" s="4" t="s">
        <v>3489</v>
      </c>
      <c r="O1672" s="4" t="s">
        <v>6566</v>
      </c>
      <c r="P1672" s="4" t="s">
        <v>6603</v>
      </c>
      <c r="Q1672" s="4" t="s">
        <v>2170</v>
      </c>
      <c r="R1672" s="4" t="s">
        <v>2937</v>
      </c>
      <c r="S1672" s="4" t="s">
        <v>6604</v>
      </c>
      <c r="T1672" s="4" t="s">
        <v>6605</v>
      </c>
      <c r="U1672" s="4" t="s">
        <v>6606</v>
      </c>
      <c r="V1672" s="4" t="s">
        <v>6550</v>
      </c>
      <c r="W1672" s="4" t="s">
        <v>6566</v>
      </c>
      <c r="X1672" s="4" t="s">
        <v>6566</v>
      </c>
      <c r="Y1672" s="4" t="s">
        <v>4724</v>
      </c>
      <c r="Z1672" s="4" t="s">
        <v>6607</v>
      </c>
      <c r="AA1672" s="4" t="s">
        <v>6608</v>
      </c>
      <c r="AB1672" s="4" t="s">
        <v>6609</v>
      </c>
      <c r="AC1672" s="4" t="s">
        <v>6610</v>
      </c>
      <c r="AD1672" s="4" t="s">
        <v>6566</v>
      </c>
      <c r="AE1672" s="4" t="s">
        <v>6611</v>
      </c>
      <c r="AF1672" s="4" t="s">
        <v>4724</v>
      </c>
      <c r="AG1672" s="4" t="s">
        <v>6567</v>
      </c>
      <c r="AH1672" s="4" t="s">
        <v>6566</v>
      </c>
    </row>
    <row r="1673">
      <c r="A1673" s="4">
        <v>189.0</v>
      </c>
      <c r="B1673" s="4" t="s">
        <v>5757</v>
      </c>
      <c r="C1673" s="4"/>
      <c r="D1673" s="4" t="s">
        <v>6612</v>
      </c>
      <c r="E1673" s="4" t="s">
        <v>6613</v>
      </c>
      <c r="F1673" s="4" t="s">
        <v>6614</v>
      </c>
      <c r="G1673" s="5" t="str">
        <f>IFERROR(__xludf.DUMMYFUNCTION("GOOGLETRANSLATE(D1673,""en"",""es"")"),"lamer")</f>
        <v>lamer</v>
      </c>
    </row>
    <row r="1674">
      <c r="A1674" s="4">
        <v>190.0</v>
      </c>
      <c r="B1674" s="4" t="s">
        <v>5757</v>
      </c>
      <c r="C1674" s="4"/>
      <c r="D1674" s="4" t="s">
        <v>6615</v>
      </c>
      <c r="E1674" s="4" t="s">
        <v>6616</v>
      </c>
      <c r="F1674" s="4" t="s">
        <v>6615</v>
      </c>
      <c r="G1674" s="5" t="str">
        <f>IFERROR(__xludf.DUMMYFUNCTION("GOOGLETRANSLATE(D1674,""en"",""es"")"),"pequeño")</f>
        <v>pequeño</v>
      </c>
    </row>
    <row r="1675">
      <c r="A1675" s="4">
        <v>191.0</v>
      </c>
      <c r="B1675" s="4" t="s">
        <v>5757</v>
      </c>
      <c r="C1675" s="4"/>
      <c r="D1675" s="4" t="s">
        <v>6617</v>
      </c>
      <c r="E1675" s="4" t="s">
        <v>6616</v>
      </c>
      <c r="F1675" s="4" t="s">
        <v>6615</v>
      </c>
      <c r="G1675" s="5" t="str">
        <f>IFERROR(__xludf.DUMMYFUNCTION("GOOGLETRANSLATE(D1675,""en"",""es"")"),"lirio")</f>
        <v>lirio</v>
      </c>
    </row>
    <row r="1676">
      <c r="A1676" s="4">
        <v>192.0</v>
      </c>
      <c r="B1676" s="4" t="s">
        <v>5757</v>
      </c>
      <c r="C1676" s="4"/>
      <c r="D1676" s="4" t="s">
        <v>6618</v>
      </c>
      <c r="E1676" s="4" t="s">
        <v>6619</v>
      </c>
      <c r="F1676" s="4" t="s">
        <v>6620</v>
      </c>
      <c r="G1676" s="5" t="str">
        <f>IFERROR(__xludf.DUMMYFUNCTION("GOOGLETRANSLATE(D1676,""en"",""es"")"),"lirio")</f>
        <v>lirio</v>
      </c>
      <c r="H1676" s="4" t="s">
        <v>6618</v>
      </c>
    </row>
    <row r="1677">
      <c r="A1677" s="4">
        <v>193.0</v>
      </c>
      <c r="B1677" s="4" t="s">
        <v>5757</v>
      </c>
      <c r="C1677" s="4"/>
      <c r="D1677" s="4" t="s">
        <v>6621</v>
      </c>
      <c r="E1677" s="4" t="s">
        <v>6622</v>
      </c>
      <c r="F1677" s="4" t="s">
        <v>6623</v>
      </c>
      <c r="G1677" s="5" t="str">
        <f>IFERROR(__xludf.DUMMYFUNCTION("GOOGLETRANSLATE(D1677,""en"",""es"")"),"miembro")</f>
        <v>miembro</v>
      </c>
      <c r="H1677" s="4" t="s">
        <v>6621</v>
      </c>
      <c r="I1677" s="4" t="s">
        <v>6621</v>
      </c>
      <c r="J1677" s="4" t="s">
        <v>6624</v>
      </c>
      <c r="K1677" s="4" t="s">
        <v>6621</v>
      </c>
      <c r="L1677" s="4" t="s">
        <v>6621</v>
      </c>
      <c r="M1677" s="4" t="s">
        <v>6621</v>
      </c>
      <c r="N1677" s="4" t="s">
        <v>6625</v>
      </c>
      <c r="O1677" s="4" t="s">
        <v>6626</v>
      </c>
      <c r="P1677" s="4" t="s">
        <v>6621</v>
      </c>
    </row>
    <row r="1678">
      <c r="A1678" s="4">
        <v>194.0</v>
      </c>
      <c r="B1678" s="4" t="s">
        <v>5757</v>
      </c>
      <c r="C1678" s="4"/>
      <c r="D1678" s="4" t="s">
        <v>6627</v>
      </c>
      <c r="E1678" s="4" t="s">
        <v>6628</v>
      </c>
      <c r="F1678" s="4" t="s">
        <v>6629</v>
      </c>
      <c r="G1678" s="5" t="str">
        <f>IFERROR(__xludf.DUMMYFUNCTION("GOOGLETRANSLATE(D1678,""en"",""es"")"),"flojo")</f>
        <v>flojo</v>
      </c>
    </row>
    <row r="1679">
      <c r="A1679" s="4">
        <v>195.0</v>
      </c>
      <c r="B1679" s="4" t="s">
        <v>5757</v>
      </c>
      <c r="C1679" s="4"/>
      <c r="D1679" s="4" t="s">
        <v>6630</v>
      </c>
      <c r="E1679" s="4" t="s">
        <v>6622</v>
      </c>
      <c r="F1679" s="4" t="s">
        <v>6623</v>
      </c>
      <c r="G1679" s="5" t="str">
        <f>IFERROR(__xludf.DUMMYFUNCTION("GOOGLETRANSLATE(D1679,""en"",""es"")"),"manuscrito iluminado")</f>
        <v>manuscrito iluminado</v>
      </c>
      <c r="H1679" s="4" t="s">
        <v>6631</v>
      </c>
      <c r="I1679" s="4" t="s">
        <v>6630</v>
      </c>
      <c r="J1679" s="4" t="s">
        <v>6632</v>
      </c>
      <c r="K1679" s="4" t="s">
        <v>6633</v>
      </c>
      <c r="L1679" s="4" t="s">
        <v>6634</v>
      </c>
      <c r="M1679" s="4" t="s">
        <v>6630</v>
      </c>
    </row>
    <row r="1680">
      <c r="A1680" s="4">
        <v>196.0</v>
      </c>
      <c r="B1680" s="4" t="s">
        <v>5757</v>
      </c>
      <c r="C1680" s="4"/>
      <c r="D1680" s="4" t="s">
        <v>6635</v>
      </c>
      <c r="E1680" s="4" t="s">
        <v>6636</v>
      </c>
      <c r="F1680" s="4" t="s">
        <v>6635</v>
      </c>
      <c r="G1680" s="5" t="str">
        <f>IFERROR(__xludf.DUMMYFUNCTION("GOOGLETRANSLATE(D1680,""en"",""es"")"),"lin")</f>
        <v>lin</v>
      </c>
      <c r="H1680" s="4" t="s">
        <v>6637</v>
      </c>
      <c r="I1680" s="4" t="s">
        <v>6638</v>
      </c>
    </row>
    <row r="1681">
      <c r="A1681" s="4">
        <v>197.0</v>
      </c>
      <c r="B1681" s="4" t="s">
        <v>5757</v>
      </c>
      <c r="C1681" s="4"/>
      <c r="D1681" s="4" t="s">
        <v>6639</v>
      </c>
      <c r="E1681" s="4" t="s">
        <v>6640</v>
      </c>
      <c r="F1681" s="4" t="s">
        <v>6641</v>
      </c>
      <c r="G1681" s="5" t="str">
        <f>IFERROR(__xludf.DUMMYFUNCTION("GOOGLETRANSLATE(D1681,""en"",""es"")"),"lina")</f>
        <v>lina</v>
      </c>
      <c r="H1681" s="4" t="s">
        <v>6642</v>
      </c>
      <c r="I1681" s="4" t="s">
        <v>6639</v>
      </c>
    </row>
    <row r="1682">
      <c r="A1682" s="4">
        <v>198.0</v>
      </c>
      <c r="B1682" s="4" t="s">
        <v>5757</v>
      </c>
      <c r="C1682" s="4"/>
      <c r="D1682" s="4" t="s">
        <v>6643</v>
      </c>
      <c r="E1682" s="4" t="s">
        <v>6644</v>
      </c>
      <c r="F1682" s="4" t="s">
        <v>6645</v>
      </c>
      <c r="G1682" s="5" t="str">
        <f>IFERROR(__xludf.DUMMYFUNCTION("GOOGLETRANSLATE(D1682,""en"",""es"")"),"lino")</f>
        <v>lino</v>
      </c>
      <c r="H1682" s="4" t="s">
        <v>6643</v>
      </c>
      <c r="I1682" s="4" t="s">
        <v>6643</v>
      </c>
      <c r="J1682" s="4" t="s">
        <v>6646</v>
      </c>
      <c r="K1682" s="4" t="s">
        <v>6643</v>
      </c>
    </row>
    <row r="1683">
      <c r="A1683" s="4">
        <v>199.0</v>
      </c>
      <c r="B1683" s="4" t="s">
        <v>5757</v>
      </c>
      <c r="C1683" s="4"/>
      <c r="D1683" s="4" t="s">
        <v>6647</v>
      </c>
      <c r="E1683" s="4" t="s">
        <v>6648</v>
      </c>
      <c r="F1683" s="4" t="s">
        <v>5282</v>
      </c>
      <c r="G1683" s="5" t="str">
        <f>IFERROR(__xludf.DUMMYFUNCTION("GOOGLETRANSLATE(D1683,""en"",""es"")"),"linhay")</f>
        <v>linhay</v>
      </c>
    </row>
    <row r="1684">
      <c r="A1684" s="4">
        <v>200.0</v>
      </c>
      <c r="B1684" s="4" t="s">
        <v>5757</v>
      </c>
      <c r="C1684" s="4"/>
      <c r="D1684" s="4" t="s">
        <v>6649</v>
      </c>
      <c r="E1684" s="4" t="s">
        <v>6636</v>
      </c>
      <c r="F1684" s="4" t="s">
        <v>6635</v>
      </c>
      <c r="G1684" s="5" t="str">
        <f>IFERROR(__xludf.DUMMYFUNCTION("GOOGLETRANSLATE(D1684,""en"",""es"")"),"linn")</f>
        <v>linn</v>
      </c>
    </row>
    <row r="1685">
      <c r="A1685" s="4">
        <v>201.0</v>
      </c>
      <c r="B1685" s="4" t="s">
        <v>5757</v>
      </c>
      <c r="C1685" s="4"/>
      <c r="D1685" s="4" t="s">
        <v>6650</v>
      </c>
      <c r="E1685" s="4" t="s">
        <v>6651</v>
      </c>
      <c r="F1685" s="4" t="s">
        <v>6650</v>
      </c>
      <c r="G1685" s="5" t="str">
        <f>IFERROR(__xludf.DUMMYFUNCTION("GOOGLETRANSLATE(D1685,""en"",""es"")"),"labio")</f>
        <v>labio</v>
      </c>
      <c r="H1685" s="4" t="s">
        <v>6650</v>
      </c>
      <c r="I1685" s="4" t="s">
        <v>6650</v>
      </c>
      <c r="J1685" s="4" t="s">
        <v>6652</v>
      </c>
      <c r="K1685" s="4" t="s">
        <v>6653</v>
      </c>
      <c r="L1685" s="4" t="s">
        <v>6654</v>
      </c>
      <c r="M1685" s="4" t="s">
        <v>6655</v>
      </c>
      <c r="N1685" s="4" t="s">
        <v>6650</v>
      </c>
      <c r="O1685" s="4" t="s">
        <v>6656</v>
      </c>
      <c r="P1685" s="4" t="s">
        <v>6657</v>
      </c>
      <c r="Q1685" s="4" t="s">
        <v>6658</v>
      </c>
      <c r="R1685" s="4" t="s">
        <v>6650</v>
      </c>
      <c r="S1685" s="4" t="s">
        <v>6650</v>
      </c>
    </row>
    <row r="1686">
      <c r="A1686" s="4">
        <v>202.0</v>
      </c>
      <c r="B1686" s="4" t="s">
        <v>5757</v>
      </c>
      <c r="C1686" s="4"/>
      <c r="D1686" s="4" t="s">
        <v>6659</v>
      </c>
      <c r="E1686" s="4" t="s">
        <v>6660</v>
      </c>
      <c r="F1686" s="4" t="s">
        <v>6661</v>
      </c>
      <c r="G1686" s="5" t="str">
        <f>IFERROR(__xludf.DUMMYFUNCTION("GOOGLETRANSLATE(D1686,""en"",""es"")"),"lippy")</f>
        <v>lippy</v>
      </c>
    </row>
    <row r="1687">
      <c r="A1687" s="4">
        <v>203.0</v>
      </c>
      <c r="B1687" s="4" t="s">
        <v>5757</v>
      </c>
      <c r="C1687" s="4"/>
      <c r="D1687" s="4" t="s">
        <v>6662</v>
      </c>
      <c r="E1687" s="4" t="s">
        <v>6663</v>
      </c>
      <c r="F1687" s="4" t="s">
        <v>6662</v>
      </c>
      <c r="G1687" s="5" t="str">
        <f>IFERROR(__xludf.DUMMYFUNCTION("GOOGLETRANSLATE(D1687,""en"",""es"")"),"litas")</f>
        <v>litas</v>
      </c>
      <c r="H1687" s="4" t="s">
        <v>6662</v>
      </c>
    </row>
    <row r="1688">
      <c r="A1688" s="4">
        <v>204.0</v>
      </c>
      <c r="B1688" s="4" t="s">
        <v>5757</v>
      </c>
      <c r="C1688" s="4"/>
      <c r="D1688" s="4" t="s">
        <v>6664</v>
      </c>
      <c r="E1688" s="4" t="s">
        <v>6665</v>
      </c>
      <c r="F1688" s="4" t="s">
        <v>6664</v>
      </c>
      <c r="G1688" s="5" t="str">
        <f>IFERROR(__xludf.DUMMYFUNCTION("GOOGLETRANSLATE(D1688,""en"",""es"")"),"lith")</f>
        <v>lith</v>
      </c>
    </row>
    <row r="1689">
      <c r="A1689" s="4">
        <v>205.0</v>
      </c>
      <c r="B1689" s="4" t="s">
        <v>5757</v>
      </c>
      <c r="C1689" s="4"/>
      <c r="D1689" s="4" t="s">
        <v>6666</v>
      </c>
      <c r="E1689" s="4" t="s">
        <v>6667</v>
      </c>
      <c r="F1689" s="4" t="s">
        <v>6668</v>
      </c>
      <c r="G1689" s="5" t="str">
        <f>IFERROR(__xludf.DUMMYFUNCTION("GOOGLETRANSLATE(D1689,""en"",""es"")"),"lítico")</f>
        <v>lítico</v>
      </c>
      <c r="H1689" s="4" t="s">
        <v>6666</v>
      </c>
      <c r="I1689" s="4" t="s">
        <v>6666</v>
      </c>
    </row>
    <row r="1690">
      <c r="A1690" s="4">
        <v>206.0</v>
      </c>
      <c r="B1690" s="4" t="s">
        <v>5757</v>
      </c>
      <c r="C1690" s="4"/>
      <c r="D1690" s="4" t="s">
        <v>6669</v>
      </c>
      <c r="E1690" s="4" t="s">
        <v>6670</v>
      </c>
      <c r="F1690" s="4" t="s">
        <v>6671</v>
      </c>
      <c r="G1690" s="5" t="str">
        <f>IFERROR(__xludf.DUMMYFUNCTION("GOOGLETRANSLATE(D1690,""en"",""es"")"),"Mira")</f>
        <v>Mira</v>
      </c>
      <c r="H1690" s="4" t="s">
        <v>6672</v>
      </c>
      <c r="I1690" s="4" t="s">
        <v>6669</v>
      </c>
      <c r="J1690" s="4" t="s">
        <v>2587</v>
      </c>
      <c r="K1690" s="4" t="s">
        <v>6673</v>
      </c>
      <c r="L1690" s="4" t="s">
        <v>1310</v>
      </c>
      <c r="M1690" s="4" t="s">
        <v>6669</v>
      </c>
      <c r="N1690" s="4" t="s">
        <v>6674</v>
      </c>
      <c r="O1690" s="4" t="s">
        <v>6675</v>
      </c>
      <c r="P1690" s="4" t="s">
        <v>6669</v>
      </c>
      <c r="Q1690" s="4" t="s">
        <v>4751</v>
      </c>
      <c r="R1690" s="4" t="s">
        <v>6676</v>
      </c>
      <c r="S1690" s="4" t="s">
        <v>3005</v>
      </c>
      <c r="T1690" s="4" t="s">
        <v>6677</v>
      </c>
      <c r="U1690" s="4" t="s">
        <v>6678</v>
      </c>
      <c r="V1690" s="4" t="s">
        <v>6679</v>
      </c>
      <c r="W1690" s="4" t="s">
        <v>6669</v>
      </c>
      <c r="X1690" s="4" t="s">
        <v>3109</v>
      </c>
      <c r="Y1690" s="4" t="s">
        <v>6669</v>
      </c>
      <c r="Z1690" s="4" t="s">
        <v>6669</v>
      </c>
      <c r="AA1690" s="4" t="s">
        <v>6680</v>
      </c>
      <c r="AB1690" s="4" t="s">
        <v>6681</v>
      </c>
      <c r="AC1690" s="4" t="s">
        <v>6669</v>
      </c>
      <c r="AD1690" s="4" t="s">
        <v>6682</v>
      </c>
      <c r="AE1690" s="4" t="s">
        <v>6669</v>
      </c>
      <c r="AF1690" s="4" t="s">
        <v>6683</v>
      </c>
      <c r="AG1690" s="4" t="s">
        <v>6669</v>
      </c>
      <c r="AH1690" s="4" t="s">
        <v>1310</v>
      </c>
      <c r="AI1690" s="4" t="s">
        <v>6684</v>
      </c>
      <c r="AJ1690" s="4" t="s">
        <v>6685</v>
      </c>
      <c r="AK1690" s="4" t="s">
        <v>6669</v>
      </c>
      <c r="AL1690" s="4" t="s">
        <v>6686</v>
      </c>
      <c r="AM1690" s="4" t="s">
        <v>6669</v>
      </c>
      <c r="AN1690" s="4" t="s">
        <v>6687</v>
      </c>
      <c r="AO1690" s="4" t="s">
        <v>6669</v>
      </c>
      <c r="AP1690" s="4" t="s">
        <v>6688</v>
      </c>
      <c r="AQ1690" s="4" t="s">
        <v>6689</v>
      </c>
      <c r="AR1690" s="4" t="s">
        <v>6669</v>
      </c>
      <c r="AS1690" s="4" t="s">
        <v>6690</v>
      </c>
      <c r="AT1690" s="4" t="s">
        <v>6691</v>
      </c>
      <c r="AU1690" s="4" t="s">
        <v>6692</v>
      </c>
      <c r="AV1690" s="4" t="s">
        <v>6669</v>
      </c>
      <c r="AW1690" s="4" t="s">
        <v>6693</v>
      </c>
      <c r="AX1690" s="4" t="s">
        <v>6694</v>
      </c>
    </row>
    <row r="1691">
      <c r="A1691" s="4">
        <v>207.0</v>
      </c>
      <c r="B1691" s="4" t="s">
        <v>5757</v>
      </c>
      <c r="C1691" s="4"/>
      <c r="D1691" s="4" t="s">
        <v>6695</v>
      </c>
      <c r="E1691" s="4" t="s">
        <v>6696</v>
      </c>
      <c r="F1691" s="4" t="s">
        <v>6695</v>
      </c>
      <c r="G1691" s="5" t="str">
        <f>IFERROR(__xludf.DUMMYFUNCTION("GOOGLETRANSLATE(D1691,""en"",""es"")"),"luma")</f>
        <v>luma</v>
      </c>
    </row>
    <row r="1692">
      <c r="A1692" s="4">
        <v>208.0</v>
      </c>
      <c r="B1692" s="4" t="s">
        <v>5757</v>
      </c>
      <c r="C1692" s="4"/>
      <c r="D1692" s="4" t="s">
        <v>6697</v>
      </c>
      <c r="E1692" s="4" t="s">
        <v>6622</v>
      </c>
      <c r="F1692" s="4" t="s">
        <v>6623</v>
      </c>
      <c r="G1692" s="5" t="str">
        <f>IFERROR(__xludf.DUMMYFUNCTION("GOOGLETRANSLATE(D1692,""en"",""es"")"),"lymm")</f>
        <v>lymm</v>
      </c>
    </row>
    <row r="1693">
      <c r="A1693" s="4">
        <v>209.0</v>
      </c>
      <c r="B1693" s="4" t="s">
        <v>5757</v>
      </c>
      <c r="C1693" s="4"/>
      <c r="D1693" s="4" t="s">
        <v>6698</v>
      </c>
      <c r="E1693" s="4" t="s">
        <v>6636</v>
      </c>
      <c r="F1693" s="4" t="s">
        <v>6635</v>
      </c>
      <c r="G1693" s="5" t="str">
        <f>IFERROR(__xludf.DUMMYFUNCTION("GOOGLETRANSLATE(D1693,""en"",""es"")"),"lynn")</f>
        <v>lynn</v>
      </c>
    </row>
    <row r="1694">
      <c r="A1694" s="4">
        <v>210.0</v>
      </c>
      <c r="B1694" s="4" t="s">
        <v>5757</v>
      </c>
      <c r="C1694" s="4"/>
      <c r="D1694" s="4" t="s">
        <v>6699</v>
      </c>
      <c r="E1694" s="4" t="s">
        <v>6700</v>
      </c>
      <c r="F1694" s="4" t="s">
        <v>6701</v>
      </c>
      <c r="G1694" s="5" t="str">
        <f>IFERROR(__xludf.DUMMYFUNCTION("GOOGLETRANSLATE(D1694,""en"",""es"")"),"señora")</f>
        <v>señora</v>
      </c>
      <c r="H1694" s="4" t="s">
        <v>6702</v>
      </c>
      <c r="I1694" s="4" t="s">
        <v>6703</v>
      </c>
      <c r="J1694" s="4" t="s">
        <v>6699</v>
      </c>
      <c r="K1694" s="4" t="s">
        <v>6704</v>
      </c>
      <c r="L1694" s="4" t="s">
        <v>6705</v>
      </c>
    </row>
    <row r="1695">
      <c r="A1695" s="4">
        <v>211.0</v>
      </c>
      <c r="B1695" s="4" t="s">
        <v>5757</v>
      </c>
      <c r="C1695" s="4"/>
      <c r="D1695" s="4" t="s">
        <v>6706</v>
      </c>
      <c r="E1695" s="4" t="s">
        <v>6707</v>
      </c>
      <c r="F1695" s="4" t="s">
        <v>2301</v>
      </c>
      <c r="G1695" s="5" t="str">
        <f>IFERROR(__xludf.DUMMYFUNCTION("GOOGLETRANSLATE(D1695,""en"",""es"")"),"Mac")</f>
        <v>Mac</v>
      </c>
      <c r="H1695" s="4" t="s">
        <v>6708</v>
      </c>
      <c r="I1695" s="4" t="s">
        <v>6709</v>
      </c>
      <c r="J1695" s="4" t="s">
        <v>6706</v>
      </c>
      <c r="K1695" s="4" t="s">
        <v>6710</v>
      </c>
    </row>
    <row r="1696">
      <c r="A1696" s="4">
        <v>212.0</v>
      </c>
      <c r="B1696" s="4" t="s">
        <v>5757</v>
      </c>
      <c r="C1696" s="4"/>
      <c r="D1696" s="4" t="s">
        <v>6711</v>
      </c>
      <c r="E1696" s="4" t="s">
        <v>6707</v>
      </c>
      <c r="F1696" s="4" t="s">
        <v>2301</v>
      </c>
      <c r="G1696" s="5" t="str">
        <f>IFERROR(__xludf.DUMMYFUNCTION("GOOGLETRANSLATE(D1696,""en"",""es"")"),"machacar")</f>
        <v>machacar</v>
      </c>
      <c r="H1696" s="4" t="s">
        <v>6712</v>
      </c>
      <c r="I1696" s="4" t="s">
        <v>6713</v>
      </c>
    </row>
    <row r="1697">
      <c r="A1697" s="4">
        <v>213.0</v>
      </c>
      <c r="B1697" s="4" t="s">
        <v>5757</v>
      </c>
      <c r="C1697" s="4"/>
      <c r="D1697" s="4" t="s">
        <v>6710</v>
      </c>
      <c r="E1697" s="4" t="s">
        <v>6707</v>
      </c>
      <c r="F1697" s="4" t="s">
        <v>2301</v>
      </c>
      <c r="G1697" s="5" t="str">
        <f>IFERROR(__xludf.DUMMYFUNCTION("GOOGLETRANSLATE(D1697,""en"",""es"")"),"machacar")</f>
        <v>machacar</v>
      </c>
      <c r="H1697" s="4" t="s">
        <v>6708</v>
      </c>
      <c r="I1697" s="4" t="s">
        <v>6709</v>
      </c>
      <c r="J1697" s="4" t="s">
        <v>6706</v>
      </c>
      <c r="K1697" s="4" t="s">
        <v>6710</v>
      </c>
    </row>
    <row r="1698">
      <c r="A1698" s="4">
        <v>214.0</v>
      </c>
      <c r="B1698" s="4" t="s">
        <v>5757</v>
      </c>
      <c r="C1698" s="4"/>
      <c r="D1698" s="4" t="s">
        <v>6714</v>
      </c>
      <c r="E1698" s="4" t="s">
        <v>6715</v>
      </c>
      <c r="F1698" s="4" t="s">
        <v>2463</v>
      </c>
      <c r="G1698" s="5" t="str">
        <f>IFERROR(__xludf.DUMMYFUNCTION("GOOGLETRANSLATE(D1698,""en"",""es"")"),"mackey")</f>
        <v>mackey</v>
      </c>
    </row>
    <row r="1699">
      <c r="A1699" s="4">
        <v>215.0</v>
      </c>
      <c r="B1699" s="4" t="s">
        <v>5757</v>
      </c>
      <c r="C1699" s="4"/>
      <c r="D1699" s="4" t="s">
        <v>6716</v>
      </c>
      <c r="E1699" s="4" t="s">
        <v>6715</v>
      </c>
      <c r="F1699" s="4" t="s">
        <v>2463</v>
      </c>
      <c r="G1699" s="5" t="str">
        <f>IFERROR(__xludf.DUMMYFUNCTION("GOOGLETRANSLATE(D1699,""en"",""es"")"),"mackie")</f>
        <v>mackie</v>
      </c>
    </row>
    <row r="1700">
      <c r="A1700" s="4">
        <v>216.0</v>
      </c>
      <c r="B1700" s="4" t="s">
        <v>5757</v>
      </c>
      <c r="C1700" s="4"/>
      <c r="D1700" s="4" t="s">
        <v>6717</v>
      </c>
      <c r="E1700" s="4" t="s">
        <v>6715</v>
      </c>
      <c r="F1700" s="4" t="s">
        <v>2463</v>
      </c>
      <c r="G1700" s="5" t="str">
        <f>IFERROR(__xludf.DUMMYFUNCTION("GOOGLETRANSLATE(D1700,""en"",""es"")"),"maco")</f>
        <v>maco</v>
      </c>
    </row>
    <row r="1701">
      <c r="A1701" s="4">
        <v>217.0</v>
      </c>
      <c r="B1701" s="4" t="s">
        <v>5757</v>
      </c>
      <c r="C1701" s="4"/>
      <c r="D1701" s="4" t="s">
        <v>6718</v>
      </c>
      <c r="E1701" s="4" t="s">
        <v>6719</v>
      </c>
      <c r="F1701" s="4" t="s">
        <v>2414</v>
      </c>
      <c r="G1701" s="5" t="str">
        <f>IFERROR(__xludf.DUMMYFUNCTION("GOOGLETRANSLATE(D1701,""en"",""es"")"),"Mahoney")</f>
        <v>Mahoney</v>
      </c>
    </row>
    <row r="1702">
      <c r="A1702" s="4">
        <v>218.0</v>
      </c>
      <c r="B1702" s="4" t="s">
        <v>5757</v>
      </c>
      <c r="C1702" s="4"/>
      <c r="D1702" s="4" t="s">
        <v>6720</v>
      </c>
      <c r="E1702" s="4" t="s">
        <v>6719</v>
      </c>
      <c r="F1702" s="4" t="s">
        <v>2414</v>
      </c>
      <c r="G1702" s="5" t="str">
        <f>IFERROR(__xludf.DUMMYFUNCTION("GOOGLETRANSLATE(D1702,""en"",""es"")"),"mahony")</f>
        <v>mahony</v>
      </c>
    </row>
    <row r="1703">
      <c r="A1703" s="4">
        <v>219.0</v>
      </c>
      <c r="B1703" s="4" t="s">
        <v>5757</v>
      </c>
      <c r="C1703" s="4"/>
      <c r="D1703" s="4" t="s">
        <v>2322</v>
      </c>
      <c r="E1703" s="4" t="s">
        <v>6721</v>
      </c>
      <c r="F1703" s="4" t="s">
        <v>2322</v>
      </c>
      <c r="G1703" s="5" t="str">
        <f>IFERROR(__xludf.DUMMYFUNCTION("GOOGLETRANSLATE(D1703,""en"",""es"")"),"mal")</f>
        <v>mal</v>
      </c>
    </row>
    <row r="1704">
      <c r="A1704" s="4">
        <v>220.0</v>
      </c>
      <c r="B1704" s="4" t="s">
        <v>5757</v>
      </c>
      <c r="C1704" s="4"/>
      <c r="D1704" s="4" t="s">
        <v>6722</v>
      </c>
      <c r="E1704" s="4" t="s">
        <v>6723</v>
      </c>
      <c r="F1704" s="4" t="s">
        <v>6724</v>
      </c>
      <c r="G1704" s="5" t="str">
        <f>IFERROR(__xludf.DUMMYFUNCTION("GOOGLETRANSLATE(D1704,""en"",""es"")"),"málico")</f>
        <v>málico</v>
      </c>
    </row>
    <row r="1705">
      <c r="A1705" s="4">
        <v>221.0</v>
      </c>
      <c r="B1705" s="4" t="s">
        <v>5757</v>
      </c>
      <c r="C1705" s="4"/>
      <c r="D1705" s="4" t="s">
        <v>6725</v>
      </c>
      <c r="E1705" s="4" t="s">
        <v>6726</v>
      </c>
      <c r="F1705" s="4" t="s">
        <v>6727</v>
      </c>
      <c r="G1705" s="5" t="str">
        <f>IFERROR(__xludf.DUMMYFUNCTION("GOOGLETRANSLATE(D1705,""en"",""es"")"),"malicia")</f>
        <v>malicia</v>
      </c>
      <c r="H1705" s="4" t="s">
        <v>6725</v>
      </c>
      <c r="I1705" s="4" t="s">
        <v>6728</v>
      </c>
      <c r="J1705" s="4" t="s">
        <v>6729</v>
      </c>
      <c r="K1705" s="4" t="s">
        <v>6730</v>
      </c>
      <c r="L1705" s="4" t="s">
        <v>6731</v>
      </c>
      <c r="M1705" s="4" t="s">
        <v>6732</v>
      </c>
      <c r="N1705" s="4" t="s">
        <v>6733</v>
      </c>
      <c r="O1705" s="4" t="s">
        <v>6725</v>
      </c>
    </row>
    <row r="1706">
      <c r="A1706" s="4">
        <v>222.0</v>
      </c>
      <c r="B1706" s="4" t="s">
        <v>5757</v>
      </c>
      <c r="C1706" s="4"/>
      <c r="D1706" s="4" t="s">
        <v>2365</v>
      </c>
      <c r="E1706" s="4" t="s">
        <v>6721</v>
      </c>
      <c r="F1706" s="4" t="s">
        <v>2322</v>
      </c>
      <c r="G1706" s="5" t="str">
        <f>IFERROR(__xludf.DUMMYFUNCTION("GOOGLETRANSLATE(D1706,""en"",""es"")"),"centro comercial")</f>
        <v>centro comercial</v>
      </c>
      <c r="H1706" s="4" t="s">
        <v>6734</v>
      </c>
      <c r="I1706" s="4" t="s">
        <v>2365</v>
      </c>
      <c r="J1706" s="4" t="s">
        <v>6735</v>
      </c>
      <c r="K1706" s="4" t="s">
        <v>2365</v>
      </c>
      <c r="L1706" s="4" t="s">
        <v>4621</v>
      </c>
      <c r="M1706" s="4" t="s">
        <v>6736</v>
      </c>
      <c r="N1706" s="4" t="s">
        <v>6737</v>
      </c>
      <c r="O1706" s="4" t="s">
        <v>6738</v>
      </c>
    </row>
    <row r="1707">
      <c r="A1707" s="4">
        <v>223.0</v>
      </c>
      <c r="B1707" s="4" t="s">
        <v>5757</v>
      </c>
      <c r="C1707" s="4"/>
      <c r="D1707" s="4" t="s">
        <v>6739</v>
      </c>
      <c r="E1707" s="4" t="s">
        <v>6740</v>
      </c>
      <c r="F1707" s="4" t="s">
        <v>5314</v>
      </c>
      <c r="G1707" s="5" t="str">
        <f>IFERROR(__xludf.DUMMYFUNCTION("GOOGLETRANSLATE(D1707,""en"",""es"")"),"mallee")</f>
        <v>mallee</v>
      </c>
      <c r="H1707" s="4" t="s">
        <v>6739</v>
      </c>
    </row>
    <row r="1708">
      <c r="A1708" s="4">
        <v>224.0</v>
      </c>
      <c r="B1708" s="4" t="s">
        <v>5757</v>
      </c>
      <c r="C1708" s="4"/>
      <c r="D1708" s="4" t="s">
        <v>1856</v>
      </c>
      <c r="E1708" s="4" t="s">
        <v>6741</v>
      </c>
      <c r="F1708" s="4" t="s">
        <v>1856</v>
      </c>
      <c r="G1708" s="5" t="str">
        <f>IFERROR(__xludf.DUMMYFUNCTION("GOOGLETRANSLATE(D1708,""en"",""es"")"),"hombre")</f>
        <v>hombre</v>
      </c>
      <c r="H1708" s="4" t="s">
        <v>1856</v>
      </c>
      <c r="I1708" s="4" t="s">
        <v>6742</v>
      </c>
      <c r="J1708" s="4" t="s">
        <v>2642</v>
      </c>
      <c r="K1708" s="4" t="s">
        <v>2643</v>
      </c>
      <c r="L1708" s="4" t="s">
        <v>1856</v>
      </c>
      <c r="M1708" s="4" t="s">
        <v>2644</v>
      </c>
      <c r="N1708" s="4" t="s">
        <v>1856</v>
      </c>
      <c r="O1708" s="4" t="s">
        <v>1855</v>
      </c>
      <c r="P1708" s="4" t="s">
        <v>1856</v>
      </c>
      <c r="Q1708" s="4" t="s">
        <v>1857</v>
      </c>
      <c r="R1708" s="4" t="s">
        <v>1854</v>
      </c>
      <c r="S1708" s="4" t="s">
        <v>1856</v>
      </c>
      <c r="T1708" s="4" t="s">
        <v>1856</v>
      </c>
      <c r="U1708" s="4" t="s">
        <v>6743</v>
      </c>
      <c r="V1708" s="4" t="s">
        <v>6744</v>
      </c>
      <c r="W1708" s="4" t="s">
        <v>6745</v>
      </c>
      <c r="X1708" s="4" t="s">
        <v>6746</v>
      </c>
      <c r="Y1708" s="4" t="s">
        <v>1856</v>
      </c>
      <c r="Z1708" s="4" t="s">
        <v>1856</v>
      </c>
      <c r="AA1708" s="4" t="s">
        <v>6747</v>
      </c>
      <c r="AB1708" s="4" t="s">
        <v>6748</v>
      </c>
      <c r="AC1708" s="4" t="s">
        <v>1856</v>
      </c>
      <c r="AD1708" s="4" t="s">
        <v>3486</v>
      </c>
      <c r="AE1708" s="4" t="s">
        <v>2953</v>
      </c>
      <c r="AF1708" s="4" t="s">
        <v>6749</v>
      </c>
      <c r="AG1708" s="4" t="s">
        <v>6750</v>
      </c>
      <c r="AH1708" s="4" t="s">
        <v>6751</v>
      </c>
      <c r="AI1708" s="4" t="s">
        <v>6752</v>
      </c>
      <c r="AJ1708" s="4" t="s">
        <v>6753</v>
      </c>
      <c r="AK1708" s="4" t="s">
        <v>6754</v>
      </c>
      <c r="AL1708" s="4" t="s">
        <v>1856</v>
      </c>
      <c r="AM1708" s="4" t="s">
        <v>1856</v>
      </c>
      <c r="AN1708" s="4" t="s">
        <v>1856</v>
      </c>
    </row>
    <row r="1709">
      <c r="A1709" s="4">
        <v>225.0</v>
      </c>
      <c r="B1709" s="4" t="s">
        <v>5757</v>
      </c>
      <c r="C1709" s="4"/>
      <c r="D1709" s="4" t="s">
        <v>6755</v>
      </c>
      <c r="E1709" s="4" t="s">
        <v>6756</v>
      </c>
      <c r="F1709" s="4" t="s">
        <v>6757</v>
      </c>
      <c r="G1709" s="5" t="str">
        <f>IFERROR(__xludf.DUMMYFUNCTION("GOOGLETRANSLATE(D1709,""en"",""es"")"),"maníaco")</f>
        <v>maníaco</v>
      </c>
      <c r="H1709" s="4" t="s">
        <v>6758</v>
      </c>
      <c r="I1709" s="4" t="s">
        <v>6755</v>
      </c>
    </row>
    <row r="1710">
      <c r="A1710" s="4">
        <v>226.0</v>
      </c>
      <c r="B1710" s="4" t="s">
        <v>5757</v>
      </c>
      <c r="C1710" s="4"/>
      <c r="D1710" s="4" t="s">
        <v>2434</v>
      </c>
      <c r="E1710" s="4" t="s">
        <v>6759</v>
      </c>
      <c r="F1710" s="4" t="s">
        <v>2434</v>
      </c>
      <c r="G1710" s="5" t="str">
        <f>IFERROR(__xludf.DUMMYFUNCTION("GOOGLETRANSLATE(D1710,""en"",""es"")"),"maniquí")</f>
        <v>maniquí</v>
      </c>
      <c r="H1710" s="4" t="s">
        <v>2434</v>
      </c>
      <c r="I1710" s="4" t="s">
        <v>2435</v>
      </c>
      <c r="J1710" s="4" t="s">
        <v>6760</v>
      </c>
      <c r="K1710" s="4" t="s">
        <v>2433</v>
      </c>
      <c r="L1710" s="4" t="s">
        <v>2434</v>
      </c>
      <c r="M1710" s="4" t="s">
        <v>2435</v>
      </c>
      <c r="N1710" s="4" t="s">
        <v>2436</v>
      </c>
      <c r="O1710" s="4" t="s">
        <v>2437</v>
      </c>
      <c r="P1710" s="4" t="s">
        <v>2438</v>
      </c>
      <c r="Q1710" s="4" t="s">
        <v>2433</v>
      </c>
      <c r="R1710" s="4" t="s">
        <v>2434</v>
      </c>
      <c r="S1710" s="4" t="s">
        <v>2435</v>
      </c>
      <c r="T1710" s="4" t="s">
        <v>2436</v>
      </c>
      <c r="U1710" s="4" t="s">
        <v>1679</v>
      </c>
    </row>
    <row r="1711">
      <c r="A1711" s="4">
        <v>227.0</v>
      </c>
      <c r="B1711" s="4" t="s">
        <v>5757</v>
      </c>
      <c r="C1711" s="4"/>
      <c r="D1711" s="4" t="s">
        <v>6761</v>
      </c>
      <c r="E1711" s="4" t="s">
        <v>6762</v>
      </c>
      <c r="F1711" s="4" t="s">
        <v>6763</v>
      </c>
      <c r="G1711" s="5" t="str">
        <f>IFERROR(__xludf.DUMMYFUNCTION("GOOGLETRANSLATE(D1711,""en"",""es"")"),"varonil")</f>
        <v>varonil</v>
      </c>
      <c r="H1711" s="4" t="s">
        <v>6761</v>
      </c>
      <c r="I1711" s="4" t="s">
        <v>6761</v>
      </c>
    </row>
    <row r="1712">
      <c r="A1712" s="4">
        <v>228.0</v>
      </c>
      <c r="B1712" s="4" t="s">
        <v>5757</v>
      </c>
      <c r="C1712" s="4"/>
      <c r="D1712" s="4" t="s">
        <v>2460</v>
      </c>
      <c r="E1712" s="4" t="s">
        <v>6764</v>
      </c>
      <c r="F1712" s="4" t="s">
        <v>2460</v>
      </c>
      <c r="G1712" s="5" t="str">
        <f>IFERROR(__xludf.DUMMYFUNCTION("GOOGLETRANSLATE(D1712,""en"",""es"")"),"mapa")</f>
        <v>mapa</v>
      </c>
      <c r="H1712" s="4" t="s">
        <v>2460</v>
      </c>
      <c r="I1712" s="4" t="s">
        <v>6765</v>
      </c>
      <c r="J1712" s="4" t="s">
        <v>6766</v>
      </c>
      <c r="K1712" s="4" t="s">
        <v>6767</v>
      </c>
      <c r="L1712" s="4" t="s">
        <v>2460</v>
      </c>
      <c r="M1712" s="4" t="s">
        <v>6768</v>
      </c>
      <c r="N1712" s="4" t="s">
        <v>2460</v>
      </c>
      <c r="O1712" s="4" t="s">
        <v>2460</v>
      </c>
      <c r="P1712" s="4" t="s">
        <v>2460</v>
      </c>
      <c r="Q1712" s="4" t="s">
        <v>2460</v>
      </c>
      <c r="R1712" s="4" t="s">
        <v>6769</v>
      </c>
      <c r="S1712" s="4" t="s">
        <v>2460</v>
      </c>
      <c r="T1712" s="4" t="s">
        <v>2460</v>
      </c>
      <c r="U1712" s="4" t="s">
        <v>6770</v>
      </c>
    </row>
    <row r="1713">
      <c r="A1713" s="4">
        <v>229.0</v>
      </c>
      <c r="B1713" s="4" t="s">
        <v>5757</v>
      </c>
      <c r="C1713" s="4"/>
      <c r="D1713" s="4" t="s">
        <v>6771</v>
      </c>
      <c r="E1713" s="4" t="s">
        <v>6772</v>
      </c>
      <c r="F1713" s="4" t="s">
        <v>6771</v>
      </c>
      <c r="G1713" s="5" t="str">
        <f>IFERROR(__xludf.DUMMYFUNCTION("GOOGLETRANSLATE(D1713,""en"",""es"")"),"mezcla")</f>
        <v>mezcla</v>
      </c>
      <c r="H1713" s="4" t="s">
        <v>6771</v>
      </c>
      <c r="I1713" s="4" t="s">
        <v>6771</v>
      </c>
      <c r="J1713" s="4" t="s">
        <v>6773</v>
      </c>
      <c r="K1713" s="4" t="s">
        <v>6774</v>
      </c>
      <c r="L1713" s="4" t="s">
        <v>6775</v>
      </c>
      <c r="M1713" s="4" t="s">
        <v>6771</v>
      </c>
      <c r="N1713" s="4" t="s">
        <v>6776</v>
      </c>
      <c r="O1713" s="4" t="s">
        <v>6777</v>
      </c>
      <c r="P1713" s="4" t="s">
        <v>6778</v>
      </c>
      <c r="Q1713" s="4" t="s">
        <v>6779</v>
      </c>
      <c r="R1713" s="4" t="s">
        <v>6780</v>
      </c>
      <c r="S1713" s="4" t="s">
        <v>6781</v>
      </c>
      <c r="T1713" s="4" t="s">
        <v>6782</v>
      </c>
      <c r="U1713" s="4" t="s">
        <v>6783</v>
      </c>
      <c r="V1713" s="4" t="s">
        <v>6784</v>
      </c>
      <c r="W1713" s="4" t="s">
        <v>6771</v>
      </c>
      <c r="X1713" s="4" t="s">
        <v>6785</v>
      </c>
      <c r="Y1713" s="4" t="s">
        <v>6771</v>
      </c>
      <c r="Z1713" s="4" t="s">
        <v>6786</v>
      </c>
      <c r="AA1713" s="4" t="s">
        <v>6787</v>
      </c>
      <c r="AB1713" s="4" t="s">
        <v>6788</v>
      </c>
    </row>
    <row r="1714">
      <c r="A1714" s="4">
        <v>230.0</v>
      </c>
      <c r="B1714" s="4" t="s">
        <v>5757</v>
      </c>
      <c r="C1714" s="4"/>
      <c r="D1714" s="4" t="s">
        <v>1743</v>
      </c>
      <c r="E1714" s="4" t="s">
        <v>6789</v>
      </c>
      <c r="F1714" s="4" t="s">
        <v>339</v>
      </c>
      <c r="G1714" s="5" t="str">
        <f>IFERROR(__xludf.DUMMYFUNCTION("GOOGLETRANSLATE(D1714,""en"",""es"")"),"masa")</f>
        <v>masa</v>
      </c>
      <c r="H1714" s="4" t="s">
        <v>1743</v>
      </c>
      <c r="I1714" s="4" t="s">
        <v>1736</v>
      </c>
      <c r="J1714" s="4" t="s">
        <v>1737</v>
      </c>
      <c r="K1714" s="4" t="s">
        <v>1738</v>
      </c>
      <c r="L1714" s="4" t="s">
        <v>1739</v>
      </c>
      <c r="M1714" s="4" t="s">
        <v>1740</v>
      </c>
      <c r="N1714" s="4" t="s">
        <v>1741</v>
      </c>
      <c r="O1714" s="4" t="s">
        <v>484</v>
      </c>
      <c r="P1714" s="4" t="s">
        <v>1742</v>
      </c>
      <c r="Q1714" s="4" t="s">
        <v>1743</v>
      </c>
      <c r="R1714" s="4" t="s">
        <v>1744</v>
      </c>
      <c r="S1714" s="4" t="s">
        <v>1745</v>
      </c>
      <c r="T1714" s="4" t="s">
        <v>1746</v>
      </c>
      <c r="U1714" s="4" t="s">
        <v>1747</v>
      </c>
      <c r="V1714" s="4" t="s">
        <v>1748</v>
      </c>
      <c r="W1714" s="4" t="s">
        <v>1749</v>
      </c>
      <c r="X1714" s="4" t="s">
        <v>1750</v>
      </c>
      <c r="Y1714" s="4" t="s">
        <v>483</v>
      </c>
      <c r="Z1714" s="4" t="s">
        <v>1751</v>
      </c>
      <c r="AA1714" s="4" t="s">
        <v>1752</v>
      </c>
      <c r="AB1714" s="4" t="s">
        <v>1753</v>
      </c>
      <c r="AC1714" s="4" t="s">
        <v>1754</v>
      </c>
      <c r="AD1714" s="4" t="s">
        <v>1755</v>
      </c>
      <c r="AE1714" s="4" t="s">
        <v>1756</v>
      </c>
      <c r="AF1714" s="4" t="s">
        <v>1757</v>
      </c>
      <c r="AG1714" s="4" t="s">
        <v>482</v>
      </c>
      <c r="AH1714" s="4" t="s">
        <v>1758</v>
      </c>
      <c r="AI1714" s="4" t="s">
        <v>780</v>
      </c>
      <c r="AJ1714" s="4" t="s">
        <v>1743</v>
      </c>
      <c r="AK1714" s="4" t="s">
        <v>2715</v>
      </c>
      <c r="AL1714" s="4" t="s">
        <v>1743</v>
      </c>
      <c r="AM1714" s="4" t="s">
        <v>2532</v>
      </c>
      <c r="AN1714" s="4" t="s">
        <v>2533</v>
      </c>
      <c r="AO1714" s="4" t="s">
        <v>1743</v>
      </c>
      <c r="AP1714" s="4" t="s">
        <v>2534</v>
      </c>
      <c r="AQ1714" s="4" t="s">
        <v>2535</v>
      </c>
      <c r="AR1714" s="4" t="s">
        <v>2536</v>
      </c>
      <c r="AS1714" s="4" t="s">
        <v>2526</v>
      </c>
      <c r="AT1714" s="4" t="s">
        <v>1743</v>
      </c>
      <c r="AU1714" s="4" t="s">
        <v>2527</v>
      </c>
      <c r="AV1714" s="4" t="s">
        <v>2715</v>
      </c>
      <c r="AW1714" s="4" t="s">
        <v>2715</v>
      </c>
      <c r="AX1714" s="4" t="s">
        <v>1743</v>
      </c>
      <c r="AY1714" s="4" t="s">
        <v>4554</v>
      </c>
      <c r="AZ1714" s="4" t="s">
        <v>6790</v>
      </c>
      <c r="BA1714" s="4" t="s">
        <v>6791</v>
      </c>
      <c r="BB1714" s="4" t="s">
        <v>1743</v>
      </c>
    </row>
    <row r="1715">
      <c r="A1715" s="4">
        <v>231.0</v>
      </c>
      <c r="B1715" s="4" t="s">
        <v>5757</v>
      </c>
      <c r="C1715" s="4"/>
      <c r="D1715" s="4" t="s">
        <v>5338</v>
      </c>
      <c r="E1715" s="4" t="s">
        <v>6792</v>
      </c>
      <c r="F1715" s="4" t="s">
        <v>5338</v>
      </c>
      <c r="G1715" s="5" t="str">
        <f>IFERROR(__xludf.DUMMYFUNCTION("GOOGLETRANSLATE(D1715,""en"",""es"")"),"Matemáticas")</f>
        <v>Matemáticas</v>
      </c>
      <c r="H1715" s="4" t="s">
        <v>5337</v>
      </c>
      <c r="I1715" s="4" t="s">
        <v>5338</v>
      </c>
      <c r="J1715" s="4" t="s">
        <v>5339</v>
      </c>
    </row>
    <row r="1716">
      <c r="A1716" s="4">
        <v>232.0</v>
      </c>
      <c r="B1716" s="4" t="s">
        <v>5757</v>
      </c>
      <c r="C1716" s="4"/>
      <c r="D1716" s="4" t="s">
        <v>6793</v>
      </c>
      <c r="E1716" s="4" t="s">
        <v>6794</v>
      </c>
      <c r="F1716" s="4" t="s">
        <v>2575</v>
      </c>
      <c r="G1716" s="5" t="str">
        <f>IFERROR(__xludf.DUMMYFUNCTION("GOOGLETRANSLATE(D1716,""en"",""es"")"),"mate")</f>
        <v>mate</v>
      </c>
    </row>
    <row r="1717">
      <c r="A1717" s="4">
        <v>233.0</v>
      </c>
      <c r="B1717" s="4" t="s">
        <v>5757</v>
      </c>
      <c r="C1717" s="4"/>
      <c r="D1717" s="4" t="s">
        <v>6795</v>
      </c>
      <c r="E1717" s="4" t="s">
        <v>6796</v>
      </c>
      <c r="F1717" s="4" t="s">
        <v>2878</v>
      </c>
      <c r="G1717" s="5" t="str">
        <f>IFERROR(__xludf.DUMMYFUNCTION("GOOGLETRANSLATE(D1717,""en"",""es"")"),"memoria")</f>
        <v>memoria</v>
      </c>
    </row>
    <row r="1718">
      <c r="A1718" s="4">
        <v>234.0</v>
      </c>
      <c r="B1718" s="4" t="s">
        <v>5757</v>
      </c>
      <c r="C1718" s="4"/>
      <c r="D1718" s="4" t="s">
        <v>6797</v>
      </c>
      <c r="E1718" s="4" t="s">
        <v>6798</v>
      </c>
      <c r="F1718" s="4" t="s">
        <v>6799</v>
      </c>
      <c r="G1718" s="5" t="str">
        <f>IFERROR(__xludf.DUMMYFUNCTION("GOOGLETRANSLATE(D1718,""en"",""es"")"),"malla")</f>
        <v>malla</v>
      </c>
    </row>
    <row r="1719">
      <c r="A1719" s="4">
        <v>235.0</v>
      </c>
      <c r="B1719" s="4" t="s">
        <v>5757</v>
      </c>
      <c r="C1719" s="4"/>
      <c r="D1719" s="4" t="s">
        <v>6800</v>
      </c>
      <c r="E1719" s="4" t="s">
        <v>6801</v>
      </c>
      <c r="F1719" s="4" t="s">
        <v>6802</v>
      </c>
      <c r="G1719" s="5" t="str">
        <f>IFERROR(__xludf.DUMMYFUNCTION("GOOGLETRANSLATE(D1719,""en"",""es"")"),"metálico")</f>
        <v>metálico</v>
      </c>
      <c r="H1719" s="4" t="s">
        <v>6800</v>
      </c>
      <c r="I1719" s="4" t="s">
        <v>6800</v>
      </c>
      <c r="J1719" s="4" t="s">
        <v>6800</v>
      </c>
      <c r="K1719" s="4" t="s">
        <v>6803</v>
      </c>
    </row>
    <row r="1720">
      <c r="A1720" s="4">
        <v>236.0</v>
      </c>
      <c r="B1720" s="4" t="s">
        <v>5757</v>
      </c>
      <c r="C1720" s="4"/>
      <c r="D1720" s="4" t="s">
        <v>6804</v>
      </c>
      <c r="E1720" s="4" t="s">
        <v>6805</v>
      </c>
      <c r="F1720" s="4" t="s">
        <v>345</v>
      </c>
      <c r="G1720" s="5" t="str">
        <f>IFERROR(__xludf.DUMMYFUNCTION("GOOGLETRANSLATE(D1720,""en"",""es"")"),"mick")</f>
        <v>mick</v>
      </c>
      <c r="H1720" s="4" t="s">
        <v>6806</v>
      </c>
      <c r="I1720" s="4" t="s">
        <v>6807</v>
      </c>
      <c r="J1720" s="4" t="s">
        <v>6808</v>
      </c>
    </row>
    <row r="1721">
      <c r="A1721" s="4">
        <v>237.0</v>
      </c>
      <c r="B1721" s="4" t="s">
        <v>5757</v>
      </c>
      <c r="C1721" s="4"/>
      <c r="D1721" s="4" t="s">
        <v>6809</v>
      </c>
      <c r="E1721" s="4" t="s">
        <v>6810</v>
      </c>
      <c r="F1721" s="4" t="s">
        <v>6811</v>
      </c>
      <c r="G1721" s="5" t="str">
        <f>IFERROR(__xludf.DUMMYFUNCTION("GOOGLETRANSLATE(D1721,""en"",""es"")"),"mickey")</f>
        <v>mickey</v>
      </c>
      <c r="H1721" s="4" t="s">
        <v>6806</v>
      </c>
      <c r="I1721" s="4" t="s">
        <v>6807</v>
      </c>
      <c r="J1721" s="4" t="s">
        <v>6808</v>
      </c>
    </row>
    <row r="1722">
      <c r="A1722" s="4">
        <v>238.0</v>
      </c>
      <c r="B1722" s="4" t="s">
        <v>5757</v>
      </c>
      <c r="C1722" s="4"/>
      <c r="D1722" s="4" t="s">
        <v>6812</v>
      </c>
      <c r="E1722" s="4" t="s">
        <v>6813</v>
      </c>
      <c r="F1722" s="4" t="s">
        <v>6812</v>
      </c>
      <c r="G1722" s="5" t="str">
        <f>IFERROR(__xludf.DUMMYFUNCTION("GOOGLETRANSLATE(D1722,""en"",""es"")"),"mikan")</f>
        <v>mikan</v>
      </c>
    </row>
    <row r="1723">
      <c r="A1723" s="4">
        <v>239.0</v>
      </c>
      <c r="B1723" s="4" t="s">
        <v>5757</v>
      </c>
      <c r="C1723" s="4"/>
      <c r="D1723" s="4" t="s">
        <v>2622</v>
      </c>
      <c r="E1723" s="4" t="s">
        <v>6814</v>
      </c>
      <c r="F1723" s="4" t="s">
        <v>2622</v>
      </c>
      <c r="G1723" s="5" t="str">
        <f>IFERROR(__xludf.DUMMYFUNCTION("GOOGLETRANSLATE(D1723,""en"",""es"")"),"mil")</f>
        <v>mil</v>
      </c>
      <c r="H1723" s="4" t="s">
        <v>2622</v>
      </c>
      <c r="I1723" s="4" t="s">
        <v>2653</v>
      </c>
      <c r="J1723" s="4" t="s">
        <v>2622</v>
      </c>
      <c r="K1723" s="4" t="s">
        <v>2658</v>
      </c>
      <c r="L1723" s="4" t="s">
        <v>2622</v>
      </c>
      <c r="M1723" s="4" t="s">
        <v>6815</v>
      </c>
      <c r="N1723" s="4" t="s">
        <v>6816</v>
      </c>
      <c r="O1723" s="4" t="s">
        <v>2622</v>
      </c>
      <c r="P1723" s="4" t="s">
        <v>6817</v>
      </c>
      <c r="Q1723" s="4" t="s">
        <v>6818</v>
      </c>
      <c r="R1723" s="4" t="s">
        <v>6819</v>
      </c>
      <c r="S1723" s="4" t="s">
        <v>6820</v>
      </c>
      <c r="T1723" s="4" t="s">
        <v>2622</v>
      </c>
    </row>
    <row r="1724">
      <c r="A1724" s="4">
        <v>240.0</v>
      </c>
      <c r="B1724" s="4" t="s">
        <v>5757</v>
      </c>
      <c r="C1724" s="4"/>
      <c r="D1724" s="4" t="s">
        <v>6821</v>
      </c>
      <c r="E1724" s="4" t="s">
        <v>6822</v>
      </c>
      <c r="F1724" s="4" t="s">
        <v>6821</v>
      </c>
      <c r="G1724" s="5" t="str">
        <f>IFERROR(__xludf.DUMMYFUNCTION("GOOGLETRANSLATE(D1724,""en"",""es"")"),"Milán")</f>
        <v>Milán</v>
      </c>
      <c r="H1724" s="4" t="s">
        <v>6823</v>
      </c>
      <c r="I1724" s="4" t="s">
        <v>6824</v>
      </c>
    </row>
    <row r="1725">
      <c r="A1725" s="4">
        <v>241.0</v>
      </c>
      <c r="B1725" s="4" t="s">
        <v>5757</v>
      </c>
      <c r="C1725" s="4"/>
      <c r="D1725" s="4" t="s">
        <v>2027</v>
      </c>
      <c r="E1725" s="4" t="s">
        <v>6814</v>
      </c>
      <c r="F1725" s="4" t="s">
        <v>2622</v>
      </c>
      <c r="G1725" s="5" t="str">
        <f>IFERROR(__xludf.DUMMYFUNCTION("GOOGLETRANSLATE(D1725,""en"",""es"")"),"molino")</f>
        <v>molino</v>
      </c>
      <c r="H1725" s="4" t="s">
        <v>6825</v>
      </c>
      <c r="I1725" s="4" t="s">
        <v>2027</v>
      </c>
      <c r="J1725" s="4" t="s">
        <v>6826</v>
      </c>
      <c r="K1725" s="4" t="s">
        <v>6827</v>
      </c>
      <c r="L1725" s="4" t="s">
        <v>6828</v>
      </c>
      <c r="M1725" s="4" t="s">
        <v>6829</v>
      </c>
      <c r="N1725" s="4" t="s">
        <v>6828</v>
      </c>
      <c r="O1725" s="4" t="s">
        <v>6830</v>
      </c>
      <c r="P1725" s="4" t="s">
        <v>6831</v>
      </c>
      <c r="Q1725" s="4" t="s">
        <v>2027</v>
      </c>
      <c r="R1725" s="4" t="s">
        <v>6832</v>
      </c>
      <c r="S1725" s="4" t="s">
        <v>6833</v>
      </c>
      <c r="T1725" s="4" t="s">
        <v>6785</v>
      </c>
      <c r="U1725" s="4" t="s">
        <v>2027</v>
      </c>
      <c r="V1725" s="4" t="s">
        <v>6834</v>
      </c>
      <c r="W1725" s="4" t="s">
        <v>6835</v>
      </c>
      <c r="X1725" s="4" t="s">
        <v>2027</v>
      </c>
      <c r="Y1725" s="4" t="s">
        <v>6836</v>
      </c>
      <c r="Z1725" s="4" t="s">
        <v>6837</v>
      </c>
      <c r="AA1725" s="4" t="s">
        <v>2027</v>
      </c>
      <c r="AB1725" s="4" t="s">
        <v>2027</v>
      </c>
      <c r="AC1725" s="4" t="s">
        <v>2027</v>
      </c>
    </row>
    <row r="1726">
      <c r="A1726" s="4">
        <v>242.0</v>
      </c>
      <c r="B1726" s="4" t="s">
        <v>5757</v>
      </c>
      <c r="C1726" s="4"/>
      <c r="D1726" s="4" t="s">
        <v>6838</v>
      </c>
      <c r="E1726" s="4" t="s">
        <v>6839</v>
      </c>
      <c r="F1726" s="4" t="s">
        <v>2878</v>
      </c>
      <c r="G1726" s="5" t="str">
        <f>IFERROR(__xludf.DUMMYFUNCTION("GOOGLETRANSLATE(D1726,""en"",""es"")"),"imitar")</f>
        <v>imitar</v>
      </c>
      <c r="H1726" s="4" t="s">
        <v>6838</v>
      </c>
      <c r="I1726" s="4" t="s">
        <v>6840</v>
      </c>
      <c r="J1726" s="4" t="s">
        <v>6838</v>
      </c>
      <c r="K1726" s="4" t="s">
        <v>2690</v>
      </c>
      <c r="L1726" s="4" t="s">
        <v>6838</v>
      </c>
    </row>
    <row r="1727">
      <c r="A1727" s="4">
        <v>243.0</v>
      </c>
      <c r="B1727" s="4" t="s">
        <v>5757</v>
      </c>
      <c r="C1727" s="4"/>
      <c r="D1727" s="4" t="s">
        <v>6841</v>
      </c>
      <c r="E1727" s="4" t="s">
        <v>6842</v>
      </c>
      <c r="F1727" s="4" t="s">
        <v>6841</v>
      </c>
      <c r="G1727" s="5" t="str">
        <f>IFERROR(__xludf.DUMMYFUNCTION("GOOGLETRANSLATE(D1727,""en"",""es"")"),"mínimo")</f>
        <v>mínimo</v>
      </c>
      <c r="H1727" s="4" t="s">
        <v>6843</v>
      </c>
      <c r="I1727" s="4" t="s">
        <v>6841</v>
      </c>
      <c r="J1727" s="4" t="s">
        <v>6844</v>
      </c>
      <c r="K1727" s="4" t="s">
        <v>6845</v>
      </c>
      <c r="L1727" s="4" t="s">
        <v>6846</v>
      </c>
      <c r="M1727" s="4" t="s">
        <v>6847</v>
      </c>
      <c r="N1727" s="4" t="s">
        <v>6848</v>
      </c>
      <c r="O1727" s="4" t="s">
        <v>6849</v>
      </c>
      <c r="P1727" s="4" t="s">
        <v>6850</v>
      </c>
      <c r="Q1727" s="4" t="s">
        <v>6844</v>
      </c>
    </row>
    <row r="1728">
      <c r="A1728" s="4">
        <v>244.0</v>
      </c>
      <c r="B1728" s="4" t="s">
        <v>5757</v>
      </c>
      <c r="C1728" s="4"/>
      <c r="D1728" s="4" t="s">
        <v>6851</v>
      </c>
      <c r="E1728" s="4" t="s">
        <v>6852</v>
      </c>
      <c r="F1728" s="4" t="s">
        <v>6851</v>
      </c>
      <c r="G1728" s="5" t="str">
        <f>IFERROR(__xludf.DUMMYFUNCTION("GOOGLETRANSLATE(D1728,""en"",""es"")"),"mini")</f>
        <v>mini</v>
      </c>
      <c r="H1728" s="4" t="s">
        <v>6853</v>
      </c>
      <c r="I1728" s="4" t="s">
        <v>6851</v>
      </c>
      <c r="J1728" s="4" t="s">
        <v>6851</v>
      </c>
    </row>
    <row r="1729">
      <c r="A1729" s="4">
        <v>245.0</v>
      </c>
      <c r="B1729" s="4" t="s">
        <v>5757</v>
      </c>
      <c r="C1729" s="4"/>
      <c r="D1729" s="4" t="s">
        <v>2890</v>
      </c>
      <c r="E1729" s="4" t="s">
        <v>6854</v>
      </c>
      <c r="F1729" s="4" t="s">
        <v>2890</v>
      </c>
      <c r="G1729" s="5" t="str">
        <f>IFERROR(__xludf.DUMMYFUNCTION("GOOGLETRANSLATE(D1729,""en"",""es"")"),"blanca")</f>
        <v>blanca</v>
      </c>
      <c r="H1729" s="4" t="s">
        <v>2890</v>
      </c>
      <c r="I1729" s="4" t="s">
        <v>2890</v>
      </c>
      <c r="J1729" s="4" t="s">
        <v>6855</v>
      </c>
      <c r="K1729" s="4" t="s">
        <v>2890</v>
      </c>
    </row>
    <row r="1730">
      <c r="A1730" s="4">
        <v>246.0</v>
      </c>
      <c r="B1730" s="4" t="s">
        <v>5757</v>
      </c>
      <c r="C1730" s="4"/>
      <c r="D1730" s="4" t="s">
        <v>6856</v>
      </c>
      <c r="E1730" s="4" t="s">
        <v>6857</v>
      </c>
      <c r="F1730" s="4" t="s">
        <v>6856</v>
      </c>
      <c r="G1730" s="5" t="str">
        <f>IFERROR(__xludf.DUMMYFUNCTION("GOOGLETRANSLATE(D1730,""en"",""es"")"),"minas")</f>
        <v>minas</v>
      </c>
    </row>
    <row r="1731">
      <c r="A1731" s="4">
        <v>247.0</v>
      </c>
      <c r="B1731" s="4" t="s">
        <v>5757</v>
      </c>
      <c r="C1731" s="4"/>
      <c r="D1731" s="4" t="s">
        <v>6858</v>
      </c>
      <c r="E1731" s="4" t="s">
        <v>6852</v>
      </c>
      <c r="F1731" s="4" t="s">
        <v>6851</v>
      </c>
      <c r="G1731" s="5" t="str">
        <f>IFERROR(__xludf.DUMMYFUNCTION("GOOGLETRANSLATE(D1731,""en"",""es"")"),"Minnie")</f>
        <v>Minnie</v>
      </c>
    </row>
    <row r="1732">
      <c r="A1732" s="4">
        <v>248.0</v>
      </c>
      <c r="B1732" s="4" t="s">
        <v>5757</v>
      </c>
      <c r="C1732" s="4"/>
      <c r="D1732" s="4" t="s">
        <v>6859</v>
      </c>
      <c r="E1732" s="4" t="s">
        <v>6852</v>
      </c>
      <c r="F1732" s="4" t="s">
        <v>6851</v>
      </c>
      <c r="G1732" s="5" t="str">
        <f>IFERROR(__xludf.DUMMYFUNCTION("GOOGLETRANSLATE(D1732,""en"",""es"")"),"miny")</f>
        <v>miny</v>
      </c>
    </row>
    <row r="1733">
      <c r="A1733" s="4">
        <v>249.0</v>
      </c>
      <c r="B1733" s="4" t="s">
        <v>5757</v>
      </c>
      <c r="C1733" s="4"/>
      <c r="D1733" s="4" t="s">
        <v>2709</v>
      </c>
      <c r="E1733" s="4" t="s">
        <v>6860</v>
      </c>
      <c r="F1733" s="4" t="s">
        <v>2711</v>
      </c>
      <c r="G1733" s="5" t="str">
        <f>IFERROR(__xludf.DUMMYFUNCTION("GOOGLETRANSLATE(D1733,""en"",""es"")"),"señorita")</f>
        <v>señorita</v>
      </c>
      <c r="H1733" s="4" t="s">
        <v>6861</v>
      </c>
      <c r="I1733" s="4" t="s">
        <v>2709</v>
      </c>
      <c r="J1733" s="4" t="s">
        <v>6862</v>
      </c>
      <c r="K1733" s="4" t="s">
        <v>6863</v>
      </c>
      <c r="L1733" s="4" t="s">
        <v>6864</v>
      </c>
      <c r="M1733" s="4" t="s">
        <v>6865</v>
      </c>
      <c r="N1733" s="4" t="s">
        <v>2709</v>
      </c>
      <c r="O1733" s="4" t="s">
        <v>6866</v>
      </c>
      <c r="P1733" s="4" t="s">
        <v>6867</v>
      </c>
      <c r="Q1733" s="4" t="s">
        <v>2709</v>
      </c>
      <c r="R1733" s="4" t="s">
        <v>6868</v>
      </c>
      <c r="S1733" s="4" t="s">
        <v>2709</v>
      </c>
      <c r="T1733" s="4" t="s">
        <v>2709</v>
      </c>
      <c r="U1733" s="4" t="s">
        <v>6869</v>
      </c>
      <c r="V1733" s="4" t="s">
        <v>6870</v>
      </c>
      <c r="W1733" s="4" t="s">
        <v>6871</v>
      </c>
      <c r="X1733" s="4" t="s">
        <v>6872</v>
      </c>
      <c r="Y1733" s="4" t="s">
        <v>2709</v>
      </c>
      <c r="Z1733" s="4" t="s">
        <v>6873</v>
      </c>
      <c r="AA1733" s="4" t="s">
        <v>6874</v>
      </c>
      <c r="AB1733" s="4" t="s">
        <v>6875</v>
      </c>
      <c r="AC1733" s="4" t="s">
        <v>2709</v>
      </c>
      <c r="AD1733" s="4" t="s">
        <v>2709</v>
      </c>
      <c r="AE1733" s="4" t="s">
        <v>6526</v>
      </c>
      <c r="AF1733" s="4" t="s">
        <v>2709</v>
      </c>
      <c r="AG1733" s="4" t="s">
        <v>2709</v>
      </c>
      <c r="AH1733" s="4" t="s">
        <v>2709</v>
      </c>
      <c r="AI1733" s="4" t="s">
        <v>6548</v>
      </c>
    </row>
    <row r="1734">
      <c r="A1734" s="4">
        <v>250.0</v>
      </c>
      <c r="B1734" s="4" t="s">
        <v>5757</v>
      </c>
      <c r="C1734" s="4"/>
      <c r="D1734" s="4" t="s">
        <v>6876</v>
      </c>
      <c r="E1734" s="4" t="s">
        <v>6877</v>
      </c>
      <c r="F1734" s="4" t="s">
        <v>6878</v>
      </c>
      <c r="G1734" s="5" t="str">
        <f>IFERROR(__xludf.DUMMYFUNCTION("GOOGLETRANSLATE(D1734,""en"",""es"")"),"Missippi")</f>
        <v>Missippi</v>
      </c>
    </row>
    <row r="1735">
      <c r="A1735" s="4">
        <v>251.0</v>
      </c>
      <c r="B1735" s="4" t="s">
        <v>5757</v>
      </c>
      <c r="C1735" s="4"/>
      <c r="D1735" s="4" t="s">
        <v>6862</v>
      </c>
      <c r="E1735" s="4" t="s">
        <v>6879</v>
      </c>
      <c r="F1735" s="4" t="s">
        <v>6880</v>
      </c>
      <c r="G1735" s="5" t="str">
        <f>IFERROR(__xludf.DUMMYFUNCTION("GOOGLETRANSLATE(D1735,""en"",""es"")"),"señorita")</f>
        <v>señorita</v>
      </c>
      <c r="H1735" s="4" t="s">
        <v>6861</v>
      </c>
      <c r="I1735" s="4" t="s">
        <v>2709</v>
      </c>
      <c r="J1735" s="4" t="s">
        <v>6862</v>
      </c>
      <c r="K1735" s="4" t="s">
        <v>6863</v>
      </c>
      <c r="L1735" s="4" t="s">
        <v>6864</v>
      </c>
      <c r="M1735" s="4" t="s">
        <v>6865</v>
      </c>
    </row>
    <row r="1736">
      <c r="A1736" s="4">
        <v>252.0</v>
      </c>
      <c r="B1736" s="4" t="s">
        <v>5757</v>
      </c>
      <c r="C1736" s="4"/>
      <c r="D1736" s="4" t="s">
        <v>6881</v>
      </c>
      <c r="E1736" s="4" t="s">
        <v>6882</v>
      </c>
      <c r="F1736" s="4" t="s">
        <v>6883</v>
      </c>
      <c r="G1736" s="5" t="str">
        <f>IFERROR(__xludf.DUMMYFUNCTION("GOOGLETRANSLATE(D1736,""en"",""es"")"),"mitanni")</f>
        <v>mitanni</v>
      </c>
    </row>
    <row r="1737">
      <c r="A1737" s="4">
        <v>253.0</v>
      </c>
      <c r="B1737" s="4" t="s">
        <v>5757</v>
      </c>
      <c r="C1737" s="4"/>
      <c r="D1737" s="4" t="s">
        <v>6884</v>
      </c>
      <c r="E1737" s="4" t="s">
        <v>6885</v>
      </c>
      <c r="F1737" s="4" t="s">
        <v>6886</v>
      </c>
      <c r="G1737" s="5" t="str">
        <f>IFERROR(__xludf.DUMMYFUNCTION("GOOGLETRANSLATE(D1737,""en"",""es"")"),"moochin")</f>
        <v>moochin</v>
      </c>
    </row>
    <row r="1738">
      <c r="A1738" s="4">
        <v>254.0</v>
      </c>
      <c r="B1738" s="4" t="s">
        <v>5757</v>
      </c>
      <c r="C1738" s="4"/>
      <c r="D1738" s="4" t="s">
        <v>6884</v>
      </c>
      <c r="E1738" s="4" t="s">
        <v>6887</v>
      </c>
      <c r="F1738" s="4" t="s">
        <v>6886</v>
      </c>
      <c r="G1738" s="5" t="str">
        <f>IFERROR(__xludf.DUMMYFUNCTION("GOOGLETRANSLATE(D1738,""en"",""es"")"),"moochin")</f>
        <v>moochin</v>
      </c>
    </row>
    <row r="1739">
      <c r="A1739" s="4">
        <v>255.0</v>
      </c>
      <c r="B1739" s="4" t="s">
        <v>5757</v>
      </c>
      <c r="C1739" s="4"/>
      <c r="D1739" s="4" t="s">
        <v>6888</v>
      </c>
      <c r="E1739" s="4" t="s">
        <v>6889</v>
      </c>
      <c r="F1739" s="4" t="s">
        <v>6890</v>
      </c>
      <c r="G1739" s="5" t="str">
        <f>IFERROR(__xludf.DUMMYFUNCTION("GOOGLETRANSLATE(D1739,""en"",""es"")"),"mugar")</f>
        <v>mugar</v>
      </c>
    </row>
    <row r="1740">
      <c r="A1740" s="4">
        <v>256.0</v>
      </c>
      <c r="B1740" s="4" t="s">
        <v>5757</v>
      </c>
      <c r="C1740" s="4"/>
      <c r="D1740" s="4" t="s">
        <v>6891</v>
      </c>
      <c r="E1740" s="4" t="s">
        <v>2733</v>
      </c>
      <c r="F1740" s="4" t="s">
        <v>2734</v>
      </c>
      <c r="G1740" s="5" t="str">
        <f>IFERROR(__xludf.DUMMYFUNCTION("GOOGLETRANSLATE(D1740,""en"",""es"")"),"mooli")</f>
        <v>mooli</v>
      </c>
    </row>
    <row r="1741">
      <c r="A1741" s="4">
        <v>257.0</v>
      </c>
      <c r="B1741" s="4" t="s">
        <v>5757</v>
      </c>
      <c r="C1741" s="4"/>
      <c r="D1741" s="4" t="s">
        <v>6892</v>
      </c>
      <c r="E1741" s="4" t="s">
        <v>6893</v>
      </c>
      <c r="F1741" s="4" t="s">
        <v>6894</v>
      </c>
      <c r="G1741" s="5" t="str">
        <f>IFERROR(__xludf.DUMMYFUNCTION("GOOGLETRANSLATE(D1741,""en"",""es"")"),"moussy")</f>
        <v>moussy</v>
      </c>
    </row>
    <row r="1742">
      <c r="A1742" s="4">
        <v>258.0</v>
      </c>
      <c r="B1742" s="4" t="s">
        <v>5757</v>
      </c>
      <c r="C1742" s="4"/>
      <c r="D1742" s="4" t="s">
        <v>6895</v>
      </c>
      <c r="E1742" s="4" t="s">
        <v>6896</v>
      </c>
      <c r="F1742" s="4" t="s">
        <v>6895</v>
      </c>
      <c r="G1742" s="5" t="str">
        <f>IFERROR(__xludf.DUMMYFUNCTION("GOOGLETRANSLATE(D1742,""en"",""es"")"),"gachas")</f>
        <v>gachas</v>
      </c>
      <c r="H1742" s="4" t="s">
        <v>6897</v>
      </c>
      <c r="I1742" s="4" t="s">
        <v>6895</v>
      </c>
      <c r="J1742" s="4" t="s">
        <v>6895</v>
      </c>
      <c r="K1742" s="4" t="s">
        <v>6898</v>
      </c>
      <c r="L1742" s="4" t="s">
        <v>6899</v>
      </c>
      <c r="M1742" s="4" t="s">
        <v>6895</v>
      </c>
      <c r="N1742" s="4" t="s">
        <v>6900</v>
      </c>
      <c r="O1742" s="4" t="s">
        <v>6901</v>
      </c>
      <c r="P1742" s="4" t="s">
        <v>6895</v>
      </c>
      <c r="Q1742" s="4" t="s">
        <v>6895</v>
      </c>
      <c r="R1742" s="4" t="s">
        <v>6902</v>
      </c>
      <c r="S1742" s="4" t="s">
        <v>6895</v>
      </c>
    </row>
    <row r="1743">
      <c r="A1743" s="4">
        <v>259.0</v>
      </c>
      <c r="B1743" s="4" t="s">
        <v>5757</v>
      </c>
      <c r="C1743" s="4"/>
      <c r="D1743" s="4" t="s">
        <v>6903</v>
      </c>
      <c r="E1743" s="4" t="s">
        <v>6904</v>
      </c>
      <c r="F1743" s="4" t="s">
        <v>2731</v>
      </c>
      <c r="G1743" s="5" t="str">
        <f>IFERROR(__xludf.DUMMYFUNCTION("GOOGLETRANSLATE(D1743,""en"",""es"")"),"pulposo")</f>
        <v>pulposo</v>
      </c>
      <c r="H1743" s="4" t="s">
        <v>6903</v>
      </c>
      <c r="I1743" s="4" t="s">
        <v>6905</v>
      </c>
      <c r="J1743" s="4" t="s">
        <v>6906</v>
      </c>
      <c r="K1743" s="4" t="s">
        <v>6907</v>
      </c>
      <c r="L1743" s="4" t="s">
        <v>6908</v>
      </c>
      <c r="M1743" s="4" t="s">
        <v>6909</v>
      </c>
      <c r="N1743" s="4" t="s">
        <v>6910</v>
      </c>
      <c r="O1743" s="4" t="s">
        <v>6903</v>
      </c>
      <c r="P1743" s="4" t="s">
        <v>6911</v>
      </c>
      <c r="Q1743" s="4" t="s">
        <v>6912</v>
      </c>
      <c r="R1743" s="4" t="s">
        <v>6913</v>
      </c>
      <c r="S1743" s="4" t="s">
        <v>6914</v>
      </c>
      <c r="T1743" s="4" t="s">
        <v>6915</v>
      </c>
      <c r="U1743" s="4" t="s">
        <v>6916</v>
      </c>
    </row>
    <row r="1744">
      <c r="A1744" s="4">
        <v>260.0</v>
      </c>
      <c r="B1744" s="4" t="s">
        <v>5757</v>
      </c>
      <c r="C1744" s="4"/>
      <c r="D1744" s="4" t="s">
        <v>6917</v>
      </c>
      <c r="E1744" s="4" t="s">
        <v>6918</v>
      </c>
      <c r="F1744" s="4" t="s">
        <v>6919</v>
      </c>
      <c r="G1744" s="5" t="str">
        <f>IFERROR(__xludf.DUMMYFUNCTION("GOOGLETRANSLATE(D1744,""en"",""es"")"),"mito")</f>
        <v>mito</v>
      </c>
      <c r="H1744" s="4" t="s">
        <v>6917</v>
      </c>
    </row>
    <row r="1745">
      <c r="A1745" s="4">
        <v>261.0</v>
      </c>
      <c r="B1745" s="4" t="s">
        <v>5757</v>
      </c>
      <c r="C1745" s="4"/>
      <c r="D1745" s="4" t="s">
        <v>6920</v>
      </c>
      <c r="E1745" s="4" t="s">
        <v>6921</v>
      </c>
      <c r="F1745" s="4" t="s">
        <v>6922</v>
      </c>
      <c r="G1745" s="5" t="str">
        <f>IFERROR(__xludf.DUMMYFUNCTION("GOOGLETRANSLATE(D1745,""en"",""es"")"),"mítico")</f>
        <v>mítico</v>
      </c>
      <c r="H1745" s="4" t="s">
        <v>6920</v>
      </c>
      <c r="I1745" s="4" t="s">
        <v>6923</v>
      </c>
      <c r="J1745" s="4" t="s">
        <v>6920</v>
      </c>
      <c r="K1745" s="4" t="s">
        <v>6924</v>
      </c>
      <c r="L1745" s="4" t="s">
        <v>6925</v>
      </c>
      <c r="M1745" s="4" t="s">
        <v>6926</v>
      </c>
    </row>
    <row r="1746">
      <c r="A1746" s="4">
        <v>262.0</v>
      </c>
      <c r="B1746" s="4" t="s">
        <v>5757</v>
      </c>
      <c r="C1746" s="4"/>
      <c r="D1746" s="4" t="s">
        <v>6927</v>
      </c>
      <c r="E1746" s="4" t="s">
        <v>6928</v>
      </c>
      <c r="F1746" s="4" t="s">
        <v>2912</v>
      </c>
      <c r="G1746" s="5" t="str">
        <f>IFERROR(__xludf.DUMMYFUNCTION("GOOGLETRANSLATE(D1746,""en"",""es"")"),"naan")</f>
        <v>naan</v>
      </c>
      <c r="I1746" s="4" t="s">
        <v>6927</v>
      </c>
    </row>
    <row r="1747">
      <c r="A1747" s="4">
        <v>263.0</v>
      </c>
      <c r="B1747" s="4" t="s">
        <v>5757</v>
      </c>
      <c r="C1747" s="4"/>
      <c r="D1747" s="4" t="s">
        <v>6929</v>
      </c>
      <c r="E1747" s="4" t="s">
        <v>6482</v>
      </c>
      <c r="F1747" s="4" t="s">
        <v>6483</v>
      </c>
      <c r="G1747" s="5" t="str">
        <f>IFERROR(__xludf.DUMMYFUNCTION("GOOGLETRANSLATE(D1747,""en"",""es"")"),"fastidiar")</f>
        <v>fastidiar</v>
      </c>
    </row>
    <row r="1748">
      <c r="A1748" s="4">
        <v>264.0</v>
      </c>
      <c r="B1748" s="4" t="s">
        <v>5757</v>
      </c>
      <c r="E1748" s="4" t="s">
        <v>6928</v>
      </c>
      <c r="F1748" s="4" t="s">
        <v>2912</v>
      </c>
      <c r="G1748" s="5" t="str">
        <f>IFERROR(__xludf.DUMMYFUNCTION("GOOGLETRANSLATE(D1748,""en"",""es"")"),"#VALUE!")</f>
        <v>#VALUE!</v>
      </c>
      <c r="I1748" s="4" t="s">
        <v>1878</v>
      </c>
      <c r="J1748" s="4" t="s">
        <v>1879</v>
      </c>
      <c r="K1748" s="4" t="s">
        <v>1880</v>
      </c>
      <c r="L1748" s="4" t="s">
        <v>1881</v>
      </c>
      <c r="M1748" s="4" t="s">
        <v>1882</v>
      </c>
      <c r="O1748" s="4" t="s">
        <v>1883</v>
      </c>
      <c r="P1748" s="4" t="s">
        <v>6930</v>
      </c>
      <c r="Q1748" s="4" t="s">
        <v>6931</v>
      </c>
      <c r="S1748" s="4" t="s">
        <v>6927</v>
      </c>
    </row>
    <row r="1749">
      <c r="A1749" s="4">
        <v>265.0</v>
      </c>
      <c r="B1749" s="4" t="s">
        <v>5757</v>
      </c>
      <c r="C1749" s="4"/>
      <c r="D1749" s="4" t="s">
        <v>6932</v>
      </c>
      <c r="E1749" s="4" t="s">
        <v>6933</v>
      </c>
      <c r="F1749" s="4" t="s">
        <v>6934</v>
      </c>
      <c r="G1749" s="5" t="str">
        <f>IFERROR(__xludf.DUMMYFUNCTION("GOOGLETRANSLATE(D1749,""en"",""es"")"),"niñera")</f>
        <v>niñera</v>
      </c>
      <c r="H1749" s="4" t="s">
        <v>6932</v>
      </c>
      <c r="I1749" s="4" t="s">
        <v>6935</v>
      </c>
      <c r="J1749" s="4" t="s">
        <v>6936</v>
      </c>
      <c r="K1749" s="4" t="s">
        <v>6932</v>
      </c>
      <c r="L1749" s="4" t="s">
        <v>6937</v>
      </c>
      <c r="M1749" s="4" t="s">
        <v>6938</v>
      </c>
    </row>
    <row r="1750">
      <c r="A1750" s="4">
        <v>266.0</v>
      </c>
      <c r="B1750" s="4" t="s">
        <v>5757</v>
      </c>
      <c r="C1750" s="4"/>
      <c r="D1750" s="4" t="s">
        <v>2928</v>
      </c>
      <c r="E1750" s="4" t="s">
        <v>2929</v>
      </c>
      <c r="F1750" s="4" t="s">
        <v>2928</v>
      </c>
      <c r="G1750" s="5" t="str">
        <f>IFERROR(__xludf.DUMMYFUNCTION("GOOGLETRANSLATE(D1750,""en"",""es"")"),"siesta")</f>
        <v>siesta</v>
      </c>
      <c r="H1750" s="4" t="s">
        <v>6461</v>
      </c>
      <c r="I1750" s="4" t="s">
        <v>2928</v>
      </c>
      <c r="J1750" s="4" t="s">
        <v>2928</v>
      </c>
      <c r="K1750" s="4" t="s">
        <v>483</v>
      </c>
      <c r="L1750" s="4" t="s">
        <v>2928</v>
      </c>
      <c r="M1750" s="4" t="s">
        <v>2928</v>
      </c>
      <c r="N1750" s="4" t="s">
        <v>6939</v>
      </c>
      <c r="O1750" s="4" t="s">
        <v>6940</v>
      </c>
      <c r="P1750" s="4" t="s">
        <v>6941</v>
      </c>
      <c r="Q1750" s="4" t="s">
        <v>6942</v>
      </c>
      <c r="R1750" s="4" t="s">
        <v>6943</v>
      </c>
      <c r="S1750" s="4" t="s">
        <v>6944</v>
      </c>
      <c r="T1750" s="4" t="s">
        <v>2928</v>
      </c>
      <c r="U1750" s="4" t="s">
        <v>2928</v>
      </c>
      <c r="V1750" s="4" t="s">
        <v>6939</v>
      </c>
      <c r="W1750" s="4" t="s">
        <v>6945</v>
      </c>
    </row>
    <row r="1751">
      <c r="A1751" s="4">
        <v>267.0</v>
      </c>
      <c r="B1751" s="4" t="s">
        <v>5757</v>
      </c>
      <c r="C1751" s="4"/>
      <c r="D1751" s="4" t="s">
        <v>6946</v>
      </c>
      <c r="E1751" s="4" t="s">
        <v>2929</v>
      </c>
      <c r="F1751" s="4" t="s">
        <v>2928</v>
      </c>
      <c r="G1751" s="5" t="str">
        <f>IFERROR(__xludf.DUMMYFUNCTION("GOOGLETRANSLATE(D1751,""en"",""es"")"),"pizca")</f>
        <v>pizca</v>
      </c>
    </row>
    <row r="1752">
      <c r="A1752" s="4">
        <v>268.0</v>
      </c>
      <c r="B1752" s="4" t="s">
        <v>5757</v>
      </c>
      <c r="C1752" s="4"/>
      <c r="D1752" s="4" t="s">
        <v>6947</v>
      </c>
      <c r="E1752" s="4" t="s">
        <v>6948</v>
      </c>
      <c r="F1752" s="4" t="s">
        <v>6949</v>
      </c>
      <c r="G1752" s="5" t="str">
        <f>IFERROR(__xludf.DUMMYFUNCTION("GOOGLETRANSLATE(D1752,""en"",""es"")"),"pañal")</f>
        <v>pañal</v>
      </c>
      <c r="H1752" s="4" t="s">
        <v>6950</v>
      </c>
      <c r="I1752" s="4" t="s">
        <v>6947</v>
      </c>
      <c r="J1752" s="4" t="s">
        <v>6951</v>
      </c>
      <c r="K1752" s="4" t="s">
        <v>6952</v>
      </c>
      <c r="L1752" s="4" t="s">
        <v>6953</v>
      </c>
      <c r="M1752" s="4" t="s">
        <v>6954</v>
      </c>
      <c r="N1752" s="4" t="s">
        <v>6955</v>
      </c>
      <c r="O1752" s="4" t="s">
        <v>6947</v>
      </c>
    </row>
    <row r="1753">
      <c r="A1753" s="4">
        <v>269.0</v>
      </c>
      <c r="B1753" s="4" t="s">
        <v>5757</v>
      </c>
      <c r="C1753" s="4"/>
      <c r="D1753" s="4" t="s">
        <v>383</v>
      </c>
      <c r="E1753" s="4" t="s">
        <v>6122</v>
      </c>
      <c r="F1753" s="4" t="s">
        <v>383</v>
      </c>
      <c r="G1753" s="5" t="str">
        <f>IFERROR(__xludf.DUMMYFUNCTION("GOOGLETRANSLATE(D1753,""en"",""es"")"),"nash")</f>
        <v>nash</v>
      </c>
      <c r="H1753" s="4" t="s">
        <v>6956</v>
      </c>
      <c r="I1753" s="4" t="s">
        <v>6957</v>
      </c>
    </row>
    <row r="1754">
      <c r="A1754" s="4">
        <v>270.0</v>
      </c>
      <c r="B1754" s="4" t="s">
        <v>5757</v>
      </c>
      <c r="C1754" s="4"/>
      <c r="D1754" s="4" t="s">
        <v>6958</v>
      </c>
      <c r="E1754" s="4" t="s">
        <v>6959</v>
      </c>
      <c r="F1754" s="4" t="s">
        <v>6960</v>
      </c>
      <c r="G1754" s="5" t="str">
        <f>IFERROR(__xludf.DUMMYFUNCTION("GOOGLETRANSLATE(D1754,""en"",""es"")"),"elegante")</f>
        <v>elegante</v>
      </c>
      <c r="H1754" s="4" t="s">
        <v>6961</v>
      </c>
      <c r="I1754" s="4" t="s">
        <v>6962</v>
      </c>
      <c r="J1754" s="4" t="s">
        <v>6963</v>
      </c>
      <c r="K1754" s="4" t="s">
        <v>6958</v>
      </c>
      <c r="L1754" s="4" t="s">
        <v>6964</v>
      </c>
      <c r="M1754" s="4" t="s">
        <v>6965</v>
      </c>
      <c r="N1754" s="4" t="s">
        <v>6966</v>
      </c>
      <c r="O1754" s="4" t="s">
        <v>6967</v>
      </c>
      <c r="P1754" s="4" t="s">
        <v>6968</v>
      </c>
    </row>
    <row r="1755">
      <c r="A1755" s="4">
        <v>271.0</v>
      </c>
      <c r="B1755" s="4" t="s">
        <v>5757</v>
      </c>
      <c r="C1755" s="4"/>
      <c r="D1755" s="4" t="s">
        <v>4277</v>
      </c>
      <c r="E1755" s="4" t="s">
        <v>6969</v>
      </c>
      <c r="F1755" s="4" t="s">
        <v>6970</v>
      </c>
      <c r="G1755" s="5" t="str">
        <f>IFERROR(__xludf.DUMMYFUNCTION("GOOGLETRANSLATE(D1755,""en"",""es"")"),"mella")</f>
        <v>mella</v>
      </c>
      <c r="H1755" s="4" t="s">
        <v>4275</v>
      </c>
      <c r="I1755" s="4" t="s">
        <v>4082</v>
      </c>
      <c r="J1755" s="4" t="s">
        <v>4276</v>
      </c>
      <c r="K1755" s="4" t="s">
        <v>4277</v>
      </c>
      <c r="L1755" s="4" t="s">
        <v>4277</v>
      </c>
      <c r="M1755" s="4" t="s">
        <v>3383</v>
      </c>
      <c r="N1755" s="4" t="s">
        <v>4277</v>
      </c>
      <c r="O1755" s="4" t="s">
        <v>6971</v>
      </c>
      <c r="P1755" s="4" t="s">
        <v>4277</v>
      </c>
      <c r="Q1755" s="4" t="s">
        <v>6971</v>
      </c>
      <c r="R1755" s="4" t="s">
        <v>4277</v>
      </c>
      <c r="S1755" s="4" t="s">
        <v>2603</v>
      </c>
      <c r="T1755" s="4" t="s">
        <v>4277</v>
      </c>
      <c r="U1755" s="4" t="s">
        <v>4277</v>
      </c>
    </row>
    <row r="1756">
      <c r="A1756" s="4">
        <v>272.0</v>
      </c>
      <c r="B1756" s="4" t="s">
        <v>5757</v>
      </c>
      <c r="C1756" s="4"/>
      <c r="D1756" s="4" t="s">
        <v>6972</v>
      </c>
      <c r="E1756" s="4" t="s">
        <v>6973</v>
      </c>
      <c r="F1756" s="4" t="s">
        <v>6972</v>
      </c>
      <c r="G1756" s="5" t="str">
        <f>IFERROR(__xludf.DUMMYFUNCTION("GOOGLETRANSLATE(D1756,""en"",""es"")"),"nihil")</f>
        <v>nihil</v>
      </c>
      <c r="H1756" s="4" t="s">
        <v>6972</v>
      </c>
    </row>
    <row r="1757">
      <c r="A1757" s="4">
        <v>273.0</v>
      </c>
      <c r="B1757" s="4" t="s">
        <v>5757</v>
      </c>
      <c r="C1757" s="4"/>
      <c r="D1757" s="4" t="s">
        <v>2976</v>
      </c>
      <c r="E1757" s="4" t="s">
        <v>6974</v>
      </c>
      <c r="F1757" s="4" t="s">
        <v>2976</v>
      </c>
      <c r="G1757" s="5" t="str">
        <f>IFERROR(__xludf.DUMMYFUNCTION("GOOGLETRANSLATE(D1757,""en"",""es"")"),"nulo")</f>
        <v>nulo</v>
      </c>
      <c r="H1757" s="4" t="s">
        <v>6975</v>
      </c>
      <c r="I1757" s="4" t="s">
        <v>2976</v>
      </c>
      <c r="J1757" s="4" t="s">
        <v>6976</v>
      </c>
      <c r="K1757" s="4" t="s">
        <v>6977</v>
      </c>
      <c r="M1757" s="4" t="s">
        <v>6978</v>
      </c>
      <c r="N1757" s="4" t="s">
        <v>6979</v>
      </c>
      <c r="O1757" s="4" t="s">
        <v>6980</v>
      </c>
      <c r="P1757" s="4" t="s">
        <v>6981</v>
      </c>
      <c r="Q1757" s="4" t="s">
        <v>6982</v>
      </c>
      <c r="R1757" s="4" t="s">
        <v>6983</v>
      </c>
      <c r="S1757" s="4" t="s">
        <v>6984</v>
      </c>
      <c r="T1757" s="4" t="s">
        <v>6985</v>
      </c>
      <c r="U1757" s="4" t="s">
        <v>6986</v>
      </c>
    </row>
    <row r="1758">
      <c r="A1758" s="4">
        <v>274.0</v>
      </c>
      <c r="B1758" s="4" t="s">
        <v>5757</v>
      </c>
      <c r="C1758" s="4"/>
      <c r="D1758" s="4" t="s">
        <v>6987</v>
      </c>
      <c r="E1758" s="4" t="s">
        <v>6974</v>
      </c>
      <c r="F1758" s="4" t="s">
        <v>2976</v>
      </c>
      <c r="G1758" s="5" t="str">
        <f>IFERROR(__xludf.DUMMYFUNCTION("GOOGLETRANSLATE(D1758,""en"",""es"")"),"altillo")</f>
        <v>altillo</v>
      </c>
    </row>
    <row r="1759">
      <c r="A1759" s="4">
        <v>275.0</v>
      </c>
      <c r="B1759" s="4" t="s">
        <v>5757</v>
      </c>
      <c r="C1759" s="4"/>
      <c r="D1759" s="4" t="s">
        <v>6988</v>
      </c>
      <c r="E1759" s="4" t="s">
        <v>6989</v>
      </c>
      <c r="F1759" s="4" t="s">
        <v>6988</v>
      </c>
      <c r="G1759" s="5" t="str">
        <f>IFERROR(__xludf.DUMMYFUNCTION("GOOGLETRANSLATE(D1759,""en"",""es"")"),"nim")</f>
        <v>nim</v>
      </c>
      <c r="H1759" s="4" t="s">
        <v>6988</v>
      </c>
    </row>
    <row r="1760">
      <c r="A1760" s="4">
        <v>276.0</v>
      </c>
      <c r="B1760" s="4" t="s">
        <v>5757</v>
      </c>
      <c r="C1760" s="4"/>
      <c r="D1760" s="4" t="s">
        <v>6990</v>
      </c>
      <c r="E1760" s="4" t="s">
        <v>6989</v>
      </c>
      <c r="F1760" s="4" t="s">
        <v>6988</v>
      </c>
      <c r="G1760" s="5" t="str">
        <f>IFERROR(__xludf.DUMMYFUNCTION("GOOGLETRANSLATE(D1760,""en"",""es"")"),"niMB")</f>
        <v>niMB</v>
      </c>
    </row>
    <row r="1761">
      <c r="A1761" s="4">
        <v>277.0</v>
      </c>
      <c r="B1761" s="4" t="s">
        <v>5757</v>
      </c>
      <c r="C1761" s="4"/>
      <c r="D1761" s="4" t="s">
        <v>2980</v>
      </c>
      <c r="E1761" s="4" t="s">
        <v>6991</v>
      </c>
      <c r="F1761" s="4" t="s">
        <v>2980</v>
      </c>
      <c r="G1761" s="5" t="str">
        <f>IFERROR(__xludf.DUMMYFUNCTION("GOOGLETRANSLATE(D1761,""en"",""es"")"),"Nin")</f>
        <v>Nin</v>
      </c>
    </row>
    <row r="1762">
      <c r="A1762" s="4">
        <v>278.0</v>
      </c>
      <c r="B1762" s="4" t="s">
        <v>5757</v>
      </c>
      <c r="C1762" s="4"/>
      <c r="D1762" s="4" t="s">
        <v>6992</v>
      </c>
      <c r="E1762" s="4" t="s">
        <v>6993</v>
      </c>
      <c r="F1762" s="4" t="s">
        <v>6994</v>
      </c>
      <c r="G1762" s="5" t="str">
        <f>IFERROR(__xludf.DUMMYFUNCTION("GOOGLETRANSLATE(D1762,""en"",""es"")"),"bobo")</f>
        <v>bobo</v>
      </c>
      <c r="H1762" s="4" t="s">
        <v>6995</v>
      </c>
      <c r="I1762" s="4" t="s">
        <v>6996</v>
      </c>
      <c r="J1762" s="4" t="s">
        <v>6992</v>
      </c>
    </row>
    <row r="1763">
      <c r="A1763" s="4">
        <v>279.0</v>
      </c>
      <c r="B1763" s="4" t="s">
        <v>5757</v>
      </c>
      <c r="C1763" s="4"/>
      <c r="D1763" s="4" t="s">
        <v>4298</v>
      </c>
      <c r="E1763" s="4" t="s">
        <v>6997</v>
      </c>
      <c r="F1763" s="4" t="s">
        <v>4298</v>
      </c>
      <c r="G1763" s="5" t="str">
        <f>IFERROR(__xludf.DUMMYFUNCTION("GOOGLETRANSLATE(D1763,""en"",""es"")"),"cortar")</f>
        <v>cortar</v>
      </c>
      <c r="H1763" s="4" t="s">
        <v>4298</v>
      </c>
      <c r="I1763" s="4" t="s">
        <v>6998</v>
      </c>
      <c r="J1763" s="4" t="s">
        <v>6999</v>
      </c>
      <c r="K1763" s="4" t="s">
        <v>7000</v>
      </c>
      <c r="L1763" s="4" t="s">
        <v>7001</v>
      </c>
      <c r="M1763" s="4" t="s">
        <v>6678</v>
      </c>
      <c r="N1763" s="4" t="s">
        <v>6679</v>
      </c>
      <c r="O1763" s="4" t="s">
        <v>7002</v>
      </c>
      <c r="P1763" s="4" t="s">
        <v>7003</v>
      </c>
      <c r="Q1763" s="4" t="s">
        <v>7004</v>
      </c>
      <c r="R1763" s="4" t="s">
        <v>7005</v>
      </c>
      <c r="S1763" s="4" t="s">
        <v>4298</v>
      </c>
      <c r="T1763" s="4" t="s">
        <v>7006</v>
      </c>
      <c r="U1763" s="4" t="s">
        <v>7007</v>
      </c>
      <c r="V1763" s="4" t="s">
        <v>7008</v>
      </c>
      <c r="W1763" s="4" t="s">
        <v>4298</v>
      </c>
      <c r="X1763" s="4" t="s">
        <v>4298</v>
      </c>
      <c r="Y1763" s="4" t="s">
        <v>7009</v>
      </c>
      <c r="Z1763" s="4" t="s">
        <v>7010</v>
      </c>
      <c r="AA1763" s="4" t="s">
        <v>7011</v>
      </c>
      <c r="AB1763" s="4" t="s">
        <v>7006</v>
      </c>
      <c r="AC1763" s="4" t="s">
        <v>7012</v>
      </c>
      <c r="AD1763" s="4" t="s">
        <v>7013</v>
      </c>
      <c r="AE1763" s="4" t="s">
        <v>4298</v>
      </c>
      <c r="AF1763" s="4" t="s">
        <v>6302</v>
      </c>
      <c r="AG1763" s="4" t="s">
        <v>6302</v>
      </c>
      <c r="AH1763" s="4" t="s">
        <v>6776</v>
      </c>
      <c r="AI1763" s="4" t="s">
        <v>3503</v>
      </c>
      <c r="AJ1763" s="4" t="s">
        <v>7014</v>
      </c>
      <c r="AK1763" s="4" t="s">
        <v>4298</v>
      </c>
      <c r="AL1763" s="4" t="s">
        <v>4435</v>
      </c>
      <c r="AM1763" s="4" t="s">
        <v>4298</v>
      </c>
      <c r="AN1763" s="4" t="s">
        <v>4298</v>
      </c>
      <c r="AO1763" s="4" t="s">
        <v>4299</v>
      </c>
      <c r="AP1763" s="4" t="s">
        <v>928</v>
      </c>
      <c r="AQ1763" s="4" t="s">
        <v>4300</v>
      </c>
      <c r="AR1763" s="4" t="s">
        <v>4301</v>
      </c>
    </row>
    <row r="1764">
      <c r="A1764" s="4">
        <v>280.0</v>
      </c>
      <c r="B1764" s="4" t="s">
        <v>5757</v>
      </c>
      <c r="C1764" s="4"/>
      <c r="D1764" s="4" t="s">
        <v>7015</v>
      </c>
      <c r="E1764" s="4" t="s">
        <v>7016</v>
      </c>
      <c r="F1764" s="4" t="s">
        <v>7017</v>
      </c>
      <c r="G1764" s="5" t="str">
        <f>IFERROR(__xludf.DUMMYFUNCTION("GOOGLETRANSLATE(D1764,""en"",""es"")"),"ágil")</f>
        <v>ágil</v>
      </c>
      <c r="H1764" s="4" t="s">
        <v>7015</v>
      </c>
      <c r="I1764" s="4" t="s">
        <v>6952</v>
      </c>
      <c r="J1764" s="4" t="s">
        <v>7018</v>
      </c>
      <c r="K1764" s="4" t="s">
        <v>7019</v>
      </c>
      <c r="L1764" s="4" t="s">
        <v>7015</v>
      </c>
      <c r="M1764" s="4" t="s">
        <v>6967</v>
      </c>
    </row>
    <row r="1765">
      <c r="A1765" s="4">
        <v>281.0</v>
      </c>
      <c r="B1765" s="4" t="s">
        <v>5757</v>
      </c>
      <c r="C1765" s="4"/>
      <c r="D1765" s="4" t="s">
        <v>7020</v>
      </c>
      <c r="E1765" s="4" t="s">
        <v>7021</v>
      </c>
      <c r="F1765" s="4" t="s">
        <v>7022</v>
      </c>
      <c r="G1765" s="5" t="str">
        <f>IFERROR(__xludf.DUMMYFUNCTION("GOOGLETRANSLATE(D1765,""en"",""es"")"),"con timbre")</f>
        <v>con timbre</v>
      </c>
    </row>
    <row r="1766">
      <c r="A1766" s="4">
        <v>282.0</v>
      </c>
      <c r="B1766" s="4" t="s">
        <v>5757</v>
      </c>
      <c r="C1766" s="4"/>
      <c r="D1766" s="4" t="s">
        <v>7023</v>
      </c>
      <c r="E1766" s="4" t="s">
        <v>7024</v>
      </c>
      <c r="F1766" s="4" t="s">
        <v>7025</v>
      </c>
      <c r="G1766" s="5" t="str">
        <f>IFERROR(__xludf.DUMMYFUNCTION("GOOGLETRANSLATE(D1766,""en"",""es"")"),"piojoso")</f>
        <v>piojoso</v>
      </c>
    </row>
    <row r="1767">
      <c r="A1767" s="4">
        <v>283.0</v>
      </c>
      <c r="B1767" s="4" t="s">
        <v>5757</v>
      </c>
      <c r="C1767" s="4"/>
      <c r="D1767" s="4" t="s">
        <v>7026</v>
      </c>
      <c r="E1767" s="4" t="s">
        <v>7027</v>
      </c>
      <c r="F1767" s="4" t="s">
        <v>7028</v>
      </c>
      <c r="G1767" s="5" t="str">
        <f>IFERROR(__xludf.DUMMYFUNCTION("GOOGLETRANSLATE(D1767,""en"",""es"")"),"rincón")</f>
        <v>rincón</v>
      </c>
      <c r="H1767" s="4" t="s">
        <v>7026</v>
      </c>
      <c r="I1767" s="4" t="s">
        <v>7029</v>
      </c>
      <c r="J1767" s="4" t="s">
        <v>7026</v>
      </c>
    </row>
    <row r="1768">
      <c r="A1768" s="4">
        <v>284.0</v>
      </c>
      <c r="B1768" s="4" t="s">
        <v>5757</v>
      </c>
      <c r="C1768" s="4"/>
      <c r="D1768" s="4" t="s">
        <v>5896</v>
      </c>
      <c r="E1768" s="4" t="s">
        <v>7030</v>
      </c>
      <c r="F1768" s="4" t="s">
        <v>7031</v>
      </c>
      <c r="G1768" s="5" t="str">
        <f>IFERROR(__xludf.DUMMYFUNCTION("GOOGLETRANSLATE(D1768,""en"",""es"")"),"nokie")</f>
        <v>nokie</v>
      </c>
      <c r="H1768" s="4" t="s">
        <v>5891</v>
      </c>
      <c r="I1768" s="4" t="s">
        <v>5892</v>
      </c>
      <c r="J1768" s="4" t="s">
        <v>5893</v>
      </c>
      <c r="K1768" s="4" t="s">
        <v>5894</v>
      </c>
      <c r="L1768" s="4" t="s">
        <v>1627</v>
      </c>
      <c r="M1768" s="4" t="s">
        <v>5895</v>
      </c>
      <c r="N1768" s="4" t="s">
        <v>5896</v>
      </c>
      <c r="O1768" s="4" t="s">
        <v>5897</v>
      </c>
      <c r="P1768" s="4" t="s">
        <v>5898</v>
      </c>
      <c r="Q1768" s="4" t="s">
        <v>5899</v>
      </c>
      <c r="R1768" s="4" t="s">
        <v>5900</v>
      </c>
      <c r="S1768" s="4" t="s">
        <v>5901</v>
      </c>
    </row>
    <row r="1769">
      <c r="A1769" s="4">
        <v>285.0</v>
      </c>
      <c r="B1769" s="4" t="s">
        <v>5757</v>
      </c>
      <c r="C1769" s="4"/>
      <c r="D1769" s="4" t="s">
        <v>7032</v>
      </c>
      <c r="E1769" s="4" t="s">
        <v>7033</v>
      </c>
      <c r="F1769" s="4" t="s">
        <v>7032</v>
      </c>
      <c r="G1769" s="5" t="str">
        <f>IFERROR(__xludf.DUMMYFUNCTION("GOOGLETRANSLATE(D1769,""en"",""es"")"),"monja")</f>
        <v>monja</v>
      </c>
      <c r="H1769" s="4" t="s">
        <v>7032</v>
      </c>
      <c r="I1769" s="4" t="s">
        <v>7034</v>
      </c>
      <c r="J1769" s="4" t="s">
        <v>7032</v>
      </c>
      <c r="K1769" s="4" t="s">
        <v>7035</v>
      </c>
      <c r="L1769" s="4" t="s">
        <v>7032</v>
      </c>
    </row>
    <row r="1770">
      <c r="A1770" s="4">
        <v>286.0</v>
      </c>
      <c r="B1770" s="4" t="s">
        <v>5757</v>
      </c>
      <c r="C1770" s="4"/>
      <c r="D1770" s="4" t="s">
        <v>7036</v>
      </c>
      <c r="E1770" s="4" t="s">
        <v>6989</v>
      </c>
      <c r="F1770" s="4" t="s">
        <v>6988</v>
      </c>
      <c r="G1770" s="5" t="str">
        <f>IFERROR(__xludf.DUMMYFUNCTION("GOOGLETRANSLATE(D1770,""en"",""es"")"),"nym")</f>
        <v>nym</v>
      </c>
    </row>
    <row r="1771">
      <c r="A1771" s="4">
        <v>287.0</v>
      </c>
      <c r="B1771" s="4" t="s">
        <v>5757</v>
      </c>
      <c r="C1771" s="4"/>
      <c r="D1771" s="4" t="s">
        <v>7037</v>
      </c>
      <c r="E1771" s="4" t="s">
        <v>7038</v>
      </c>
      <c r="F1771" s="4" t="s">
        <v>275</v>
      </c>
      <c r="G1771" s="5" t="str">
        <f>IFERROR(__xludf.DUMMYFUNCTION("GOOGLETRANSLATE(D1771,""en"",""es"")"),"oom")</f>
        <v>oom</v>
      </c>
    </row>
    <row r="1772">
      <c r="A1772" s="4">
        <v>288.0</v>
      </c>
      <c r="B1772" s="4" t="s">
        <v>5757</v>
      </c>
      <c r="C1772" s="4"/>
      <c r="D1772" s="4" t="s">
        <v>7039</v>
      </c>
      <c r="E1772" s="4" t="s">
        <v>7040</v>
      </c>
      <c r="F1772" s="4" t="s">
        <v>7041</v>
      </c>
      <c r="G1772" s="5" t="str">
        <f>IFERROR(__xludf.DUMMYFUNCTION("GOOGLETRANSLATE(D1772,""en"",""es"")"),"oop")</f>
        <v>oop</v>
      </c>
    </row>
    <row r="1773">
      <c r="A1773" s="4">
        <v>289.0</v>
      </c>
      <c r="B1773" s="4" t="s">
        <v>5757</v>
      </c>
      <c r="C1773" s="4"/>
      <c r="D1773" s="4" t="s">
        <v>2543</v>
      </c>
      <c r="E1773" s="4" t="s">
        <v>7042</v>
      </c>
      <c r="F1773" s="4" t="s">
        <v>392</v>
      </c>
      <c r="G1773" s="5" t="str">
        <f>IFERROR(__xludf.DUMMYFUNCTION("GOOGLETRANSLATE(D1773,""en"",""es"")"),"paquete")</f>
        <v>paquete</v>
      </c>
      <c r="H1773" s="4" t="s">
        <v>2540</v>
      </c>
      <c r="I1773" s="4" t="s">
        <v>2541</v>
      </c>
      <c r="J1773" s="4" t="s">
        <v>2532</v>
      </c>
      <c r="K1773" s="4" t="s">
        <v>2542</v>
      </c>
      <c r="L1773" s="4" t="s">
        <v>2543</v>
      </c>
      <c r="M1773" s="4" t="s">
        <v>2543</v>
      </c>
      <c r="N1773" s="4" t="s">
        <v>2543</v>
      </c>
      <c r="O1773" s="4" t="s">
        <v>7043</v>
      </c>
      <c r="P1773" s="4" t="s">
        <v>2543</v>
      </c>
      <c r="Q1773" s="4" t="s">
        <v>4080</v>
      </c>
      <c r="R1773" s="4" t="s">
        <v>7044</v>
      </c>
      <c r="S1773" s="4" t="s">
        <v>4385</v>
      </c>
      <c r="T1773" s="4" t="s">
        <v>4386</v>
      </c>
      <c r="U1773" s="4" t="s">
        <v>4387</v>
      </c>
      <c r="V1773" s="4" t="s">
        <v>4388</v>
      </c>
      <c r="W1773" s="4" t="s">
        <v>2543</v>
      </c>
      <c r="X1773" s="4" t="s">
        <v>1058</v>
      </c>
      <c r="Y1773" s="4" t="s">
        <v>2543</v>
      </c>
      <c r="Z1773" s="4" t="s">
        <v>2543</v>
      </c>
      <c r="AA1773" s="4" t="s">
        <v>7045</v>
      </c>
      <c r="AB1773" s="4" t="s">
        <v>2543</v>
      </c>
      <c r="AC1773" s="4" t="s">
        <v>2543</v>
      </c>
      <c r="AD1773" s="4" t="s">
        <v>2543</v>
      </c>
      <c r="AE1773" s="4" t="s">
        <v>2543</v>
      </c>
      <c r="AF1773" s="4" t="s">
        <v>2543</v>
      </c>
      <c r="AG1773" s="4" t="s">
        <v>7046</v>
      </c>
      <c r="AH1773" s="4" t="s">
        <v>780</v>
      </c>
      <c r="AI1773" s="4" t="s">
        <v>7047</v>
      </c>
      <c r="AJ1773" s="4" t="s">
        <v>2543</v>
      </c>
      <c r="AK1773" s="4" t="s">
        <v>2543</v>
      </c>
      <c r="AL1773" s="4" t="s">
        <v>7048</v>
      </c>
      <c r="AM1773" s="4" t="s">
        <v>2543</v>
      </c>
      <c r="AN1773" s="4" t="s">
        <v>887</v>
      </c>
      <c r="AO1773" s="4" t="s">
        <v>2537</v>
      </c>
      <c r="AP1773" s="4" t="s">
        <v>7044</v>
      </c>
      <c r="AQ1773" s="4" t="s">
        <v>2543</v>
      </c>
      <c r="AR1773" s="4" t="s">
        <v>483</v>
      </c>
      <c r="AS1773" s="4" t="s">
        <v>775</v>
      </c>
      <c r="AT1773" s="4" t="s">
        <v>7049</v>
      </c>
      <c r="AU1773" s="4" t="s">
        <v>2543</v>
      </c>
      <c r="AV1773" s="4" t="s">
        <v>3517</v>
      </c>
      <c r="AW1773" s="4" t="s">
        <v>3518</v>
      </c>
      <c r="AX1773" s="4" t="s">
        <v>2543</v>
      </c>
      <c r="AY1773" s="4" t="s">
        <v>2543</v>
      </c>
      <c r="AZ1773" s="4" t="s">
        <v>7047</v>
      </c>
      <c r="BA1773" s="4" t="s">
        <v>2543</v>
      </c>
      <c r="BB1773" s="4" t="s">
        <v>2543</v>
      </c>
      <c r="BC1773" s="4" t="s">
        <v>7050</v>
      </c>
      <c r="BD1773" s="4" t="s">
        <v>2543</v>
      </c>
    </row>
    <row r="1774">
      <c r="A1774" s="4">
        <v>290.0</v>
      </c>
      <c r="B1774" s="4" t="s">
        <v>5757</v>
      </c>
      <c r="C1774" s="4"/>
      <c r="D1774" s="4" t="s">
        <v>7051</v>
      </c>
      <c r="E1774" s="4" t="s">
        <v>7052</v>
      </c>
      <c r="F1774" s="4" t="s">
        <v>7051</v>
      </c>
      <c r="G1774" s="5" t="str">
        <f>IFERROR(__xludf.DUMMYFUNCTION("GOOGLETRANSLATE(D1774,""en"",""es"")"),"paquistaní")</f>
        <v>paquistaní</v>
      </c>
    </row>
    <row r="1775">
      <c r="A1775" s="4">
        <v>291.0</v>
      </c>
      <c r="B1775" s="4" t="s">
        <v>5757</v>
      </c>
      <c r="C1775" s="4"/>
      <c r="D1775" s="4" t="s">
        <v>3161</v>
      </c>
      <c r="E1775" s="4" t="s">
        <v>3162</v>
      </c>
      <c r="F1775" s="4" t="s">
        <v>3161</v>
      </c>
      <c r="G1775" s="5" t="str">
        <f>IFERROR(__xludf.DUMMYFUNCTION("GOOGLETRANSLATE(D1775,""en"",""es"")"),"camarada")</f>
        <v>camarada</v>
      </c>
      <c r="H1775" s="4" t="s">
        <v>7053</v>
      </c>
      <c r="I1775" s="4" t="s">
        <v>7054</v>
      </c>
      <c r="J1775" s="4" t="s">
        <v>7055</v>
      </c>
      <c r="K1775" s="4" t="s">
        <v>7056</v>
      </c>
      <c r="L1775" s="4" t="s">
        <v>3161</v>
      </c>
      <c r="M1775" s="4" t="s">
        <v>7057</v>
      </c>
      <c r="N1775" s="4" t="s">
        <v>3161</v>
      </c>
      <c r="O1775" s="4" t="s">
        <v>7058</v>
      </c>
      <c r="P1775" s="4" t="s">
        <v>7059</v>
      </c>
    </row>
    <row r="1776">
      <c r="A1776" s="4">
        <v>292.0</v>
      </c>
      <c r="B1776" s="4" t="s">
        <v>5757</v>
      </c>
      <c r="C1776" s="4"/>
      <c r="D1776" s="4" t="s">
        <v>7060</v>
      </c>
      <c r="E1776" s="4" t="s">
        <v>7061</v>
      </c>
      <c r="F1776" s="4" t="s">
        <v>7062</v>
      </c>
      <c r="G1776" s="5" t="str">
        <f>IFERROR(__xludf.DUMMYFUNCTION("GOOGLETRANSLATE(D1776,""en"",""es"")"),"palacio")</f>
        <v>palacio</v>
      </c>
      <c r="H1776" s="4" t="s">
        <v>7060</v>
      </c>
      <c r="I1776" s="4" t="s">
        <v>7063</v>
      </c>
      <c r="J1776" s="4" t="s">
        <v>7060</v>
      </c>
      <c r="K1776" s="4" t="s">
        <v>7060</v>
      </c>
      <c r="L1776" s="4" t="s">
        <v>7060</v>
      </c>
    </row>
    <row r="1777">
      <c r="A1777" s="4">
        <v>293.0</v>
      </c>
      <c r="B1777" s="4" t="s">
        <v>5757</v>
      </c>
      <c r="C1777" s="4"/>
      <c r="D1777" s="4" t="s">
        <v>7064</v>
      </c>
      <c r="E1777" s="4" t="s">
        <v>3185</v>
      </c>
      <c r="F1777" s="4" t="s">
        <v>3184</v>
      </c>
      <c r="G1777" s="5" t="str">
        <f>IFERROR(__xludf.DUMMYFUNCTION("GOOGLETRANSLATE(D1777,""en"",""es"")"),"amistoso")</f>
        <v>amistoso</v>
      </c>
      <c r="H1777" s="4" t="s">
        <v>7065</v>
      </c>
      <c r="I1777" s="4" t="s">
        <v>7066</v>
      </c>
      <c r="J1777" s="4" t="s">
        <v>7064</v>
      </c>
      <c r="K1777" s="4" t="s">
        <v>7067</v>
      </c>
    </row>
    <row r="1778">
      <c r="A1778" s="4">
        <v>294.0</v>
      </c>
      <c r="B1778" s="4" t="s">
        <v>5757</v>
      </c>
      <c r="C1778" s="4"/>
      <c r="D1778" s="4" t="s">
        <v>3257</v>
      </c>
      <c r="E1778" s="4" t="s">
        <v>7068</v>
      </c>
      <c r="F1778" s="4" t="s">
        <v>3257</v>
      </c>
      <c r="G1778" s="5" t="str">
        <f>IFERROR(__xludf.DUMMYFUNCTION("GOOGLETRANSLATE(D1778,""en"",""es"")"),"pam")</f>
        <v>pam</v>
      </c>
    </row>
    <row r="1779">
      <c r="A1779" s="4">
        <v>295.0</v>
      </c>
      <c r="B1779" s="4" t="s">
        <v>5757</v>
      </c>
      <c r="C1779" s="4"/>
      <c r="D1779" s="4" t="s">
        <v>7069</v>
      </c>
      <c r="E1779" s="4" t="s">
        <v>7070</v>
      </c>
      <c r="F1779" s="4" t="s">
        <v>7069</v>
      </c>
      <c r="G1779" s="5" t="str">
        <f>IFERROR(__xludf.DUMMYFUNCTION("GOOGLETRANSLATE(D1779,""en"",""es"")"),"sartén")</f>
        <v>sartén</v>
      </c>
      <c r="H1779" s="4" t="s">
        <v>7069</v>
      </c>
      <c r="I1779" s="4" t="s">
        <v>7071</v>
      </c>
      <c r="J1779" s="4" t="s">
        <v>7072</v>
      </c>
      <c r="K1779" s="4" t="s">
        <v>7073</v>
      </c>
      <c r="L1779" s="4" t="s">
        <v>7069</v>
      </c>
      <c r="M1779" s="4" t="s">
        <v>7072</v>
      </c>
      <c r="N1779" s="4" t="s">
        <v>7074</v>
      </c>
      <c r="O1779" s="4" t="s">
        <v>7069</v>
      </c>
      <c r="P1779" s="4" t="s">
        <v>7069</v>
      </c>
      <c r="Q1779" s="4" t="s">
        <v>7075</v>
      </c>
      <c r="R1779" s="4" t="s">
        <v>7076</v>
      </c>
      <c r="S1779" s="4" t="s">
        <v>7069</v>
      </c>
      <c r="T1779" s="4" t="s">
        <v>7077</v>
      </c>
      <c r="U1779" s="4" t="s">
        <v>3192</v>
      </c>
    </row>
    <row r="1780">
      <c r="A1780" s="4">
        <v>296.0</v>
      </c>
      <c r="B1780" s="4" t="s">
        <v>5757</v>
      </c>
      <c r="C1780" s="4"/>
      <c r="D1780" s="4" t="s">
        <v>3791</v>
      </c>
      <c r="E1780" s="4" t="s">
        <v>7078</v>
      </c>
      <c r="F1780" s="4" t="s">
        <v>3790</v>
      </c>
      <c r="G1780" s="5" t="str">
        <f>IFERROR(__xludf.DUMMYFUNCTION("GOOGLETRANSLATE(D1780,""en"",""es"")"),"pánico")</f>
        <v>pánico</v>
      </c>
      <c r="H1780" s="4" t="s">
        <v>3791</v>
      </c>
      <c r="I1780" s="4" t="s">
        <v>3792</v>
      </c>
      <c r="J1780" s="4" t="s">
        <v>3793</v>
      </c>
      <c r="K1780" s="4" t="s">
        <v>3791</v>
      </c>
      <c r="L1780" s="4" t="s">
        <v>3794</v>
      </c>
      <c r="M1780" s="4" t="s">
        <v>3791</v>
      </c>
      <c r="N1780" s="4" t="s">
        <v>3791</v>
      </c>
    </row>
    <row r="1781">
      <c r="A1781" s="4">
        <v>297.0</v>
      </c>
      <c r="B1781" s="4" t="s">
        <v>5757</v>
      </c>
      <c r="C1781" s="4"/>
      <c r="D1781" s="4" t="s">
        <v>7079</v>
      </c>
      <c r="E1781" s="4" t="s">
        <v>7080</v>
      </c>
      <c r="F1781" s="4" t="s">
        <v>7081</v>
      </c>
      <c r="G1781" s="5" t="str">
        <f>IFERROR(__xludf.DUMMYFUNCTION("GOOGLETRANSLATE(D1781,""en"",""es"")"),"lleno de pánico")</f>
        <v>lleno de pánico</v>
      </c>
      <c r="H1781" s="4" t="s">
        <v>7079</v>
      </c>
      <c r="I1781" s="4" t="s">
        <v>7082</v>
      </c>
      <c r="J1781" s="4" t="s">
        <v>7083</v>
      </c>
      <c r="K1781" s="4" t="s">
        <v>7084</v>
      </c>
      <c r="L1781" s="4" t="s">
        <v>7085</v>
      </c>
      <c r="M1781" s="4" t="s">
        <v>7086</v>
      </c>
    </row>
    <row r="1782">
      <c r="A1782" s="4">
        <v>298.0</v>
      </c>
      <c r="B1782" s="4" t="s">
        <v>5757</v>
      </c>
      <c r="C1782" s="4"/>
      <c r="D1782" s="4" t="s">
        <v>7087</v>
      </c>
      <c r="E1782" s="4" t="s">
        <v>7070</v>
      </c>
      <c r="F1782" s="4" t="s">
        <v>7069</v>
      </c>
      <c r="G1782" s="5" t="str">
        <f>IFERROR(__xludf.DUMMYFUNCTION("GOOGLETRANSLATE(D1782,""en"",""es"")"),"pana")</f>
        <v>pana</v>
      </c>
    </row>
    <row r="1783">
      <c r="A1783" s="4">
        <v>299.0</v>
      </c>
      <c r="B1783" s="4" t="s">
        <v>5757</v>
      </c>
      <c r="C1783" s="4"/>
      <c r="D1783" s="4" t="s">
        <v>7088</v>
      </c>
      <c r="E1783" s="4" t="s">
        <v>7089</v>
      </c>
      <c r="F1783" s="4" t="s">
        <v>7088</v>
      </c>
      <c r="G1783" s="5" t="str">
        <f>IFERROR(__xludf.DUMMYFUNCTION("GOOGLETRANSLATE(D1783,""en"",""es"")"),"papilla")</f>
        <v>papilla</v>
      </c>
      <c r="H1783" s="4" t="s">
        <v>7088</v>
      </c>
      <c r="I1783" s="4" t="s">
        <v>7090</v>
      </c>
      <c r="J1783" s="4" t="s">
        <v>7091</v>
      </c>
      <c r="K1783" s="4" t="s">
        <v>7088</v>
      </c>
      <c r="L1783" s="4" t="s">
        <v>7092</v>
      </c>
      <c r="M1783" s="4" t="s">
        <v>7093</v>
      </c>
      <c r="N1783" s="4" t="s">
        <v>7094</v>
      </c>
      <c r="O1783" s="4" t="s">
        <v>7095</v>
      </c>
      <c r="P1783" s="4" t="s">
        <v>7088</v>
      </c>
      <c r="Q1783" s="4" t="s">
        <v>7096</v>
      </c>
      <c r="R1783" s="4" t="s">
        <v>7097</v>
      </c>
    </row>
    <row r="1784">
      <c r="A1784" s="4">
        <v>300.0</v>
      </c>
      <c r="B1784" s="4" t="s">
        <v>5757</v>
      </c>
      <c r="C1784" s="4"/>
      <c r="D1784" s="4" t="s">
        <v>7098</v>
      </c>
      <c r="E1784" s="4" t="s">
        <v>7099</v>
      </c>
      <c r="F1784" s="4" t="s">
        <v>7100</v>
      </c>
      <c r="G1784" s="5" t="str">
        <f>IFERROR(__xludf.DUMMYFUNCTION("GOOGLETRANSLATE(D1784,""en"",""es"")"),"papá")</f>
        <v>papá</v>
      </c>
    </row>
    <row r="1785">
      <c r="A1785" s="4">
        <v>301.0</v>
      </c>
      <c r="B1785" s="4" t="s">
        <v>5757</v>
      </c>
      <c r="C1785" s="4"/>
      <c r="D1785" s="4" t="s">
        <v>7101</v>
      </c>
      <c r="E1785" s="4" t="s">
        <v>7102</v>
      </c>
      <c r="F1785" s="4" t="s">
        <v>7101</v>
      </c>
      <c r="G1785" s="5" t="str">
        <f>IFERROR(__xludf.DUMMYFUNCTION("GOOGLETRANSLATE(D1785,""en"",""es"")"),"pash")</f>
        <v>pash</v>
      </c>
    </row>
    <row r="1786">
      <c r="A1786" s="4">
        <v>302.0</v>
      </c>
      <c r="B1786" s="4" t="s">
        <v>5757</v>
      </c>
      <c r="C1786" s="4"/>
      <c r="D1786" s="4" t="s">
        <v>647</v>
      </c>
      <c r="E1786" s="4" t="s">
        <v>7103</v>
      </c>
      <c r="F1786" s="4" t="s">
        <v>3361</v>
      </c>
      <c r="G1786" s="5" t="str">
        <f>IFERROR(__xludf.DUMMYFUNCTION("GOOGLETRANSLATE(D1786,""en"",""es"")"),"pasar")</f>
        <v>pasar</v>
      </c>
      <c r="H1786" s="4" t="s">
        <v>7104</v>
      </c>
      <c r="I1786" s="4" t="s">
        <v>1056</v>
      </c>
      <c r="J1786" s="4" t="s">
        <v>647</v>
      </c>
      <c r="K1786" s="4" t="s">
        <v>647</v>
      </c>
      <c r="L1786" s="4" t="s">
        <v>647</v>
      </c>
      <c r="M1786" s="4" t="s">
        <v>7105</v>
      </c>
      <c r="N1786" s="4" t="s">
        <v>7106</v>
      </c>
      <c r="O1786" s="4" t="s">
        <v>3369</v>
      </c>
      <c r="P1786" s="4" t="s">
        <v>647</v>
      </c>
      <c r="Q1786" s="4" t="s">
        <v>3382</v>
      </c>
      <c r="R1786" s="4" t="s">
        <v>3383</v>
      </c>
      <c r="S1786" s="4" t="s">
        <v>647</v>
      </c>
      <c r="T1786" s="4" t="s">
        <v>7107</v>
      </c>
      <c r="U1786" s="4" t="s">
        <v>647</v>
      </c>
      <c r="V1786" s="4" t="s">
        <v>7108</v>
      </c>
      <c r="W1786" s="4" t="s">
        <v>647</v>
      </c>
      <c r="X1786" s="4" t="s">
        <v>647</v>
      </c>
      <c r="Y1786" s="4" t="s">
        <v>7109</v>
      </c>
      <c r="Z1786" s="4" t="s">
        <v>7110</v>
      </c>
      <c r="AA1786" s="4" t="s">
        <v>647</v>
      </c>
      <c r="AB1786" s="4" t="s">
        <v>1209</v>
      </c>
      <c r="AC1786" s="4" t="s">
        <v>7110</v>
      </c>
      <c r="AD1786" s="4" t="s">
        <v>647</v>
      </c>
      <c r="AE1786" s="4" t="s">
        <v>7111</v>
      </c>
      <c r="AF1786" s="4" t="s">
        <v>647</v>
      </c>
      <c r="AG1786" s="4" t="s">
        <v>647</v>
      </c>
      <c r="AH1786" s="4" t="s">
        <v>7112</v>
      </c>
      <c r="AI1786" s="4" t="s">
        <v>647</v>
      </c>
      <c r="AJ1786" s="4" t="s">
        <v>7113</v>
      </c>
      <c r="AK1786" s="4" t="s">
        <v>7114</v>
      </c>
      <c r="AL1786" s="4" t="s">
        <v>637</v>
      </c>
      <c r="AM1786" s="4" t="s">
        <v>647</v>
      </c>
      <c r="AN1786" s="4" t="s">
        <v>7115</v>
      </c>
      <c r="AO1786" s="4" t="s">
        <v>7116</v>
      </c>
      <c r="AP1786" s="4" t="s">
        <v>647</v>
      </c>
      <c r="AQ1786" s="4" t="s">
        <v>4447</v>
      </c>
      <c r="AR1786" s="4" t="s">
        <v>4431</v>
      </c>
      <c r="AS1786" s="4" t="s">
        <v>3369</v>
      </c>
      <c r="AT1786" s="4" t="s">
        <v>647</v>
      </c>
      <c r="AU1786" s="4" t="s">
        <v>7117</v>
      </c>
      <c r="AV1786" s="4" t="s">
        <v>3361</v>
      </c>
      <c r="AW1786" s="4" t="s">
        <v>647</v>
      </c>
      <c r="AX1786" s="4" t="s">
        <v>7118</v>
      </c>
      <c r="AY1786" s="4" t="s">
        <v>7119</v>
      </c>
      <c r="AZ1786" s="4" t="s">
        <v>3417</v>
      </c>
      <c r="BA1786" s="4" t="s">
        <v>3418</v>
      </c>
      <c r="BB1786" s="4" t="s">
        <v>3419</v>
      </c>
      <c r="BC1786" s="4" t="s">
        <v>3420</v>
      </c>
      <c r="BD1786" s="4" t="s">
        <v>3421</v>
      </c>
      <c r="BE1786" s="4" t="s">
        <v>647</v>
      </c>
      <c r="BF1786" s="4" t="s">
        <v>7120</v>
      </c>
      <c r="BG1786" s="4" t="s">
        <v>647</v>
      </c>
      <c r="BH1786" s="4" t="s">
        <v>7121</v>
      </c>
      <c r="BI1786" s="4" t="s">
        <v>3416</v>
      </c>
      <c r="BJ1786" s="4" t="s">
        <v>647</v>
      </c>
      <c r="BK1786" s="4" t="s">
        <v>7122</v>
      </c>
      <c r="BL1786" s="4" t="s">
        <v>7123</v>
      </c>
      <c r="BM1786" s="4" t="s">
        <v>7124</v>
      </c>
      <c r="BN1786" s="4" t="s">
        <v>3421</v>
      </c>
      <c r="BO1786" s="4" t="s">
        <v>7125</v>
      </c>
      <c r="BP1786" s="4" t="s">
        <v>7126</v>
      </c>
      <c r="BQ1786" s="4" t="s">
        <v>647</v>
      </c>
      <c r="BR1786" s="4" t="s">
        <v>2858</v>
      </c>
      <c r="BS1786" s="4" t="s">
        <v>3423</v>
      </c>
      <c r="BT1786" s="4" t="s">
        <v>1496</v>
      </c>
      <c r="BU1786" s="4" t="s">
        <v>3424</v>
      </c>
      <c r="BV1786" s="4" t="s">
        <v>1503</v>
      </c>
      <c r="BW1786" s="4" t="s">
        <v>646</v>
      </c>
      <c r="BX1786" s="4" t="s">
        <v>637</v>
      </c>
      <c r="BY1786" s="4" t="s">
        <v>647</v>
      </c>
      <c r="BZ1786" s="4" t="s">
        <v>648</v>
      </c>
      <c r="CA1786" s="4" t="s">
        <v>649</v>
      </c>
      <c r="CB1786" s="4" t="s">
        <v>647</v>
      </c>
      <c r="CC1786" s="4" t="s">
        <v>7127</v>
      </c>
      <c r="CD1786" s="4" t="s">
        <v>7128</v>
      </c>
      <c r="CE1786" s="4" t="s">
        <v>3398</v>
      </c>
      <c r="CF1786" s="4" t="s">
        <v>3399</v>
      </c>
      <c r="CG1786" s="4" t="s">
        <v>3400</v>
      </c>
      <c r="CH1786" s="4" t="s">
        <v>3401</v>
      </c>
      <c r="CI1786" s="4" t="s">
        <v>3402</v>
      </c>
      <c r="CJ1786" s="4" t="s">
        <v>647</v>
      </c>
      <c r="CK1786" s="4" t="s">
        <v>3403</v>
      </c>
      <c r="CL1786" s="4" t="s">
        <v>3404</v>
      </c>
      <c r="CM1786" s="4" t="s">
        <v>3405</v>
      </c>
      <c r="CN1786" s="4" t="s">
        <v>647</v>
      </c>
      <c r="CO1786" s="4" t="s">
        <v>2682</v>
      </c>
      <c r="CP1786" s="4" t="s">
        <v>3425</v>
      </c>
      <c r="CQ1786" s="4" t="s">
        <v>647</v>
      </c>
      <c r="CR1786" s="4" t="s">
        <v>3413</v>
      </c>
      <c r="CS1786" s="4" t="s">
        <v>646</v>
      </c>
      <c r="CT1786" s="4" t="s">
        <v>3414</v>
      </c>
      <c r="CU1786" s="4" t="s">
        <v>647</v>
      </c>
      <c r="CV1786" s="4" t="s">
        <v>1494</v>
      </c>
      <c r="CW1786" s="4" t="s">
        <v>1496</v>
      </c>
      <c r="CX1786" s="4" t="s">
        <v>647</v>
      </c>
      <c r="CY1786" s="4" t="s">
        <v>1497</v>
      </c>
      <c r="CZ1786" s="4" t="s">
        <v>1498</v>
      </c>
      <c r="DA1786" s="4" t="s">
        <v>7129</v>
      </c>
      <c r="DB1786" s="4" t="s">
        <v>7130</v>
      </c>
      <c r="DC1786" s="4" t="s">
        <v>7131</v>
      </c>
      <c r="DD1786" s="4" t="s">
        <v>3401</v>
      </c>
      <c r="DE1786" s="4" t="s">
        <v>7132</v>
      </c>
      <c r="DF1786" s="4" t="s">
        <v>647</v>
      </c>
      <c r="DG1786" s="4" t="s">
        <v>647</v>
      </c>
      <c r="DH1786" s="4" t="s">
        <v>7133</v>
      </c>
      <c r="DI1786" s="4" t="s">
        <v>7134</v>
      </c>
      <c r="DJ1786" s="4" t="s">
        <v>7135</v>
      </c>
      <c r="DK1786" s="4" t="s">
        <v>7136</v>
      </c>
      <c r="DL1786" s="4" t="s">
        <v>647</v>
      </c>
      <c r="DM1786" s="4" t="s">
        <v>3420</v>
      </c>
      <c r="DN1786" s="4" t="s">
        <v>1403</v>
      </c>
      <c r="DO1786" s="4" t="s">
        <v>647</v>
      </c>
      <c r="DP1786" s="4" t="s">
        <v>647</v>
      </c>
      <c r="DQ1786" s="4" t="s">
        <v>647</v>
      </c>
      <c r="DR1786" s="4" t="s">
        <v>3415</v>
      </c>
      <c r="DS1786" s="4" t="s">
        <v>647</v>
      </c>
      <c r="DT1786" s="4" t="s">
        <v>3416</v>
      </c>
      <c r="DU1786" s="4" t="s">
        <v>647</v>
      </c>
      <c r="DV1786" s="4" t="s">
        <v>4502</v>
      </c>
      <c r="DW1786" s="4" t="s">
        <v>7137</v>
      </c>
      <c r="DX1786" s="4" t="s">
        <v>647</v>
      </c>
      <c r="DY1786" s="4" t="s">
        <v>7138</v>
      </c>
      <c r="DZ1786" s="4" t="s">
        <v>647</v>
      </c>
      <c r="EA1786" s="4" t="s">
        <v>3422</v>
      </c>
      <c r="EB1786" s="4" t="s">
        <v>7139</v>
      </c>
      <c r="EC1786" s="4" t="s">
        <v>7140</v>
      </c>
      <c r="ED1786" s="4" t="s">
        <v>647</v>
      </c>
      <c r="EE1786" s="4" t="s">
        <v>2682</v>
      </c>
      <c r="EF1786" s="4" t="s">
        <v>2756</v>
      </c>
      <c r="EG1786" s="4" t="s">
        <v>2762</v>
      </c>
      <c r="EH1786" s="4" t="s">
        <v>2763</v>
      </c>
      <c r="EI1786" s="4" t="s">
        <v>637</v>
      </c>
      <c r="EJ1786" s="4" t="s">
        <v>2764</v>
      </c>
      <c r="EK1786" s="4" t="s">
        <v>2765</v>
      </c>
      <c r="EL1786" s="4" t="s">
        <v>2766</v>
      </c>
      <c r="EM1786" s="4" t="s">
        <v>647</v>
      </c>
      <c r="EN1786" s="4" t="s">
        <v>2767</v>
      </c>
      <c r="EO1786" s="4" t="s">
        <v>2768</v>
      </c>
      <c r="EP1786" s="4" t="s">
        <v>2769</v>
      </c>
      <c r="EQ1786" s="4" t="s">
        <v>2770</v>
      </c>
      <c r="ER1786" s="4" t="s">
        <v>2771</v>
      </c>
      <c r="ES1786" s="4" t="s">
        <v>2772</v>
      </c>
      <c r="ET1786" s="4" t="s">
        <v>2773</v>
      </c>
      <c r="EU1786" s="4" t="s">
        <v>2774</v>
      </c>
      <c r="EV1786" s="4" t="s">
        <v>2775</v>
      </c>
      <c r="EW1786" s="4" t="s">
        <v>2776</v>
      </c>
      <c r="EX1786" s="4" t="s">
        <v>7141</v>
      </c>
      <c r="EY1786" s="4" t="s">
        <v>7142</v>
      </c>
      <c r="EZ1786" s="4" t="s">
        <v>7143</v>
      </c>
      <c r="FA1786" s="4" t="s">
        <v>647</v>
      </c>
      <c r="FB1786" s="4" t="s">
        <v>3369</v>
      </c>
      <c r="FC1786" s="4" t="s">
        <v>647</v>
      </c>
    </row>
    <row r="1787">
      <c r="A1787" s="4">
        <v>303.0</v>
      </c>
      <c r="B1787" s="4" t="s">
        <v>5757</v>
      </c>
      <c r="C1787" s="4"/>
      <c r="D1787" s="4" t="s">
        <v>7144</v>
      </c>
      <c r="E1787" s="4" t="s">
        <v>7145</v>
      </c>
      <c r="F1787" s="4" t="s">
        <v>7146</v>
      </c>
      <c r="G1787" s="5" t="str">
        <f>IFERROR(__xludf.DUMMYFUNCTION("GOOGLETRANSLATE(D1787,""en"",""es"")"),"pássim")</f>
        <v>pássim</v>
      </c>
      <c r="H1787" s="4" t="s">
        <v>7144</v>
      </c>
      <c r="I1787" s="4" t="s">
        <v>7147</v>
      </c>
    </row>
    <row r="1788">
      <c r="A1788" s="4">
        <v>304.0</v>
      </c>
      <c r="B1788" s="4" t="s">
        <v>5757</v>
      </c>
      <c r="C1788" s="4"/>
      <c r="D1788" s="4" t="s">
        <v>1112</v>
      </c>
      <c r="E1788" s="4" t="s">
        <v>7148</v>
      </c>
      <c r="F1788" s="4" t="s">
        <v>1112</v>
      </c>
      <c r="G1788" s="5" t="str">
        <f>IFERROR(__xludf.DUMMYFUNCTION("GOOGLETRANSLATE(D1788,""en"",""es"")"),"sendero")</f>
        <v>sendero</v>
      </c>
      <c r="H1788" s="4" t="s">
        <v>1111</v>
      </c>
      <c r="I1788" s="4" t="s">
        <v>1112</v>
      </c>
      <c r="J1788" s="4" t="s">
        <v>1113</v>
      </c>
      <c r="K1788" s="4" t="s">
        <v>1112</v>
      </c>
      <c r="L1788" s="4" t="s">
        <v>1112</v>
      </c>
      <c r="M1788" s="4" t="s">
        <v>1117</v>
      </c>
      <c r="N1788" s="4" t="s">
        <v>1118</v>
      </c>
      <c r="O1788" s="4" t="s">
        <v>1112</v>
      </c>
      <c r="P1788" s="4" t="s">
        <v>1114</v>
      </c>
      <c r="Q1788" s="4" t="s">
        <v>1061</v>
      </c>
    </row>
    <row r="1789">
      <c r="A1789" s="4">
        <v>305.0</v>
      </c>
      <c r="B1789" s="4" t="s">
        <v>5757</v>
      </c>
      <c r="C1789" s="4"/>
      <c r="D1789" s="4" t="s">
        <v>7149</v>
      </c>
      <c r="E1789" s="4" t="s">
        <v>7150</v>
      </c>
      <c r="F1789" s="4" t="s">
        <v>7151</v>
      </c>
      <c r="G1789" s="5" t="str">
        <f>IFERROR(__xludf.DUMMYFUNCTION("GOOGLETRANSLATE(D1789,""en"",""es"")"),"patente")</f>
        <v>patente</v>
      </c>
    </row>
    <row r="1790">
      <c r="A1790" s="4">
        <v>306.0</v>
      </c>
      <c r="B1790" s="4" t="s">
        <v>5757</v>
      </c>
      <c r="C1790" s="4"/>
      <c r="D1790" s="4" t="s">
        <v>7152</v>
      </c>
      <c r="E1790" s="4" t="s">
        <v>7153</v>
      </c>
      <c r="F1790" s="4" t="s">
        <v>3442</v>
      </c>
      <c r="G1790" s="5" t="str">
        <f>IFERROR(__xludf.DUMMYFUNCTION("GOOGLETRANSLATE(D1790,""en"",""es"")"),"empanada")</f>
        <v>empanada</v>
      </c>
      <c r="H1790" s="4" t="s">
        <v>7152</v>
      </c>
      <c r="I1790" s="4" t="s">
        <v>7154</v>
      </c>
      <c r="J1790" s="4" t="s">
        <v>7152</v>
      </c>
      <c r="K1790" s="4" t="s">
        <v>7152</v>
      </c>
    </row>
    <row r="1791">
      <c r="A1791" s="4">
        <v>307.0</v>
      </c>
      <c r="B1791" s="4" t="s">
        <v>5757</v>
      </c>
      <c r="C1791" s="4"/>
      <c r="D1791" s="4" t="s">
        <v>7155</v>
      </c>
      <c r="E1791" s="4" t="s">
        <v>7156</v>
      </c>
      <c r="F1791" s="4" t="s">
        <v>3170</v>
      </c>
      <c r="G1791" s="5" t="str">
        <f>IFERROR(__xludf.DUMMYFUNCTION("GOOGLETRANSLATE(D1791,""en"",""es"")"),"lápiz")</f>
        <v>lápiz</v>
      </c>
      <c r="H1791" s="4" t="s">
        <v>7155</v>
      </c>
      <c r="I1791" s="4" t="s">
        <v>7155</v>
      </c>
      <c r="J1791" s="4" t="s">
        <v>7157</v>
      </c>
      <c r="K1791" s="4" t="s">
        <v>7155</v>
      </c>
      <c r="L1791" s="4" t="s">
        <v>7158</v>
      </c>
      <c r="M1791" s="4" t="s">
        <v>7155</v>
      </c>
      <c r="N1791" s="4" t="s">
        <v>7155</v>
      </c>
      <c r="O1791" s="4" t="s">
        <v>7159</v>
      </c>
      <c r="P1791" s="4" t="s">
        <v>7160</v>
      </c>
      <c r="Q1791" s="4" t="s">
        <v>7155</v>
      </c>
      <c r="R1791" s="4" t="s">
        <v>7161</v>
      </c>
    </row>
    <row r="1792">
      <c r="A1792" s="4">
        <v>308.0</v>
      </c>
      <c r="B1792" s="4" t="s">
        <v>5757</v>
      </c>
      <c r="C1792" s="4"/>
      <c r="D1792" s="4" t="s">
        <v>3457</v>
      </c>
      <c r="E1792" s="4" t="s">
        <v>7162</v>
      </c>
      <c r="F1792" s="4" t="s">
        <v>266</v>
      </c>
      <c r="G1792" s="5" t="str">
        <f>IFERROR(__xludf.DUMMYFUNCTION("GOOGLETRANSLATE(D1792,""en"",""es"")"),"Foto")</f>
        <v>Foto</v>
      </c>
      <c r="H1792" s="4" t="s">
        <v>7163</v>
      </c>
      <c r="I1792" s="4" t="s">
        <v>1240</v>
      </c>
      <c r="J1792" s="4" t="s">
        <v>7164</v>
      </c>
      <c r="K1792" s="4" t="s">
        <v>7165</v>
      </c>
      <c r="L1792" s="4" t="s">
        <v>7166</v>
      </c>
      <c r="M1792" s="4" t="s">
        <v>7167</v>
      </c>
      <c r="N1792" s="4" t="s">
        <v>7168</v>
      </c>
      <c r="O1792" s="4" t="s">
        <v>7169</v>
      </c>
      <c r="P1792" s="4" t="s">
        <v>3457</v>
      </c>
      <c r="Q1792" s="4" t="s">
        <v>4448</v>
      </c>
      <c r="R1792" s="4" t="s">
        <v>7170</v>
      </c>
      <c r="S1792" s="4" t="s">
        <v>7171</v>
      </c>
      <c r="T1792" s="4" t="s">
        <v>7172</v>
      </c>
      <c r="U1792" s="4" t="s">
        <v>7164</v>
      </c>
      <c r="V1792" s="4" t="s">
        <v>3457</v>
      </c>
    </row>
    <row r="1793">
      <c r="A1793" s="4">
        <v>309.0</v>
      </c>
      <c r="B1793" s="4" t="s">
        <v>5757</v>
      </c>
      <c r="C1793" s="4"/>
      <c r="D1793" s="4" t="s">
        <v>7173</v>
      </c>
      <c r="E1793" s="4" t="s">
        <v>7174</v>
      </c>
      <c r="F1793" s="4" t="s">
        <v>7175</v>
      </c>
      <c r="G1793" s="5" t="str">
        <f>IFERROR(__xludf.DUMMYFUNCTION("GOOGLETRANSLATE(D1793,""en"",""es"")"),"piccy")</f>
        <v>piccy</v>
      </c>
    </row>
    <row r="1794">
      <c r="A1794" s="4">
        <v>310.0</v>
      </c>
      <c r="B1794" s="4" t="s">
        <v>5757</v>
      </c>
      <c r="C1794" s="4"/>
      <c r="D1794" s="4" t="s">
        <v>3459</v>
      </c>
      <c r="E1794" s="4" t="s">
        <v>7162</v>
      </c>
      <c r="F1794" s="4" t="s">
        <v>266</v>
      </c>
      <c r="G1794" s="5" t="str">
        <f>IFERROR(__xludf.DUMMYFUNCTION("GOOGLETRANSLATE(D1794,""en"",""es"")"),"elegir")</f>
        <v>elegir</v>
      </c>
      <c r="H1794" s="4" t="s">
        <v>7176</v>
      </c>
      <c r="I1794" s="4" t="s">
        <v>3459</v>
      </c>
      <c r="J1794" s="4" t="s">
        <v>7177</v>
      </c>
      <c r="K1794" s="4" t="s">
        <v>7178</v>
      </c>
      <c r="L1794" s="4" t="s">
        <v>3459</v>
      </c>
      <c r="M1794" s="4" t="s">
        <v>2937</v>
      </c>
      <c r="N1794" s="4" t="s">
        <v>3459</v>
      </c>
      <c r="O1794" s="4" t="s">
        <v>7179</v>
      </c>
      <c r="P1794" s="4" t="s">
        <v>7180</v>
      </c>
      <c r="Q1794" s="4" t="s">
        <v>7181</v>
      </c>
      <c r="R1794" s="4" t="s">
        <v>3459</v>
      </c>
      <c r="S1794" s="4" t="s">
        <v>3459</v>
      </c>
      <c r="T1794" s="4" t="s">
        <v>7182</v>
      </c>
      <c r="U1794" s="4" t="s">
        <v>7183</v>
      </c>
      <c r="V1794" s="4" t="s">
        <v>3459</v>
      </c>
      <c r="W1794" s="4" t="s">
        <v>3459</v>
      </c>
      <c r="X1794" s="4" t="s">
        <v>3460</v>
      </c>
      <c r="Y1794" s="4" t="s">
        <v>3461</v>
      </c>
      <c r="Z1794" s="4" t="s">
        <v>3459</v>
      </c>
      <c r="AA1794" s="4" t="s">
        <v>7176</v>
      </c>
      <c r="AB1794" s="4" t="s">
        <v>7177</v>
      </c>
      <c r="AC1794" s="4" t="s">
        <v>7184</v>
      </c>
      <c r="AD1794" s="4" t="s">
        <v>3459</v>
      </c>
      <c r="AE1794" s="4" t="s">
        <v>3459</v>
      </c>
      <c r="AF1794" s="4" t="s">
        <v>3459</v>
      </c>
      <c r="AG1794" s="4" t="s">
        <v>6291</v>
      </c>
      <c r="AH1794" s="4" t="s">
        <v>1640</v>
      </c>
      <c r="AI1794" s="4" t="s">
        <v>7185</v>
      </c>
      <c r="AJ1794" s="4" t="s">
        <v>7186</v>
      </c>
      <c r="AK1794" s="4" t="s">
        <v>3459</v>
      </c>
      <c r="AL1794" s="4" t="s">
        <v>3459</v>
      </c>
      <c r="AM1794" s="4" t="s">
        <v>3459</v>
      </c>
      <c r="AN1794" s="4" t="s">
        <v>7187</v>
      </c>
      <c r="AO1794" s="4" t="s">
        <v>3459</v>
      </c>
      <c r="AP1794" s="4" t="s">
        <v>3459</v>
      </c>
      <c r="AQ1794" s="4" t="s">
        <v>7188</v>
      </c>
      <c r="AR1794" s="4" t="s">
        <v>3459</v>
      </c>
      <c r="AS1794" s="4" t="s">
        <v>6291</v>
      </c>
      <c r="AT1794" s="4" t="s">
        <v>7189</v>
      </c>
      <c r="AU1794" s="4" t="s">
        <v>3459</v>
      </c>
      <c r="AV1794" s="4" t="s">
        <v>3459</v>
      </c>
      <c r="AW1794" s="4" t="s">
        <v>943</v>
      </c>
      <c r="AX1794" s="4" t="s">
        <v>1750</v>
      </c>
      <c r="AY1794" s="4" t="s">
        <v>3459</v>
      </c>
      <c r="AZ1794" s="4" t="s">
        <v>7190</v>
      </c>
      <c r="BA1794" s="4" t="s">
        <v>3485</v>
      </c>
      <c r="BB1794" s="4" t="s">
        <v>3459</v>
      </c>
      <c r="BC1794" s="4" t="s">
        <v>3486</v>
      </c>
    </row>
    <row r="1795">
      <c r="A1795" s="4">
        <v>311.0</v>
      </c>
      <c r="B1795" s="4" t="s">
        <v>5757</v>
      </c>
      <c r="C1795" s="4"/>
      <c r="D1795" s="4" t="s">
        <v>7191</v>
      </c>
      <c r="E1795" s="4" t="s">
        <v>7174</v>
      </c>
      <c r="F1795" s="4" t="s">
        <v>7175</v>
      </c>
      <c r="G1795" s="5" t="str">
        <f>IFERROR(__xludf.DUMMYFUNCTION("GOOGLETRANSLATE(D1795,""en"",""es"")"),"quisquilloso")</f>
        <v>quisquilloso</v>
      </c>
      <c r="H1795" s="4" t="s">
        <v>7192</v>
      </c>
      <c r="I1795" s="4" t="s">
        <v>7193</v>
      </c>
      <c r="J1795" s="4" t="s">
        <v>7194</v>
      </c>
      <c r="K1795" s="4" t="s">
        <v>7195</v>
      </c>
      <c r="L1795" s="4" t="s">
        <v>7191</v>
      </c>
    </row>
    <row r="1796">
      <c r="A1796" s="4">
        <v>312.0</v>
      </c>
      <c r="B1796" s="4" t="s">
        <v>5757</v>
      </c>
      <c r="C1796" s="4"/>
      <c r="D1796" s="4" t="s">
        <v>7196</v>
      </c>
      <c r="E1796" s="4" t="s">
        <v>7174</v>
      </c>
      <c r="F1796" s="4" t="s">
        <v>7175</v>
      </c>
      <c r="G1796" s="5" t="str">
        <f>IFERROR(__xludf.DUMMYFUNCTION("GOOGLETRANSLATE(D1796,""en"",""es"")"),"pikkie")</f>
        <v>pikkie</v>
      </c>
    </row>
    <row r="1797">
      <c r="A1797" s="4">
        <v>313.0</v>
      </c>
      <c r="B1797" s="4" t="s">
        <v>5757</v>
      </c>
      <c r="C1797" s="4"/>
      <c r="D1797" s="4" t="s">
        <v>7197</v>
      </c>
      <c r="E1797" s="4" t="s">
        <v>7198</v>
      </c>
      <c r="F1797" s="4" t="s">
        <v>7199</v>
      </c>
      <c r="G1797" s="5" t="str">
        <f>IFERROR(__xludf.DUMMYFUNCTION("GOOGLETRANSLATE(D1797,""en"",""es"")"),"píldora")</f>
        <v>píldora</v>
      </c>
      <c r="H1797" s="4" t="s">
        <v>7197</v>
      </c>
      <c r="I1797" s="4" t="s">
        <v>7197</v>
      </c>
      <c r="J1797" s="4" t="s">
        <v>7200</v>
      </c>
      <c r="K1797" s="4" t="s">
        <v>7201</v>
      </c>
      <c r="L1797" s="4" t="s">
        <v>7202</v>
      </c>
      <c r="M1797" s="4" t="s">
        <v>7197</v>
      </c>
      <c r="N1797" s="4" t="s">
        <v>7197</v>
      </c>
      <c r="O1797" s="4" t="s">
        <v>7197</v>
      </c>
      <c r="P1797" s="4" t="s">
        <v>7203</v>
      </c>
      <c r="Q1797" s="4" t="s">
        <v>7204</v>
      </c>
      <c r="R1797" s="4" t="s">
        <v>7205</v>
      </c>
      <c r="S1797" s="4" t="s">
        <v>7206</v>
      </c>
      <c r="T1797" s="4" t="s">
        <v>7207</v>
      </c>
      <c r="U1797" s="4" t="s">
        <v>7208</v>
      </c>
    </row>
    <row r="1798">
      <c r="A1798" s="4">
        <v>314.0</v>
      </c>
      <c r="B1798" s="4" t="s">
        <v>5757</v>
      </c>
      <c r="C1798" s="4"/>
      <c r="D1798" s="4" t="s">
        <v>3170</v>
      </c>
      <c r="E1798" s="4" t="s">
        <v>7156</v>
      </c>
      <c r="F1798" s="4" t="s">
        <v>3170</v>
      </c>
      <c r="G1798" s="5" t="str">
        <f>IFERROR(__xludf.DUMMYFUNCTION("GOOGLETRANSLATE(D1798,""en"",""es"")"),"alfiler")</f>
        <v>alfiler</v>
      </c>
      <c r="H1798" s="4" t="s">
        <v>3170</v>
      </c>
      <c r="I1798" s="4" t="s">
        <v>4502</v>
      </c>
      <c r="J1798" s="4" t="s">
        <v>3170</v>
      </c>
      <c r="K1798" s="4" t="s">
        <v>3171</v>
      </c>
      <c r="L1798" s="4" t="s">
        <v>3170</v>
      </c>
      <c r="M1798" s="4" t="s">
        <v>7209</v>
      </c>
      <c r="N1798" s="4" t="s">
        <v>7210</v>
      </c>
      <c r="O1798" s="4" t="s">
        <v>7211</v>
      </c>
      <c r="P1798" s="4" t="s">
        <v>3170</v>
      </c>
      <c r="Q1798" s="4" t="s">
        <v>3171</v>
      </c>
      <c r="R1798" s="4" t="s">
        <v>3169</v>
      </c>
      <c r="S1798" s="4" t="s">
        <v>7212</v>
      </c>
      <c r="T1798" s="4" t="s">
        <v>3170</v>
      </c>
      <c r="U1798" s="4" t="s">
        <v>3170</v>
      </c>
      <c r="V1798" s="4" t="s">
        <v>7213</v>
      </c>
      <c r="W1798" s="4" t="s">
        <v>3170</v>
      </c>
      <c r="X1798" s="4" t="s">
        <v>2179</v>
      </c>
      <c r="Y1798" s="4" t="s">
        <v>3170</v>
      </c>
      <c r="Z1798" s="4" t="s">
        <v>3171</v>
      </c>
      <c r="AA1798" s="4" t="s">
        <v>3170</v>
      </c>
      <c r="AB1798" s="4" t="s">
        <v>7214</v>
      </c>
      <c r="AC1798" s="4" t="s">
        <v>7215</v>
      </c>
      <c r="AD1798" s="4" t="s">
        <v>7216</v>
      </c>
      <c r="AE1798" s="4" t="s">
        <v>7217</v>
      </c>
      <c r="AF1798" s="4" t="s">
        <v>7218</v>
      </c>
      <c r="AG1798" s="4" t="s">
        <v>3170</v>
      </c>
      <c r="AH1798" s="4" t="s">
        <v>7219</v>
      </c>
      <c r="AI1798" s="4" t="s">
        <v>3170</v>
      </c>
      <c r="AJ1798" s="4" t="s">
        <v>7220</v>
      </c>
      <c r="AK1798" s="4" t="s">
        <v>7221</v>
      </c>
      <c r="AL1798" s="4" t="s">
        <v>3170</v>
      </c>
      <c r="AM1798" s="4" t="s">
        <v>3170</v>
      </c>
      <c r="AN1798" s="4" t="s">
        <v>3170</v>
      </c>
    </row>
    <row r="1799">
      <c r="A1799" s="4">
        <v>315.0</v>
      </c>
      <c r="B1799" s="4" t="s">
        <v>5757</v>
      </c>
      <c r="C1799" s="4"/>
      <c r="D1799" s="4" t="s">
        <v>7222</v>
      </c>
      <c r="E1799" s="4" t="s">
        <v>7223</v>
      </c>
      <c r="F1799" s="4" t="s">
        <v>5451</v>
      </c>
      <c r="G1799" s="5" t="str">
        <f>IFERROR(__xludf.DUMMYFUNCTION("GOOGLETRANSLATE(D1799,""en"",""es"")"),"pinaza")</f>
        <v>pinaza</v>
      </c>
      <c r="H1799" s="4" t="s">
        <v>7224</v>
      </c>
      <c r="I1799" s="4" t="s">
        <v>7225</v>
      </c>
      <c r="J1799" s="4" t="s">
        <v>7222</v>
      </c>
      <c r="K1799" s="4" t="s">
        <v>7226</v>
      </c>
    </row>
    <row r="1800">
      <c r="A1800" s="4">
        <v>316.0</v>
      </c>
      <c r="B1800" s="4" t="s">
        <v>5757</v>
      </c>
      <c r="C1800" s="4"/>
      <c r="D1800" s="4" t="s">
        <v>7227</v>
      </c>
      <c r="E1800" s="4" t="s">
        <v>7228</v>
      </c>
      <c r="F1800" s="4" t="s">
        <v>5448</v>
      </c>
      <c r="G1800" s="5" t="str">
        <f>IFERROR(__xludf.DUMMYFUNCTION("GOOGLETRANSLATE(D1800,""en"",""es"")"),"delantal")</f>
        <v>delantal</v>
      </c>
      <c r="H1800" s="4" t="s">
        <v>7229</v>
      </c>
      <c r="I1800" s="4" t="s">
        <v>7230</v>
      </c>
      <c r="J1800" s="4" t="s">
        <v>7227</v>
      </c>
    </row>
    <row r="1801">
      <c r="A1801" s="4">
        <v>317.0</v>
      </c>
      <c r="B1801" s="4" t="s">
        <v>5757</v>
      </c>
      <c r="C1801" s="4"/>
      <c r="D1801" s="4" t="s">
        <v>4851</v>
      </c>
      <c r="E1801" s="4" t="s">
        <v>7231</v>
      </c>
      <c r="F1801" s="4" t="s">
        <v>4851</v>
      </c>
      <c r="G1801" s="5" t="str">
        <f>IFERROR(__xludf.DUMMYFUNCTION("GOOGLETRANSLATE(D1801,""en"",""es"")"),"pepita")</f>
        <v>pepita</v>
      </c>
      <c r="H1801" s="4" t="s">
        <v>4851</v>
      </c>
      <c r="I1801" s="4" t="s">
        <v>4851</v>
      </c>
      <c r="J1801" s="4" t="s">
        <v>4851</v>
      </c>
      <c r="K1801" s="4" t="s">
        <v>2298</v>
      </c>
      <c r="L1801" s="4" t="s">
        <v>4851</v>
      </c>
      <c r="M1801" s="4" t="s">
        <v>7232</v>
      </c>
      <c r="N1801" s="4" t="s">
        <v>4851</v>
      </c>
      <c r="O1801" s="4" t="s">
        <v>7233</v>
      </c>
      <c r="P1801" s="4" t="s">
        <v>4430</v>
      </c>
      <c r="Q1801" s="4" t="s">
        <v>4851</v>
      </c>
      <c r="R1801" s="4" t="s">
        <v>4430</v>
      </c>
      <c r="S1801" s="4" t="s">
        <v>856</v>
      </c>
      <c r="T1801" s="4" t="s">
        <v>4851</v>
      </c>
      <c r="U1801" s="4" t="s">
        <v>7234</v>
      </c>
      <c r="V1801" s="4" t="s">
        <v>4851</v>
      </c>
      <c r="W1801" s="4" t="s">
        <v>7235</v>
      </c>
      <c r="X1801" s="4" t="s">
        <v>6574</v>
      </c>
      <c r="Y1801" s="4" t="s">
        <v>7236</v>
      </c>
    </row>
    <row r="1802">
      <c r="A1802" s="4">
        <v>318.0</v>
      </c>
      <c r="B1802" s="4" t="s">
        <v>5757</v>
      </c>
      <c r="C1802" s="4"/>
      <c r="D1802" s="4" t="s">
        <v>7237</v>
      </c>
      <c r="E1802" s="4" t="s">
        <v>7238</v>
      </c>
      <c r="F1802" s="4" t="s">
        <v>7237</v>
      </c>
      <c r="G1802" s="5" t="str">
        <f>IFERROR(__xludf.DUMMYFUNCTION("GOOGLETRANSLATE(D1802,""en"",""es"")"),"pish")</f>
        <v>pish</v>
      </c>
    </row>
    <row r="1803">
      <c r="A1803" s="4">
        <v>319.0</v>
      </c>
      <c r="B1803" s="4" t="s">
        <v>5757</v>
      </c>
      <c r="C1803" s="4"/>
      <c r="D1803" s="4" t="s">
        <v>7239</v>
      </c>
      <c r="E1803" s="4" t="s">
        <v>7240</v>
      </c>
      <c r="F1803" s="4" t="s">
        <v>3570</v>
      </c>
      <c r="G1803" s="5" t="str">
        <f>IFERROR(__xludf.DUMMYFUNCTION("GOOGLETRANSLATE(D1803,""en"",""es"")"),"orinar")</f>
        <v>orinar</v>
      </c>
      <c r="H1803" s="4" t="s">
        <v>7241</v>
      </c>
      <c r="I1803" s="4" t="s">
        <v>7239</v>
      </c>
      <c r="J1803" s="4" t="s">
        <v>7242</v>
      </c>
      <c r="K1803" s="4" t="s">
        <v>7243</v>
      </c>
      <c r="L1803" s="4" t="s">
        <v>7244</v>
      </c>
      <c r="M1803" s="4" t="s">
        <v>7245</v>
      </c>
      <c r="N1803" s="4" t="s">
        <v>7246</v>
      </c>
      <c r="O1803" s="4" t="s">
        <v>7242</v>
      </c>
      <c r="P1803" s="4" t="s">
        <v>7247</v>
      </c>
      <c r="Q1803" s="4" t="s">
        <v>7239</v>
      </c>
      <c r="R1803" s="4" t="s">
        <v>3000</v>
      </c>
      <c r="S1803" s="4" t="s">
        <v>7248</v>
      </c>
      <c r="T1803" s="4" t="s">
        <v>7243</v>
      </c>
      <c r="U1803" s="4" t="s">
        <v>4723</v>
      </c>
      <c r="V1803" s="4" t="s">
        <v>7249</v>
      </c>
      <c r="W1803" s="4" t="s">
        <v>7239</v>
      </c>
      <c r="X1803" s="4" t="s">
        <v>7242</v>
      </c>
      <c r="Y1803" s="4" t="s">
        <v>7250</v>
      </c>
      <c r="Z1803" s="4" t="s">
        <v>7251</v>
      </c>
      <c r="AA1803" s="4" t="s">
        <v>7252</v>
      </c>
      <c r="AB1803" s="4" t="s">
        <v>7253</v>
      </c>
      <c r="AC1803" s="4" t="s">
        <v>7254</v>
      </c>
      <c r="AD1803" s="4" t="s">
        <v>4693</v>
      </c>
      <c r="AE1803" s="4" t="s">
        <v>7255</v>
      </c>
      <c r="AF1803" s="4" t="s">
        <v>7256</v>
      </c>
    </row>
    <row r="1804">
      <c r="A1804" s="4">
        <v>320.0</v>
      </c>
      <c r="B1804" s="4" t="s">
        <v>5757</v>
      </c>
      <c r="C1804" s="4"/>
      <c r="D1804" s="4" t="s">
        <v>7257</v>
      </c>
      <c r="E1804" s="4" t="s">
        <v>7258</v>
      </c>
      <c r="F1804" s="4" t="s">
        <v>7259</v>
      </c>
      <c r="G1804" s="5" t="str">
        <f>IFERROR(__xludf.DUMMYFUNCTION("GOOGLETRANSLATE(D1804,""en"",""es"")"),"pisoteo")</f>
        <v>pisoteo</v>
      </c>
    </row>
    <row r="1805">
      <c r="A1805" s="4">
        <v>321.0</v>
      </c>
      <c r="B1805" s="4" t="s">
        <v>5757</v>
      </c>
      <c r="C1805" s="4"/>
      <c r="D1805" s="4" t="s">
        <v>395</v>
      </c>
      <c r="E1805" s="4" t="s">
        <v>7260</v>
      </c>
      <c r="F1805" s="4" t="s">
        <v>395</v>
      </c>
      <c r="G1805" s="5" t="str">
        <f>IFERROR(__xludf.DUMMYFUNCTION("GOOGLETRANSLATE(D1805,""en"",""es"")"),"Agave")</f>
        <v>Agave</v>
      </c>
      <c r="H1805" s="4" t="s">
        <v>395</v>
      </c>
      <c r="I1805" s="4" t="s">
        <v>3587</v>
      </c>
    </row>
    <row r="1806">
      <c r="A1806" s="4">
        <v>322.0</v>
      </c>
      <c r="B1806" s="4" t="s">
        <v>5757</v>
      </c>
      <c r="C1806" s="4"/>
      <c r="D1806" s="4" t="s">
        <v>7261</v>
      </c>
      <c r="E1806" s="4" t="s">
        <v>7262</v>
      </c>
      <c r="F1806" s="4" t="s">
        <v>7261</v>
      </c>
      <c r="G1806" s="5" t="str">
        <f>IFERROR(__xludf.DUMMYFUNCTION("GOOGLETRANSLATE(D1806,""en"",""es"")"),"médula")</f>
        <v>médula</v>
      </c>
      <c r="H1806" s="4" t="s">
        <v>7261</v>
      </c>
      <c r="I1806" s="4" t="s">
        <v>7263</v>
      </c>
      <c r="J1806" s="4" t="s">
        <v>5326</v>
      </c>
      <c r="K1806" s="4" t="s">
        <v>7264</v>
      </c>
      <c r="L1806" s="4" t="s">
        <v>4621</v>
      </c>
      <c r="M1806" s="4" t="s">
        <v>4622</v>
      </c>
      <c r="N1806" s="4" t="s">
        <v>7265</v>
      </c>
      <c r="O1806" s="4" t="s">
        <v>7266</v>
      </c>
      <c r="P1806" s="4" t="s">
        <v>4624</v>
      </c>
      <c r="Q1806" s="4" t="s">
        <v>7267</v>
      </c>
      <c r="R1806" s="4" t="s">
        <v>7268</v>
      </c>
      <c r="S1806" s="4" t="s">
        <v>7269</v>
      </c>
      <c r="T1806" s="4" t="s">
        <v>7270</v>
      </c>
      <c r="U1806" s="4" t="s">
        <v>7271</v>
      </c>
      <c r="V1806" s="4" t="s">
        <v>7261</v>
      </c>
      <c r="W1806" s="4" t="s">
        <v>4123</v>
      </c>
      <c r="X1806" s="4" t="s">
        <v>7272</v>
      </c>
      <c r="Y1806" s="4" t="s">
        <v>7261</v>
      </c>
    </row>
    <row r="1807">
      <c r="A1807" s="4">
        <v>323.0</v>
      </c>
      <c r="B1807" s="4" t="s">
        <v>5757</v>
      </c>
      <c r="C1807" s="4"/>
      <c r="D1807" s="4" t="s">
        <v>7273</v>
      </c>
      <c r="E1807" s="4" t="s">
        <v>7274</v>
      </c>
      <c r="F1807" s="4" t="s">
        <v>5439</v>
      </c>
      <c r="G1807" s="5" t="str">
        <f>IFERROR(__xludf.DUMMYFUNCTION("GOOGLETRANSLATE(D1807,""en"",""es"")"),"sustancial")</f>
        <v>sustancial</v>
      </c>
      <c r="H1807" s="4" t="s">
        <v>7273</v>
      </c>
      <c r="I1807" s="4" t="s">
        <v>7275</v>
      </c>
    </row>
    <row r="1808">
      <c r="A1808" s="4">
        <v>324.0</v>
      </c>
      <c r="B1808" s="4" t="s">
        <v>5757</v>
      </c>
      <c r="C1808" s="4"/>
      <c r="D1808" s="4" t="s">
        <v>7276</v>
      </c>
      <c r="E1808" s="4" t="s">
        <v>7277</v>
      </c>
      <c r="F1808" s="4" t="s">
        <v>7278</v>
      </c>
      <c r="G1808" s="5" t="str">
        <f>IFERROR(__xludf.DUMMYFUNCTION("GOOGLETRANSLATE(D1808,""en"",""es"")"),"pitty")</f>
        <v>pitty</v>
      </c>
    </row>
    <row r="1809">
      <c r="A1809" s="4">
        <v>325.0</v>
      </c>
      <c r="B1809" s="4" t="s">
        <v>5757</v>
      </c>
      <c r="C1809" s="4"/>
      <c r="D1809" s="4" t="s">
        <v>7279</v>
      </c>
      <c r="E1809" s="4" t="s">
        <v>7277</v>
      </c>
      <c r="F1809" s="4" t="s">
        <v>7278</v>
      </c>
      <c r="G1809" s="5" t="str">
        <f>IFERROR(__xludf.DUMMYFUNCTION("GOOGLETRANSLATE(D1809,""en"",""es"")"),"lástima")</f>
        <v>lástima</v>
      </c>
      <c r="H1809" s="4" t="s">
        <v>7280</v>
      </c>
      <c r="I1809" s="4" t="s">
        <v>7279</v>
      </c>
      <c r="J1809" s="4" t="s">
        <v>7281</v>
      </c>
      <c r="K1809" s="4" t="s">
        <v>7282</v>
      </c>
      <c r="L1809" s="4" t="s">
        <v>7279</v>
      </c>
      <c r="M1809" s="4" t="s">
        <v>7283</v>
      </c>
      <c r="N1809" s="4" t="s">
        <v>7284</v>
      </c>
      <c r="O1809" s="4" t="s">
        <v>7279</v>
      </c>
      <c r="P1809" s="4" t="s">
        <v>7285</v>
      </c>
      <c r="Q1809" s="4" t="s">
        <v>7279</v>
      </c>
      <c r="R1809" s="4" t="s">
        <v>7286</v>
      </c>
      <c r="S1809" s="4" t="s">
        <v>7287</v>
      </c>
      <c r="T1809" s="4" t="s">
        <v>7288</v>
      </c>
    </row>
    <row r="1810">
      <c r="A1810" s="4">
        <v>326.0</v>
      </c>
      <c r="B1810" s="4" t="s">
        <v>5757</v>
      </c>
      <c r="C1810" s="4"/>
      <c r="D1810" s="4" t="s">
        <v>7289</v>
      </c>
      <c r="E1810" s="4" t="s">
        <v>3767</v>
      </c>
      <c r="F1810" s="4" t="s">
        <v>3766</v>
      </c>
      <c r="G1810" s="5" t="str">
        <f>IFERROR(__xludf.DUMMYFUNCTION("GOOGLETRANSLATE(D1810,""en"",""es"")"),"poes")</f>
        <v>poes</v>
      </c>
      <c r="H1810" s="4" t="s">
        <v>7290</v>
      </c>
      <c r="I1810" s="4" t="s">
        <v>7291</v>
      </c>
    </row>
    <row r="1811">
      <c r="A1811" s="4">
        <v>327.0</v>
      </c>
      <c r="B1811" s="4" t="s">
        <v>5757</v>
      </c>
      <c r="C1811" s="4"/>
      <c r="D1811" s="4" t="s">
        <v>7292</v>
      </c>
      <c r="E1811" s="4" t="s">
        <v>7293</v>
      </c>
      <c r="F1811" s="4" t="s">
        <v>7294</v>
      </c>
      <c r="G1811" s="5" t="str">
        <f>IFERROR(__xludf.DUMMYFUNCTION("GOOGLETRANSLATE(D1811,""en"",""es"")"),"caca")</f>
        <v>caca</v>
      </c>
    </row>
    <row r="1812">
      <c r="A1812" s="4">
        <v>328.0</v>
      </c>
      <c r="B1812" s="4" t="s">
        <v>5757</v>
      </c>
      <c r="C1812" s="4"/>
      <c r="D1812" s="4" t="s">
        <v>4433</v>
      </c>
      <c r="E1812" s="4" t="s">
        <v>7295</v>
      </c>
      <c r="F1812" s="4" t="s">
        <v>7296</v>
      </c>
      <c r="G1812" s="5" t="str">
        <f>IFERROR(__xludf.DUMMYFUNCTION("GOOGLETRANSLATE(D1812,""en"",""es"")"),"jalar")</f>
        <v>jalar</v>
      </c>
      <c r="H1812" s="4" t="s">
        <v>4433</v>
      </c>
      <c r="I1812" s="4" t="s">
        <v>7297</v>
      </c>
      <c r="J1812" s="4" t="s">
        <v>4433</v>
      </c>
      <c r="K1812" s="4" t="s">
        <v>4433</v>
      </c>
      <c r="L1812" s="4" t="s">
        <v>6602</v>
      </c>
      <c r="M1812" s="4" t="s">
        <v>4433</v>
      </c>
      <c r="N1812" s="4" t="s">
        <v>7298</v>
      </c>
      <c r="O1812" s="4" t="s">
        <v>7299</v>
      </c>
      <c r="P1812" s="4" t="s">
        <v>4433</v>
      </c>
      <c r="Q1812" s="4" t="s">
        <v>7300</v>
      </c>
      <c r="R1812" s="4" t="s">
        <v>4438</v>
      </c>
      <c r="S1812" s="4" t="s">
        <v>4433</v>
      </c>
      <c r="T1812" s="4" t="s">
        <v>4433</v>
      </c>
      <c r="U1812" s="4" t="s">
        <v>4433</v>
      </c>
      <c r="V1812" s="4" t="s">
        <v>3414</v>
      </c>
      <c r="W1812" s="4" t="s">
        <v>4434</v>
      </c>
      <c r="X1812" s="4" t="s">
        <v>7301</v>
      </c>
      <c r="Y1812" s="4" t="s">
        <v>4433</v>
      </c>
      <c r="Z1812" s="4" t="s">
        <v>7302</v>
      </c>
      <c r="AA1812" s="4" t="s">
        <v>3414</v>
      </c>
      <c r="AB1812" s="4" t="s">
        <v>7303</v>
      </c>
      <c r="AC1812" s="4" t="s">
        <v>4433</v>
      </c>
      <c r="AD1812" s="4" t="s">
        <v>4433</v>
      </c>
      <c r="AE1812" s="4" t="s">
        <v>7304</v>
      </c>
      <c r="AF1812" s="4" t="s">
        <v>7305</v>
      </c>
      <c r="AG1812" s="4" t="s">
        <v>4433</v>
      </c>
      <c r="AH1812" s="4" t="s">
        <v>3414</v>
      </c>
      <c r="AI1812" s="4" t="s">
        <v>4433</v>
      </c>
      <c r="AJ1812" s="4" t="s">
        <v>7306</v>
      </c>
      <c r="AK1812" s="4" t="s">
        <v>7307</v>
      </c>
      <c r="AL1812" s="4" t="s">
        <v>7308</v>
      </c>
      <c r="AM1812" s="4" t="s">
        <v>4433</v>
      </c>
      <c r="AN1812" s="4" t="s">
        <v>4433</v>
      </c>
      <c r="AO1812" s="4" t="s">
        <v>7309</v>
      </c>
      <c r="AP1812" s="4" t="s">
        <v>4433</v>
      </c>
      <c r="AQ1812" s="4" t="s">
        <v>3414</v>
      </c>
      <c r="AR1812" s="4" t="s">
        <v>4433</v>
      </c>
      <c r="AS1812" s="4" t="s">
        <v>4433</v>
      </c>
      <c r="AT1812" s="4" t="s">
        <v>7310</v>
      </c>
      <c r="AU1812" s="4" t="s">
        <v>7311</v>
      </c>
      <c r="AV1812" s="4" t="s">
        <v>4304</v>
      </c>
      <c r="AW1812" s="4" t="s">
        <v>4433</v>
      </c>
      <c r="AX1812" s="4" t="s">
        <v>4433</v>
      </c>
      <c r="AY1812" s="4" t="s">
        <v>6291</v>
      </c>
      <c r="AZ1812" s="4" t="s">
        <v>4433</v>
      </c>
      <c r="BA1812" s="4" t="s">
        <v>7312</v>
      </c>
      <c r="BB1812" s="4" t="s">
        <v>7313</v>
      </c>
      <c r="BC1812" s="4" t="s">
        <v>7314</v>
      </c>
      <c r="BD1812" s="4" t="s">
        <v>7315</v>
      </c>
      <c r="BE1812" s="4" t="s">
        <v>7316</v>
      </c>
      <c r="BF1812" s="4" t="s">
        <v>7306</v>
      </c>
      <c r="BG1812" s="4" t="s">
        <v>4433</v>
      </c>
      <c r="BH1812" s="4" t="s">
        <v>7317</v>
      </c>
      <c r="BI1812" s="4" t="s">
        <v>7308</v>
      </c>
      <c r="BJ1812" s="4" t="s">
        <v>7318</v>
      </c>
      <c r="BK1812" s="4" t="s">
        <v>4433</v>
      </c>
      <c r="BL1812" s="4" t="s">
        <v>7319</v>
      </c>
      <c r="BM1812" s="4" t="s">
        <v>4433</v>
      </c>
    </row>
    <row r="1813">
      <c r="A1813" s="4">
        <v>329.0</v>
      </c>
      <c r="B1813" s="4" t="s">
        <v>5757</v>
      </c>
      <c r="C1813" s="4"/>
      <c r="D1813" s="4" t="s">
        <v>7320</v>
      </c>
      <c r="E1813" s="4" t="s">
        <v>7321</v>
      </c>
      <c r="F1813" s="4" t="s">
        <v>3616</v>
      </c>
      <c r="G1813" s="5" t="str">
        <f>IFERROR(__xludf.DUMMYFUNCTION("GOOGLETRANSLATE(D1813,""en"",""es"")"),"polea")</f>
        <v>polea</v>
      </c>
      <c r="H1813" s="4" t="s">
        <v>7320</v>
      </c>
      <c r="I1813" s="4" t="s">
        <v>7322</v>
      </c>
      <c r="J1813" s="4" t="s">
        <v>7323</v>
      </c>
      <c r="K1813" s="4" t="s">
        <v>326</v>
      </c>
    </row>
    <row r="1814">
      <c r="A1814" s="4">
        <v>330.0</v>
      </c>
      <c r="B1814" s="4" t="s">
        <v>5757</v>
      </c>
      <c r="C1814" s="4"/>
      <c r="D1814" s="4" t="s">
        <v>697</v>
      </c>
      <c r="E1814" s="4" t="s">
        <v>7324</v>
      </c>
      <c r="F1814" s="4" t="s">
        <v>697</v>
      </c>
      <c r="G1814" s="5" t="str">
        <f>IFERROR(__xludf.DUMMYFUNCTION("GOOGLETRANSLATE(D1814,""en"",""es"")"),"empujar")</f>
        <v>empujar</v>
      </c>
      <c r="H1814" s="4" t="s">
        <v>697</v>
      </c>
      <c r="I1814" s="4" t="s">
        <v>7325</v>
      </c>
      <c r="J1814" s="4" t="s">
        <v>697</v>
      </c>
      <c r="K1814" s="4" t="s">
        <v>7326</v>
      </c>
      <c r="L1814" s="4" t="s">
        <v>7327</v>
      </c>
      <c r="M1814" s="4" t="s">
        <v>697</v>
      </c>
      <c r="N1814" s="4" t="s">
        <v>7328</v>
      </c>
      <c r="O1814" s="4" t="s">
        <v>7329</v>
      </c>
      <c r="P1814" s="4" t="s">
        <v>697</v>
      </c>
      <c r="Q1814" s="4" t="s">
        <v>7330</v>
      </c>
      <c r="R1814" s="4" t="s">
        <v>697</v>
      </c>
      <c r="S1814" s="4" t="s">
        <v>697</v>
      </c>
      <c r="T1814" s="4" t="s">
        <v>4434</v>
      </c>
      <c r="U1814" s="4" t="s">
        <v>697</v>
      </c>
      <c r="V1814" s="4" t="s">
        <v>698</v>
      </c>
      <c r="W1814" s="4" t="s">
        <v>7331</v>
      </c>
      <c r="X1814" s="4" t="s">
        <v>7332</v>
      </c>
      <c r="Y1814" s="4" t="s">
        <v>7333</v>
      </c>
      <c r="Z1814" s="4" t="s">
        <v>697</v>
      </c>
      <c r="AA1814" s="4" t="s">
        <v>7334</v>
      </c>
      <c r="AB1814" s="4" t="s">
        <v>7335</v>
      </c>
      <c r="AC1814" s="4" t="s">
        <v>7336</v>
      </c>
      <c r="AD1814" s="4" t="s">
        <v>697</v>
      </c>
      <c r="AE1814" s="4" t="s">
        <v>7337</v>
      </c>
      <c r="AF1814" s="4" t="s">
        <v>697</v>
      </c>
      <c r="AG1814" s="4" t="s">
        <v>697</v>
      </c>
      <c r="AH1814" s="4" t="s">
        <v>781</v>
      </c>
      <c r="AI1814" s="4" t="s">
        <v>7338</v>
      </c>
      <c r="AJ1814" s="4" t="s">
        <v>7339</v>
      </c>
      <c r="AK1814" s="4" t="s">
        <v>7340</v>
      </c>
      <c r="AL1814" s="4" t="s">
        <v>7341</v>
      </c>
      <c r="AM1814" s="4" t="s">
        <v>697</v>
      </c>
      <c r="AN1814" s="4" t="s">
        <v>7342</v>
      </c>
      <c r="AO1814" s="4" t="s">
        <v>697</v>
      </c>
      <c r="AP1814" s="4" t="s">
        <v>697</v>
      </c>
      <c r="AQ1814" s="4" t="s">
        <v>7340</v>
      </c>
      <c r="AR1814" s="4" t="s">
        <v>697</v>
      </c>
    </row>
    <row r="1815">
      <c r="A1815" s="4">
        <v>331.0</v>
      </c>
      <c r="B1815" s="4" t="s">
        <v>5757</v>
      </c>
      <c r="C1815" s="4"/>
      <c r="D1815" s="4" t="s">
        <v>7343</v>
      </c>
      <c r="E1815" s="4" t="s">
        <v>7344</v>
      </c>
      <c r="F1815" s="4" t="s">
        <v>7345</v>
      </c>
      <c r="G1815" s="5" t="str">
        <f>IFERROR(__xludf.DUMMYFUNCTION("GOOGLETRANSLATE(D1815,""en"",""es"")"),"molesto")</f>
        <v>molesto</v>
      </c>
      <c r="H1815" s="4" t="s">
        <v>7346</v>
      </c>
      <c r="I1815" s="4" t="s">
        <v>7343</v>
      </c>
    </row>
    <row r="1816">
      <c r="A1816" s="4">
        <v>332.0</v>
      </c>
      <c r="B1816" s="4" t="s">
        <v>5757</v>
      </c>
      <c r="C1816" s="4"/>
      <c r="D1816" s="4" t="s">
        <v>2724</v>
      </c>
      <c r="E1816" s="4" t="s">
        <v>7347</v>
      </c>
      <c r="F1816" s="4" t="s">
        <v>3766</v>
      </c>
      <c r="G1816" s="5" t="str">
        <f>IFERROR(__xludf.DUMMYFUNCTION("GOOGLETRANSLATE(D1816,""en"",""es"")"),"cara")</f>
        <v>cara</v>
      </c>
      <c r="H1816" s="4" t="s">
        <v>3432</v>
      </c>
      <c r="I1816" s="4" t="s">
        <v>2724</v>
      </c>
      <c r="J1816" s="4" t="s">
        <v>2725</v>
      </c>
      <c r="K1816" s="4" t="s">
        <v>3433</v>
      </c>
      <c r="L1816" s="4" t="s">
        <v>3434</v>
      </c>
      <c r="M1816" s="4" t="s">
        <v>3435</v>
      </c>
      <c r="N1816" s="4" t="s">
        <v>2722</v>
      </c>
      <c r="O1816" s="4" t="s">
        <v>2723</v>
      </c>
      <c r="P1816" s="4" t="s">
        <v>2724</v>
      </c>
      <c r="Q1816" s="4" t="s">
        <v>2725</v>
      </c>
      <c r="R1816" s="4" t="s">
        <v>2726</v>
      </c>
      <c r="S1816" s="4" t="s">
        <v>7348</v>
      </c>
      <c r="T1816" s="4" t="s">
        <v>7349</v>
      </c>
      <c r="U1816" s="4" t="s">
        <v>3766</v>
      </c>
      <c r="V1816" s="4" t="s">
        <v>3768</v>
      </c>
      <c r="W1816" s="4" t="s">
        <v>3769</v>
      </c>
      <c r="X1816" s="4" t="s">
        <v>3770</v>
      </c>
      <c r="Y1816" s="4" t="s">
        <v>3771</v>
      </c>
      <c r="Z1816" s="4" t="s">
        <v>3772</v>
      </c>
    </row>
    <row r="1817">
      <c r="A1817" s="4">
        <v>333.0</v>
      </c>
      <c r="B1817" s="4" t="s">
        <v>5757</v>
      </c>
      <c r="C1817" s="4"/>
      <c r="D1817" s="4" t="s">
        <v>2725</v>
      </c>
      <c r="E1817" s="4" t="s">
        <v>7350</v>
      </c>
      <c r="F1817" s="4" t="s">
        <v>7351</v>
      </c>
      <c r="G1817" s="5" t="str">
        <f>IFERROR(__xludf.DUMMYFUNCTION("GOOGLETRANSLATE(D1817,""en"",""es"")"),"coño")</f>
        <v>coño</v>
      </c>
      <c r="H1817" s="4" t="s">
        <v>3432</v>
      </c>
      <c r="I1817" s="4" t="s">
        <v>2724</v>
      </c>
      <c r="J1817" s="4" t="s">
        <v>2725</v>
      </c>
      <c r="K1817" s="4" t="s">
        <v>3433</v>
      </c>
      <c r="L1817" s="4" t="s">
        <v>3434</v>
      </c>
      <c r="M1817" s="4" t="s">
        <v>3435</v>
      </c>
      <c r="N1817" s="4" t="s">
        <v>2722</v>
      </c>
      <c r="O1817" s="4" t="s">
        <v>2723</v>
      </c>
      <c r="P1817" s="4" t="s">
        <v>2724</v>
      </c>
      <c r="Q1817" s="4" t="s">
        <v>2725</v>
      </c>
      <c r="R1817" s="4" t="s">
        <v>2726</v>
      </c>
      <c r="S1817" s="4" t="s">
        <v>7352</v>
      </c>
      <c r="T1817" s="4" t="s">
        <v>2725</v>
      </c>
    </row>
    <row r="1818">
      <c r="A1818" s="4">
        <v>334.0</v>
      </c>
      <c r="B1818" s="4" t="s">
        <v>5757</v>
      </c>
      <c r="C1818" s="4"/>
      <c r="D1818" s="4" t="s">
        <v>7353</v>
      </c>
      <c r="E1818" s="4" t="s">
        <v>7354</v>
      </c>
      <c r="F1818" s="4" t="s">
        <v>7355</v>
      </c>
      <c r="G1818" s="5" t="str">
        <f>IFERROR(__xludf.DUMMYFUNCTION("GOOGLETRANSLATE(D1818,""en"",""es"")"),"putti")</f>
        <v>putti</v>
      </c>
    </row>
    <row r="1819">
      <c r="A1819" s="4">
        <v>335.0</v>
      </c>
      <c r="B1819" s="4" t="s">
        <v>5757</v>
      </c>
      <c r="C1819" s="4"/>
      <c r="D1819" s="4" t="s">
        <v>3815</v>
      </c>
      <c r="E1819" s="4" t="s">
        <v>3816</v>
      </c>
      <c r="F1819" s="4" t="s">
        <v>3817</v>
      </c>
      <c r="G1819" s="5" t="str">
        <f>IFERROR(__xludf.DUMMYFUNCTION("GOOGLETRANSLATE(D1819,""en"",""es"")"),"quin")</f>
        <v>quin</v>
      </c>
      <c r="H1819" s="4" t="s">
        <v>7356</v>
      </c>
      <c r="I1819" s="4" t="s">
        <v>3825</v>
      </c>
      <c r="J1819" s="4" t="s">
        <v>3815</v>
      </c>
    </row>
    <row r="1820">
      <c r="A1820" s="4">
        <v>336.0</v>
      </c>
      <c r="B1820" s="4" t="s">
        <v>5757</v>
      </c>
      <c r="C1820" s="4"/>
      <c r="D1820" s="4" t="s">
        <v>7357</v>
      </c>
      <c r="E1820" s="4" t="s">
        <v>7358</v>
      </c>
      <c r="F1820" s="4" t="s">
        <v>7359</v>
      </c>
      <c r="G1820" s="5" t="str">
        <f>IFERROR(__xludf.DUMMYFUNCTION("GOOGLETRANSLATE(D1820,""en"",""es"")"),"quipu")</f>
        <v>quipu</v>
      </c>
      <c r="H1820" s="4" t="s">
        <v>7357</v>
      </c>
    </row>
    <row r="1821">
      <c r="A1821" s="4">
        <v>337.0</v>
      </c>
      <c r="B1821" s="4" t="s">
        <v>5757</v>
      </c>
      <c r="C1821" s="4"/>
      <c r="D1821" s="4" t="s">
        <v>3866</v>
      </c>
      <c r="E1821" s="4" t="s">
        <v>7360</v>
      </c>
      <c r="F1821" s="4" t="s">
        <v>3868</v>
      </c>
      <c r="G1821" s="5" t="str">
        <f>IFERROR(__xludf.DUMMYFUNCTION("GOOGLETRANSLATE(D1821,""en"",""es"")"),"saco")</f>
        <v>saco</v>
      </c>
      <c r="H1821" s="4" t="s">
        <v>7361</v>
      </c>
      <c r="I1821" s="4" t="s">
        <v>3866</v>
      </c>
      <c r="J1821" s="4" t="s">
        <v>1785</v>
      </c>
      <c r="K1821" s="4" t="s">
        <v>7362</v>
      </c>
      <c r="L1821" s="4" t="s">
        <v>7363</v>
      </c>
      <c r="M1821" s="4" t="s">
        <v>3866</v>
      </c>
      <c r="N1821" s="4" t="s">
        <v>7364</v>
      </c>
      <c r="O1821" s="4" t="s">
        <v>7365</v>
      </c>
      <c r="P1821" s="4" t="s">
        <v>3866</v>
      </c>
    </row>
    <row r="1822">
      <c r="A1822" s="4">
        <v>338.0</v>
      </c>
      <c r="B1822" s="4" t="s">
        <v>5757</v>
      </c>
      <c r="C1822" s="4"/>
      <c r="D1822" s="4" t="s">
        <v>1785</v>
      </c>
      <c r="E1822" s="4" t="s">
        <v>7360</v>
      </c>
      <c r="F1822" s="4" t="s">
        <v>3868</v>
      </c>
      <c r="G1822" s="5" t="str">
        <f>IFERROR(__xludf.DUMMYFUNCTION("GOOGLETRANSLATE(D1822,""en"",""es"")"),"bolsa")</f>
        <v>bolsa</v>
      </c>
      <c r="H1822" s="4" t="s">
        <v>1785</v>
      </c>
      <c r="I1822" s="4" t="s">
        <v>3489</v>
      </c>
      <c r="J1822" s="4" t="s">
        <v>7366</v>
      </c>
      <c r="K1822" s="4" t="s">
        <v>7367</v>
      </c>
      <c r="L1822" s="4" t="s">
        <v>7361</v>
      </c>
      <c r="M1822" s="4" t="s">
        <v>3866</v>
      </c>
      <c r="N1822" s="4" t="s">
        <v>1785</v>
      </c>
      <c r="O1822" s="4" t="s">
        <v>7362</v>
      </c>
      <c r="P1822" s="4" t="s">
        <v>1785</v>
      </c>
      <c r="Q1822" s="4" t="s">
        <v>3871</v>
      </c>
      <c r="R1822" s="4" t="s">
        <v>1785</v>
      </c>
      <c r="S1822" s="4" t="s">
        <v>1785</v>
      </c>
      <c r="T1822" s="4" t="s">
        <v>7368</v>
      </c>
      <c r="U1822" s="4" t="s">
        <v>1784</v>
      </c>
      <c r="V1822" s="4" t="s">
        <v>1785</v>
      </c>
      <c r="W1822" s="4" t="s">
        <v>7369</v>
      </c>
      <c r="X1822" s="4" t="s">
        <v>1785</v>
      </c>
      <c r="Y1822" s="4" t="s">
        <v>7370</v>
      </c>
      <c r="Z1822" s="4" t="s">
        <v>1785</v>
      </c>
      <c r="AA1822" s="4" t="s">
        <v>7371</v>
      </c>
      <c r="AB1822" s="4" t="s">
        <v>7372</v>
      </c>
      <c r="AC1822" s="4" t="s">
        <v>7373</v>
      </c>
      <c r="AD1822" s="4" t="s">
        <v>5527</v>
      </c>
      <c r="AE1822" s="4" t="s">
        <v>7374</v>
      </c>
      <c r="AF1822" s="4" t="s">
        <v>3379</v>
      </c>
      <c r="AG1822" s="4" t="s">
        <v>1785</v>
      </c>
      <c r="AH1822" s="4" t="s">
        <v>7375</v>
      </c>
      <c r="AI1822" s="4" t="s">
        <v>1785</v>
      </c>
      <c r="AJ1822" s="4" t="s">
        <v>3531</v>
      </c>
      <c r="AK1822" s="4" t="s">
        <v>5959</v>
      </c>
      <c r="AL1822" s="4" t="s">
        <v>907</v>
      </c>
      <c r="AM1822" s="4" t="s">
        <v>5960</v>
      </c>
      <c r="AN1822" s="4" t="s">
        <v>1120</v>
      </c>
      <c r="AO1822" s="4" t="s">
        <v>5961</v>
      </c>
      <c r="AP1822" s="4" t="s">
        <v>5962</v>
      </c>
      <c r="AQ1822" s="4" t="s">
        <v>5963</v>
      </c>
      <c r="AR1822" s="4" t="s">
        <v>1785</v>
      </c>
      <c r="AS1822" s="4" t="s">
        <v>5964</v>
      </c>
      <c r="AT1822" s="4" t="s">
        <v>5965</v>
      </c>
      <c r="AU1822" s="4" t="s">
        <v>952</v>
      </c>
      <c r="AV1822" s="4" t="s">
        <v>7376</v>
      </c>
      <c r="AW1822" s="4" t="s">
        <v>1785</v>
      </c>
      <c r="AX1822" s="4" t="s">
        <v>7377</v>
      </c>
      <c r="AY1822" s="4" t="s">
        <v>2682</v>
      </c>
      <c r="AZ1822" s="4" t="s">
        <v>1785</v>
      </c>
    </row>
    <row r="1823">
      <c r="A1823" s="4">
        <v>339.0</v>
      </c>
      <c r="B1823" s="4" t="s">
        <v>5757</v>
      </c>
      <c r="C1823" s="4"/>
      <c r="D1823" s="4" t="s">
        <v>7368</v>
      </c>
      <c r="E1823" s="4" t="s">
        <v>7360</v>
      </c>
      <c r="F1823" s="4" t="s">
        <v>3868</v>
      </c>
      <c r="G1823" s="5" t="str">
        <f>IFERROR(__xludf.DUMMYFUNCTION("GOOGLETRANSLATE(D1823,""en"",""es"")"),"sacque")</f>
        <v>sacque</v>
      </c>
      <c r="H1823" s="4" t="s">
        <v>1785</v>
      </c>
      <c r="I1823" s="4" t="s">
        <v>7368</v>
      </c>
    </row>
    <row r="1824">
      <c r="A1824" s="4">
        <v>340.0</v>
      </c>
      <c r="B1824" s="4" t="s">
        <v>5757</v>
      </c>
      <c r="C1824" s="4"/>
      <c r="D1824" s="4" t="s">
        <v>7378</v>
      </c>
      <c r="E1824" s="4" t="s">
        <v>7379</v>
      </c>
      <c r="F1824" s="4" t="s">
        <v>3955</v>
      </c>
      <c r="G1824" s="5" t="str">
        <f>IFERROR(__xludf.DUMMYFUNCTION("GOOGLETRANSLATE(D1824,""en"",""es"")"),"motivo")</f>
        <v>motivo</v>
      </c>
    </row>
    <row r="1825">
      <c r="A1825" s="4">
        <v>341.0</v>
      </c>
      <c r="B1825" s="4" t="s">
        <v>5757</v>
      </c>
      <c r="C1825" s="4"/>
      <c r="D1825" s="4" t="s">
        <v>7380</v>
      </c>
      <c r="E1825" s="4" t="s">
        <v>7381</v>
      </c>
      <c r="F1825" s="4" t="s">
        <v>4196</v>
      </c>
      <c r="G1825" s="5" t="str">
        <f>IFERROR(__xludf.DUMMYFUNCTION("GOOGLETRANSLATE(D1825,""en"",""es"")"),"sálico")</f>
        <v>sálico</v>
      </c>
    </row>
    <row r="1826">
      <c r="A1826" s="4">
        <v>342.0</v>
      </c>
      <c r="B1826" s="4" t="s">
        <v>5757</v>
      </c>
      <c r="C1826" s="4"/>
      <c r="D1826" s="4" t="s">
        <v>7382</v>
      </c>
      <c r="E1826" s="4" t="s">
        <v>7383</v>
      </c>
      <c r="F1826" s="4" t="s">
        <v>7384</v>
      </c>
      <c r="G1826" s="5" t="str">
        <f>IFERROR(__xludf.DUMMYFUNCTION("GOOGLETRANSLATE(D1826,""en"",""es"")"),"salicílico")</f>
        <v>salicílico</v>
      </c>
    </row>
    <row r="1827">
      <c r="A1827" s="4">
        <v>343.0</v>
      </c>
      <c r="B1827" s="4" t="s">
        <v>5757</v>
      </c>
      <c r="C1827" s="4"/>
      <c r="D1827" s="4" t="s">
        <v>7385</v>
      </c>
      <c r="E1827" s="4" t="s">
        <v>7386</v>
      </c>
      <c r="F1827" s="4" t="s">
        <v>7387</v>
      </c>
      <c r="G1827" s="5" t="str">
        <f>IFERROR(__xludf.DUMMYFUNCTION("GOOGLETRANSLATE(D1827,""en"",""es"")"),"salley")</f>
        <v>salley</v>
      </c>
    </row>
    <row r="1828">
      <c r="A1828" s="4">
        <v>344.0</v>
      </c>
      <c r="B1828" s="4" t="s">
        <v>5757</v>
      </c>
      <c r="C1828" s="4"/>
      <c r="D1828" s="4" t="s">
        <v>7388</v>
      </c>
      <c r="E1828" s="4" t="s">
        <v>7386</v>
      </c>
      <c r="F1828" s="4" t="s">
        <v>7387</v>
      </c>
      <c r="G1828" s="5" t="str">
        <f>IFERROR(__xludf.DUMMYFUNCTION("GOOGLETRANSLATE(D1828,""en"",""es"")"),"salida")</f>
        <v>salida</v>
      </c>
      <c r="H1828" s="4" t="s">
        <v>7389</v>
      </c>
      <c r="I1828" s="4" t="s">
        <v>7113</v>
      </c>
      <c r="J1828" s="4" t="s">
        <v>7388</v>
      </c>
      <c r="K1828" s="4" t="s">
        <v>7390</v>
      </c>
      <c r="L1828" s="4" t="s">
        <v>7391</v>
      </c>
      <c r="M1828" s="4" t="s">
        <v>7388</v>
      </c>
      <c r="N1828" s="4" t="s">
        <v>7388</v>
      </c>
      <c r="O1828" s="4" t="s">
        <v>7392</v>
      </c>
    </row>
    <row r="1829">
      <c r="A1829" s="4">
        <v>345.0</v>
      </c>
      <c r="B1829" s="4" t="s">
        <v>5757</v>
      </c>
      <c r="C1829" s="4"/>
      <c r="D1829" s="4" t="s">
        <v>398</v>
      </c>
      <c r="E1829" s="4" t="s">
        <v>7393</v>
      </c>
      <c r="F1829" s="4" t="s">
        <v>398</v>
      </c>
      <c r="G1829" s="5" t="str">
        <f>IFERROR(__xludf.DUMMYFUNCTION("GOOGLETRANSLATE(D1829,""en"",""es"")"),"sam")</f>
        <v>sam</v>
      </c>
      <c r="H1829" s="4" t="s">
        <v>7394</v>
      </c>
      <c r="I1829" s="4" t="s">
        <v>7395</v>
      </c>
    </row>
    <row r="1830">
      <c r="A1830" s="4">
        <v>346.0</v>
      </c>
      <c r="B1830" s="4" t="s">
        <v>5757</v>
      </c>
      <c r="C1830" s="4"/>
      <c r="D1830" s="4" t="s">
        <v>7396</v>
      </c>
      <c r="E1830" s="4" t="s">
        <v>7397</v>
      </c>
      <c r="F1830" s="4" t="s">
        <v>7398</v>
      </c>
      <c r="G1830" s="5" t="str">
        <f>IFERROR(__xludf.DUMMYFUNCTION("GOOGLETRANSLATE(D1830,""en"",""es"")"),"sammy")</f>
        <v>sammy</v>
      </c>
    </row>
    <row r="1831">
      <c r="A1831" s="4">
        <v>347.0</v>
      </c>
      <c r="B1831" s="4" t="s">
        <v>5757</v>
      </c>
      <c r="C1831" s="4"/>
      <c r="D1831" s="4" t="s">
        <v>7399</v>
      </c>
      <c r="E1831" s="4" t="s">
        <v>7400</v>
      </c>
      <c r="F1831" s="4" t="s">
        <v>7401</v>
      </c>
      <c r="G1831" s="5" t="str">
        <f>IFERROR(__xludf.DUMMYFUNCTION("GOOGLETRANSLATE(D1831,""en"",""es"")"),"cordura")</f>
        <v>cordura</v>
      </c>
      <c r="H1831" s="4" t="s">
        <v>7399</v>
      </c>
      <c r="I1831" s="4" t="s">
        <v>7402</v>
      </c>
    </row>
    <row r="1832">
      <c r="A1832" s="4">
        <v>348.0</v>
      </c>
      <c r="B1832" s="4" t="s">
        <v>5757</v>
      </c>
      <c r="C1832" s="4"/>
      <c r="D1832" s="4" t="s">
        <v>3951</v>
      </c>
      <c r="E1832" s="4" t="s">
        <v>7403</v>
      </c>
      <c r="F1832" s="4" t="s">
        <v>3951</v>
      </c>
      <c r="G1832" s="5" t="str">
        <f>IFERROR(__xludf.DUMMYFUNCTION("GOOGLETRANSLATE(D1832,""en"",""es"")"),"savia")</f>
        <v>savia</v>
      </c>
      <c r="H1832" s="4" t="s">
        <v>3951</v>
      </c>
      <c r="I1832" s="4" t="s">
        <v>3230</v>
      </c>
      <c r="J1832" s="4" t="s">
        <v>3951</v>
      </c>
      <c r="K1832" s="4" t="s">
        <v>7404</v>
      </c>
      <c r="L1832" s="4" t="s">
        <v>7405</v>
      </c>
      <c r="M1832" s="4" t="s">
        <v>7406</v>
      </c>
      <c r="N1832" s="4" t="s">
        <v>7407</v>
      </c>
      <c r="O1832" s="4" t="s">
        <v>7408</v>
      </c>
      <c r="P1832" s="4" t="s">
        <v>3951</v>
      </c>
      <c r="Q1832" s="4" t="s">
        <v>7409</v>
      </c>
      <c r="R1832" s="4" t="s">
        <v>7410</v>
      </c>
      <c r="S1832" s="4" t="s">
        <v>7411</v>
      </c>
      <c r="T1832" s="4" t="s">
        <v>3951</v>
      </c>
      <c r="U1832" s="4" t="s">
        <v>7412</v>
      </c>
      <c r="V1832" s="4" t="s">
        <v>3951</v>
      </c>
    </row>
    <row r="1833">
      <c r="A1833" s="4">
        <v>349.0</v>
      </c>
      <c r="B1833" s="4" t="s">
        <v>5757</v>
      </c>
      <c r="C1833" s="4"/>
      <c r="D1833" s="4" t="s">
        <v>7413</v>
      </c>
      <c r="E1833" s="4" t="s">
        <v>7414</v>
      </c>
      <c r="F1833" s="4" t="s">
        <v>7415</v>
      </c>
      <c r="G1833" s="5" t="str">
        <f>IFERROR(__xludf.DUMMYFUNCTION("GOOGLETRANSLATE(D1833,""en"",""es"")"),"lleno de savia")</f>
        <v>lleno de savia</v>
      </c>
      <c r="H1833" s="4" t="s">
        <v>7416</v>
      </c>
      <c r="I1833" s="4" t="s">
        <v>7417</v>
      </c>
      <c r="J1833" s="4" t="s">
        <v>7418</v>
      </c>
      <c r="K1833" s="4" t="s">
        <v>7413</v>
      </c>
      <c r="L1833" s="4" t="s">
        <v>7419</v>
      </c>
      <c r="M1833" s="4" t="s">
        <v>6509</v>
      </c>
      <c r="N1833" s="4" t="s">
        <v>6510</v>
      </c>
      <c r="O1833" s="4" t="s">
        <v>7420</v>
      </c>
      <c r="P1833" s="4" t="s">
        <v>7413</v>
      </c>
    </row>
    <row r="1834">
      <c r="A1834" s="4">
        <v>350.0</v>
      </c>
      <c r="B1834" s="4" t="s">
        <v>5757</v>
      </c>
      <c r="C1834" s="4"/>
      <c r="D1834" s="4" t="s">
        <v>7421</v>
      </c>
      <c r="E1834" s="4" t="s">
        <v>7422</v>
      </c>
      <c r="F1834" s="4" t="s">
        <v>7421</v>
      </c>
      <c r="G1834" s="5" t="str">
        <f>IFERROR(__xludf.DUMMYFUNCTION("GOOGLETRANSLATE(D1834,""en"",""es"")"),"faja")</f>
        <v>faja</v>
      </c>
      <c r="H1834" s="4" t="s">
        <v>7421</v>
      </c>
      <c r="I1834" s="4" t="s">
        <v>7423</v>
      </c>
      <c r="J1834" s="4" t="s">
        <v>7424</v>
      </c>
      <c r="K1834" s="4" t="s">
        <v>7425</v>
      </c>
      <c r="L1834" s="4" t="s">
        <v>7421</v>
      </c>
      <c r="M1834" s="4" t="s">
        <v>7426</v>
      </c>
      <c r="N1834" s="4" t="s">
        <v>7427</v>
      </c>
    </row>
    <row r="1835">
      <c r="A1835" s="4">
        <v>351.0</v>
      </c>
      <c r="B1835" s="4" t="s">
        <v>5757</v>
      </c>
      <c r="C1835" s="4"/>
      <c r="D1835" s="4" t="s">
        <v>7428</v>
      </c>
      <c r="E1835" s="4" t="s">
        <v>7429</v>
      </c>
      <c r="F1835" s="4" t="s">
        <v>7428</v>
      </c>
      <c r="G1835" s="5" t="str">
        <f>IFERROR(__xludf.DUMMYFUNCTION("GOOGLETRANSLATE(D1835,""en"",""es"")"),"sashimi")</f>
        <v>sashimi</v>
      </c>
      <c r="H1835" s="4" t="s">
        <v>7428</v>
      </c>
    </row>
    <row r="1836">
      <c r="A1836" s="4">
        <v>352.0</v>
      </c>
      <c r="B1836" s="4" t="s">
        <v>5757</v>
      </c>
      <c r="C1836" s="4"/>
      <c r="D1836" s="4" t="s">
        <v>6652</v>
      </c>
      <c r="E1836" s="4" t="s">
        <v>7430</v>
      </c>
      <c r="F1836" s="4" t="s">
        <v>7431</v>
      </c>
      <c r="G1836" s="5" t="str">
        <f>IFERROR(__xludf.DUMMYFUNCTION("GOOGLETRANSLATE(D1836,""en"",""es"")"),"hablar con descaro a")</f>
        <v>hablar con descaro a</v>
      </c>
      <c r="H1836" s="4" t="s">
        <v>6652</v>
      </c>
      <c r="I1836" s="4" t="s">
        <v>6653</v>
      </c>
      <c r="J1836" s="4" t="s">
        <v>6654</v>
      </c>
      <c r="K1836" s="4" t="s">
        <v>6655</v>
      </c>
      <c r="L1836" s="4" t="s">
        <v>6650</v>
      </c>
      <c r="M1836" s="4" t="s">
        <v>6656</v>
      </c>
      <c r="N1836" s="4" t="s">
        <v>7432</v>
      </c>
      <c r="O1836" s="4" t="s">
        <v>7433</v>
      </c>
      <c r="P1836" s="4" t="s">
        <v>6652</v>
      </c>
    </row>
    <row r="1837">
      <c r="A1837" s="4">
        <v>353.0</v>
      </c>
      <c r="B1837" s="4" t="s">
        <v>5757</v>
      </c>
      <c r="C1837" s="4"/>
      <c r="D1837" s="4" t="s">
        <v>7434</v>
      </c>
      <c r="E1837" s="4" t="s">
        <v>7430</v>
      </c>
      <c r="F1837" s="4" t="s">
        <v>7431</v>
      </c>
      <c r="G1837" s="5" t="str">
        <f>IFERROR(__xludf.DUMMYFUNCTION("GOOGLETRANSLATE(D1837,""en"",""es"")"),"sasse")</f>
        <v>sasse</v>
      </c>
    </row>
    <row r="1838">
      <c r="A1838" s="4">
        <v>354.0</v>
      </c>
      <c r="B1838" s="4" t="s">
        <v>5757</v>
      </c>
      <c r="C1838" s="4"/>
      <c r="D1838" s="4" t="s">
        <v>7435</v>
      </c>
      <c r="E1838" s="4" t="s">
        <v>7436</v>
      </c>
      <c r="F1838" s="4" t="s">
        <v>7437</v>
      </c>
      <c r="G1838" s="5" t="str">
        <f>IFERROR(__xludf.DUMMYFUNCTION("GOOGLETRANSLATE(D1838,""en"",""es"")"),"atrevido")</f>
        <v>atrevido</v>
      </c>
      <c r="H1838" s="4" t="s">
        <v>7438</v>
      </c>
      <c r="I1838" s="4" t="s">
        <v>7439</v>
      </c>
      <c r="J1838" s="4" t="s">
        <v>7440</v>
      </c>
      <c r="K1838" s="4" t="s">
        <v>7441</v>
      </c>
      <c r="L1838" s="4" t="s">
        <v>3502</v>
      </c>
      <c r="M1838" s="4" t="s">
        <v>7442</v>
      </c>
      <c r="N1838" s="4" t="s">
        <v>7435</v>
      </c>
      <c r="O1838" s="4" t="s">
        <v>7443</v>
      </c>
    </row>
    <row r="1839">
      <c r="A1839" s="4">
        <v>355.0</v>
      </c>
      <c r="B1839" s="4" t="s">
        <v>5757</v>
      </c>
      <c r="C1839" s="4"/>
      <c r="D1839" s="4" t="s">
        <v>7444</v>
      </c>
      <c r="E1839" s="4" t="s">
        <v>7445</v>
      </c>
      <c r="F1839" s="4" t="s">
        <v>7444</v>
      </c>
      <c r="G1839" s="5" t="str">
        <f>IFERROR(__xludf.DUMMYFUNCTION("GOOGLETRANSLATE(D1839,""en"",""es"")"),"satín")</f>
        <v>satín</v>
      </c>
      <c r="H1839" s="4" t="s">
        <v>7444</v>
      </c>
    </row>
    <row r="1840">
      <c r="A1840" s="4">
        <v>356.0</v>
      </c>
      <c r="B1840" s="4" t="s">
        <v>5757</v>
      </c>
      <c r="C1840" s="4"/>
      <c r="D1840" s="4" t="s">
        <v>7446</v>
      </c>
      <c r="E1840" s="4" t="s">
        <v>7447</v>
      </c>
      <c r="F1840" s="4" t="s">
        <v>7448</v>
      </c>
      <c r="G1840" s="5" t="str">
        <f>IFERROR(__xludf.DUMMYFUNCTION("GOOGLETRANSLATE(D1840,""en"",""es"")"),"recta")</f>
        <v>recta</v>
      </c>
      <c r="H1840" s="4" t="s">
        <v>7446</v>
      </c>
    </row>
    <row r="1841">
      <c r="A1841" s="4">
        <v>357.0</v>
      </c>
      <c r="B1841" s="4" t="s">
        <v>5757</v>
      </c>
      <c r="C1841" s="4"/>
      <c r="D1841" s="4" t="s">
        <v>7449</v>
      </c>
      <c r="E1841" s="4" t="s">
        <v>7450</v>
      </c>
      <c r="F1841" s="4" t="s">
        <v>7451</v>
      </c>
      <c r="G1841" s="5" t="str">
        <f>IFERROR(__xludf.DUMMYFUNCTION("GOOGLETRANSLATE(D1841,""en"",""es"")"),"semic")</f>
        <v>semic</v>
      </c>
    </row>
    <row r="1842">
      <c r="A1842" s="4">
        <v>358.0</v>
      </c>
      <c r="B1842" s="4" t="s">
        <v>5757</v>
      </c>
      <c r="C1842" s="4"/>
      <c r="D1842" s="4" t="s">
        <v>7452</v>
      </c>
      <c r="E1842" s="4" t="s">
        <v>7453</v>
      </c>
      <c r="F1842" s="4" t="s">
        <v>7454</v>
      </c>
      <c r="G1842" s="5" t="str">
        <f>IFERROR(__xludf.DUMMYFUNCTION("GOOGLETRANSLATE(D1842,""en"",""es"")"),"choza")</f>
        <v>choza</v>
      </c>
      <c r="H1842" s="4" t="s">
        <v>7455</v>
      </c>
      <c r="I1842" s="4" t="s">
        <v>7456</v>
      </c>
      <c r="J1842" s="4" t="s">
        <v>7457</v>
      </c>
      <c r="K1842" s="4" t="s">
        <v>7452</v>
      </c>
      <c r="L1842" s="4" t="s">
        <v>7458</v>
      </c>
      <c r="M1842" s="4" t="s">
        <v>7459</v>
      </c>
      <c r="N1842" s="4" t="s">
        <v>7452</v>
      </c>
      <c r="O1842" s="4" t="s">
        <v>3574</v>
      </c>
      <c r="P1842" s="4" t="s">
        <v>7460</v>
      </c>
      <c r="Q1842" s="4" t="s">
        <v>7461</v>
      </c>
      <c r="R1842" s="4" t="s">
        <v>7452</v>
      </c>
    </row>
    <row r="1843">
      <c r="A1843" s="4">
        <v>359.0</v>
      </c>
      <c r="B1843" s="4" t="s">
        <v>5757</v>
      </c>
      <c r="C1843" s="4"/>
      <c r="D1843" s="4" t="s">
        <v>3997</v>
      </c>
      <c r="E1843" s="4" t="s">
        <v>7462</v>
      </c>
      <c r="F1843" s="4" t="s">
        <v>3997</v>
      </c>
      <c r="G1843" s="5" t="str">
        <f>IFERROR(__xludf.DUMMYFUNCTION("GOOGLETRANSLATE(D1843,""en"",""es"")"),"impostor")</f>
        <v>impostor</v>
      </c>
      <c r="H1843" s="4" t="s">
        <v>6082</v>
      </c>
      <c r="I1843" s="4" t="s">
        <v>3997</v>
      </c>
      <c r="J1843" s="4" t="s">
        <v>7463</v>
      </c>
      <c r="K1843" s="4" t="s">
        <v>7464</v>
      </c>
      <c r="L1843" s="4" t="s">
        <v>7465</v>
      </c>
      <c r="M1843" s="4" t="s">
        <v>7466</v>
      </c>
      <c r="N1843" s="4" t="s">
        <v>6082</v>
      </c>
      <c r="O1843" s="4" t="s">
        <v>7467</v>
      </c>
      <c r="P1843" s="4" t="s">
        <v>5693</v>
      </c>
      <c r="Q1843" s="4" t="s">
        <v>3997</v>
      </c>
      <c r="R1843" s="4" t="s">
        <v>7468</v>
      </c>
      <c r="S1843" s="4" t="s">
        <v>7469</v>
      </c>
      <c r="T1843" s="4" t="s">
        <v>7470</v>
      </c>
      <c r="U1843" s="4" t="s">
        <v>7471</v>
      </c>
      <c r="V1843" s="4" t="s">
        <v>1911</v>
      </c>
      <c r="W1843" s="4" t="s">
        <v>883</v>
      </c>
      <c r="X1843" s="4" t="s">
        <v>3997</v>
      </c>
      <c r="Y1843" s="4" t="s">
        <v>3996</v>
      </c>
      <c r="Z1843" s="4" t="s">
        <v>3996</v>
      </c>
      <c r="AA1843" s="4" t="s">
        <v>3997</v>
      </c>
      <c r="AB1843" s="4" t="s">
        <v>3998</v>
      </c>
      <c r="AC1843" s="4" t="s">
        <v>3999</v>
      </c>
      <c r="AD1843" s="4" t="s">
        <v>4000</v>
      </c>
      <c r="AE1843" s="4" t="s">
        <v>7472</v>
      </c>
      <c r="AF1843" s="4" t="b">
        <v>0</v>
      </c>
      <c r="AG1843" s="4" t="s">
        <v>7473</v>
      </c>
      <c r="AH1843" s="4" t="s">
        <v>7474</v>
      </c>
      <c r="AI1843" s="4" t="s">
        <v>7475</v>
      </c>
      <c r="AJ1843" s="4" t="s">
        <v>7476</v>
      </c>
      <c r="AK1843" s="4" t="s">
        <v>3997</v>
      </c>
    </row>
    <row r="1844">
      <c r="A1844" s="4">
        <v>360.0</v>
      </c>
      <c r="B1844" s="4" t="s">
        <v>5757</v>
      </c>
      <c r="C1844" s="4"/>
      <c r="D1844" s="4" t="s">
        <v>7477</v>
      </c>
      <c r="E1844" s="4" t="s">
        <v>6008</v>
      </c>
      <c r="F1844" s="4" t="s">
        <v>6009</v>
      </c>
      <c r="G1844" s="5" t="str">
        <f>IFERROR(__xludf.DUMMYFUNCTION("GOOGLETRANSLATE(D1844,""en"",""es"")"),"ambiente")</f>
        <v>ambiente</v>
      </c>
    </row>
    <row r="1845">
      <c r="A1845" s="4">
        <v>361.0</v>
      </c>
      <c r="B1845" s="4" t="s">
        <v>5757</v>
      </c>
      <c r="C1845" s="4"/>
      <c r="D1845" s="4" t="s">
        <v>7478</v>
      </c>
      <c r="E1845" s="4" t="s">
        <v>7479</v>
      </c>
      <c r="F1845" s="4" t="s">
        <v>7478</v>
      </c>
      <c r="G1845" s="5" t="str">
        <f>IFERROR(__xludf.DUMMYFUNCTION("GOOGLETRANSLATE(D1845,""en"",""es"")"),"brocheta")</f>
        <v>brocheta</v>
      </c>
    </row>
    <row r="1846">
      <c r="A1846" s="4">
        <v>362.0</v>
      </c>
      <c r="B1846" s="4" t="s">
        <v>5757</v>
      </c>
      <c r="C1846" s="4"/>
      <c r="D1846" s="4" t="s">
        <v>7480</v>
      </c>
      <c r="E1846" s="4" t="s">
        <v>6014</v>
      </c>
      <c r="F1846" s="4" t="s">
        <v>6015</v>
      </c>
      <c r="G1846" s="5" t="str">
        <f>IFERROR(__xludf.DUMMYFUNCTION("GOOGLETRANSLATE(D1846,""en"",""es"")"),"trastornar")</f>
        <v>trastornar</v>
      </c>
    </row>
    <row r="1847">
      <c r="A1847" s="4">
        <v>363.0</v>
      </c>
      <c r="B1847" s="4" t="s">
        <v>5757</v>
      </c>
      <c r="C1847" s="4"/>
      <c r="D1847" s="4" t="s">
        <v>7481</v>
      </c>
      <c r="E1847" s="4" t="s">
        <v>7482</v>
      </c>
      <c r="F1847" s="4" t="s">
        <v>7483</v>
      </c>
      <c r="G1847" s="5" t="str">
        <f>IFERROR(__xludf.DUMMYFUNCTION("GOOGLETRANSLATE(D1847,""en"",""es"")"),"caparazón")</f>
        <v>caparazón</v>
      </c>
    </row>
    <row r="1848">
      <c r="A1848" s="4">
        <v>364.0</v>
      </c>
      <c r="B1848" s="4" t="s">
        <v>5757</v>
      </c>
      <c r="C1848" s="4"/>
      <c r="D1848" s="4" t="s">
        <v>7484</v>
      </c>
      <c r="E1848" s="4" t="s">
        <v>277</v>
      </c>
      <c r="F1848" s="4" t="s">
        <v>278</v>
      </c>
      <c r="G1848" s="5" t="str">
        <f>IFERROR(__xludf.DUMMYFUNCTION("GOOGLETRANSLATE(D1848,""en"",""es"")"),"Ella a")</f>
        <v>Ella a</v>
      </c>
    </row>
    <row r="1849">
      <c r="A1849" s="4">
        <v>365.0</v>
      </c>
      <c r="B1849" s="4" t="s">
        <v>5757</v>
      </c>
      <c r="C1849" s="4"/>
      <c r="D1849" s="4" t="s">
        <v>7485</v>
      </c>
      <c r="E1849" s="4" t="s">
        <v>7482</v>
      </c>
      <c r="F1849" s="4" t="s">
        <v>7483</v>
      </c>
      <c r="G1849" s="5" t="str">
        <f>IFERROR(__xludf.DUMMYFUNCTION("GOOGLETRANSLATE(D1849,""en"",""es"")"),"cómplice")</f>
        <v>cómplice</v>
      </c>
      <c r="H1849" s="4" t="s">
        <v>7485</v>
      </c>
      <c r="I1849" s="4" t="s">
        <v>7485</v>
      </c>
    </row>
    <row r="1850">
      <c r="A1850" s="4">
        <v>366.0</v>
      </c>
      <c r="B1850" s="4" t="s">
        <v>5757</v>
      </c>
      <c r="C1850" s="4"/>
      <c r="D1850" s="4" t="s">
        <v>7486</v>
      </c>
      <c r="E1850" s="4" t="s">
        <v>7487</v>
      </c>
      <c r="F1850" s="4" t="s">
        <v>7486</v>
      </c>
      <c r="G1850" s="5" t="str">
        <f>IFERROR(__xludf.DUMMYFUNCTION("GOOGLETRANSLATE(D1850,""en"",""es"")"),"calce")</f>
        <v>calce</v>
      </c>
      <c r="H1850" s="4" t="s">
        <v>7486</v>
      </c>
    </row>
    <row r="1851">
      <c r="A1851" s="4">
        <v>367.0</v>
      </c>
      <c r="B1851" s="4" t="s">
        <v>5757</v>
      </c>
      <c r="C1851" s="4"/>
      <c r="D1851" s="4" t="s">
        <v>7488</v>
      </c>
      <c r="E1851" s="4" t="s">
        <v>7489</v>
      </c>
      <c r="F1851" s="4" t="s">
        <v>7490</v>
      </c>
      <c r="G1851" s="5" t="str">
        <f>IFERROR(__xludf.DUMMYFUNCTION("GOOGLETRANSLATE(D1851,""en"",""es"")"),"camisa")</f>
        <v>camisa</v>
      </c>
      <c r="H1851" s="4" t="s">
        <v>7488</v>
      </c>
      <c r="I1851" s="4" t="s">
        <v>7369</v>
      </c>
      <c r="J1851" s="4" t="s">
        <v>7488</v>
      </c>
      <c r="K1851" s="4" t="s">
        <v>7370</v>
      </c>
      <c r="L1851" s="4" t="s">
        <v>3397</v>
      </c>
      <c r="M1851" s="4" t="s">
        <v>7491</v>
      </c>
      <c r="N1851" s="4" t="s">
        <v>7488</v>
      </c>
      <c r="O1851" s="4" t="s">
        <v>7488</v>
      </c>
      <c r="P1851" s="4" t="s">
        <v>7492</v>
      </c>
      <c r="Q1851" s="4" t="s">
        <v>7488</v>
      </c>
    </row>
    <row r="1852">
      <c r="A1852" s="4">
        <v>368.0</v>
      </c>
      <c r="B1852" s="4" t="s">
        <v>5757</v>
      </c>
      <c r="C1852" s="4"/>
      <c r="D1852" s="4" t="s">
        <v>1188</v>
      </c>
      <c r="E1852" s="4" t="s">
        <v>7493</v>
      </c>
      <c r="F1852" s="4" t="s">
        <v>1188</v>
      </c>
      <c r="G1852" s="5" t="str">
        <f>IFERROR(__xludf.DUMMYFUNCTION("GOOGLETRANSLATE(D1852,""en"",""es"")"),"espinilla")</f>
        <v>espinilla</v>
      </c>
      <c r="H1852" s="4" t="s">
        <v>1188</v>
      </c>
      <c r="I1852" s="4" t="s">
        <v>1188</v>
      </c>
      <c r="J1852" s="4" t="s">
        <v>7494</v>
      </c>
      <c r="K1852" s="4" t="s">
        <v>1188</v>
      </c>
      <c r="L1852" s="4" t="s">
        <v>7495</v>
      </c>
      <c r="M1852" s="4" t="s">
        <v>7496</v>
      </c>
      <c r="N1852" s="4" t="s">
        <v>7494</v>
      </c>
      <c r="O1852" s="4" t="s">
        <v>1188</v>
      </c>
      <c r="P1852" s="4" t="s">
        <v>7497</v>
      </c>
      <c r="Q1852" s="4" t="s">
        <v>7498</v>
      </c>
      <c r="R1852" s="4" t="s">
        <v>1188</v>
      </c>
      <c r="S1852" s="4" t="s">
        <v>7499</v>
      </c>
      <c r="T1852" s="4" t="s">
        <v>7500</v>
      </c>
      <c r="U1852" s="4" t="s">
        <v>7501</v>
      </c>
      <c r="V1852" s="4" t="s">
        <v>7502</v>
      </c>
    </row>
    <row r="1853">
      <c r="A1853" s="4">
        <v>369.0</v>
      </c>
      <c r="B1853" s="4" t="s">
        <v>5757</v>
      </c>
      <c r="C1853" s="4"/>
      <c r="D1853" s="4" t="s">
        <v>4715</v>
      </c>
      <c r="E1853" s="4" t="s">
        <v>7503</v>
      </c>
      <c r="F1853" s="4" t="s">
        <v>4715</v>
      </c>
      <c r="G1853" s="5" t="str">
        <f>IFERROR(__xludf.DUMMYFUNCTION("GOOGLETRANSLATE(D1853,""en"",""es"")"),"Embarcacion")</f>
        <v>Embarcacion</v>
      </c>
      <c r="H1853" s="4" t="s">
        <v>4715</v>
      </c>
      <c r="I1853" s="4" t="s">
        <v>7504</v>
      </c>
      <c r="J1853" s="4" t="s">
        <v>4429</v>
      </c>
      <c r="K1853" s="4" t="s">
        <v>4715</v>
      </c>
      <c r="L1853" s="4" t="s">
        <v>4715</v>
      </c>
      <c r="M1853" s="4" t="s">
        <v>7505</v>
      </c>
      <c r="N1853" s="4" t="s">
        <v>4715</v>
      </c>
      <c r="O1853" s="4" t="s">
        <v>4715</v>
      </c>
      <c r="P1853" s="4" t="s">
        <v>4715</v>
      </c>
    </row>
    <row r="1854">
      <c r="A1854" s="4">
        <v>370.0</v>
      </c>
      <c r="B1854" s="4" t="s">
        <v>5757</v>
      </c>
      <c r="C1854" s="4"/>
      <c r="D1854" s="4" t="s">
        <v>7506</v>
      </c>
      <c r="E1854" s="4" t="s">
        <v>7503</v>
      </c>
      <c r="F1854" s="4" t="s">
        <v>4715</v>
      </c>
      <c r="G1854" s="5" t="str">
        <f>IFERROR(__xludf.DUMMYFUNCTION("GOOGLETRANSLATE(D1854,""en"",""es"")"),"cargada")</f>
        <v>cargada</v>
      </c>
    </row>
    <row r="1855">
      <c r="A1855" s="4">
        <v>371.0</v>
      </c>
      <c r="B1855" s="4" t="s">
        <v>5757</v>
      </c>
      <c r="C1855" s="4"/>
      <c r="D1855" s="4" t="s">
        <v>7507</v>
      </c>
      <c r="E1855" s="4" t="s">
        <v>7508</v>
      </c>
      <c r="F1855" s="4" t="s">
        <v>7507</v>
      </c>
      <c r="G1855" s="5" t="str">
        <f>IFERROR(__xludf.DUMMYFUNCTION("GOOGLETRANSLATE(D1855,""en"",""es"")"),"shish")</f>
        <v>shish</v>
      </c>
    </row>
    <row r="1856">
      <c r="A1856" s="4">
        <v>372.0</v>
      </c>
      <c r="B1856" s="4" t="s">
        <v>5757</v>
      </c>
      <c r="C1856" s="4"/>
      <c r="D1856" s="4" t="s">
        <v>6336</v>
      </c>
      <c r="E1856" s="4" t="s">
        <v>7509</v>
      </c>
      <c r="F1856" s="4" t="s">
        <v>7510</v>
      </c>
      <c r="G1856" s="5" t="str">
        <f>IFERROR(__xludf.DUMMYFUNCTION("GOOGLETRANSLATE(D1856,""en"",""es"")"),"de mierda")</f>
        <v>de mierda</v>
      </c>
      <c r="H1856" s="4" t="s">
        <v>6330</v>
      </c>
      <c r="I1856" s="4" t="s">
        <v>6333</v>
      </c>
      <c r="J1856" s="4" t="s">
        <v>6334</v>
      </c>
      <c r="K1856" s="4" t="s">
        <v>6335</v>
      </c>
      <c r="L1856" s="4" t="s">
        <v>6336</v>
      </c>
      <c r="M1856" s="4" t="s">
        <v>6337</v>
      </c>
      <c r="N1856" s="4" t="s">
        <v>6338</v>
      </c>
    </row>
    <row r="1857">
      <c r="A1857" s="4">
        <v>373.0</v>
      </c>
      <c r="B1857" s="4" t="s">
        <v>5757</v>
      </c>
      <c r="C1857" s="4"/>
      <c r="D1857" s="4" t="s">
        <v>7511</v>
      </c>
      <c r="E1857" s="4" t="s">
        <v>7512</v>
      </c>
      <c r="F1857" s="4" t="s">
        <v>7513</v>
      </c>
      <c r="G1857" s="5" t="str">
        <f>IFERROR(__xludf.DUMMYFUNCTION("GOOGLETRANSLATE(D1857,""en"",""es"")"),"sacudirse")</f>
        <v>sacudirse</v>
      </c>
      <c r="H1857" s="4" t="s">
        <v>7511</v>
      </c>
      <c r="I1857" s="4" t="s">
        <v>2700</v>
      </c>
      <c r="J1857" s="4" t="s">
        <v>7342</v>
      </c>
      <c r="K1857" s="4" t="s">
        <v>2700</v>
      </c>
      <c r="L1857" s="4" t="s">
        <v>7514</v>
      </c>
      <c r="M1857" s="4" t="s">
        <v>7515</v>
      </c>
      <c r="N1857" s="4" t="s">
        <v>2700</v>
      </c>
      <c r="O1857" s="4" t="s">
        <v>7516</v>
      </c>
      <c r="P1857" s="4" t="s">
        <v>7517</v>
      </c>
      <c r="Q1857" s="4" t="s">
        <v>2700</v>
      </c>
      <c r="R1857" s="4" t="s">
        <v>2700</v>
      </c>
      <c r="S1857" s="4" t="s">
        <v>7518</v>
      </c>
      <c r="T1857" s="4" t="s">
        <v>2700</v>
      </c>
      <c r="U1857" s="4" t="s">
        <v>7519</v>
      </c>
      <c r="V1857" s="4" t="s">
        <v>709</v>
      </c>
      <c r="W1857" s="4" t="s">
        <v>7520</v>
      </c>
      <c r="X1857" s="4" t="s">
        <v>2700</v>
      </c>
      <c r="Y1857" s="4" t="s">
        <v>7521</v>
      </c>
      <c r="Z1857" s="4" t="s">
        <v>7522</v>
      </c>
      <c r="AA1857" s="4" t="s">
        <v>7523</v>
      </c>
      <c r="AB1857" s="4" t="s">
        <v>2700</v>
      </c>
      <c r="AC1857" s="4" t="s">
        <v>2700</v>
      </c>
    </row>
    <row r="1858">
      <c r="A1858" s="4">
        <v>374.0</v>
      </c>
      <c r="B1858" s="4" t="s">
        <v>5757</v>
      </c>
      <c r="C1858" s="4"/>
      <c r="D1858" s="4" t="s">
        <v>7524</v>
      </c>
      <c r="E1858" s="4" t="s">
        <v>7525</v>
      </c>
      <c r="F1858" s="4" t="s">
        <v>7524</v>
      </c>
      <c r="G1858" s="5" t="str">
        <f>IFERROR(__xludf.DUMMYFUNCTION("GOOGLETRANSLATE(D1858,""en"",""es"")"),"shul")</f>
        <v>shul</v>
      </c>
    </row>
    <row r="1859">
      <c r="A1859" s="4">
        <v>375.0</v>
      </c>
      <c r="B1859" s="4" t="s">
        <v>5757</v>
      </c>
      <c r="C1859" s="4"/>
      <c r="D1859" s="4" t="s">
        <v>7526</v>
      </c>
      <c r="E1859" s="4" t="s">
        <v>7527</v>
      </c>
      <c r="F1859" s="4" t="s">
        <v>7526</v>
      </c>
      <c r="G1859" s="5" t="str">
        <f>IFERROR(__xludf.DUMMYFUNCTION("GOOGLETRANSLATE(D1859,""en"",""es"")"),"silenciar")</f>
        <v>silenciar</v>
      </c>
      <c r="H1859" s="4" t="s">
        <v>7526</v>
      </c>
    </row>
    <row r="1860">
      <c r="A1860" s="4">
        <v>376.0</v>
      </c>
      <c r="B1860" s="4" t="s">
        <v>5757</v>
      </c>
      <c r="C1860" s="4"/>
      <c r="D1860" s="4" t="s">
        <v>401</v>
      </c>
      <c r="E1860" s="4" t="s">
        <v>400</v>
      </c>
      <c r="F1860" s="4" t="s">
        <v>401</v>
      </c>
      <c r="G1860" s="5" t="str">
        <f>IFERROR(__xludf.DUMMYFUNCTION("GOOGLETRANSLATE(D1860,""en"",""es"")"),"si")</f>
        <v>si</v>
      </c>
      <c r="H1860" s="4" t="s">
        <v>3976</v>
      </c>
      <c r="I1860" s="4" t="s">
        <v>3977</v>
      </c>
      <c r="J1860" s="4" t="s">
        <v>3978</v>
      </c>
      <c r="K1860" s="4" t="s">
        <v>7528</v>
      </c>
      <c r="L1860" s="4" t="s">
        <v>7529</v>
      </c>
      <c r="M1860" s="4" t="s">
        <v>7530</v>
      </c>
      <c r="N1860" s="4" t="s">
        <v>7531</v>
      </c>
      <c r="O1860" s="4" t="s">
        <v>7532</v>
      </c>
      <c r="P1860" s="4" t="s">
        <v>7533</v>
      </c>
      <c r="Q1860" s="4" t="s">
        <v>7534</v>
      </c>
      <c r="R1860" s="4" t="s">
        <v>422</v>
      </c>
      <c r="S1860" s="4" t="s">
        <v>3975</v>
      </c>
      <c r="T1860" s="4" t="s">
        <v>401</v>
      </c>
    </row>
    <row r="1861">
      <c r="A1861" s="4">
        <v>377.0</v>
      </c>
      <c r="B1861" s="4" t="s">
        <v>5757</v>
      </c>
      <c r="C1861" s="4"/>
      <c r="D1861" s="4" t="s">
        <v>401</v>
      </c>
      <c r="E1861" s="4" t="s">
        <v>7535</v>
      </c>
      <c r="F1861" s="4" t="s">
        <v>401</v>
      </c>
      <c r="G1861" s="5" t="str">
        <f>IFERROR(__xludf.DUMMYFUNCTION("GOOGLETRANSLATE(D1861,""en"",""es"")"),"si")</f>
        <v>si</v>
      </c>
      <c r="H1861" s="4" t="s">
        <v>3976</v>
      </c>
      <c r="I1861" s="4" t="s">
        <v>3977</v>
      </c>
      <c r="J1861" s="4" t="s">
        <v>3978</v>
      </c>
      <c r="K1861" s="4" t="s">
        <v>7528</v>
      </c>
      <c r="L1861" s="4" t="s">
        <v>7529</v>
      </c>
      <c r="M1861" s="4" t="s">
        <v>7530</v>
      </c>
      <c r="N1861" s="4" t="s">
        <v>7531</v>
      </c>
      <c r="O1861" s="4" t="s">
        <v>7532</v>
      </c>
      <c r="P1861" s="4" t="s">
        <v>7533</v>
      </c>
      <c r="Q1861" s="4" t="s">
        <v>7534</v>
      </c>
      <c r="R1861" s="4" t="s">
        <v>422</v>
      </c>
      <c r="S1861" s="4" t="s">
        <v>3975</v>
      </c>
      <c r="T1861" s="4" t="s">
        <v>401</v>
      </c>
    </row>
    <row r="1862">
      <c r="A1862" s="4">
        <v>378.0</v>
      </c>
      <c r="B1862" s="4" t="s">
        <v>5757</v>
      </c>
      <c r="C1862" s="4"/>
      <c r="D1862" s="4" t="s">
        <v>7536</v>
      </c>
      <c r="E1862" s="4" t="s">
        <v>7537</v>
      </c>
      <c r="F1862" s="4" t="s">
        <v>7538</v>
      </c>
      <c r="G1862" s="5" t="str">
        <f>IFERROR(__xludf.DUMMYFUNCTION("GOOGLETRANSLATE(D1862,""en"",""es"")"),"sic")</f>
        <v>sic</v>
      </c>
      <c r="H1862" s="4" t="s">
        <v>7536</v>
      </c>
      <c r="I1862" s="4" t="s">
        <v>7539</v>
      </c>
      <c r="J1862" s="4" t="s">
        <v>7536</v>
      </c>
    </row>
    <row r="1863">
      <c r="A1863" s="4">
        <v>379.0</v>
      </c>
      <c r="B1863" s="4" t="s">
        <v>5757</v>
      </c>
      <c r="C1863" s="4"/>
      <c r="D1863" s="4" t="s">
        <v>4402</v>
      </c>
      <c r="E1863" s="4" t="s">
        <v>7537</v>
      </c>
      <c r="F1863" s="4" t="s">
        <v>7538</v>
      </c>
      <c r="G1863" s="5" t="str">
        <f>IFERROR(__xludf.DUMMYFUNCTION("GOOGLETRANSLATE(D1863,""en"",""es"")"),"enfermo")</f>
        <v>enfermo</v>
      </c>
      <c r="H1863" s="4" t="s">
        <v>4402</v>
      </c>
      <c r="I1863" s="4" t="s">
        <v>7540</v>
      </c>
      <c r="J1863" s="4" t="s">
        <v>7541</v>
      </c>
      <c r="K1863" s="4" t="s">
        <v>7542</v>
      </c>
      <c r="L1863" s="4" t="s">
        <v>5158</v>
      </c>
      <c r="M1863" s="4" t="s">
        <v>4402</v>
      </c>
      <c r="N1863" s="4" t="s">
        <v>4845</v>
      </c>
      <c r="O1863" s="4" t="s">
        <v>7543</v>
      </c>
      <c r="P1863" s="4" t="s">
        <v>7544</v>
      </c>
      <c r="Q1863" s="4" t="s">
        <v>7545</v>
      </c>
      <c r="R1863" s="4" t="s">
        <v>7546</v>
      </c>
      <c r="S1863" s="4" t="s">
        <v>1148</v>
      </c>
      <c r="T1863" s="4" t="s">
        <v>7547</v>
      </c>
      <c r="U1863" s="4" t="s">
        <v>7548</v>
      </c>
      <c r="V1863" s="4" t="s">
        <v>7549</v>
      </c>
      <c r="W1863" s="4" t="s">
        <v>7550</v>
      </c>
      <c r="X1863" s="4" t="s">
        <v>7551</v>
      </c>
      <c r="Y1863" s="4" t="s">
        <v>4087</v>
      </c>
      <c r="Z1863" s="4" t="s">
        <v>7552</v>
      </c>
      <c r="AA1863" s="4" t="s">
        <v>7553</v>
      </c>
      <c r="AB1863" s="4" t="s">
        <v>2345</v>
      </c>
      <c r="AC1863" s="4" t="s">
        <v>4402</v>
      </c>
      <c r="AD1863" s="4" t="s">
        <v>7554</v>
      </c>
      <c r="AE1863" s="4" t="s">
        <v>7555</v>
      </c>
      <c r="AF1863" s="4" t="s">
        <v>7556</v>
      </c>
      <c r="AG1863" s="4" t="s">
        <v>4402</v>
      </c>
      <c r="AH1863" s="4" t="s">
        <v>7557</v>
      </c>
      <c r="AI1863" s="4" t="s">
        <v>7558</v>
      </c>
      <c r="AJ1863" s="4" t="s">
        <v>7559</v>
      </c>
      <c r="AK1863" s="4" t="s">
        <v>7560</v>
      </c>
      <c r="AL1863" s="4" t="s">
        <v>7561</v>
      </c>
      <c r="AM1863" s="4" t="s">
        <v>7562</v>
      </c>
      <c r="AN1863" s="4" t="s">
        <v>4402</v>
      </c>
      <c r="AO1863" s="4" t="s">
        <v>7563</v>
      </c>
      <c r="AP1863" s="4" t="s">
        <v>7564</v>
      </c>
      <c r="AQ1863" s="4" t="s">
        <v>4400</v>
      </c>
      <c r="AR1863" s="4" t="s">
        <v>4401</v>
      </c>
      <c r="AS1863" s="4" t="s">
        <v>4402</v>
      </c>
      <c r="AT1863" s="4" t="s">
        <v>4403</v>
      </c>
      <c r="AU1863" s="4" t="s">
        <v>4404</v>
      </c>
      <c r="AV1863" s="4" t="s">
        <v>7565</v>
      </c>
      <c r="AW1863" s="4" t="s">
        <v>7566</v>
      </c>
      <c r="AX1863" s="4" t="s">
        <v>7567</v>
      </c>
      <c r="AY1863" s="4" t="s">
        <v>4402</v>
      </c>
      <c r="AZ1863" s="4" t="s">
        <v>4402</v>
      </c>
      <c r="BA1863" s="4" t="s">
        <v>7568</v>
      </c>
      <c r="BB1863" s="4" t="s">
        <v>7569</v>
      </c>
      <c r="BC1863" s="4" t="s">
        <v>7570</v>
      </c>
      <c r="BD1863" s="4" t="s">
        <v>7571</v>
      </c>
      <c r="BE1863" s="4" t="s">
        <v>7572</v>
      </c>
      <c r="BF1863" s="4" t="s">
        <v>4402</v>
      </c>
    </row>
    <row r="1864">
      <c r="A1864" s="4">
        <v>380.0</v>
      </c>
      <c r="B1864" s="4" t="s">
        <v>5757</v>
      </c>
      <c r="C1864" s="4"/>
      <c r="D1864" s="4" t="s">
        <v>7573</v>
      </c>
      <c r="E1864" s="4" t="s">
        <v>7574</v>
      </c>
      <c r="F1864" s="4" t="s">
        <v>5573</v>
      </c>
      <c r="G1864" s="5" t="str">
        <f>IFERROR(__xludf.DUMMYFUNCTION("GOOGLETRANSLATE(D1864,""en"",""es"")"),"enfermo")</f>
        <v>enfermo</v>
      </c>
    </row>
    <row r="1865">
      <c r="A1865" s="4">
        <v>381.0</v>
      </c>
      <c r="B1865" s="4" t="s">
        <v>5757</v>
      </c>
      <c r="C1865" s="4"/>
      <c r="D1865" s="4" t="s">
        <v>7575</v>
      </c>
      <c r="E1865" s="4" t="s">
        <v>7537</v>
      </c>
      <c r="F1865" s="4" t="s">
        <v>7538</v>
      </c>
      <c r="G1865" s="5" t="str">
        <f>IFERROR(__xludf.DUMMYFUNCTION("GOOGLETRANSLATE(D1865,""en"",""es"")"),"sij")</f>
        <v>sij</v>
      </c>
      <c r="H1865" s="4" t="s">
        <v>7576</v>
      </c>
      <c r="I1865" s="4" t="s">
        <v>7576</v>
      </c>
    </row>
    <row r="1866">
      <c r="A1866" s="4">
        <v>382.0</v>
      </c>
      <c r="B1866" s="4" t="s">
        <v>5757</v>
      </c>
      <c r="C1866" s="4"/>
      <c r="D1866" s="4" t="s">
        <v>7577</v>
      </c>
      <c r="E1866" s="4" t="s">
        <v>7578</v>
      </c>
      <c r="F1866" s="4" t="s">
        <v>7579</v>
      </c>
      <c r="G1866" s="5" t="str">
        <f>IFERROR(__xludf.DUMMYFUNCTION("GOOGLETRANSLATE(D1866,""en"",""es"")"),"sikkim")</f>
        <v>sikkim</v>
      </c>
      <c r="H1866" s="4" t="s">
        <v>7580</v>
      </c>
    </row>
    <row r="1867">
      <c r="A1867" s="4">
        <v>383.0</v>
      </c>
      <c r="B1867" s="4" t="s">
        <v>5757</v>
      </c>
      <c r="C1867" s="4"/>
      <c r="D1867" s="4" t="s">
        <v>7581</v>
      </c>
      <c r="E1867" s="4" t="s">
        <v>7582</v>
      </c>
      <c r="F1867" s="4" t="s">
        <v>7583</v>
      </c>
      <c r="G1867" s="5" t="str">
        <f>IFERROR(__xludf.DUMMYFUNCTION("GOOGLETRANSLATE(D1867,""en"",""es"")"),"silíque")</f>
        <v>silíque</v>
      </c>
      <c r="H1867" s="4" t="s">
        <v>7581</v>
      </c>
      <c r="I1867" s="4" t="s">
        <v>7584</v>
      </c>
    </row>
    <row r="1868">
      <c r="A1868" s="4">
        <v>384.0</v>
      </c>
      <c r="B1868" s="4" t="s">
        <v>5757</v>
      </c>
      <c r="C1868" s="4"/>
      <c r="D1868" s="4" t="s">
        <v>7585</v>
      </c>
      <c r="E1868" s="4" t="s">
        <v>7586</v>
      </c>
      <c r="F1868" s="4" t="s">
        <v>7587</v>
      </c>
      <c r="G1868" s="5" t="str">
        <f>IFERROR(__xludf.DUMMYFUNCTION("GOOGLETRANSLATE(D1868,""en"",""es"")"),"umbral")</f>
        <v>umbral</v>
      </c>
      <c r="H1868" s="4" t="s">
        <v>7585</v>
      </c>
      <c r="I1868" s="4" t="s">
        <v>7585</v>
      </c>
    </row>
    <row r="1869">
      <c r="A1869" s="4">
        <v>385.0</v>
      </c>
      <c r="B1869" s="4" t="s">
        <v>5757</v>
      </c>
      <c r="C1869" s="4"/>
      <c r="D1869" s="4" t="s">
        <v>7588</v>
      </c>
      <c r="E1869" s="4" t="s">
        <v>7589</v>
      </c>
      <c r="F1869" s="4" t="s">
        <v>7590</v>
      </c>
      <c r="G1869" s="5" t="str">
        <f>IFERROR(__xludf.DUMMYFUNCTION("GOOGLETRANSLATE(D1869,""en"",""es"")"),"tontería")</f>
        <v>tontería</v>
      </c>
      <c r="H1869" s="4" t="s">
        <v>7591</v>
      </c>
      <c r="I1869" s="4" t="s">
        <v>7592</v>
      </c>
      <c r="J1869" s="4" t="s">
        <v>7593</v>
      </c>
      <c r="K1869" s="4" t="s">
        <v>7588</v>
      </c>
      <c r="L1869" s="4" t="s">
        <v>7594</v>
      </c>
      <c r="M1869" s="4" t="s">
        <v>7588</v>
      </c>
    </row>
    <row r="1870">
      <c r="A1870" s="4">
        <v>386.0</v>
      </c>
      <c r="B1870" s="4" t="s">
        <v>5757</v>
      </c>
      <c r="C1870" s="4"/>
      <c r="D1870" s="4" t="s">
        <v>7419</v>
      </c>
      <c r="E1870" s="4" t="s">
        <v>7595</v>
      </c>
      <c r="F1870" s="4" t="s">
        <v>7596</v>
      </c>
      <c r="G1870" s="5" t="str">
        <f>IFERROR(__xludf.DUMMYFUNCTION("GOOGLETRANSLATE(D1870,""en"",""es"")"),"tonto")</f>
        <v>tonto</v>
      </c>
      <c r="H1870" s="4" t="s">
        <v>7419</v>
      </c>
      <c r="I1870" s="4" t="s">
        <v>7416</v>
      </c>
      <c r="J1870" s="4" t="s">
        <v>7417</v>
      </c>
      <c r="K1870" s="4" t="s">
        <v>7418</v>
      </c>
      <c r="L1870" s="4" t="s">
        <v>7413</v>
      </c>
      <c r="M1870" s="4" t="s">
        <v>7419</v>
      </c>
      <c r="N1870" s="4" t="s">
        <v>6509</v>
      </c>
      <c r="O1870" s="4" t="s">
        <v>6510</v>
      </c>
      <c r="P1870" s="4" t="s">
        <v>7420</v>
      </c>
      <c r="Q1870" s="4" t="s">
        <v>7597</v>
      </c>
      <c r="R1870" s="4" t="s">
        <v>7598</v>
      </c>
      <c r="S1870" s="4" t="s">
        <v>7599</v>
      </c>
      <c r="T1870" s="4" t="s">
        <v>7600</v>
      </c>
      <c r="U1870" s="4" t="s">
        <v>7601</v>
      </c>
      <c r="V1870" s="4" t="s">
        <v>7602</v>
      </c>
      <c r="W1870" s="4" t="s">
        <v>7603</v>
      </c>
      <c r="X1870" s="4" t="s">
        <v>7419</v>
      </c>
      <c r="Y1870" s="4" t="s">
        <v>7604</v>
      </c>
      <c r="Z1870" s="4" t="s">
        <v>7605</v>
      </c>
      <c r="AA1870" s="4" t="s">
        <v>7419</v>
      </c>
      <c r="AB1870" s="4" t="s">
        <v>7606</v>
      </c>
      <c r="AC1870" s="4" t="s">
        <v>7419</v>
      </c>
      <c r="AD1870" s="4" t="s">
        <v>7607</v>
      </c>
    </row>
    <row r="1871">
      <c r="A1871" s="4">
        <v>387.0</v>
      </c>
      <c r="B1871" s="4" t="s">
        <v>5757</v>
      </c>
      <c r="C1871" s="4"/>
      <c r="D1871" s="4" t="s">
        <v>1399</v>
      </c>
      <c r="E1871" s="4" t="s">
        <v>7608</v>
      </c>
      <c r="F1871" s="4" t="s">
        <v>1399</v>
      </c>
      <c r="G1871" s="5" t="str">
        <f>IFERROR(__xludf.DUMMYFUNCTION("GOOGLETRANSLATE(D1871,""en"",""es"")"),"simulador")</f>
        <v>simulador</v>
      </c>
    </row>
    <row r="1872">
      <c r="A1872" s="4">
        <v>388.0</v>
      </c>
      <c r="B1872" s="4" t="s">
        <v>5757</v>
      </c>
      <c r="C1872" s="4"/>
      <c r="D1872" s="4" t="s">
        <v>404</v>
      </c>
      <c r="E1872" s="4" t="s">
        <v>7609</v>
      </c>
      <c r="F1872" s="4" t="s">
        <v>404</v>
      </c>
      <c r="G1872" s="5" t="str">
        <f>IFERROR(__xludf.DUMMYFUNCTION("GOOGLETRANSLATE(D1872,""en"",""es"")"),"pecado")</f>
        <v>pecado</v>
      </c>
      <c r="H1872" s="4" t="s">
        <v>404</v>
      </c>
      <c r="I1872" s="4" t="s">
        <v>7610</v>
      </c>
      <c r="J1872" s="4" t="s">
        <v>7611</v>
      </c>
      <c r="K1872" s="4" t="s">
        <v>404</v>
      </c>
      <c r="L1872" s="4" t="s">
        <v>7612</v>
      </c>
      <c r="M1872" s="4" t="s">
        <v>4003</v>
      </c>
      <c r="N1872" s="4" t="s">
        <v>404</v>
      </c>
      <c r="O1872" s="4" t="s">
        <v>7613</v>
      </c>
      <c r="P1872" s="4" t="s">
        <v>404</v>
      </c>
      <c r="Q1872" s="4" t="s">
        <v>404</v>
      </c>
      <c r="R1872" s="4" t="s">
        <v>7614</v>
      </c>
      <c r="S1872" s="4" t="s">
        <v>404</v>
      </c>
      <c r="T1872" s="4" t="s">
        <v>7615</v>
      </c>
      <c r="U1872" s="4" t="s">
        <v>7616</v>
      </c>
      <c r="V1872" s="4" t="s">
        <v>7617</v>
      </c>
      <c r="W1872" s="4" t="s">
        <v>404</v>
      </c>
      <c r="X1872" s="4" t="s">
        <v>7618</v>
      </c>
      <c r="Y1872" s="4" t="s">
        <v>3240</v>
      </c>
      <c r="Z1872" s="4" t="s">
        <v>7619</v>
      </c>
    </row>
    <row r="1873">
      <c r="A1873" s="4">
        <v>389.0</v>
      </c>
      <c r="B1873" s="4" t="s">
        <v>5757</v>
      </c>
      <c r="C1873" s="4"/>
      <c r="D1873" s="4" t="s">
        <v>7620</v>
      </c>
      <c r="E1873" s="4" t="s">
        <v>6107</v>
      </c>
      <c r="F1873" s="4" t="s">
        <v>1712</v>
      </c>
      <c r="G1873" s="5" t="str">
        <f>IFERROR(__xludf.DUMMYFUNCTION("GOOGLETRANSLATE(D1873,""en"",""es"")"),"sinico")</f>
        <v>sinico</v>
      </c>
    </row>
    <row r="1874">
      <c r="A1874" s="4">
        <v>390.0</v>
      </c>
      <c r="B1874" s="4" t="s">
        <v>5757</v>
      </c>
      <c r="C1874" s="4"/>
      <c r="D1874" s="4" t="s">
        <v>7621</v>
      </c>
      <c r="E1874" s="4" t="s">
        <v>7622</v>
      </c>
      <c r="F1874" s="4" t="s">
        <v>7623</v>
      </c>
      <c r="G1874" s="5" t="str">
        <f>IFERROR(__xludf.DUMMYFUNCTION("GOOGLETRANSLATE(D1874,""en"",""es"")"),"sinítico")</f>
        <v>sinítico</v>
      </c>
      <c r="H1874" s="4" t="s">
        <v>7624</v>
      </c>
      <c r="I1874" s="4" t="s">
        <v>7625</v>
      </c>
      <c r="J1874" s="4" t="s">
        <v>7624</v>
      </c>
    </row>
    <row r="1875">
      <c r="A1875" s="4">
        <v>391.0</v>
      </c>
      <c r="B1875" s="4" t="s">
        <v>5757</v>
      </c>
      <c r="C1875" s="4"/>
      <c r="D1875" s="4" t="s">
        <v>7626</v>
      </c>
      <c r="E1875" s="4" t="s">
        <v>7627</v>
      </c>
      <c r="F1875" s="4" t="s">
        <v>7626</v>
      </c>
      <c r="G1875" s="5" t="str">
        <f>IFERROR(__xludf.DUMMYFUNCTION("GOOGLETRANSLATE(D1875,""en"",""es"")"),"sorbo")</f>
        <v>sorbo</v>
      </c>
      <c r="H1875" s="4" t="s">
        <v>7626</v>
      </c>
      <c r="I1875" s="4" t="s">
        <v>7626</v>
      </c>
    </row>
    <row r="1876">
      <c r="A1876" s="4">
        <v>392.0</v>
      </c>
      <c r="B1876" s="4" t="s">
        <v>5757</v>
      </c>
      <c r="C1876" s="4"/>
      <c r="D1876" s="4" t="s">
        <v>4004</v>
      </c>
      <c r="E1876" s="4" t="s">
        <v>6053</v>
      </c>
      <c r="F1876" s="4" t="s">
        <v>4004</v>
      </c>
      <c r="G1876" s="5" t="str">
        <f>IFERROR(__xludf.DUMMYFUNCTION("GOOGLETRANSLATE(D1876,""en"",""es"")"),"hermana")</f>
        <v>hermana</v>
      </c>
      <c r="H1876" s="4" t="s">
        <v>2285</v>
      </c>
      <c r="I1876" s="4" t="s">
        <v>4004</v>
      </c>
      <c r="J1876" s="4" t="s">
        <v>3976</v>
      </c>
      <c r="K1876" s="4" t="s">
        <v>3977</v>
      </c>
      <c r="L1876" s="4" t="s">
        <v>3978</v>
      </c>
      <c r="M1876" s="4" t="s">
        <v>7528</v>
      </c>
      <c r="N1876" s="4" t="s">
        <v>7529</v>
      </c>
      <c r="O1876" s="4" t="s">
        <v>7530</v>
      </c>
      <c r="P1876" s="4" t="s">
        <v>7531</v>
      </c>
      <c r="Q1876" s="4" t="s">
        <v>7532</v>
      </c>
      <c r="R1876" s="4" t="s">
        <v>7533</v>
      </c>
      <c r="S1876" s="4" t="s">
        <v>7534</v>
      </c>
      <c r="T1876" s="4" t="s">
        <v>422</v>
      </c>
      <c r="U1876" s="4" t="s">
        <v>3975</v>
      </c>
      <c r="V1876" s="4" t="s">
        <v>401</v>
      </c>
    </row>
    <row r="1877">
      <c r="A1877" s="4">
        <v>393.0</v>
      </c>
      <c r="B1877" s="4" t="s">
        <v>5757</v>
      </c>
      <c r="C1877" s="4"/>
      <c r="D1877" s="4" t="s">
        <v>6067</v>
      </c>
      <c r="E1877" s="4" t="s">
        <v>6060</v>
      </c>
      <c r="F1877" s="4" t="s">
        <v>6061</v>
      </c>
      <c r="G1877" s="5" t="str">
        <f>IFERROR(__xludf.DUMMYFUNCTION("GOOGLETRANSLATE(D1877,""en"",""es"")"),"marica")</f>
        <v>marica</v>
      </c>
      <c r="H1877" s="4" t="s">
        <v>6067</v>
      </c>
      <c r="I1877" s="4" t="s">
        <v>7628</v>
      </c>
      <c r="J1877" s="4" t="s">
        <v>2487</v>
      </c>
      <c r="K1877" s="4" t="s">
        <v>7629</v>
      </c>
      <c r="L1877" s="4" t="s">
        <v>7630</v>
      </c>
      <c r="M1877" s="4" t="s">
        <v>6062</v>
      </c>
      <c r="N1877" s="4" t="s">
        <v>6063</v>
      </c>
      <c r="O1877" s="4" t="s">
        <v>6064</v>
      </c>
      <c r="P1877" s="4" t="s">
        <v>6059</v>
      </c>
      <c r="Q1877" s="4" t="s">
        <v>6065</v>
      </c>
      <c r="R1877" s="4" t="s">
        <v>6066</v>
      </c>
      <c r="S1877" s="4" t="s">
        <v>6067</v>
      </c>
    </row>
    <row r="1878">
      <c r="A1878" s="4">
        <v>394.0</v>
      </c>
      <c r="B1878" s="4" t="s">
        <v>5757</v>
      </c>
      <c r="C1878" s="4"/>
      <c r="D1878" s="4" t="s">
        <v>7631</v>
      </c>
      <c r="E1878" s="4" t="s">
        <v>7632</v>
      </c>
      <c r="F1878" s="4" t="s">
        <v>7631</v>
      </c>
      <c r="G1878" s="5" t="str">
        <f>IFERROR(__xludf.DUMMYFUNCTION("GOOGLETRANSLATE(D1878,""en"",""es"")"),"sith")</f>
        <v>sith</v>
      </c>
    </row>
    <row r="1879">
      <c r="A1879" s="4">
        <v>395.0</v>
      </c>
      <c r="B1879" s="4" t="s">
        <v>5757</v>
      </c>
      <c r="C1879" s="4"/>
      <c r="D1879" s="4" t="s">
        <v>7633</v>
      </c>
      <c r="E1879" s="4" t="s">
        <v>2038</v>
      </c>
      <c r="F1879" s="4" t="s">
        <v>2037</v>
      </c>
      <c r="G1879" s="5" t="str">
        <f>IFERROR(__xludf.DUMMYFUNCTION("GOOGLETRANSLATE(D1879,""en"",""es"")"),"hacia el cielo")</f>
        <v>hacia el cielo</v>
      </c>
    </row>
    <row r="1880">
      <c r="A1880" s="4">
        <v>396.0</v>
      </c>
      <c r="B1880" s="4" t="s">
        <v>5757</v>
      </c>
      <c r="C1880" s="4"/>
      <c r="D1880" s="4" t="s">
        <v>7633</v>
      </c>
      <c r="E1880" s="4" t="s">
        <v>7634</v>
      </c>
      <c r="F1880" s="4" t="s">
        <v>2037</v>
      </c>
      <c r="G1880" s="5" t="str">
        <f>IFERROR(__xludf.DUMMYFUNCTION("GOOGLETRANSLATE(D1880,""en"",""es"")"),"hacia el cielo")</f>
        <v>hacia el cielo</v>
      </c>
    </row>
    <row r="1881">
      <c r="A1881" s="4">
        <v>397.0</v>
      </c>
      <c r="B1881" s="4" t="s">
        <v>5757</v>
      </c>
      <c r="C1881" s="4"/>
      <c r="D1881" s="4" t="s">
        <v>7635</v>
      </c>
      <c r="E1881" s="4" t="s">
        <v>4109</v>
      </c>
      <c r="F1881" s="4" t="s">
        <v>415</v>
      </c>
      <c r="G1881" s="5" t="str">
        <f>IFERROR(__xludf.DUMMYFUNCTION("GOOGLETRANSLATE(D1881,""en"",""es"")"),"tan bien")</f>
        <v>tan bien</v>
      </c>
    </row>
    <row r="1882">
      <c r="A1882" s="4">
        <v>398.0</v>
      </c>
      <c r="B1882" s="4" t="s">
        <v>5757</v>
      </c>
      <c r="C1882" s="4"/>
      <c r="D1882" s="4" t="s">
        <v>7635</v>
      </c>
      <c r="E1882" s="4" t="s">
        <v>7636</v>
      </c>
      <c r="F1882" s="4" t="s">
        <v>415</v>
      </c>
      <c r="G1882" s="5" t="str">
        <f>IFERROR(__xludf.DUMMYFUNCTION("GOOGLETRANSLATE(D1882,""en"",""es"")"),"tan bien")</f>
        <v>tan bien</v>
      </c>
    </row>
    <row r="1883">
      <c r="A1883" s="4">
        <v>399.0</v>
      </c>
      <c r="B1883" s="4" t="s">
        <v>5757</v>
      </c>
      <c r="C1883" s="4"/>
      <c r="D1883" s="4" t="s">
        <v>7637</v>
      </c>
      <c r="E1883" s="4" t="s">
        <v>7638</v>
      </c>
      <c r="F1883" s="4" t="s">
        <v>7639</v>
      </c>
      <c r="G1883" s="5" t="str">
        <f>IFERROR(__xludf.DUMMYFUNCTION("GOOGLETRANSLATE(D1883,""en"",""es"")"),"holliniento")</f>
        <v>holliniento</v>
      </c>
      <c r="H1883" s="4" t="s">
        <v>7640</v>
      </c>
      <c r="I1883" s="4" t="s">
        <v>7641</v>
      </c>
      <c r="J1883" s="4" t="s">
        <v>7642</v>
      </c>
      <c r="K1883" s="4" t="s">
        <v>7643</v>
      </c>
      <c r="L1883" s="4" t="s">
        <v>7637</v>
      </c>
      <c r="M1883" s="4" t="s">
        <v>7637</v>
      </c>
    </row>
    <row r="1884">
      <c r="A1884" s="4">
        <v>400.0</v>
      </c>
      <c r="B1884" s="4" t="s">
        <v>5757</v>
      </c>
      <c r="C1884" s="4"/>
      <c r="D1884" s="4" t="s">
        <v>7644</v>
      </c>
      <c r="E1884" s="4" t="s">
        <v>7645</v>
      </c>
      <c r="F1884" s="4" t="s">
        <v>7646</v>
      </c>
      <c r="G1884" s="5" t="str">
        <f>IFERROR(__xludf.DUMMYFUNCTION("GOOGLETRANSLATE(D1884,""en"",""es"")"),"sotho")</f>
        <v>sotho</v>
      </c>
      <c r="H1884" s="4" t="s">
        <v>7647</v>
      </c>
      <c r="I1884" s="4" t="s">
        <v>7647</v>
      </c>
      <c r="J1884" s="4" t="s">
        <v>7647</v>
      </c>
    </row>
    <row r="1885">
      <c r="A1885" s="4">
        <v>401.0</v>
      </c>
      <c r="B1885" s="4" t="s">
        <v>5757</v>
      </c>
      <c r="C1885" s="4"/>
      <c r="D1885" s="4" t="s">
        <v>6915</v>
      </c>
      <c r="E1885" s="4" t="s">
        <v>4155</v>
      </c>
      <c r="F1885" s="4" t="s">
        <v>4156</v>
      </c>
      <c r="G1885" s="5" t="str">
        <f>IFERROR(__xludf.DUMMYFUNCTION("GOOGLETRANSLATE(D1885,""en"",""es"")"),"espeso")</f>
        <v>espeso</v>
      </c>
      <c r="H1885" s="4" t="s">
        <v>6915</v>
      </c>
      <c r="I1885" s="4" t="s">
        <v>6905</v>
      </c>
      <c r="J1885" s="4" t="s">
        <v>6906</v>
      </c>
      <c r="K1885" s="4" t="s">
        <v>6907</v>
      </c>
      <c r="L1885" s="4" t="s">
        <v>6908</v>
      </c>
      <c r="M1885" s="4" t="s">
        <v>6909</v>
      </c>
      <c r="N1885" s="4" t="s">
        <v>6910</v>
      </c>
      <c r="O1885" s="4" t="s">
        <v>6903</v>
      </c>
      <c r="P1885" s="4" t="s">
        <v>6911</v>
      </c>
      <c r="Q1885" s="4" t="s">
        <v>6912</v>
      </c>
      <c r="R1885" s="4" t="s">
        <v>6913</v>
      </c>
      <c r="S1885" s="4" t="s">
        <v>6914</v>
      </c>
      <c r="T1885" s="4" t="s">
        <v>6915</v>
      </c>
      <c r="U1885" s="4" t="s">
        <v>6916</v>
      </c>
    </row>
    <row r="1886">
      <c r="A1886" s="4">
        <v>402.0</v>
      </c>
      <c r="B1886" s="4" t="s">
        <v>5757</v>
      </c>
      <c r="C1886" s="4"/>
      <c r="D1886" s="4" t="s">
        <v>7648</v>
      </c>
      <c r="E1886" s="4" t="s">
        <v>7649</v>
      </c>
      <c r="F1886" s="4" t="s">
        <v>7650</v>
      </c>
      <c r="G1886" s="5" t="str">
        <f>IFERROR(__xludf.DUMMYFUNCTION("GOOGLETRANSLATE(D1886,""en"",""es"")"),"sunita")</f>
        <v>sunita</v>
      </c>
      <c r="H1886" s="4" t="s">
        <v>7651</v>
      </c>
      <c r="I1886" s="4" t="s">
        <v>7652</v>
      </c>
      <c r="J1886" s="4" t="s">
        <v>7653</v>
      </c>
      <c r="K1886" s="4" t="s">
        <v>7652</v>
      </c>
      <c r="L1886" s="4" t="s">
        <v>7654</v>
      </c>
    </row>
    <row r="1887">
      <c r="A1887" s="4">
        <v>403.0</v>
      </c>
      <c r="B1887" s="4" t="s">
        <v>5757</v>
      </c>
      <c r="C1887" s="4"/>
      <c r="D1887" s="4" t="s">
        <v>7655</v>
      </c>
      <c r="E1887" s="4" t="s">
        <v>7656</v>
      </c>
      <c r="F1887" s="4" t="s">
        <v>7650</v>
      </c>
      <c r="G1887" s="5" t="str">
        <f>IFERROR(__xludf.DUMMYFUNCTION("GOOGLETRANSLATE(D1887,""en"",""es"")"),"numeroso")</f>
        <v>numeroso</v>
      </c>
    </row>
    <row r="1888">
      <c r="A1888" s="4">
        <v>404.0</v>
      </c>
      <c r="B1888" s="4" t="s">
        <v>5757</v>
      </c>
      <c r="C1888" s="4"/>
      <c r="D1888" s="4" t="s">
        <v>7657</v>
      </c>
      <c r="E1888" s="4" t="s">
        <v>7658</v>
      </c>
      <c r="F1888" s="4" t="s">
        <v>7657</v>
      </c>
      <c r="G1888" s="5" t="str">
        <f>IFERROR(__xludf.DUMMYFUNCTION("GOOGLETRANSLATE(D1888,""en"",""es"")"),"Sushi")</f>
        <v>Sushi</v>
      </c>
      <c r="H1888" s="4" t="s">
        <v>7657</v>
      </c>
    </row>
    <row r="1889">
      <c r="A1889" s="4">
        <v>405.0</v>
      </c>
      <c r="B1889" s="4" t="s">
        <v>5757</v>
      </c>
      <c r="C1889" s="4"/>
      <c r="D1889" s="4" t="s">
        <v>7659</v>
      </c>
      <c r="E1889" s="4" t="s">
        <v>7660</v>
      </c>
      <c r="F1889" s="4" t="s">
        <v>7661</v>
      </c>
      <c r="G1889" s="5" t="str">
        <f>IFERROR(__xludf.DUMMYFUNCTION("GOOGLETRANSLATE(D1889,""en"",""es"")"),"síntesis")</f>
        <v>síntesis</v>
      </c>
    </row>
    <row r="1890">
      <c r="A1890" s="4">
        <v>406.0</v>
      </c>
      <c r="B1890" s="4" t="s">
        <v>5757</v>
      </c>
      <c r="C1890" s="4"/>
      <c r="D1890" s="4" t="s">
        <v>7662</v>
      </c>
      <c r="E1890" s="4" t="s">
        <v>7663</v>
      </c>
      <c r="F1890" s="4" t="s">
        <v>4856</v>
      </c>
      <c r="G1890" s="5" t="str">
        <f>IFERROR(__xludf.DUMMYFUNCTION("GOOGLETRANSLATE(D1890,""en"",""es"")"),"TAC")</f>
        <v>TAC</v>
      </c>
    </row>
    <row r="1891">
      <c r="A1891" s="4">
        <v>407.0</v>
      </c>
      <c r="B1891" s="4" t="s">
        <v>5757</v>
      </c>
      <c r="C1891" s="4"/>
      <c r="D1891" s="4" t="s">
        <v>7664</v>
      </c>
      <c r="E1891" s="4" t="s">
        <v>7663</v>
      </c>
      <c r="F1891" s="4" t="s">
        <v>4856</v>
      </c>
      <c r="G1891" s="5" t="str">
        <f>IFERROR(__xludf.DUMMYFUNCTION("GOOGLETRANSLATE(D1891,""en"",""es"")"),"tacón")</f>
        <v>tacón</v>
      </c>
      <c r="H1891" s="4" t="s">
        <v>7665</v>
      </c>
      <c r="I1891" s="4" t="s">
        <v>7664</v>
      </c>
    </row>
    <row r="1892">
      <c r="A1892" s="4">
        <v>408.0</v>
      </c>
      <c r="B1892" s="4" t="s">
        <v>5757</v>
      </c>
      <c r="C1892" s="4"/>
      <c r="D1892" s="4" t="s">
        <v>7666</v>
      </c>
      <c r="E1892" s="4" t="s">
        <v>7667</v>
      </c>
      <c r="F1892" s="4" t="s">
        <v>7668</v>
      </c>
      <c r="G1892" s="5" t="str">
        <f>IFERROR(__xludf.DUMMYFUNCTION("GOOGLETRANSLATE(D1892,""en"",""es"")"),"tácito")</f>
        <v>tácito</v>
      </c>
      <c r="H1892" s="4" t="s">
        <v>7669</v>
      </c>
      <c r="I1892" s="4" t="s">
        <v>7670</v>
      </c>
      <c r="J1892" s="4" t="s">
        <v>7671</v>
      </c>
    </row>
    <row r="1893">
      <c r="A1893" s="4">
        <v>409.0</v>
      </c>
      <c r="B1893" s="4" t="s">
        <v>5757</v>
      </c>
      <c r="C1893" s="4"/>
      <c r="D1893" s="4" t="s">
        <v>7672</v>
      </c>
      <c r="E1893" s="4" t="s">
        <v>7663</v>
      </c>
      <c r="F1893" s="4" t="s">
        <v>4856</v>
      </c>
      <c r="G1893" s="5" t="str">
        <f>IFERROR(__xludf.DUMMYFUNCTION("GOOGLETRANSLATE(D1893,""en"",""es"")"),"virar")</f>
        <v>virar</v>
      </c>
      <c r="H1893" s="4" t="s">
        <v>7672</v>
      </c>
      <c r="I1893" s="4" t="s">
        <v>7672</v>
      </c>
      <c r="J1893" s="4" t="s">
        <v>7673</v>
      </c>
      <c r="K1893" s="4" t="s">
        <v>7674</v>
      </c>
      <c r="L1893" s="4" t="s">
        <v>7672</v>
      </c>
      <c r="M1893" s="4" t="s">
        <v>2262</v>
      </c>
      <c r="N1893" s="4" t="s">
        <v>7672</v>
      </c>
      <c r="O1893" s="4" t="s">
        <v>7675</v>
      </c>
      <c r="P1893" s="4" t="s">
        <v>7676</v>
      </c>
      <c r="Q1893" s="4" t="s">
        <v>7677</v>
      </c>
      <c r="R1893" s="4" t="s">
        <v>7672</v>
      </c>
      <c r="S1893" s="4" t="s">
        <v>7678</v>
      </c>
      <c r="T1893" s="4" t="s">
        <v>7672</v>
      </c>
      <c r="U1893" s="4" t="s">
        <v>7672</v>
      </c>
      <c r="V1893" s="4" t="s">
        <v>7672</v>
      </c>
      <c r="W1893" s="4" t="s">
        <v>7679</v>
      </c>
      <c r="X1893" s="4" t="s">
        <v>7680</v>
      </c>
      <c r="Y1893" s="4" t="s">
        <v>3486</v>
      </c>
      <c r="Z1893" s="4" t="s">
        <v>7681</v>
      </c>
      <c r="AA1893" s="4" t="s">
        <v>7682</v>
      </c>
      <c r="AB1893" s="4" t="s">
        <v>7672</v>
      </c>
      <c r="AC1893" s="4" t="s">
        <v>7683</v>
      </c>
      <c r="AD1893" s="4" t="s">
        <v>7684</v>
      </c>
      <c r="AE1893" s="4" t="s">
        <v>7672</v>
      </c>
      <c r="AF1893" s="4" t="s">
        <v>7685</v>
      </c>
      <c r="AG1893" s="4" t="s">
        <v>7686</v>
      </c>
      <c r="AH1893" s="4" t="s">
        <v>7687</v>
      </c>
      <c r="AI1893" s="4" t="s">
        <v>7672</v>
      </c>
      <c r="AJ1893" s="4" t="s">
        <v>7688</v>
      </c>
      <c r="AK1893" s="4" t="s">
        <v>7689</v>
      </c>
      <c r="AL1893" s="4" t="s">
        <v>7672</v>
      </c>
      <c r="AM1893" s="4" t="s">
        <v>7690</v>
      </c>
      <c r="AN1893" s="4" t="s">
        <v>7691</v>
      </c>
      <c r="AO1893" s="4" t="s">
        <v>4431</v>
      </c>
      <c r="AP1893" s="4" t="s">
        <v>7692</v>
      </c>
    </row>
    <row r="1894">
      <c r="A1894" s="4">
        <v>410.0</v>
      </c>
      <c r="B1894" s="4" t="s">
        <v>5757</v>
      </c>
      <c r="C1894" s="4"/>
      <c r="D1894" s="4" t="s">
        <v>7693</v>
      </c>
      <c r="E1894" s="4" t="s">
        <v>7694</v>
      </c>
      <c r="F1894" s="4" t="s">
        <v>7695</v>
      </c>
      <c r="G1894" s="5" t="str">
        <f>IFERROR(__xludf.DUMMYFUNCTION("GOOGLETRANSLATE(D1894,""en"",""es"")"),"pegajoso")</f>
        <v>pegajoso</v>
      </c>
      <c r="H1894" s="4" t="s">
        <v>7693</v>
      </c>
      <c r="I1894" s="4" t="s">
        <v>7696</v>
      </c>
      <c r="J1894" s="4" t="s">
        <v>7697</v>
      </c>
      <c r="K1894" s="4" t="s">
        <v>347</v>
      </c>
      <c r="L1894" s="4" t="s">
        <v>7698</v>
      </c>
      <c r="M1894" s="4" t="s">
        <v>7699</v>
      </c>
      <c r="N1894" s="4" t="s">
        <v>7700</v>
      </c>
      <c r="O1894" s="4" t="s">
        <v>7701</v>
      </c>
      <c r="P1894" s="4" t="s">
        <v>7702</v>
      </c>
      <c r="Q1894" s="4" t="s">
        <v>7703</v>
      </c>
      <c r="R1894" s="4" t="s">
        <v>7693</v>
      </c>
      <c r="S1894" s="4" t="s">
        <v>7704</v>
      </c>
      <c r="T1894" s="4" t="s">
        <v>7705</v>
      </c>
      <c r="U1894" s="4" t="s">
        <v>7706</v>
      </c>
    </row>
    <row r="1895">
      <c r="A1895" s="4">
        <v>411.0</v>
      </c>
      <c r="B1895" s="4" t="s">
        <v>5757</v>
      </c>
      <c r="C1895" s="4"/>
      <c r="D1895" s="4" t="s">
        <v>4856</v>
      </c>
      <c r="E1895" s="4" t="s">
        <v>4857</v>
      </c>
      <c r="F1895" s="4" t="s">
        <v>4856</v>
      </c>
      <c r="G1895" s="5" t="str">
        <f>IFERROR(__xludf.DUMMYFUNCTION("GOOGLETRANSLATE(D1895,""en"",""es"")"),"hacer un consumo")</f>
        <v>hacer un consumo</v>
      </c>
    </row>
    <row r="1896">
      <c r="A1896" s="4">
        <v>412.0</v>
      </c>
      <c r="B1896" s="4" t="s">
        <v>5757</v>
      </c>
      <c r="C1896" s="4"/>
      <c r="D1896" s="4" t="s">
        <v>7707</v>
      </c>
      <c r="E1896" s="4" t="s">
        <v>7708</v>
      </c>
      <c r="F1896" s="4" t="s">
        <v>7709</v>
      </c>
      <c r="G1896" s="5" t="str">
        <f>IFERROR(__xludf.DUMMYFUNCTION("GOOGLETRANSLATE(D1896,""en"",""es"")"),"tallinn")</f>
        <v>tallinn</v>
      </c>
      <c r="H1896" s="4" t="s">
        <v>7710</v>
      </c>
      <c r="I1896" s="4" t="s">
        <v>7711</v>
      </c>
      <c r="J1896" s="4" t="s">
        <v>7712</v>
      </c>
    </row>
    <row r="1897">
      <c r="A1897" s="4">
        <v>413.0</v>
      </c>
      <c r="B1897" s="4" t="s">
        <v>5757</v>
      </c>
      <c r="C1897" s="4"/>
      <c r="D1897" s="4" t="s">
        <v>7713</v>
      </c>
      <c r="E1897" s="4" t="s">
        <v>7714</v>
      </c>
      <c r="F1897" s="4" t="s">
        <v>7715</v>
      </c>
      <c r="G1897" s="5" t="str">
        <f>IFERROR(__xludf.DUMMYFUNCTION("GOOGLETRANSLATE(D1897,""en"",""es"")"),"tallit")</f>
        <v>tallit</v>
      </c>
    </row>
    <row r="1898">
      <c r="A1898" s="4">
        <v>414.0</v>
      </c>
      <c r="B1898" s="4" t="s">
        <v>5757</v>
      </c>
      <c r="C1898" s="4"/>
      <c r="D1898" s="4" t="s">
        <v>4143</v>
      </c>
      <c r="E1898" s="4" t="s">
        <v>7716</v>
      </c>
      <c r="F1898" s="4" t="s">
        <v>7717</v>
      </c>
      <c r="G1898" s="5" t="str">
        <f>IFERROR(__xludf.DUMMYFUNCTION("GOOGLETRANSLATE(D1898,""en"",""es"")"),"cuenta")</f>
        <v>cuenta</v>
      </c>
      <c r="H1898" s="4" t="s">
        <v>646</v>
      </c>
      <c r="I1898" s="4" t="s">
        <v>4143</v>
      </c>
      <c r="J1898" s="4" t="s">
        <v>7718</v>
      </c>
      <c r="K1898" s="4" t="s">
        <v>4143</v>
      </c>
      <c r="L1898" s="4" t="s">
        <v>6690</v>
      </c>
      <c r="M1898" s="4" t="s">
        <v>7719</v>
      </c>
      <c r="N1898" s="4" t="s">
        <v>7720</v>
      </c>
      <c r="O1898" s="4" t="s">
        <v>7721</v>
      </c>
      <c r="P1898" s="4" t="s">
        <v>7718</v>
      </c>
      <c r="Q1898" s="4" t="s">
        <v>4143</v>
      </c>
      <c r="R1898" s="4" t="s">
        <v>7722</v>
      </c>
      <c r="S1898" s="4" t="s">
        <v>1266</v>
      </c>
      <c r="T1898" s="4" t="s">
        <v>7723</v>
      </c>
      <c r="U1898" s="4" t="s">
        <v>2075</v>
      </c>
      <c r="V1898" s="4" t="s">
        <v>7724</v>
      </c>
      <c r="W1898" s="4" t="s">
        <v>7725</v>
      </c>
      <c r="X1898" s="4" t="s">
        <v>4143</v>
      </c>
      <c r="Y1898" s="4" t="s">
        <v>7726</v>
      </c>
      <c r="Z1898" s="4" t="s">
        <v>7727</v>
      </c>
      <c r="AA1898" s="4" t="s">
        <v>856</v>
      </c>
      <c r="AB1898" s="4" t="s">
        <v>4143</v>
      </c>
      <c r="AC1898" s="4" t="s">
        <v>7236</v>
      </c>
      <c r="AD1898" s="4" t="s">
        <v>4143</v>
      </c>
      <c r="AE1898" s="4" t="s">
        <v>7728</v>
      </c>
      <c r="AF1898" s="4" t="s">
        <v>4125</v>
      </c>
      <c r="AG1898" s="4" t="s">
        <v>4138</v>
      </c>
      <c r="AH1898" s="4" t="s">
        <v>4139</v>
      </c>
      <c r="AI1898" s="4" t="s">
        <v>4123</v>
      </c>
      <c r="AJ1898" s="4" t="s">
        <v>4140</v>
      </c>
      <c r="AK1898" s="4" t="s">
        <v>4141</v>
      </c>
      <c r="AL1898" s="4" t="s">
        <v>4142</v>
      </c>
      <c r="AM1898" s="4" t="s">
        <v>4136</v>
      </c>
      <c r="AN1898" s="4" t="s">
        <v>4137</v>
      </c>
      <c r="AO1898" s="4" t="s">
        <v>4143</v>
      </c>
      <c r="AP1898" s="4" t="s">
        <v>4144</v>
      </c>
    </row>
    <row r="1899">
      <c r="A1899" s="4">
        <v>415.0</v>
      </c>
      <c r="B1899" s="4" t="s">
        <v>5757</v>
      </c>
      <c r="C1899" s="4"/>
      <c r="D1899" s="4" t="s">
        <v>7729</v>
      </c>
      <c r="E1899" s="4" t="s">
        <v>7730</v>
      </c>
      <c r="F1899" s="4" t="s">
        <v>7729</v>
      </c>
      <c r="G1899" s="5" t="str">
        <f>IFERROR(__xludf.DUMMYFUNCTION("GOOGLETRANSLATE(D1899,""en"",""es"")"),"tamil")</f>
        <v>tamil</v>
      </c>
      <c r="H1899" s="4" t="s">
        <v>7731</v>
      </c>
      <c r="I1899" s="4" t="s">
        <v>7731</v>
      </c>
      <c r="J1899" s="4" t="s">
        <v>7731</v>
      </c>
    </row>
    <row r="1900">
      <c r="A1900" s="4">
        <v>416.0</v>
      </c>
      <c r="B1900" s="4" t="s">
        <v>5757</v>
      </c>
      <c r="C1900" s="4"/>
      <c r="D1900" s="4" t="s">
        <v>7732</v>
      </c>
      <c r="E1900" s="4" t="s">
        <v>7733</v>
      </c>
      <c r="F1900" s="4" t="s">
        <v>7734</v>
      </c>
      <c r="G1900" s="5" t="str">
        <f>IFERROR(__xludf.DUMMYFUNCTION("GOOGLETRANSLATE(D1900,""en"",""es"")"),"tammy")</f>
        <v>tammy</v>
      </c>
      <c r="H1900" s="4" t="s">
        <v>7732</v>
      </c>
      <c r="I1900" s="4" t="s">
        <v>7735</v>
      </c>
      <c r="J1900" s="4" t="s">
        <v>7736</v>
      </c>
      <c r="K1900" s="4" t="s">
        <v>7732</v>
      </c>
    </row>
    <row r="1901">
      <c r="A1901" s="4">
        <v>417.0</v>
      </c>
      <c r="B1901" s="4" t="s">
        <v>5757</v>
      </c>
      <c r="C1901" s="4"/>
      <c r="D1901" s="4" t="s">
        <v>7732</v>
      </c>
      <c r="E1901" s="4" t="s">
        <v>7737</v>
      </c>
      <c r="F1901" s="4" t="s">
        <v>7734</v>
      </c>
      <c r="G1901" s="5" t="str">
        <f>IFERROR(__xludf.DUMMYFUNCTION("GOOGLETRANSLATE(D1901,""en"",""es"")"),"tammy")</f>
        <v>tammy</v>
      </c>
      <c r="H1901" s="4" t="s">
        <v>7732</v>
      </c>
      <c r="I1901" s="4" t="s">
        <v>7735</v>
      </c>
      <c r="J1901" s="4" t="s">
        <v>7736</v>
      </c>
      <c r="K1901" s="4" t="s">
        <v>7732</v>
      </c>
    </row>
    <row r="1902">
      <c r="A1902" s="4">
        <v>418.0</v>
      </c>
      <c r="B1902" s="4" t="s">
        <v>5757</v>
      </c>
      <c r="C1902" s="4"/>
      <c r="D1902" s="4" t="s">
        <v>4310</v>
      </c>
      <c r="E1902" s="4" t="s">
        <v>7738</v>
      </c>
      <c r="F1902" s="4" t="s">
        <v>4310</v>
      </c>
      <c r="G1902" s="5" t="str">
        <f>IFERROR(__xludf.DUMMYFUNCTION("GOOGLETRANSLATE(D1902,""en"",""es"")"),"broncearse")</f>
        <v>broncearse</v>
      </c>
      <c r="H1902" s="4" t="s">
        <v>4310</v>
      </c>
      <c r="I1902" s="4" t="s">
        <v>7739</v>
      </c>
      <c r="J1902" s="4" t="s">
        <v>7740</v>
      </c>
      <c r="K1902" s="4" t="s">
        <v>3504</v>
      </c>
      <c r="L1902" s="4" t="s">
        <v>4310</v>
      </c>
      <c r="M1902" s="4" t="s">
        <v>7741</v>
      </c>
      <c r="N1902" s="4" t="s">
        <v>7742</v>
      </c>
      <c r="O1902" s="4" t="s">
        <v>4310</v>
      </c>
      <c r="P1902" s="4" t="s">
        <v>4310</v>
      </c>
      <c r="Q1902" s="4" t="s">
        <v>4310</v>
      </c>
      <c r="R1902" s="4" t="s">
        <v>7743</v>
      </c>
      <c r="S1902" s="4" t="s">
        <v>4310</v>
      </c>
    </row>
    <row r="1903">
      <c r="A1903" s="4">
        <v>419.0</v>
      </c>
      <c r="B1903" s="4" t="s">
        <v>5757</v>
      </c>
      <c r="C1903" s="4"/>
      <c r="D1903" s="4" t="s">
        <v>7744</v>
      </c>
      <c r="E1903" s="4" t="s">
        <v>7745</v>
      </c>
      <c r="F1903" s="4" t="s">
        <v>7746</v>
      </c>
      <c r="G1903" s="5" t="str">
        <f>IFERROR(__xludf.DUMMYFUNCTION("GOOGLETRANSLATE(D1903,""en"",""es"")"),"Tanakh")</f>
        <v>Tanakh</v>
      </c>
      <c r="H1903" s="4" t="s">
        <v>7747</v>
      </c>
      <c r="I1903" s="4" t="s">
        <v>7748</v>
      </c>
      <c r="J1903" s="4" t="s">
        <v>7749</v>
      </c>
    </row>
    <row r="1904">
      <c r="A1904" s="4">
        <v>420.0</v>
      </c>
      <c r="B1904" s="4" t="s">
        <v>5757</v>
      </c>
      <c r="C1904" s="4"/>
      <c r="D1904" s="4" t="s">
        <v>4319</v>
      </c>
      <c r="E1904" s="4" t="s">
        <v>7750</v>
      </c>
      <c r="F1904" s="4" t="s">
        <v>7751</v>
      </c>
      <c r="G1904" s="5" t="str">
        <f>IFERROR(__xludf.DUMMYFUNCTION("GOOGLETRANSLATE(D1904,""en"",""es"")"),"tanino")</f>
        <v>tanino</v>
      </c>
      <c r="H1904" s="4" t="s">
        <v>4319</v>
      </c>
      <c r="I1904" s="4" t="s">
        <v>4320</v>
      </c>
    </row>
    <row r="1905">
      <c r="A1905" s="4">
        <v>421.0</v>
      </c>
      <c r="B1905" s="4" t="s">
        <v>5757</v>
      </c>
      <c r="C1905" s="4"/>
      <c r="D1905" s="4" t="s">
        <v>4321</v>
      </c>
      <c r="E1905" s="4" t="s">
        <v>7752</v>
      </c>
      <c r="F1905" s="4" t="s">
        <v>4321</v>
      </c>
      <c r="G1905" s="5" t="str">
        <f>IFERROR(__xludf.DUMMYFUNCTION("GOOGLETRANSLATE(D1905,""en"",""es"")"),"tocar")</f>
        <v>tocar</v>
      </c>
      <c r="H1905" s="4" t="s">
        <v>7753</v>
      </c>
      <c r="I1905" s="4" t="s">
        <v>6486</v>
      </c>
      <c r="J1905" s="4" t="s">
        <v>4321</v>
      </c>
      <c r="K1905" s="4" t="s">
        <v>6486</v>
      </c>
      <c r="L1905" s="4" t="s">
        <v>903</v>
      </c>
      <c r="M1905" s="4" t="s">
        <v>4321</v>
      </c>
      <c r="N1905" s="4" t="s">
        <v>7754</v>
      </c>
      <c r="O1905" s="4" t="s">
        <v>7755</v>
      </c>
      <c r="P1905" s="4" t="s">
        <v>4321</v>
      </c>
      <c r="Q1905" s="4" t="s">
        <v>7756</v>
      </c>
      <c r="R1905" s="4" t="s">
        <v>4321</v>
      </c>
      <c r="S1905" s="4" t="s">
        <v>4321</v>
      </c>
      <c r="T1905" s="4" t="s">
        <v>4321</v>
      </c>
      <c r="U1905" s="4" t="s">
        <v>7757</v>
      </c>
      <c r="V1905" s="4" t="s">
        <v>7758</v>
      </c>
      <c r="W1905" s="4" t="s">
        <v>4321</v>
      </c>
      <c r="X1905" s="4" t="s">
        <v>4321</v>
      </c>
      <c r="Y1905" s="4" t="s">
        <v>7753</v>
      </c>
      <c r="Z1905" s="4" t="s">
        <v>7759</v>
      </c>
      <c r="AA1905" s="4" t="s">
        <v>4321</v>
      </c>
      <c r="AB1905" s="4" t="s">
        <v>4321</v>
      </c>
      <c r="AC1905" s="4" t="s">
        <v>4321</v>
      </c>
      <c r="AD1905" s="4" t="s">
        <v>425</v>
      </c>
      <c r="AE1905" s="4" t="s">
        <v>7760</v>
      </c>
      <c r="AF1905" s="4" t="s">
        <v>4321</v>
      </c>
      <c r="AG1905" s="4" t="s">
        <v>7758</v>
      </c>
      <c r="AH1905" s="4" t="s">
        <v>4321</v>
      </c>
      <c r="AI1905" s="4" t="s">
        <v>7761</v>
      </c>
      <c r="AJ1905" s="4" t="s">
        <v>7762</v>
      </c>
      <c r="AK1905" s="4" t="s">
        <v>4321</v>
      </c>
      <c r="AL1905" s="4" t="s">
        <v>4321</v>
      </c>
      <c r="AM1905" s="4" t="s">
        <v>6486</v>
      </c>
      <c r="AN1905" s="4" t="s">
        <v>3462</v>
      </c>
      <c r="AO1905" s="4" t="s">
        <v>7763</v>
      </c>
      <c r="AP1905" s="4" t="s">
        <v>4321</v>
      </c>
      <c r="AQ1905" s="4" t="s">
        <v>7764</v>
      </c>
      <c r="AR1905" s="4" t="s">
        <v>4321</v>
      </c>
      <c r="AS1905" s="4" t="s">
        <v>4321</v>
      </c>
      <c r="AT1905" s="4" t="s">
        <v>4321</v>
      </c>
      <c r="AU1905" s="4" t="s">
        <v>6311</v>
      </c>
      <c r="AV1905" s="4" t="s">
        <v>7765</v>
      </c>
      <c r="AW1905" s="4" t="s">
        <v>4321</v>
      </c>
    </row>
    <row r="1906">
      <c r="A1906" s="4">
        <v>422.0</v>
      </c>
      <c r="B1906" s="4" t="s">
        <v>5757</v>
      </c>
      <c r="C1906" s="4"/>
      <c r="D1906" s="4" t="s">
        <v>7766</v>
      </c>
      <c r="E1906" s="4" t="s">
        <v>7767</v>
      </c>
      <c r="F1906" s="4" t="s">
        <v>7766</v>
      </c>
      <c r="G1906" s="5" t="str">
        <f>IFERROR(__xludf.DUMMYFUNCTION("GOOGLETRANSLATE(D1906,""en"",""es"")"),"tapas")</f>
        <v>tapas</v>
      </c>
      <c r="H1906" s="4" t="s">
        <v>4330</v>
      </c>
      <c r="I1906" s="4" t="s">
        <v>4336</v>
      </c>
      <c r="J1906" s="4" t="s">
        <v>4337</v>
      </c>
      <c r="K1906" s="4" t="s">
        <v>4338</v>
      </c>
      <c r="L1906" s="4" t="s">
        <v>4330</v>
      </c>
      <c r="M1906" s="4" t="s">
        <v>4337</v>
      </c>
    </row>
    <row r="1907">
      <c r="A1907" s="4">
        <v>423.0</v>
      </c>
      <c r="B1907" s="4" t="s">
        <v>5757</v>
      </c>
      <c r="C1907" s="4"/>
      <c r="D1907" s="4" t="s">
        <v>4351</v>
      </c>
      <c r="E1907" s="4" t="s">
        <v>7768</v>
      </c>
      <c r="F1907" s="4" t="s">
        <v>4351</v>
      </c>
      <c r="G1907" s="5" t="str">
        <f>IFERROR(__xludf.DUMMYFUNCTION("GOOGLETRANSLATE(D1907,""en"",""es"")"),"tapis")</f>
        <v>tapis</v>
      </c>
      <c r="H1907" s="4" t="s">
        <v>4352</v>
      </c>
      <c r="I1907" s="4" t="s">
        <v>4351</v>
      </c>
    </row>
    <row r="1908">
      <c r="A1908" s="4">
        <v>424.0</v>
      </c>
      <c r="B1908" s="4" t="s">
        <v>5757</v>
      </c>
      <c r="C1908" s="4"/>
      <c r="D1908" s="4" t="s">
        <v>7769</v>
      </c>
      <c r="E1908" s="4" t="s">
        <v>7770</v>
      </c>
      <c r="F1908" s="4" t="s">
        <v>7771</v>
      </c>
      <c r="G1908" s="5" t="str">
        <f>IFERROR(__xludf.DUMMYFUNCTION("GOOGLETRANSLATE(D1908,""en"",""es"")"),"apagado")</f>
        <v>apagado</v>
      </c>
    </row>
    <row r="1909">
      <c r="A1909" s="4">
        <v>425.0</v>
      </c>
      <c r="B1909" s="4" t="s">
        <v>5757</v>
      </c>
      <c r="C1909" s="4"/>
      <c r="D1909" s="4" t="s">
        <v>7772</v>
      </c>
      <c r="E1909" s="4" t="s">
        <v>7773</v>
      </c>
      <c r="F1909" s="4" t="s">
        <v>419</v>
      </c>
      <c r="G1909" s="5" t="str">
        <f>IFERROR(__xludf.DUMMYFUNCTION("GOOGLETRANSLATE(D1909,""en"",""es"")"),"borla")</f>
        <v>borla</v>
      </c>
      <c r="H1909" s="4" t="s">
        <v>7774</v>
      </c>
      <c r="I1909" s="4" t="s">
        <v>7775</v>
      </c>
      <c r="J1909" s="4" t="s">
        <v>7776</v>
      </c>
    </row>
    <row r="1910">
      <c r="A1910" s="4">
        <v>426.0</v>
      </c>
      <c r="B1910" s="4" t="s">
        <v>5757</v>
      </c>
      <c r="C1910" s="4"/>
      <c r="D1910" s="4" t="s">
        <v>7777</v>
      </c>
      <c r="E1910" s="4" t="s">
        <v>7773</v>
      </c>
      <c r="F1910" s="4" t="s">
        <v>419</v>
      </c>
      <c r="G1910" s="5" t="str">
        <f>IFERROR(__xludf.DUMMYFUNCTION("GOOGLETRANSLATE(D1910,""en"",""es"")"),"tasse")</f>
        <v>tasse</v>
      </c>
      <c r="H1910" s="4" t="s">
        <v>7778</v>
      </c>
      <c r="I1910" s="4" t="s">
        <v>7777</v>
      </c>
    </row>
    <row r="1911">
      <c r="A1911" s="4">
        <v>427.0</v>
      </c>
      <c r="B1911" s="4" t="s">
        <v>5757</v>
      </c>
      <c r="C1911" s="4"/>
      <c r="D1911" s="4" t="s">
        <v>7779</v>
      </c>
      <c r="E1911" s="4" t="s">
        <v>7780</v>
      </c>
      <c r="F1911" s="4" t="s">
        <v>7781</v>
      </c>
      <c r="G1911" s="5" t="str">
        <f>IFERROR(__xludf.DUMMYFUNCTION("GOOGLETRANSLATE(D1911,""en"",""es"")"),"establo")</f>
        <v>establo</v>
      </c>
    </row>
    <row r="1912">
      <c r="A1912" s="4">
        <v>428.0</v>
      </c>
      <c r="B1912" s="4" t="s">
        <v>5757</v>
      </c>
      <c r="C1912" s="4"/>
      <c r="D1912" s="4" t="s">
        <v>7704</v>
      </c>
      <c r="E1912" s="4" t="s">
        <v>7782</v>
      </c>
      <c r="F1912" s="4" t="s">
        <v>7783</v>
      </c>
      <c r="G1912" s="5" t="str">
        <f>IFERROR(__xludf.DUMMYFUNCTION("GOOGLETRANSLATE(D1912,""en"",""es"")"),"raído")</f>
        <v>raído</v>
      </c>
      <c r="H1912" s="4" t="s">
        <v>7784</v>
      </c>
      <c r="I1912" s="4" t="s">
        <v>7785</v>
      </c>
      <c r="J1912" s="4" t="s">
        <v>7786</v>
      </c>
      <c r="K1912" s="4" t="s">
        <v>7704</v>
      </c>
      <c r="L1912" s="4" t="s">
        <v>7696</v>
      </c>
      <c r="M1912" s="4" t="s">
        <v>7697</v>
      </c>
      <c r="N1912" s="4" t="s">
        <v>347</v>
      </c>
      <c r="O1912" s="4" t="s">
        <v>7698</v>
      </c>
      <c r="P1912" s="4" t="s">
        <v>7699</v>
      </c>
      <c r="Q1912" s="4" t="s">
        <v>7700</v>
      </c>
      <c r="R1912" s="4" t="s">
        <v>7701</v>
      </c>
      <c r="S1912" s="4" t="s">
        <v>7702</v>
      </c>
      <c r="T1912" s="4" t="s">
        <v>7703</v>
      </c>
      <c r="U1912" s="4" t="s">
        <v>7693</v>
      </c>
      <c r="V1912" s="4" t="s">
        <v>7704</v>
      </c>
      <c r="W1912" s="4" t="s">
        <v>7705</v>
      </c>
      <c r="X1912" s="4" t="s">
        <v>7706</v>
      </c>
    </row>
    <row r="1913">
      <c r="A1913" s="4">
        <v>429.0</v>
      </c>
      <c r="B1913" s="4" t="s">
        <v>5757</v>
      </c>
      <c r="C1913" s="4"/>
      <c r="D1913" s="4" t="s">
        <v>7787</v>
      </c>
      <c r="E1913" s="4" t="s">
        <v>7788</v>
      </c>
      <c r="F1913" s="4" t="s">
        <v>7789</v>
      </c>
      <c r="G1913" s="5" t="str">
        <f>IFERROR(__xludf.DUMMYFUNCTION("GOOGLETRANSLATE(D1913,""en"",""es"")"),"thack")</f>
        <v>thack</v>
      </c>
    </row>
    <row r="1914">
      <c r="A1914" s="4">
        <v>430.0</v>
      </c>
      <c r="B1914" s="4" t="s">
        <v>5757</v>
      </c>
      <c r="C1914" s="4"/>
      <c r="D1914" s="4" t="s">
        <v>7790</v>
      </c>
      <c r="E1914" s="4" t="s">
        <v>7791</v>
      </c>
      <c r="F1914" s="4" t="s">
        <v>7792</v>
      </c>
      <c r="G1914" s="5" t="str">
        <f>IFERROR(__xludf.DUMMYFUNCTION("GOOGLETRANSLATE(D1914,""en"",""es"")"),"thanakha")</f>
        <v>thanakha</v>
      </c>
    </row>
    <row r="1915">
      <c r="A1915" s="4">
        <v>431.0</v>
      </c>
      <c r="B1915" s="4" t="s">
        <v>5757</v>
      </c>
      <c r="C1915" s="4"/>
      <c r="D1915" s="4" t="s">
        <v>7793</v>
      </c>
      <c r="E1915" s="4" t="s">
        <v>7794</v>
      </c>
      <c r="F1915" s="4" t="s">
        <v>7795</v>
      </c>
      <c r="G1915" s="5" t="str">
        <f>IFERROR(__xludf.DUMMYFUNCTION("GOOGLETRANSLATE(D1915,""en"",""es"")"),"temático")</f>
        <v>temático</v>
      </c>
      <c r="H1915" s="4" t="s">
        <v>7793</v>
      </c>
      <c r="I1915" s="4" t="s">
        <v>7793</v>
      </c>
    </row>
    <row r="1916">
      <c r="A1916" s="4">
        <v>432.0</v>
      </c>
      <c r="B1916" s="4" t="s">
        <v>5757</v>
      </c>
      <c r="C1916" s="4"/>
      <c r="D1916" s="4" t="s">
        <v>7796</v>
      </c>
      <c r="E1916" s="4" t="s">
        <v>7797</v>
      </c>
      <c r="F1916" s="4" t="s">
        <v>7798</v>
      </c>
      <c r="G1916" s="5" t="str">
        <f>IFERROR(__xludf.DUMMYFUNCTION("GOOGLETRANSLATE(D1916,""en"",""es"")"),"grueso")</f>
        <v>grueso</v>
      </c>
      <c r="H1916" s="4" t="s">
        <v>7799</v>
      </c>
      <c r="I1916" s="4" t="s">
        <v>7796</v>
      </c>
      <c r="J1916" s="4" t="s">
        <v>7796</v>
      </c>
      <c r="K1916" s="4" t="s">
        <v>7796</v>
      </c>
      <c r="L1916" s="4" t="s">
        <v>7796</v>
      </c>
      <c r="M1916" s="4" t="s">
        <v>7800</v>
      </c>
      <c r="N1916" s="4" t="s">
        <v>7796</v>
      </c>
      <c r="O1916" s="4" t="s">
        <v>7047</v>
      </c>
      <c r="P1916" s="4" t="s">
        <v>7801</v>
      </c>
      <c r="Q1916" s="4" t="s">
        <v>7802</v>
      </c>
      <c r="R1916" s="4" t="s">
        <v>7796</v>
      </c>
      <c r="S1916" s="4" t="s">
        <v>7803</v>
      </c>
      <c r="T1916" s="4" t="s">
        <v>3223</v>
      </c>
      <c r="U1916" s="4" t="s">
        <v>7796</v>
      </c>
      <c r="V1916" s="4" t="s">
        <v>7796</v>
      </c>
      <c r="W1916" s="4" t="s">
        <v>7804</v>
      </c>
      <c r="X1916" s="4" t="s">
        <v>7065</v>
      </c>
      <c r="Y1916" s="4" t="s">
        <v>7805</v>
      </c>
      <c r="Z1916" s="4" t="s">
        <v>7796</v>
      </c>
      <c r="AA1916" s="4" t="s">
        <v>7806</v>
      </c>
      <c r="AB1916" s="4" t="s">
        <v>7807</v>
      </c>
      <c r="AC1916" s="4" t="s">
        <v>7808</v>
      </c>
      <c r="AD1916" s="4" t="s">
        <v>7809</v>
      </c>
      <c r="AE1916" s="4" t="s">
        <v>7810</v>
      </c>
      <c r="AF1916" s="4" t="s">
        <v>7811</v>
      </c>
      <c r="AG1916" s="4" t="s">
        <v>7796</v>
      </c>
      <c r="AH1916" s="4" t="s">
        <v>7812</v>
      </c>
      <c r="AI1916" s="4" t="s">
        <v>7813</v>
      </c>
      <c r="AJ1916" s="4" t="s">
        <v>7814</v>
      </c>
      <c r="AK1916" s="4" t="s">
        <v>7796</v>
      </c>
      <c r="AL1916" s="4" t="s">
        <v>7815</v>
      </c>
      <c r="AM1916" s="4" t="s">
        <v>7796</v>
      </c>
      <c r="AN1916" s="4" t="s">
        <v>7796</v>
      </c>
      <c r="AO1916" s="4" t="s">
        <v>7815</v>
      </c>
    </row>
    <row r="1917">
      <c r="A1917" s="4">
        <v>433.0</v>
      </c>
      <c r="B1917" s="4" t="s">
        <v>5757</v>
      </c>
      <c r="C1917" s="4"/>
      <c r="D1917" s="4" t="s">
        <v>7816</v>
      </c>
      <c r="E1917" s="4" t="s">
        <v>7817</v>
      </c>
      <c r="F1917" s="4" t="s">
        <v>7818</v>
      </c>
      <c r="G1917" s="5" t="str">
        <f>IFERROR(__xludf.DUMMYFUNCTION("GOOGLETRANSLATE(D1917,""en"",""es"")"),"thill")</f>
        <v>thill</v>
      </c>
      <c r="H1917" s="4" t="s">
        <v>7816</v>
      </c>
    </row>
    <row r="1918">
      <c r="A1918" s="4">
        <v>434.0</v>
      </c>
      <c r="B1918" s="4" t="s">
        <v>5757</v>
      </c>
      <c r="C1918" s="4"/>
      <c r="D1918" s="4" t="s">
        <v>7819</v>
      </c>
      <c r="E1918" s="4" t="s">
        <v>7820</v>
      </c>
      <c r="F1918" s="4" t="s">
        <v>7819</v>
      </c>
      <c r="G1918" s="5" t="str">
        <f>IFERROR(__xludf.DUMMYFUNCTION("GOOGLETRANSLATE(D1918,""en"",""es"")"),"delgada")</f>
        <v>delgada</v>
      </c>
      <c r="H1918" s="4" t="s">
        <v>7819</v>
      </c>
      <c r="I1918" s="4" t="s">
        <v>7819</v>
      </c>
      <c r="J1918" s="4" t="s">
        <v>7821</v>
      </c>
      <c r="K1918" s="4" t="s">
        <v>7819</v>
      </c>
      <c r="L1918" s="4" t="s">
        <v>7822</v>
      </c>
      <c r="M1918" s="4" t="s">
        <v>4289</v>
      </c>
      <c r="N1918" s="4" t="s">
        <v>1250</v>
      </c>
      <c r="O1918" s="4" t="s">
        <v>4289</v>
      </c>
      <c r="P1918" s="4" t="s">
        <v>7823</v>
      </c>
      <c r="Q1918" s="4" t="s">
        <v>7824</v>
      </c>
      <c r="R1918" s="4" t="s">
        <v>7825</v>
      </c>
      <c r="S1918" s="4" t="s">
        <v>7826</v>
      </c>
      <c r="T1918" s="4" t="s">
        <v>7819</v>
      </c>
      <c r="U1918" s="4" t="s">
        <v>7827</v>
      </c>
      <c r="V1918" s="4" t="s">
        <v>7819</v>
      </c>
      <c r="W1918" s="4" t="s">
        <v>7819</v>
      </c>
      <c r="X1918" s="4" t="s">
        <v>7828</v>
      </c>
      <c r="Y1918" s="4" t="s">
        <v>7829</v>
      </c>
      <c r="Z1918" s="4" t="s">
        <v>7819</v>
      </c>
      <c r="AA1918" s="4" t="s">
        <v>7830</v>
      </c>
      <c r="AB1918" s="4" t="s">
        <v>7819</v>
      </c>
      <c r="AC1918" s="4" t="s">
        <v>7819</v>
      </c>
      <c r="AD1918" s="4" t="s">
        <v>7819</v>
      </c>
      <c r="AE1918" s="4" t="s">
        <v>7819</v>
      </c>
      <c r="AF1918" s="4" t="s">
        <v>7831</v>
      </c>
      <c r="AG1918" s="4" t="s">
        <v>7832</v>
      </c>
      <c r="AH1918" s="4" t="s">
        <v>7833</v>
      </c>
      <c r="AI1918" s="4" t="s">
        <v>7834</v>
      </c>
      <c r="AJ1918" s="4" t="s">
        <v>7819</v>
      </c>
      <c r="AK1918" s="4" t="s">
        <v>7835</v>
      </c>
      <c r="AL1918" s="4" t="s">
        <v>7819</v>
      </c>
    </row>
    <row r="1919">
      <c r="A1919" s="4">
        <v>435.0</v>
      </c>
      <c r="B1919" s="4" t="s">
        <v>5757</v>
      </c>
      <c r="C1919" s="4"/>
      <c r="D1919" s="4" t="s">
        <v>4379</v>
      </c>
      <c r="E1919" s="4" t="s">
        <v>7836</v>
      </c>
      <c r="F1919" s="4" t="s">
        <v>438</v>
      </c>
      <c r="G1919" s="5" t="str">
        <f>IFERROR(__xludf.DUMMYFUNCTION("GOOGLETRANSLATE(D1919,""en"",""es"")"),"tic")</f>
        <v>tic</v>
      </c>
      <c r="H1919" s="4" t="s">
        <v>4379</v>
      </c>
    </row>
    <row r="1920">
      <c r="A1920" s="4">
        <v>436.0</v>
      </c>
      <c r="B1920" s="4" t="s">
        <v>5757</v>
      </c>
      <c r="C1920" s="4"/>
      <c r="D1920" s="4" t="s">
        <v>7837</v>
      </c>
      <c r="E1920" s="4" t="s">
        <v>7836</v>
      </c>
      <c r="F1920" s="4" t="s">
        <v>438</v>
      </c>
      <c r="G1920" s="5" t="str">
        <f>IFERROR(__xludf.DUMMYFUNCTION("GOOGLETRANSLATE(D1920,""en"",""es"")"),"garrapata")</f>
        <v>garrapata</v>
      </c>
      <c r="H1920" s="4" t="s">
        <v>7837</v>
      </c>
      <c r="I1920" s="4" t="s">
        <v>7838</v>
      </c>
      <c r="J1920" s="4" t="s">
        <v>7837</v>
      </c>
      <c r="K1920" s="4" t="s">
        <v>7839</v>
      </c>
      <c r="L1920" s="4" t="s">
        <v>2075</v>
      </c>
      <c r="M1920" s="4" t="s">
        <v>7837</v>
      </c>
      <c r="N1920" s="4" t="s">
        <v>7837</v>
      </c>
      <c r="O1920" s="4" t="s">
        <v>7840</v>
      </c>
      <c r="P1920" s="4" t="s">
        <v>7837</v>
      </c>
      <c r="Q1920" s="4" t="s">
        <v>7837</v>
      </c>
      <c r="R1920" s="4" t="s">
        <v>7841</v>
      </c>
      <c r="S1920" s="4" t="s">
        <v>7842</v>
      </c>
      <c r="T1920" s="4" t="s">
        <v>3493</v>
      </c>
      <c r="U1920" s="4" t="s">
        <v>7837</v>
      </c>
      <c r="V1920" s="4" t="s">
        <v>7843</v>
      </c>
      <c r="W1920" s="4" t="s">
        <v>2075</v>
      </c>
      <c r="X1920" s="4" t="s">
        <v>7844</v>
      </c>
      <c r="Y1920" s="4" t="s">
        <v>3008</v>
      </c>
      <c r="Z1920" s="4" t="s">
        <v>7845</v>
      </c>
      <c r="AA1920" s="4" t="s">
        <v>7846</v>
      </c>
      <c r="AB1920" s="4" t="s">
        <v>7837</v>
      </c>
    </row>
    <row r="1921">
      <c r="A1921" s="4">
        <v>437.0</v>
      </c>
      <c r="B1921" s="4" t="s">
        <v>5757</v>
      </c>
      <c r="C1921" s="4"/>
      <c r="D1921" s="4" t="s">
        <v>7847</v>
      </c>
      <c r="E1921" s="4" t="s">
        <v>7848</v>
      </c>
      <c r="F1921" s="4" t="s">
        <v>7847</v>
      </c>
      <c r="G1921" s="5" t="str">
        <f>IFERROR(__xludf.DUMMYFUNCTION("GOOGLETRANSLATE(D1921,""en"",""es"")"),"tiki")</f>
        <v>tiki</v>
      </c>
    </row>
    <row r="1922">
      <c r="A1922" s="4">
        <v>438.0</v>
      </c>
      <c r="B1922" s="4" t="s">
        <v>5757</v>
      </c>
      <c r="C1922" s="4"/>
      <c r="D1922" s="4" t="s">
        <v>7849</v>
      </c>
      <c r="E1922" s="4" t="s">
        <v>7850</v>
      </c>
      <c r="F1922" s="4" t="s">
        <v>7849</v>
      </c>
      <c r="G1922" s="5" t="str">
        <f>IFERROR(__xludf.DUMMYFUNCTION("GOOGLETRANSLATE(D1922,""en"",""es"")"),"til")</f>
        <v>til</v>
      </c>
    </row>
    <row r="1923">
      <c r="A1923" s="4">
        <v>439.0</v>
      </c>
      <c r="B1923" s="4" t="s">
        <v>5757</v>
      </c>
      <c r="C1923" s="4"/>
      <c r="D1923" s="4" t="s">
        <v>7851</v>
      </c>
      <c r="E1923" s="4" t="s">
        <v>7850</v>
      </c>
      <c r="F1923" s="4" t="s">
        <v>7849</v>
      </c>
      <c r="G1923" s="5" t="str">
        <f>IFERROR(__xludf.DUMMYFUNCTION("GOOGLETRANSLATE(D1923,""en"",""es"")"),"hasta")</f>
        <v>hasta</v>
      </c>
      <c r="H1923" s="4" t="s">
        <v>7851</v>
      </c>
      <c r="I1923" s="4" t="s">
        <v>7852</v>
      </c>
      <c r="J1923" s="4" t="s">
        <v>7853</v>
      </c>
      <c r="K1923" s="4" t="s">
        <v>7854</v>
      </c>
      <c r="L1923" s="4" t="s">
        <v>7851</v>
      </c>
      <c r="M1923" s="4" t="s">
        <v>7855</v>
      </c>
      <c r="N1923" s="4" t="s">
        <v>7856</v>
      </c>
      <c r="O1923" s="4" t="s">
        <v>7851</v>
      </c>
      <c r="P1923" s="4" t="s">
        <v>7851</v>
      </c>
    </row>
    <row r="1924">
      <c r="A1924" s="4">
        <v>440.0</v>
      </c>
      <c r="B1924" s="4" t="s">
        <v>5757</v>
      </c>
      <c r="C1924" s="4"/>
      <c r="D1924" s="4" t="s">
        <v>7857</v>
      </c>
      <c r="E1924" s="4" t="s">
        <v>7858</v>
      </c>
      <c r="F1924" s="4" t="s">
        <v>7859</v>
      </c>
      <c r="G1924" s="5" t="str">
        <f>IFERROR(__xludf.DUMMYFUNCTION("GOOGLETRANSLATE(D1924,""en"",""es"")"),"tillis")</f>
        <v>tillis</v>
      </c>
    </row>
    <row r="1925">
      <c r="A1925" s="4">
        <v>441.0</v>
      </c>
      <c r="B1925" s="4" t="s">
        <v>5757</v>
      </c>
      <c r="C1925" s="4"/>
      <c r="D1925" s="4" t="s">
        <v>7860</v>
      </c>
      <c r="E1925" s="4" t="s">
        <v>7861</v>
      </c>
      <c r="F1925" s="4" t="s">
        <v>7862</v>
      </c>
      <c r="G1925" s="5" t="str">
        <f>IFERROR(__xludf.DUMMYFUNCTION("GOOGLETRANSLATE(D1925,""en"",""es"")"),"tillado")</f>
        <v>tillado</v>
      </c>
    </row>
    <row r="1926">
      <c r="A1926" s="4">
        <v>442.0</v>
      </c>
      <c r="B1926" s="4" t="s">
        <v>5757</v>
      </c>
      <c r="C1926" s="4"/>
      <c r="D1926" s="4" t="s">
        <v>4381</v>
      </c>
      <c r="E1926" s="4" t="s">
        <v>7863</v>
      </c>
      <c r="F1926" s="4" t="s">
        <v>4381</v>
      </c>
      <c r="G1926" s="5" t="str">
        <f>IFERROR(__xludf.DUMMYFUNCTION("GOOGLETRANSLATE(D1926,""en"",""es"")"),"Tim")</f>
        <v>Tim</v>
      </c>
    </row>
    <row r="1927">
      <c r="A1927" s="4">
        <v>443.0</v>
      </c>
      <c r="B1927" s="4" t="s">
        <v>5757</v>
      </c>
      <c r="C1927" s="4"/>
      <c r="D1927" s="4" t="s">
        <v>7864</v>
      </c>
      <c r="E1927" s="4" t="s">
        <v>7865</v>
      </c>
      <c r="F1927" s="4" t="s">
        <v>5606</v>
      </c>
      <c r="G1927" s="5" t="str">
        <f>IFERROR(__xludf.DUMMYFUNCTION("GOOGLETRANSLATE(D1927,""en"",""es"")"),"timmy")</f>
        <v>timmy</v>
      </c>
    </row>
    <row r="1928">
      <c r="A1928" s="4">
        <v>444.0</v>
      </c>
      <c r="B1928" s="4" t="s">
        <v>5757</v>
      </c>
      <c r="C1928" s="4"/>
      <c r="D1928" s="4" t="s">
        <v>5944</v>
      </c>
      <c r="E1928" s="4" t="s">
        <v>7866</v>
      </c>
      <c r="F1928" s="4" t="s">
        <v>5944</v>
      </c>
      <c r="G1928" s="5" t="str">
        <f>IFERROR(__xludf.DUMMYFUNCTION("GOOGLETRANSLATE(D1928,""en"",""es"")"),"estaño")</f>
        <v>estaño</v>
      </c>
      <c r="H1928" s="4" t="s">
        <v>5944</v>
      </c>
      <c r="I1928" s="4" t="s">
        <v>7867</v>
      </c>
      <c r="J1928" s="4" t="s">
        <v>7868</v>
      </c>
      <c r="K1928" s="4" t="s">
        <v>5944</v>
      </c>
      <c r="L1928" s="4" t="s">
        <v>7869</v>
      </c>
      <c r="M1928" s="4" t="s">
        <v>7870</v>
      </c>
      <c r="N1928" s="4" t="s">
        <v>5944</v>
      </c>
      <c r="O1928" s="4" t="s">
        <v>1120</v>
      </c>
      <c r="P1928" s="4" t="s">
        <v>5944</v>
      </c>
      <c r="Q1928" s="4" t="s">
        <v>5945</v>
      </c>
      <c r="R1928" s="4" t="s">
        <v>5944</v>
      </c>
      <c r="S1928" s="4" t="s">
        <v>1120</v>
      </c>
      <c r="T1928" s="4" t="s">
        <v>5944</v>
      </c>
      <c r="U1928" s="4" t="s">
        <v>2996</v>
      </c>
      <c r="V1928" s="4" t="s">
        <v>5944</v>
      </c>
    </row>
    <row r="1929">
      <c r="A1929" s="4">
        <v>445.0</v>
      </c>
      <c r="B1929" s="4" t="s">
        <v>5757</v>
      </c>
      <c r="C1929" s="4"/>
      <c r="D1929" s="4" t="s">
        <v>7871</v>
      </c>
      <c r="E1929" s="4" t="s">
        <v>7872</v>
      </c>
      <c r="F1929" s="4" t="s">
        <v>5593</v>
      </c>
      <c r="G1929" s="5" t="str">
        <f>IFERROR(__xludf.DUMMYFUNCTION("GOOGLETRANSLATE(D1929,""en"",""es"")"),"cascado")</f>
        <v>cascado</v>
      </c>
      <c r="H1929" s="4" t="s">
        <v>7871</v>
      </c>
      <c r="I1929" s="4" t="s">
        <v>1147</v>
      </c>
      <c r="J1929" s="4" t="s">
        <v>7697</v>
      </c>
      <c r="K1929" s="4" t="s">
        <v>7873</v>
      </c>
      <c r="L1929" s="4" t="s">
        <v>7874</v>
      </c>
      <c r="M1929" s="4" t="s">
        <v>7875</v>
      </c>
      <c r="N1929" s="4" t="s">
        <v>7876</v>
      </c>
      <c r="O1929" s="4" t="s">
        <v>7877</v>
      </c>
      <c r="P1929" s="4" t="s">
        <v>7871</v>
      </c>
      <c r="Q1929" s="4" t="s">
        <v>7871</v>
      </c>
    </row>
    <row r="1930">
      <c r="A1930" s="4">
        <v>446.0</v>
      </c>
      <c r="B1930" s="4" t="s">
        <v>5757</v>
      </c>
      <c r="C1930" s="4"/>
      <c r="D1930" s="4" t="s">
        <v>425</v>
      </c>
      <c r="E1930" s="4" t="s">
        <v>7878</v>
      </c>
      <c r="F1930" s="4" t="s">
        <v>425</v>
      </c>
      <c r="G1930" s="5" t="str">
        <f>IFERROR(__xludf.DUMMYFUNCTION("GOOGLETRANSLATE(D1930,""en"",""es"")"),"propina")</f>
        <v>propina</v>
      </c>
      <c r="H1930" s="4" t="s">
        <v>425</v>
      </c>
      <c r="I1930" s="4" t="s">
        <v>7879</v>
      </c>
      <c r="J1930" s="4" t="s">
        <v>425</v>
      </c>
      <c r="K1930" s="4" t="s">
        <v>7880</v>
      </c>
      <c r="L1930" s="4" t="s">
        <v>7881</v>
      </c>
      <c r="M1930" s="4" t="s">
        <v>7882</v>
      </c>
      <c r="N1930" s="4" t="s">
        <v>7883</v>
      </c>
      <c r="O1930" s="4" t="s">
        <v>7884</v>
      </c>
      <c r="P1930" s="4" t="s">
        <v>425</v>
      </c>
      <c r="Q1930" s="4" t="s">
        <v>648</v>
      </c>
      <c r="R1930" s="4" t="s">
        <v>7885</v>
      </c>
      <c r="S1930" s="4" t="s">
        <v>7886</v>
      </c>
      <c r="T1930" s="4" t="s">
        <v>1801</v>
      </c>
      <c r="U1930" s="4" t="s">
        <v>7887</v>
      </c>
      <c r="V1930" s="4" t="s">
        <v>3705</v>
      </c>
      <c r="W1930" s="4" t="s">
        <v>425</v>
      </c>
      <c r="X1930" s="4" t="s">
        <v>1400</v>
      </c>
      <c r="Y1930" s="4" t="s">
        <v>1400</v>
      </c>
      <c r="Z1930" s="4" t="s">
        <v>1401</v>
      </c>
      <c r="AA1930" s="4" t="s">
        <v>1402</v>
      </c>
      <c r="AB1930" s="4" t="s">
        <v>1403</v>
      </c>
      <c r="AC1930" s="4" t="s">
        <v>425</v>
      </c>
      <c r="AD1930" s="4" t="s">
        <v>1404</v>
      </c>
      <c r="AE1930" s="4" t="s">
        <v>425</v>
      </c>
      <c r="AF1930" s="4" t="s">
        <v>425</v>
      </c>
      <c r="AG1930" s="4" t="s">
        <v>425</v>
      </c>
      <c r="AH1930" s="4" t="s">
        <v>1811</v>
      </c>
      <c r="AI1930" s="4" t="s">
        <v>7888</v>
      </c>
      <c r="AJ1930" s="4" t="s">
        <v>7889</v>
      </c>
      <c r="AK1930" s="4" t="s">
        <v>7890</v>
      </c>
      <c r="AL1930" s="4" t="s">
        <v>425</v>
      </c>
      <c r="AM1930" s="4" t="s">
        <v>7828</v>
      </c>
      <c r="AN1930" s="4" t="s">
        <v>7891</v>
      </c>
      <c r="AO1930" s="4" t="s">
        <v>425</v>
      </c>
      <c r="AP1930" s="4" t="s">
        <v>7892</v>
      </c>
      <c r="AQ1930" s="4" t="s">
        <v>7893</v>
      </c>
      <c r="AR1930" s="4" t="s">
        <v>7894</v>
      </c>
      <c r="AS1930" s="4" t="s">
        <v>425</v>
      </c>
      <c r="AT1930" s="4" t="s">
        <v>7895</v>
      </c>
      <c r="AU1930" s="4" t="s">
        <v>4321</v>
      </c>
      <c r="AV1930" s="4" t="s">
        <v>425</v>
      </c>
      <c r="AW1930" s="4" t="s">
        <v>7896</v>
      </c>
      <c r="AX1930" s="4" t="s">
        <v>425</v>
      </c>
      <c r="AY1930" s="4" t="s">
        <v>425</v>
      </c>
    </row>
    <row r="1931">
      <c r="A1931" s="4">
        <v>447.0</v>
      </c>
      <c r="B1931" s="4" t="s">
        <v>5757</v>
      </c>
      <c r="C1931" s="4"/>
      <c r="D1931" s="4" t="s">
        <v>7897</v>
      </c>
      <c r="E1931" s="4" t="s">
        <v>7898</v>
      </c>
      <c r="F1931" s="4" t="s">
        <v>7899</v>
      </c>
      <c r="G1931" s="5" t="str">
        <f>IFERROR(__xludf.DUMMYFUNCTION("GOOGLETRANSLATE(D1931,""en"",""es"")"),"tejido")</f>
        <v>tejido</v>
      </c>
      <c r="H1931" s="4" t="s">
        <v>7897</v>
      </c>
      <c r="I1931" s="4" t="s">
        <v>7897</v>
      </c>
      <c r="J1931" s="4" t="s">
        <v>7900</v>
      </c>
      <c r="K1931" s="4" t="s">
        <v>7901</v>
      </c>
      <c r="L1931" s="4" t="s">
        <v>7897</v>
      </c>
    </row>
    <row r="1932">
      <c r="A1932" s="4">
        <v>448.0</v>
      </c>
      <c r="B1932" s="4" t="s">
        <v>5757</v>
      </c>
      <c r="C1932" s="4"/>
      <c r="D1932" s="4" t="s">
        <v>7902</v>
      </c>
      <c r="E1932" s="4" t="s">
        <v>7903</v>
      </c>
      <c r="F1932" s="4" t="s">
        <v>4490</v>
      </c>
      <c r="G1932" s="5" t="str">
        <f>IFERROR(__xludf.DUMMYFUNCTION("GOOGLETRANSLATE(D1932,""en"",""es"")"),"titty")</f>
        <v>titty</v>
      </c>
      <c r="H1932" s="4" t="s">
        <v>7904</v>
      </c>
      <c r="I1932" s="4" t="s">
        <v>4759</v>
      </c>
      <c r="J1932" s="4" t="s">
        <v>7905</v>
      </c>
      <c r="K1932" s="4" t="s">
        <v>3240</v>
      </c>
      <c r="L1932" s="4" t="s">
        <v>7097</v>
      </c>
      <c r="M1932" s="4" t="s">
        <v>7902</v>
      </c>
    </row>
    <row r="1933">
      <c r="A1933" s="4">
        <v>449.0</v>
      </c>
      <c r="B1933" s="4" t="s">
        <v>5757</v>
      </c>
      <c r="C1933" s="4"/>
      <c r="D1933" s="4" t="s">
        <v>7906</v>
      </c>
      <c r="E1933" s="4" t="s">
        <v>7907</v>
      </c>
      <c r="F1933" s="4" t="s">
        <v>456</v>
      </c>
      <c r="G1933" s="5" t="str">
        <f>IFERROR(__xludf.DUMMYFUNCTION("GOOGLETRANSLATE(D1933,""en"",""es"")"),"tomó")</f>
        <v>tomó</v>
      </c>
      <c r="H1933" s="4" t="s">
        <v>887</v>
      </c>
      <c r="I1933" s="4" t="s">
        <v>887</v>
      </c>
      <c r="J1933" s="4" t="s">
        <v>3082</v>
      </c>
      <c r="K1933" s="4" t="s">
        <v>7908</v>
      </c>
      <c r="L1933" s="4" t="s">
        <v>648</v>
      </c>
      <c r="M1933" s="4" t="s">
        <v>887</v>
      </c>
      <c r="N1933" s="4" t="s">
        <v>7909</v>
      </c>
      <c r="O1933" s="4" t="s">
        <v>7910</v>
      </c>
      <c r="P1933" s="4" t="s">
        <v>3413</v>
      </c>
      <c r="Q1933" s="4" t="s">
        <v>887</v>
      </c>
      <c r="R1933" s="4" t="s">
        <v>7911</v>
      </c>
      <c r="S1933" s="4" t="s">
        <v>883</v>
      </c>
      <c r="T1933" s="4" t="s">
        <v>884</v>
      </c>
      <c r="U1933" s="4" t="s">
        <v>885</v>
      </c>
      <c r="V1933" s="4" t="s">
        <v>886</v>
      </c>
      <c r="W1933" s="4" t="s">
        <v>887</v>
      </c>
      <c r="X1933" s="4" t="s">
        <v>887</v>
      </c>
      <c r="Y1933" s="4" t="s">
        <v>7912</v>
      </c>
      <c r="Z1933" s="4" t="s">
        <v>7913</v>
      </c>
      <c r="AA1933" s="4" t="s">
        <v>1500</v>
      </c>
      <c r="AB1933" s="4" t="s">
        <v>887</v>
      </c>
      <c r="AC1933" s="4" t="s">
        <v>887</v>
      </c>
      <c r="AD1933" s="4" t="s">
        <v>887</v>
      </c>
      <c r="AE1933" s="4" t="s">
        <v>7914</v>
      </c>
      <c r="AF1933" s="4" t="s">
        <v>887</v>
      </c>
      <c r="AG1933" s="4" t="s">
        <v>7915</v>
      </c>
      <c r="AH1933" s="4" t="s">
        <v>7916</v>
      </c>
      <c r="AI1933" s="4" t="s">
        <v>7917</v>
      </c>
      <c r="AJ1933" s="4" t="s">
        <v>887</v>
      </c>
      <c r="AK1933" s="4" t="s">
        <v>311</v>
      </c>
      <c r="AL1933" s="4" t="s">
        <v>3086</v>
      </c>
      <c r="AM1933" s="4" t="s">
        <v>887</v>
      </c>
      <c r="AN1933" s="4" t="s">
        <v>3082</v>
      </c>
      <c r="AO1933" s="4" t="s">
        <v>7918</v>
      </c>
      <c r="AP1933" s="4" t="s">
        <v>887</v>
      </c>
      <c r="AQ1933" s="4" t="s">
        <v>1737</v>
      </c>
      <c r="AR1933" s="4" t="s">
        <v>7919</v>
      </c>
      <c r="AS1933" s="4" t="s">
        <v>7920</v>
      </c>
      <c r="AT1933" s="4" t="s">
        <v>7921</v>
      </c>
      <c r="AU1933" s="4" t="s">
        <v>7922</v>
      </c>
      <c r="AV1933" s="4" t="s">
        <v>7923</v>
      </c>
      <c r="AW1933" s="4" t="s">
        <v>7924</v>
      </c>
      <c r="AX1933" s="4" t="s">
        <v>887</v>
      </c>
      <c r="AY1933" s="4" t="s">
        <v>7925</v>
      </c>
      <c r="AZ1933" s="4" t="s">
        <v>7926</v>
      </c>
      <c r="BA1933" s="4" t="s">
        <v>7927</v>
      </c>
      <c r="BB1933" s="4" t="s">
        <v>887</v>
      </c>
      <c r="BC1933" s="4" t="s">
        <v>1240</v>
      </c>
      <c r="BD1933" s="4" t="s">
        <v>4430</v>
      </c>
      <c r="BE1933" s="4" t="s">
        <v>887</v>
      </c>
      <c r="BF1933" s="4" t="s">
        <v>538</v>
      </c>
      <c r="BG1933" s="4" t="s">
        <v>887</v>
      </c>
      <c r="BH1933" s="4" t="s">
        <v>7928</v>
      </c>
      <c r="BI1933" s="4" t="s">
        <v>7929</v>
      </c>
      <c r="BJ1933" s="4" t="s">
        <v>7930</v>
      </c>
      <c r="BK1933" s="4" t="s">
        <v>879</v>
      </c>
      <c r="BL1933" s="4" t="s">
        <v>486</v>
      </c>
      <c r="BM1933" s="4" t="s">
        <v>887</v>
      </c>
      <c r="BN1933" s="4" t="s">
        <v>311</v>
      </c>
      <c r="BO1933" s="4" t="s">
        <v>887</v>
      </c>
      <c r="BP1933" s="4" t="s">
        <v>7931</v>
      </c>
      <c r="BQ1933" s="4" t="s">
        <v>887</v>
      </c>
      <c r="BR1933" s="4" t="s">
        <v>7917</v>
      </c>
      <c r="BS1933" s="4" t="s">
        <v>887</v>
      </c>
      <c r="BT1933" s="4" t="s">
        <v>883</v>
      </c>
      <c r="BU1933" s="4" t="s">
        <v>887</v>
      </c>
      <c r="BV1933" s="4" t="s">
        <v>903</v>
      </c>
      <c r="BW1933" s="4" t="s">
        <v>7932</v>
      </c>
      <c r="BX1933" s="4" t="s">
        <v>7917</v>
      </c>
      <c r="BY1933" s="4" t="s">
        <v>7933</v>
      </c>
      <c r="BZ1933" s="4" t="s">
        <v>887</v>
      </c>
      <c r="CA1933" s="4" t="s">
        <v>886</v>
      </c>
      <c r="CB1933" s="4" t="s">
        <v>887</v>
      </c>
      <c r="CC1933" s="4" t="s">
        <v>7934</v>
      </c>
      <c r="CD1933" s="4" t="s">
        <v>1074</v>
      </c>
      <c r="CE1933" s="4" t="s">
        <v>7912</v>
      </c>
      <c r="CF1933" s="4" t="s">
        <v>887</v>
      </c>
      <c r="CG1933" s="4" t="s">
        <v>7935</v>
      </c>
      <c r="CH1933" s="4" t="s">
        <v>887</v>
      </c>
      <c r="CI1933" s="4" t="s">
        <v>7936</v>
      </c>
      <c r="CJ1933" s="4" t="s">
        <v>887</v>
      </c>
      <c r="CK1933" s="4" t="s">
        <v>3000</v>
      </c>
      <c r="CL1933" s="4" t="s">
        <v>7937</v>
      </c>
      <c r="CM1933" s="4" t="s">
        <v>887</v>
      </c>
      <c r="CN1933" s="4" t="s">
        <v>7938</v>
      </c>
      <c r="CO1933" s="4" t="s">
        <v>7939</v>
      </c>
      <c r="CP1933" s="4" t="s">
        <v>7909</v>
      </c>
      <c r="CQ1933" s="4" t="s">
        <v>887</v>
      </c>
      <c r="CR1933" s="4" t="s">
        <v>7048</v>
      </c>
      <c r="CS1933" s="4" t="s">
        <v>2543</v>
      </c>
      <c r="CT1933" s="4" t="s">
        <v>887</v>
      </c>
      <c r="CU1933" s="4" t="s">
        <v>7940</v>
      </c>
      <c r="CV1933" s="4" t="s">
        <v>7941</v>
      </c>
      <c r="CW1933" s="4" t="s">
        <v>3084</v>
      </c>
      <c r="CX1933" s="4" t="s">
        <v>7942</v>
      </c>
      <c r="CY1933" s="4" t="s">
        <v>3081</v>
      </c>
      <c r="CZ1933" s="4" t="s">
        <v>887</v>
      </c>
      <c r="DA1933" s="4" t="s">
        <v>7943</v>
      </c>
      <c r="DB1933" s="4" t="s">
        <v>7944</v>
      </c>
      <c r="DC1933" s="4" t="s">
        <v>887</v>
      </c>
      <c r="DD1933" s="4" t="s">
        <v>887</v>
      </c>
      <c r="DE1933" s="4" t="s">
        <v>887</v>
      </c>
      <c r="DF1933" s="4" t="s">
        <v>887</v>
      </c>
      <c r="DG1933" s="4" t="s">
        <v>311</v>
      </c>
      <c r="DH1933" s="4" t="s">
        <v>7935</v>
      </c>
      <c r="DI1933" s="4" t="s">
        <v>887</v>
      </c>
      <c r="DJ1933" s="4" t="s">
        <v>7917</v>
      </c>
      <c r="DK1933" s="4" t="s">
        <v>887</v>
      </c>
      <c r="DL1933" s="4" t="s">
        <v>2074</v>
      </c>
      <c r="DM1933" s="4" t="s">
        <v>887</v>
      </c>
      <c r="DN1933" s="4" t="s">
        <v>313</v>
      </c>
      <c r="DO1933" s="4" t="s">
        <v>887</v>
      </c>
      <c r="DP1933" s="4" t="s">
        <v>7337</v>
      </c>
      <c r="DQ1933" s="4" t="s">
        <v>887</v>
      </c>
      <c r="DR1933" s="4" t="s">
        <v>887</v>
      </c>
      <c r="DS1933" s="4" t="s">
        <v>7945</v>
      </c>
      <c r="DT1933" s="4" t="s">
        <v>887</v>
      </c>
      <c r="DU1933" s="4" t="s">
        <v>7946</v>
      </c>
    </row>
    <row r="1934">
      <c r="A1934" s="4">
        <v>450.0</v>
      </c>
      <c r="B1934" s="4" t="s">
        <v>5757</v>
      </c>
      <c r="C1934" s="4"/>
      <c r="D1934" s="4" t="s">
        <v>7947</v>
      </c>
      <c r="E1934" s="4" t="s">
        <v>7948</v>
      </c>
      <c r="F1934" s="4" t="s">
        <v>7949</v>
      </c>
      <c r="G1934" s="5" t="str">
        <f>IFERROR(__xludf.DUMMYFUNCTION("GOOGLETRANSLATE(D1934,""en"",""es"")"),"touloulou")</f>
        <v>touloulou</v>
      </c>
    </row>
    <row r="1935">
      <c r="A1935" s="4">
        <v>451.0</v>
      </c>
      <c r="B1935" s="4" t="s">
        <v>5757</v>
      </c>
      <c r="C1935" s="4"/>
      <c r="D1935" s="4" t="s">
        <v>7950</v>
      </c>
      <c r="E1935" s="4" t="s">
        <v>400</v>
      </c>
      <c r="F1935" s="4" t="s">
        <v>401</v>
      </c>
      <c r="G1935" s="5" t="str">
        <f>IFERROR(__xludf.DUMMYFUNCTION("GOOGLETRANSLATE(D1935,""en"",""es"")"),"TSE")</f>
        <v>TSE</v>
      </c>
    </row>
    <row r="1936">
      <c r="A1936" s="4">
        <v>452.0</v>
      </c>
      <c r="B1936" s="4" t="s">
        <v>5757</v>
      </c>
      <c r="C1936" s="4"/>
      <c r="D1936" s="4" t="s">
        <v>7951</v>
      </c>
      <c r="E1936" s="4" t="s">
        <v>7952</v>
      </c>
      <c r="F1936" s="4" t="s">
        <v>7951</v>
      </c>
      <c r="G1936" s="5" t="str">
        <f>IFERROR(__xludf.DUMMYFUNCTION("GOOGLETRANSLATE(D1936,""en"",""es"")"),"tonel")</f>
        <v>tonel</v>
      </c>
      <c r="H1936" s="4" t="s">
        <v>7951</v>
      </c>
    </row>
    <row r="1937">
      <c r="A1937" s="4">
        <v>453.0</v>
      </c>
      <c r="B1937" s="4" t="s">
        <v>5757</v>
      </c>
      <c r="C1937" s="4"/>
      <c r="D1937" s="4" t="s">
        <v>1622</v>
      </c>
      <c r="E1937" s="4" t="s">
        <v>7953</v>
      </c>
      <c r="F1937" s="4" t="s">
        <v>1622</v>
      </c>
      <c r="G1937" s="5" t="str">
        <f>IFERROR(__xludf.DUMMYFUNCTION("GOOGLETRANSLATE(D1937,""en"",""es"")"),"tosh")</f>
        <v>tosh</v>
      </c>
      <c r="H1937" s="4" t="s">
        <v>1602</v>
      </c>
      <c r="I1937" s="4" t="s">
        <v>1603</v>
      </c>
      <c r="J1937" s="4" t="s">
        <v>1604</v>
      </c>
      <c r="K1937" s="4" t="s">
        <v>1605</v>
      </c>
      <c r="L1937" s="4" t="s">
        <v>1606</v>
      </c>
      <c r="M1937" s="4" t="s">
        <v>1147</v>
      </c>
      <c r="N1937" s="4" t="s">
        <v>1607</v>
      </c>
      <c r="O1937" s="4" t="s">
        <v>1120</v>
      </c>
      <c r="P1937" s="4" t="s">
        <v>1608</v>
      </c>
      <c r="Q1937" s="4" t="s">
        <v>1609</v>
      </c>
      <c r="R1937" s="4" t="s">
        <v>1610</v>
      </c>
      <c r="S1937" s="4" t="s">
        <v>1611</v>
      </c>
      <c r="T1937" s="4" t="s">
        <v>1612</v>
      </c>
      <c r="U1937" s="4" t="s">
        <v>1613</v>
      </c>
      <c r="V1937" s="4" t="s">
        <v>1614</v>
      </c>
      <c r="W1937" s="4" t="s">
        <v>1615</v>
      </c>
      <c r="X1937" s="4" t="s">
        <v>1616</v>
      </c>
      <c r="Y1937" s="4" t="s">
        <v>1617</v>
      </c>
      <c r="Z1937" s="4" t="s">
        <v>1618</v>
      </c>
      <c r="AA1937" s="4" t="s">
        <v>1619</v>
      </c>
      <c r="AB1937" s="4" t="s">
        <v>1620</v>
      </c>
      <c r="AC1937" s="4" t="s">
        <v>1621</v>
      </c>
      <c r="AD1937" s="4" t="s">
        <v>1622</v>
      </c>
      <c r="AE1937" s="4" t="s">
        <v>1623</v>
      </c>
      <c r="AF1937" s="4" t="s">
        <v>1624</v>
      </c>
      <c r="AG1937" s="4" t="s">
        <v>1625</v>
      </c>
      <c r="AH1937" s="4" t="s">
        <v>1626</v>
      </c>
      <c r="AI1937" s="4" t="s">
        <v>1627</v>
      </c>
    </row>
    <row r="1938">
      <c r="A1938" s="4">
        <v>454.0</v>
      </c>
      <c r="B1938" s="4" t="s">
        <v>5757</v>
      </c>
      <c r="C1938" s="4"/>
      <c r="D1938" s="4" t="s">
        <v>7954</v>
      </c>
      <c r="E1938" s="4" t="s">
        <v>7955</v>
      </c>
      <c r="F1938" s="4" t="s">
        <v>7956</v>
      </c>
      <c r="G1938" s="5" t="str">
        <f>IFERROR(__xludf.DUMMYFUNCTION("GOOGLETRANSLATE(D1938,""en"",""es"")"),"tushie")</f>
        <v>tushie</v>
      </c>
    </row>
    <row r="1939">
      <c r="A1939" s="4">
        <v>455.0</v>
      </c>
      <c r="B1939" s="4" t="s">
        <v>5757</v>
      </c>
      <c r="C1939" s="4"/>
      <c r="D1939" s="4" t="s">
        <v>4579</v>
      </c>
      <c r="E1939" s="4" t="s">
        <v>4578</v>
      </c>
      <c r="F1939" s="4" t="s">
        <v>4579</v>
      </c>
      <c r="G1939" s="5" t="str">
        <f>IFERROR(__xludf.DUMMYFUNCTION("GOOGLETRANSLATE(D1939,""en"",""es"")"),"tutú")</f>
        <v>tutú</v>
      </c>
      <c r="H1939" s="4" t="s">
        <v>7957</v>
      </c>
      <c r="I1939" s="4" t="s">
        <v>7958</v>
      </c>
      <c r="J1939" s="4" t="s">
        <v>4580</v>
      </c>
      <c r="K1939" s="4" t="s">
        <v>4579</v>
      </c>
    </row>
    <row r="1940">
      <c r="A1940" s="4">
        <v>456.0</v>
      </c>
      <c r="B1940" s="4" t="s">
        <v>5757</v>
      </c>
      <c r="C1940" s="4"/>
      <c r="D1940" s="4" t="s">
        <v>7959</v>
      </c>
      <c r="E1940" s="4" t="s">
        <v>7960</v>
      </c>
      <c r="F1940" s="4" t="s">
        <v>4559</v>
      </c>
      <c r="G1940" s="5" t="str">
        <f>IFERROR(__xludf.DUMMYFUNCTION("GOOGLETRANSLATE(D1940,""en"",""es"")"),"twp")</f>
        <v>twp</v>
      </c>
    </row>
    <row r="1941">
      <c r="A1941" s="4">
        <v>457.0</v>
      </c>
      <c r="B1941" s="4" t="s">
        <v>5757</v>
      </c>
      <c r="C1941" s="4"/>
      <c r="D1941" s="4" t="s">
        <v>7961</v>
      </c>
      <c r="E1941" s="4" t="s">
        <v>7962</v>
      </c>
      <c r="F1941" s="4" t="s">
        <v>7963</v>
      </c>
      <c r="G1941" s="5" t="str">
        <f>IFERROR(__xludf.DUMMYFUNCTION("GOOGLETRANSLATE(D1941,""en"",""es"")"),"UConn")</f>
        <v>UConn</v>
      </c>
    </row>
    <row r="1942">
      <c r="A1942" s="4">
        <v>458.0</v>
      </c>
      <c r="B1942" s="4" t="s">
        <v>5757</v>
      </c>
      <c r="C1942" s="4"/>
      <c r="D1942" s="4" t="s">
        <v>7964</v>
      </c>
      <c r="E1942" s="4" t="s">
        <v>6181</v>
      </c>
      <c r="F1942" s="4" t="s">
        <v>6182</v>
      </c>
      <c r="G1942" s="5" t="str">
        <f>IFERROR(__xludf.DUMMYFUNCTION("GOOGLETRANSLATE(D1942,""en"",""es"")"),"xe")</f>
        <v>xe</v>
      </c>
      <c r="H1942" s="4" t="s">
        <v>7965</v>
      </c>
      <c r="I1942" s="4" t="s">
        <v>7966</v>
      </c>
      <c r="J1942" s="4" t="s">
        <v>7967</v>
      </c>
    </row>
    <row r="1943">
      <c r="A1943" s="4">
        <v>459.0</v>
      </c>
      <c r="B1943" s="4" t="s">
        <v>5757</v>
      </c>
      <c r="C1943" s="4"/>
      <c r="D1943" s="4" t="s">
        <v>2011</v>
      </c>
      <c r="E1943" s="4" t="s">
        <v>7968</v>
      </c>
      <c r="F1943" s="4" t="s">
        <v>2011</v>
      </c>
      <c r="G1943" s="5" t="str">
        <f>IFERROR(__xludf.DUMMYFUNCTION("GOOGLETRANSLATE(D1943,""en"",""es"")"),"ya")</f>
        <v>ya</v>
      </c>
    </row>
    <row r="1944">
      <c r="A1944" s="4">
        <v>460.0</v>
      </c>
      <c r="B1944" s="4" t="s">
        <v>5757</v>
      </c>
      <c r="C1944" s="4"/>
      <c r="D1944" s="4" t="s">
        <v>7969</v>
      </c>
      <c r="E1944" s="4" t="s">
        <v>1870</v>
      </c>
      <c r="F1944" s="4" t="s">
        <v>1871</v>
      </c>
      <c r="G1944" s="5" t="str">
        <f>IFERROR(__xludf.DUMMYFUNCTION("GOOGLETRANSLATE(D1944,""en"",""es"")"),"quemar")</f>
        <v>quemar</v>
      </c>
      <c r="H1944" s="4" t="s">
        <v>1871</v>
      </c>
      <c r="I1944" s="4" t="s">
        <v>7969</v>
      </c>
      <c r="J1944" s="4" t="s">
        <v>7970</v>
      </c>
      <c r="K1944" s="4" t="s">
        <v>7971</v>
      </c>
      <c r="L1944" s="4" t="s">
        <v>7972</v>
      </c>
      <c r="M1944" s="4" t="s">
        <v>7969</v>
      </c>
      <c r="N1944" s="4" t="s">
        <v>7973</v>
      </c>
      <c r="O1944" s="4" t="s">
        <v>7974</v>
      </c>
      <c r="P1944" s="4" t="s">
        <v>7975</v>
      </c>
      <c r="Q1944" s="4" t="s">
        <v>7976</v>
      </c>
    </row>
    <row r="1945">
      <c r="A1945" s="4">
        <v>461.0</v>
      </c>
      <c r="B1945" s="4" t="s">
        <v>5757</v>
      </c>
      <c r="C1945" s="4"/>
      <c r="D1945" s="4" t="s">
        <v>7969</v>
      </c>
      <c r="E1945" s="4" t="s">
        <v>7977</v>
      </c>
      <c r="F1945" s="4" t="s">
        <v>1871</v>
      </c>
      <c r="G1945" s="5" t="str">
        <f>IFERROR(__xludf.DUMMYFUNCTION("GOOGLETRANSLATE(D1945,""en"",""es"")"),"quemar")</f>
        <v>quemar</v>
      </c>
      <c r="H1945" s="4" t="s">
        <v>1871</v>
      </c>
      <c r="I1945" s="4" t="s">
        <v>7969</v>
      </c>
      <c r="J1945" s="4" t="s">
        <v>7970</v>
      </c>
      <c r="K1945" s="4" t="s">
        <v>7971</v>
      </c>
      <c r="L1945" s="4" t="s">
        <v>7972</v>
      </c>
      <c r="M1945" s="4" t="s">
        <v>7969</v>
      </c>
      <c r="N1945" s="4" t="s">
        <v>7973</v>
      </c>
      <c r="O1945" s="4" t="s">
        <v>7974</v>
      </c>
      <c r="P1945" s="4" t="s">
        <v>7975</v>
      </c>
      <c r="Q1945" s="4" t="s">
        <v>7976</v>
      </c>
    </row>
    <row r="1946">
      <c r="A1946" s="4">
        <v>462.0</v>
      </c>
      <c r="B1946" s="4" t="s">
        <v>5757</v>
      </c>
      <c r="C1946" s="4"/>
      <c r="D1946" s="4" t="s">
        <v>1871</v>
      </c>
      <c r="E1946" s="4" t="s">
        <v>7977</v>
      </c>
      <c r="F1946" s="4" t="s">
        <v>1871</v>
      </c>
      <c r="G1946" s="5" t="str">
        <f>IFERROR(__xludf.DUMMYFUNCTION("GOOGLETRANSLATE(D1946,""en"",""es"")"),"yak")</f>
        <v>yak</v>
      </c>
      <c r="H1946" s="4" t="s">
        <v>1871</v>
      </c>
      <c r="I1946" s="4" t="s">
        <v>7969</v>
      </c>
      <c r="J1946" s="4" t="s">
        <v>7970</v>
      </c>
      <c r="K1946" s="4" t="s">
        <v>7971</v>
      </c>
      <c r="L1946" s="4" t="s">
        <v>7972</v>
      </c>
      <c r="M1946" s="4" t="s">
        <v>1871</v>
      </c>
      <c r="N1946" s="4" t="s">
        <v>1872</v>
      </c>
      <c r="O1946" s="4" t="s">
        <v>1871</v>
      </c>
      <c r="P1946" s="4" t="s">
        <v>7978</v>
      </c>
    </row>
    <row r="1947">
      <c r="A1947" s="4">
        <v>463.0</v>
      </c>
      <c r="B1947" s="4" t="s">
        <v>5757</v>
      </c>
      <c r="C1947" s="4"/>
      <c r="D1947" s="4" t="s">
        <v>7979</v>
      </c>
      <c r="E1947" s="4" t="s">
        <v>7980</v>
      </c>
      <c r="F1947" s="4" t="s">
        <v>7979</v>
      </c>
      <c r="G1947" s="5" t="str">
        <f>IFERROR(__xludf.DUMMYFUNCTION("GOOGLETRANSLATE(D1947,""en"",""es"")"),"yakima")</f>
        <v>yakima</v>
      </c>
      <c r="H1947" s="4" t="s">
        <v>7981</v>
      </c>
    </row>
    <row r="1948">
      <c r="A1948" s="4">
        <v>464.0</v>
      </c>
      <c r="B1948" s="4" t="s">
        <v>5757</v>
      </c>
      <c r="C1948" s="4"/>
      <c r="D1948" s="4" t="s">
        <v>7982</v>
      </c>
      <c r="E1948" s="4" t="s">
        <v>7983</v>
      </c>
      <c r="F1948" s="4" t="s">
        <v>7984</v>
      </c>
      <c r="G1948" s="5" t="str">
        <f>IFERROR(__xludf.DUMMYFUNCTION("GOOGLETRANSLATE(D1948,""en"",""es"")"),"yakky")</f>
        <v>yakky</v>
      </c>
    </row>
    <row r="1949">
      <c r="A1949" s="4">
        <v>465.0</v>
      </c>
      <c r="B1949" s="4" t="s">
        <v>5757</v>
      </c>
      <c r="C1949" s="4"/>
      <c r="D1949" s="4" t="s">
        <v>3056</v>
      </c>
      <c r="E1949" s="4" t="s">
        <v>7985</v>
      </c>
      <c r="F1949" s="4" t="s">
        <v>3056</v>
      </c>
      <c r="G1949" s="5" t="str">
        <f>IFERROR(__xludf.DUMMYFUNCTION("GOOGLETRANSLATE(D1949,""en"",""es"")"),"batata")</f>
        <v>batata</v>
      </c>
      <c r="H1949" s="4" t="s">
        <v>3056</v>
      </c>
      <c r="I1949" s="4" t="s">
        <v>3056</v>
      </c>
      <c r="J1949" s="4" t="s">
        <v>7986</v>
      </c>
      <c r="K1949" s="4" t="s">
        <v>3056</v>
      </c>
      <c r="L1949" s="4" t="s">
        <v>3056</v>
      </c>
    </row>
    <row r="1950">
      <c r="A1950" s="4">
        <v>466.0</v>
      </c>
      <c r="B1950" s="4" t="s">
        <v>5757</v>
      </c>
      <c r="C1950" s="4"/>
      <c r="D1950" s="4" t="s">
        <v>6388</v>
      </c>
      <c r="E1950" s="4" t="s">
        <v>6387</v>
      </c>
      <c r="F1950" s="4" t="s">
        <v>6388</v>
      </c>
      <c r="G1950" s="5" t="str">
        <f>IFERROR(__xludf.DUMMYFUNCTION("GOOGLETRANSLATE(D1950,""en"",""es"")"),"yan")</f>
        <v>yan</v>
      </c>
    </row>
    <row r="1951">
      <c r="A1951" s="4">
        <v>467.0</v>
      </c>
      <c r="B1951" s="4" t="s">
        <v>5757</v>
      </c>
      <c r="C1951" s="4"/>
      <c r="D1951" s="4" t="s">
        <v>7987</v>
      </c>
      <c r="E1951" s="4" t="s">
        <v>7988</v>
      </c>
      <c r="F1951" s="4" t="s">
        <v>7987</v>
      </c>
      <c r="G1951" s="5" t="str">
        <f>IFERROR(__xludf.DUMMYFUNCTION("GOOGLETRANSLATE(D1951,""en"",""es"")"),"ladrar")</f>
        <v>ladrar</v>
      </c>
      <c r="H1951" s="4" t="s">
        <v>7219</v>
      </c>
      <c r="I1951" s="4" t="s">
        <v>7989</v>
      </c>
      <c r="J1951" s="4" t="s">
        <v>7990</v>
      </c>
      <c r="K1951" s="4" t="s">
        <v>7991</v>
      </c>
      <c r="L1951" s="4" t="s">
        <v>7987</v>
      </c>
      <c r="M1951" s="4" t="s">
        <v>2514</v>
      </c>
      <c r="N1951" s="4" t="s">
        <v>7992</v>
      </c>
      <c r="O1951" s="4" t="s">
        <v>7993</v>
      </c>
      <c r="P1951" s="4" t="s">
        <v>7987</v>
      </c>
    </row>
    <row r="1952">
      <c r="A1952" s="4">
        <v>468.0</v>
      </c>
      <c r="B1952" s="4" t="s">
        <v>5757</v>
      </c>
      <c r="C1952" s="4"/>
      <c r="D1952" s="4" t="s">
        <v>7994</v>
      </c>
      <c r="E1952" s="4" t="s">
        <v>7988</v>
      </c>
      <c r="F1952" s="4" t="s">
        <v>7987</v>
      </c>
      <c r="G1952" s="5" t="str">
        <f>IFERROR(__xludf.DUMMYFUNCTION("GOOGLETRANSLATE(D1952,""en"",""es"")"),"yapp")</f>
        <v>yapp</v>
      </c>
    </row>
    <row r="1953">
      <c r="A1953" s="4">
        <v>469.0</v>
      </c>
      <c r="B1953" s="4" t="s">
        <v>5757</v>
      </c>
      <c r="C1953" s="4"/>
      <c r="D1953" s="4" t="s">
        <v>7995</v>
      </c>
      <c r="E1953" s="4" t="s">
        <v>7996</v>
      </c>
      <c r="F1953" s="4" t="s">
        <v>7997</v>
      </c>
      <c r="G1953" s="5" t="str">
        <f>IFERROR(__xludf.DUMMYFUNCTION("GOOGLETRANSLATE(D1953,""en"",""es"")"),"yee")</f>
        <v>yee</v>
      </c>
    </row>
    <row r="1954">
      <c r="A1954" s="4">
        <v>470.0</v>
      </c>
      <c r="B1954" s="4" t="s">
        <v>5757</v>
      </c>
      <c r="C1954" s="4"/>
      <c r="D1954" s="4" t="s">
        <v>7998</v>
      </c>
      <c r="E1954" s="4" t="s">
        <v>7999</v>
      </c>
      <c r="F1954" s="4" t="s">
        <v>7998</v>
      </c>
      <c r="G1954" s="5" t="str">
        <f>IFERROR(__xludf.DUMMYFUNCTION("GOOGLETRANSLATE(D1954,""en"",""es"")"),"yin")</f>
        <v>yin</v>
      </c>
      <c r="H1954" s="4" t="s">
        <v>7998</v>
      </c>
    </row>
    <row r="1955">
      <c r="A1955" s="4">
        <v>471.0</v>
      </c>
      <c r="B1955" s="4" t="s">
        <v>5757</v>
      </c>
      <c r="C1955" s="4"/>
      <c r="D1955" s="4" t="s">
        <v>7993</v>
      </c>
      <c r="E1955" s="4" t="s">
        <v>8000</v>
      </c>
      <c r="F1955" s="4" t="s">
        <v>7993</v>
      </c>
      <c r="G1955" s="5" t="str">
        <f>IFERROR(__xludf.DUMMYFUNCTION("GOOGLETRANSLATE(D1955,""en"",""es"")"),"cárcel")</f>
        <v>cárcel</v>
      </c>
      <c r="H1955" s="4" t="s">
        <v>7993</v>
      </c>
      <c r="I1955" s="4" t="s">
        <v>7992</v>
      </c>
      <c r="J1955" s="4" t="s">
        <v>8001</v>
      </c>
      <c r="K1955" s="4" t="s">
        <v>7992</v>
      </c>
      <c r="L1955" s="4" t="s">
        <v>7993</v>
      </c>
      <c r="M1955" s="4" t="s">
        <v>7987</v>
      </c>
    </row>
    <row r="1956">
      <c r="A1956" s="4">
        <v>472.0</v>
      </c>
      <c r="B1956" s="4" t="s">
        <v>5757</v>
      </c>
      <c r="C1956" s="4"/>
      <c r="D1956" s="4" t="s">
        <v>8002</v>
      </c>
      <c r="E1956" s="4" t="s">
        <v>289</v>
      </c>
      <c r="F1956" s="4" t="s">
        <v>290</v>
      </c>
      <c r="G1956" s="5" t="str">
        <f>IFERROR(__xludf.DUMMYFUNCTION("GOOGLETRANSLATE(D1956,""en"",""es"")"),"tú")</f>
        <v>tú</v>
      </c>
    </row>
    <row r="1957">
      <c r="A1957" s="4">
        <v>473.0</v>
      </c>
      <c r="B1957" s="4" t="s">
        <v>5757</v>
      </c>
      <c r="C1957" s="4"/>
      <c r="D1957" s="4" t="s">
        <v>8003</v>
      </c>
      <c r="E1957" s="4" t="s">
        <v>5877</v>
      </c>
      <c r="F1957" s="4" t="s">
        <v>5876</v>
      </c>
      <c r="G1957" s="5" t="str">
        <f>IFERROR(__xludf.DUMMYFUNCTION("GOOGLETRANSLATE(D1957,""en"",""es"")"),"Æ")</f>
        <v>Æ</v>
      </c>
    </row>
    <row r="1958">
      <c r="A1958" s="4">
        <v>474.0</v>
      </c>
      <c r="B1958" s="4" t="s">
        <v>5757</v>
      </c>
      <c r="C1958" s="4"/>
      <c r="D1958" s="4" t="s">
        <v>8004</v>
      </c>
      <c r="E1958" s="4" t="s">
        <v>5877</v>
      </c>
      <c r="F1958" s="4" t="s">
        <v>5876</v>
      </c>
      <c r="G1958" s="5" t="str">
        <f>IFERROR(__xludf.DUMMYFUNCTION("GOOGLETRANSLATE(D1958,""en"",""es"")"),"Æsc")</f>
        <v>Æsc</v>
      </c>
    </row>
    <row r="1959">
      <c r="A1959" s="4">
        <v>1.0</v>
      </c>
      <c r="B1959" s="4" t="s">
        <v>8005</v>
      </c>
      <c r="C1959" s="4"/>
      <c r="D1959" s="6" t="s">
        <v>5758</v>
      </c>
      <c r="E1959" s="4" t="s">
        <v>5759</v>
      </c>
      <c r="F1959" s="4" t="s">
        <v>304</v>
      </c>
      <c r="G1959" s="5" t="str">
        <f>IFERROR(__xludf.DUMMYFUNCTION("GOOGLETRANSLATE(D1959,""en"",""es"")"),"Em")</f>
        <v>Em</v>
      </c>
    </row>
    <row r="1960">
      <c r="A1960" s="4">
        <v>2.0</v>
      </c>
      <c r="B1960" s="4" t="s">
        <v>8005</v>
      </c>
      <c r="C1960" s="4"/>
      <c r="D1960" s="4" t="s">
        <v>5760</v>
      </c>
      <c r="E1960" s="4" t="s">
        <v>5761</v>
      </c>
      <c r="F1960" s="4" t="s">
        <v>1776</v>
      </c>
      <c r="G1960" s="5" t="str">
        <f>IFERROR(__xludf.DUMMYFUNCTION("GOOGLETRANSLATE(D1960,""en"",""es"")"),"aach")</f>
        <v>aach</v>
      </c>
    </row>
    <row r="1961">
      <c r="A1961" s="4">
        <v>3.0</v>
      </c>
      <c r="B1961" s="4" t="s">
        <v>8005</v>
      </c>
      <c r="C1961" s="4"/>
      <c r="D1961" s="4" t="s">
        <v>5762</v>
      </c>
      <c r="E1961" s="4" t="s">
        <v>5763</v>
      </c>
      <c r="F1961" s="4" t="s">
        <v>4910</v>
      </c>
      <c r="G1961" s="5" t="str">
        <f>IFERROR(__xludf.DUMMYFUNCTION("GOOGLETRANSLATE(D1961,""en"",""es"")"),"aacu")</f>
        <v>aacu</v>
      </c>
    </row>
    <row r="1962">
      <c r="A1962" s="4">
        <v>4.0</v>
      </c>
      <c r="B1962" s="4" t="s">
        <v>8005</v>
      </c>
      <c r="C1962" s="4"/>
      <c r="D1962" s="4" t="s">
        <v>5764</v>
      </c>
      <c r="E1962" s="4" t="s">
        <v>5765</v>
      </c>
      <c r="F1962" s="4" t="s">
        <v>5766</v>
      </c>
      <c r="G1962" s="5" t="str">
        <f>IFERROR(__xludf.DUMMYFUNCTION("GOOGLETRANSLATE(D1962,""en"",""es"")"),"acetal")</f>
        <v>acetal</v>
      </c>
      <c r="H1962" s="4" t="s">
        <v>5764</v>
      </c>
    </row>
    <row r="1963">
      <c r="A1963" s="4">
        <v>5.0</v>
      </c>
      <c r="B1963" s="4" t="s">
        <v>8005</v>
      </c>
      <c r="C1963" s="4"/>
      <c r="D1963" s="4" t="s">
        <v>5767</v>
      </c>
      <c r="E1963" s="4" t="s">
        <v>5761</v>
      </c>
      <c r="F1963" s="4" t="s">
        <v>1776</v>
      </c>
      <c r="G1963" s="5" t="str">
        <f>IFERROR(__xludf.DUMMYFUNCTION("GOOGLETRANSLATE(D1963,""en"",""es"")"),"ack")</f>
        <v>ack</v>
      </c>
    </row>
    <row r="1964">
      <c r="A1964" s="4">
        <v>6.0</v>
      </c>
      <c r="B1964" s="4" t="s">
        <v>8005</v>
      </c>
      <c r="C1964" s="4"/>
      <c r="D1964" s="4" t="s">
        <v>5768</v>
      </c>
      <c r="E1964" s="4" t="s">
        <v>5769</v>
      </c>
      <c r="F1964" s="4" t="s">
        <v>5770</v>
      </c>
      <c r="G1964" s="5" t="str">
        <f>IFERROR(__xludf.DUMMYFUNCTION("GOOGLETRANSLATE(D1964,""en"",""es"")"),"acilo")</f>
        <v>acilo</v>
      </c>
      <c r="H1964" s="4" t="s">
        <v>5768</v>
      </c>
      <c r="I1964" s="4" t="s">
        <v>5771</v>
      </c>
    </row>
    <row r="1965">
      <c r="A1965" s="4">
        <v>7.0</v>
      </c>
      <c r="B1965" s="4" t="s">
        <v>8005</v>
      </c>
      <c r="C1965" s="4"/>
      <c r="D1965" s="4" t="s">
        <v>5777</v>
      </c>
      <c r="E1965" s="4" t="s">
        <v>5778</v>
      </c>
      <c r="F1965" s="4" t="s">
        <v>5777</v>
      </c>
      <c r="G1965" s="5" t="str">
        <f>IFERROR(__xludf.DUMMYFUNCTION("GOOGLETRANSLATE(D1965,""en"",""es"")"),"ahi")</f>
        <v>ahi</v>
      </c>
    </row>
    <row r="1966">
      <c r="A1966" s="4">
        <v>8.0</v>
      </c>
      <c r="B1966" s="4" t="s">
        <v>8005</v>
      </c>
      <c r="C1966" s="4"/>
      <c r="D1966" s="4" t="s">
        <v>5779</v>
      </c>
      <c r="E1966" s="4" t="s">
        <v>5761</v>
      </c>
      <c r="F1966" s="4" t="s">
        <v>1776</v>
      </c>
      <c r="G1966" s="5" t="str">
        <f>IFERROR(__xludf.DUMMYFUNCTION("GOOGLETRANSLATE(D1966,""en"",""es"")"),"akh")</f>
        <v>akh</v>
      </c>
    </row>
    <row r="1967">
      <c r="A1967" s="4">
        <v>9.0</v>
      </c>
      <c r="B1967" s="4" t="s">
        <v>8005</v>
      </c>
      <c r="C1967" s="4"/>
      <c r="D1967" s="4" t="s">
        <v>5780</v>
      </c>
      <c r="E1967" s="4" t="s">
        <v>5781</v>
      </c>
      <c r="F1967" s="4" t="s">
        <v>816</v>
      </c>
      <c r="G1967" s="5" t="str">
        <f>IFERROR(__xludf.DUMMYFUNCTION("GOOGLETRANSLATE(D1967,""en"",""es"")"),"akhi")</f>
        <v>akhi</v>
      </c>
    </row>
    <row r="1968">
      <c r="A1968" s="4">
        <v>10.0</v>
      </c>
      <c r="B1968" s="4" t="s">
        <v>8005</v>
      </c>
      <c r="C1968" s="4"/>
      <c r="D1968" s="4" t="s">
        <v>506</v>
      </c>
      <c r="E1968" s="4" t="s">
        <v>5782</v>
      </c>
      <c r="F1968" s="4" t="s">
        <v>506</v>
      </c>
      <c r="G1968" s="5" t="str">
        <f>IFERROR(__xludf.DUMMYFUNCTION("GOOGLETRANSLATE(D1968,""en"",""es"")"),"Alabama")</f>
        <v>Alabama</v>
      </c>
      <c r="H1968" s="4" t="s">
        <v>556</v>
      </c>
      <c r="I1968" s="4" t="s">
        <v>557</v>
      </c>
      <c r="J1968" s="4" t="s">
        <v>558</v>
      </c>
      <c r="K1968" s="4" t="s">
        <v>559</v>
      </c>
      <c r="L1968" s="4" t="s">
        <v>5783</v>
      </c>
      <c r="M1968" s="4" t="s">
        <v>5784</v>
      </c>
      <c r="N1968" s="4" t="s">
        <v>5785</v>
      </c>
      <c r="O1968" s="4" t="s">
        <v>5786</v>
      </c>
    </row>
    <row r="1969">
      <c r="A1969" s="4">
        <v>11.0</v>
      </c>
      <c r="B1969" s="4" t="s">
        <v>8005</v>
      </c>
      <c r="C1969" s="4"/>
      <c r="D1969" s="4" t="s">
        <v>5787</v>
      </c>
      <c r="E1969" s="4" t="s">
        <v>5788</v>
      </c>
      <c r="F1969" s="4" t="s">
        <v>5789</v>
      </c>
      <c r="G1969" s="5" t="str">
        <f>IFERROR(__xludf.DUMMYFUNCTION("GOOGLETRANSLATE(D1969,""en"",""es"")"),"alec")</f>
        <v>alec</v>
      </c>
    </row>
    <row r="1970">
      <c r="A1970" s="4">
        <v>12.0</v>
      </c>
      <c r="B1970" s="4" t="s">
        <v>8005</v>
      </c>
      <c r="C1970" s="4"/>
      <c r="D1970" s="4" t="s">
        <v>5790</v>
      </c>
      <c r="E1970" s="4" t="s">
        <v>5791</v>
      </c>
      <c r="F1970" s="4" t="s">
        <v>5792</v>
      </c>
      <c r="G1970" s="5" t="str">
        <f>IFERROR(__xludf.DUMMYFUNCTION("GOOGLETRANSLATE(D1970,""en"",""es"")"),"alemánico")</f>
        <v>alemánico</v>
      </c>
    </row>
    <row r="1971">
      <c r="A1971" s="4">
        <v>13.0</v>
      </c>
      <c r="B1971" s="4" t="s">
        <v>8005</v>
      </c>
      <c r="C1971" s="4"/>
      <c r="D1971" s="4" t="s">
        <v>5793</v>
      </c>
      <c r="E1971" s="4" t="s">
        <v>5794</v>
      </c>
      <c r="F1971" s="4" t="s">
        <v>5793</v>
      </c>
      <c r="G1971" s="5" t="str">
        <f>IFERROR(__xludf.DUMMYFUNCTION("GOOGLETRANSLATE(D1971,""en"",""es"")"),"ali")</f>
        <v>ali</v>
      </c>
      <c r="H1971" s="4" t="s">
        <v>5795</v>
      </c>
      <c r="I1971" s="4" t="s">
        <v>5796</v>
      </c>
      <c r="J1971" s="4" t="s">
        <v>5797</v>
      </c>
      <c r="K1971" s="4" t="s">
        <v>5798</v>
      </c>
      <c r="L1971" s="4" t="s">
        <v>5795</v>
      </c>
    </row>
    <row r="1972">
      <c r="A1972" s="4">
        <v>14.0</v>
      </c>
      <c r="B1972" s="4" t="s">
        <v>8005</v>
      </c>
      <c r="C1972" s="4"/>
      <c r="D1972" s="4" t="s">
        <v>5799</v>
      </c>
      <c r="E1972" s="4" t="s">
        <v>5800</v>
      </c>
      <c r="F1972" s="4" t="s">
        <v>5801</v>
      </c>
      <c r="G1972" s="5" t="str">
        <f>IFERROR(__xludf.DUMMYFUNCTION("GOOGLETRANSLATE(D1972,""en"",""es"")"),"Alicia")</f>
        <v>Alicia</v>
      </c>
    </row>
    <row r="1973">
      <c r="A1973" s="4">
        <v>15.0</v>
      </c>
      <c r="B1973" s="4" t="s">
        <v>8005</v>
      </c>
      <c r="C1973" s="4"/>
      <c r="D1973" s="4" t="s">
        <v>5802</v>
      </c>
      <c r="E1973" s="4" t="s">
        <v>5794</v>
      </c>
      <c r="F1973" s="4" t="s">
        <v>5793</v>
      </c>
      <c r="G1973" s="5" t="str">
        <f>IFERROR(__xludf.DUMMYFUNCTION("GOOGLETRANSLATE(D1973,""en"",""es"")"),"callejón")</f>
        <v>callejón</v>
      </c>
      <c r="H1973" s="4" t="s">
        <v>5802</v>
      </c>
      <c r="I1973" s="4" t="s">
        <v>5803</v>
      </c>
      <c r="J1973" s="4" t="s">
        <v>5804</v>
      </c>
      <c r="K1973" s="4" t="s">
        <v>5805</v>
      </c>
      <c r="L1973" s="4" t="s">
        <v>5802</v>
      </c>
      <c r="M1973" s="4" t="s">
        <v>5806</v>
      </c>
    </row>
    <row r="1974">
      <c r="A1974" s="4">
        <v>16.0</v>
      </c>
      <c r="B1974" s="4" t="s">
        <v>8005</v>
      </c>
      <c r="C1974" s="4"/>
      <c r="D1974" s="4" t="s">
        <v>5807</v>
      </c>
      <c r="E1974" s="4" t="s">
        <v>5808</v>
      </c>
      <c r="F1974" s="4" t="s">
        <v>5809</v>
      </c>
      <c r="G1974" s="5" t="str">
        <f>IFERROR(__xludf.DUMMYFUNCTION("GOOGLETRANSLATE(D1974,""en"",""es"")"),"callejón")</f>
        <v>callejón</v>
      </c>
    </row>
    <row r="1975">
      <c r="A1975" s="4">
        <v>17.0</v>
      </c>
      <c r="B1975" s="4" t="s">
        <v>8005</v>
      </c>
      <c r="C1975" s="4"/>
      <c r="D1975" s="4" t="s">
        <v>5810</v>
      </c>
      <c r="E1975" s="4" t="s">
        <v>5811</v>
      </c>
      <c r="F1975" s="4" t="s">
        <v>5801</v>
      </c>
      <c r="G1975" s="5" t="str">
        <f>IFERROR(__xludf.DUMMYFUNCTION("GOOGLETRANSLATE(D1975,""en"",""es"")"),"alice")</f>
        <v>alice</v>
      </c>
      <c r="H1975" s="4" t="s">
        <v>5812</v>
      </c>
      <c r="I1975" s="4" t="s">
        <v>5813</v>
      </c>
      <c r="J1975" s="4" t="s">
        <v>5810</v>
      </c>
      <c r="K1975" s="4" t="s">
        <v>5814</v>
      </c>
      <c r="L1975" s="4" t="s">
        <v>5815</v>
      </c>
    </row>
    <row r="1976">
      <c r="A1976" s="4">
        <v>18.0</v>
      </c>
      <c r="B1976" s="4" t="s">
        <v>8005</v>
      </c>
      <c r="C1976" s="4"/>
      <c r="D1976" s="4" t="s">
        <v>5816</v>
      </c>
      <c r="E1976" s="4" t="s">
        <v>5794</v>
      </c>
      <c r="F1976" s="4" t="s">
        <v>5793</v>
      </c>
      <c r="G1976" s="5" t="str">
        <f>IFERROR(__xludf.DUMMYFUNCTION("GOOGLETRANSLATE(D1976,""en"",""es"")"),"aliado")</f>
        <v>aliado</v>
      </c>
      <c r="H1976" s="4" t="s">
        <v>5816</v>
      </c>
      <c r="I1976" s="4" t="s">
        <v>5816</v>
      </c>
      <c r="J1976" s="4" t="s">
        <v>602</v>
      </c>
      <c r="K1976" s="4" t="s">
        <v>5816</v>
      </c>
    </row>
    <row r="1977">
      <c r="A1977" s="4">
        <v>19.0</v>
      </c>
      <c r="B1977" s="4" t="s">
        <v>8005</v>
      </c>
      <c r="C1977" s="4"/>
      <c r="D1977" s="4" t="s">
        <v>5817</v>
      </c>
      <c r="E1977" s="4" t="s">
        <v>5818</v>
      </c>
      <c r="F1977" s="4" t="s">
        <v>5819</v>
      </c>
      <c r="G1977" s="5" t="str">
        <f>IFERROR(__xludf.DUMMYFUNCTION("GOOGLETRANSLATE(D1977,""en"",""es"")"),"alílico")</f>
        <v>alílico</v>
      </c>
      <c r="H1977" s="4" t="s">
        <v>5817</v>
      </c>
      <c r="I1977" s="4" t="s">
        <v>5820</v>
      </c>
      <c r="J1977" s="4" t="s">
        <v>5821</v>
      </c>
    </row>
    <row r="1978">
      <c r="A1978" s="4">
        <v>20.0</v>
      </c>
      <c r="B1978" s="4" t="s">
        <v>8005</v>
      </c>
      <c r="C1978" s="4"/>
      <c r="D1978" s="4" t="s">
        <v>610</v>
      </c>
      <c r="E1978" s="4" t="s">
        <v>5822</v>
      </c>
      <c r="F1978" s="4" t="s">
        <v>4994</v>
      </c>
      <c r="G1978" s="5" t="str">
        <f>IFERROR(__xludf.DUMMYFUNCTION("GOOGLETRANSLATE(D1978,""en"",""es"")"),"amina")</f>
        <v>amina</v>
      </c>
      <c r="H1978" s="4" t="s">
        <v>610</v>
      </c>
      <c r="I1978" s="4" t="s">
        <v>611</v>
      </c>
    </row>
    <row r="1979">
      <c r="A1979" s="4">
        <v>21.0</v>
      </c>
      <c r="B1979" s="4" t="s">
        <v>8005</v>
      </c>
      <c r="C1979" s="4"/>
      <c r="D1979" s="4" t="s">
        <v>5823</v>
      </c>
      <c r="E1979" s="4" t="s">
        <v>5824</v>
      </c>
      <c r="F1979" s="4" t="s">
        <v>5823</v>
      </c>
      <c r="G1979" s="5" t="str">
        <f>IFERROR(__xludf.DUMMYFUNCTION("GOOGLETRANSLATE(D1979,""en"",""es"")"),"amish")</f>
        <v>amish</v>
      </c>
      <c r="H1979" s="4" t="s">
        <v>5825</v>
      </c>
    </row>
    <row r="1980">
      <c r="A1980" s="4">
        <v>22.0</v>
      </c>
      <c r="B1980" s="4" t="s">
        <v>8005</v>
      </c>
      <c r="C1980" s="4"/>
      <c r="D1980" s="4" t="s">
        <v>5826</v>
      </c>
      <c r="E1980" s="4" t="s">
        <v>5827</v>
      </c>
      <c r="F1980" s="4" t="s">
        <v>5828</v>
      </c>
      <c r="G1980" s="5" t="str">
        <f>IFERROR(__xludf.DUMMYFUNCTION("GOOGLETRANSLATE(D1980,""en"",""es"")"),"amilo")</f>
        <v>amilo</v>
      </c>
      <c r="H1980" s="4" t="s">
        <v>5826</v>
      </c>
    </row>
    <row r="1981">
      <c r="A1981" s="4">
        <v>23.0</v>
      </c>
      <c r="B1981" s="4" t="s">
        <v>8005</v>
      </c>
      <c r="C1981" s="4"/>
      <c r="D1981" s="4" t="s">
        <v>594</v>
      </c>
      <c r="E1981" s="4" t="s">
        <v>5829</v>
      </c>
      <c r="F1981" s="4" t="s">
        <v>594</v>
      </c>
      <c r="G1981" s="5" t="str">
        <f>IFERROR(__xludf.DUMMYFUNCTION("GOOGLETRANSLATE(D1981,""en"",""es"")"),"un")</f>
        <v>un</v>
      </c>
      <c r="H1981" s="4" t="s">
        <v>5830</v>
      </c>
      <c r="I1981" s="4" t="s">
        <v>5831</v>
      </c>
    </row>
    <row r="1982">
      <c r="A1982" s="4">
        <v>24.0</v>
      </c>
      <c r="B1982" s="4" t="s">
        <v>8005</v>
      </c>
      <c r="C1982" s="4"/>
      <c r="D1982" s="4" t="s">
        <v>5832</v>
      </c>
      <c r="E1982" s="4" t="s">
        <v>5829</v>
      </c>
      <c r="F1982" s="4" t="s">
        <v>594</v>
      </c>
      <c r="G1982" s="5" t="str">
        <f>IFERROR(__xludf.DUMMYFUNCTION("GOOGLETRANSLATE(D1982,""en"",""es"")"),"un'")</f>
        <v>un'</v>
      </c>
    </row>
    <row r="1983">
      <c r="A1983" s="4">
        <v>25.0</v>
      </c>
      <c r="B1983" s="4" t="s">
        <v>8005</v>
      </c>
      <c r="C1983" s="4"/>
      <c r="D1983" s="4" t="s">
        <v>5833</v>
      </c>
      <c r="E1983" s="4" t="s">
        <v>5834</v>
      </c>
      <c r="F1983" s="4" t="s">
        <v>5835</v>
      </c>
      <c r="G1983" s="5" t="str">
        <f>IFERROR(__xludf.DUMMYFUNCTION("GOOGLETRANSLATE(D1983,""en"",""es"")"),"animático")</f>
        <v>animático</v>
      </c>
    </row>
    <row r="1984">
      <c r="A1984" s="4">
        <v>26.0</v>
      </c>
      <c r="B1984" s="4" t="s">
        <v>8005</v>
      </c>
      <c r="C1984" s="4"/>
      <c r="D1984" s="4" t="s">
        <v>5836</v>
      </c>
      <c r="E1984" s="4" t="s">
        <v>5837</v>
      </c>
      <c r="F1984" s="4" t="s">
        <v>5836</v>
      </c>
      <c r="G1984" s="5" t="str">
        <f>IFERROR(__xludf.DUMMYFUNCTION("GOOGLETRANSLATE(D1984,""en"",""es"")"),"animu")</f>
        <v>animu</v>
      </c>
    </row>
    <row r="1985">
      <c r="A1985" s="4">
        <v>27.0</v>
      </c>
      <c r="B1985" s="4" t="s">
        <v>8005</v>
      </c>
      <c r="C1985" s="4"/>
      <c r="D1985" s="4" t="s">
        <v>748</v>
      </c>
      <c r="E1985" s="4" t="s">
        <v>5838</v>
      </c>
      <c r="F1985" s="4" t="s">
        <v>747</v>
      </c>
      <c r="G1985" s="5" t="str">
        <f>IFERROR(__xludf.DUMMYFUNCTION("GOOGLETRANSLATE(D1985,""en"",""es"")"),"anís")</f>
        <v>anís</v>
      </c>
      <c r="H1985" s="4" t="s">
        <v>748</v>
      </c>
      <c r="I1985" s="4" t="s">
        <v>753</v>
      </c>
      <c r="J1985" s="4" t="s">
        <v>754</v>
      </c>
      <c r="K1985" s="4" t="s">
        <v>748</v>
      </c>
      <c r="L1985" s="4" t="s">
        <v>749</v>
      </c>
      <c r="M1985" s="4" t="s">
        <v>750</v>
      </c>
    </row>
    <row r="1986">
      <c r="A1986" s="4">
        <v>28.0</v>
      </c>
      <c r="B1986" s="4" t="s">
        <v>8005</v>
      </c>
      <c r="C1986" s="4"/>
      <c r="D1986" s="4" t="s">
        <v>5839</v>
      </c>
      <c r="E1986" s="4" t="s">
        <v>5829</v>
      </c>
      <c r="F1986" s="4" t="s">
        <v>594</v>
      </c>
      <c r="G1986" s="5" t="str">
        <f>IFERROR(__xludf.DUMMYFUNCTION("GOOGLETRANSLATE(D1986,""en"",""es"")"),"Ana")</f>
        <v>Ana</v>
      </c>
    </row>
    <row r="1987">
      <c r="A1987" s="4">
        <v>29.0</v>
      </c>
      <c r="B1987" s="4" t="s">
        <v>8005</v>
      </c>
      <c r="C1987" s="4"/>
      <c r="D1987" s="4" t="s">
        <v>5840</v>
      </c>
      <c r="E1987" s="4" t="s">
        <v>5829</v>
      </c>
      <c r="F1987" s="4" t="s">
        <v>594</v>
      </c>
      <c r="G1987" s="5" t="str">
        <f>IFERROR(__xludf.DUMMYFUNCTION("GOOGLETRANSLATE(D1987,""en"",""es"")"),"Ana")</f>
        <v>Ana</v>
      </c>
      <c r="H1987" s="4" t="s">
        <v>5841</v>
      </c>
    </row>
    <row r="1988">
      <c r="A1988" s="4">
        <v>30.0</v>
      </c>
      <c r="B1988" s="4" t="s">
        <v>8005</v>
      </c>
      <c r="C1988" s="4"/>
      <c r="D1988" s="4" t="s">
        <v>5842</v>
      </c>
      <c r="E1988" s="4" t="s">
        <v>5843</v>
      </c>
      <c r="F1988" s="4" t="s">
        <v>5844</v>
      </c>
      <c r="G1988" s="5" t="str">
        <f>IFERROR(__xludf.DUMMYFUNCTION("GOOGLETRANSLATE(D1988,""en"",""es"")"),"anular")</f>
        <v>anular</v>
      </c>
    </row>
    <row r="1989">
      <c r="A1989" s="4">
        <v>31.0</v>
      </c>
      <c r="B1989" s="4" t="s">
        <v>8005</v>
      </c>
      <c r="C1989" s="4"/>
      <c r="D1989" s="4" t="s">
        <v>733</v>
      </c>
      <c r="E1989" s="4" t="s">
        <v>5845</v>
      </c>
      <c r="F1989" s="4" t="s">
        <v>744</v>
      </c>
      <c r="G1989" s="5" t="str">
        <f>IFERROR(__xludf.DUMMYFUNCTION("GOOGLETRANSLATE(D1989,""en"",""es"")"),"ningún")</f>
        <v>ningún</v>
      </c>
      <c r="H1989" s="4" t="s">
        <v>733</v>
      </c>
      <c r="I1989" s="4" t="s">
        <v>5846</v>
      </c>
      <c r="J1989" s="4" t="s">
        <v>5847</v>
      </c>
      <c r="K1989" s="4" t="s">
        <v>733</v>
      </c>
    </row>
    <row r="1990">
      <c r="A1990" s="4">
        <v>32.0</v>
      </c>
      <c r="B1990" s="4" t="s">
        <v>8005</v>
      </c>
      <c r="C1990" s="4"/>
      <c r="D1990" s="4" t="s">
        <v>784</v>
      </c>
      <c r="E1990" s="4" t="s">
        <v>5848</v>
      </c>
      <c r="F1990" s="4" t="s">
        <v>475</v>
      </c>
      <c r="G1990" s="5" t="str">
        <f>IFERROR(__xludf.DUMMYFUNCTION("GOOGLETRANSLATE(D1990,""en"",""es"")"),"aplicación")</f>
        <v>aplicación</v>
      </c>
    </row>
    <row r="1991">
      <c r="A1991" s="4">
        <v>33.0</v>
      </c>
      <c r="B1991" s="4" t="s">
        <v>8005</v>
      </c>
      <c r="C1991" s="4"/>
      <c r="D1991" s="4" t="s">
        <v>5849</v>
      </c>
      <c r="E1991" s="4" t="s">
        <v>5850</v>
      </c>
      <c r="F1991" s="4" t="s">
        <v>757</v>
      </c>
      <c r="G1991" s="5" t="str">
        <f>IFERROR(__xludf.DUMMYFUNCTION("GOOGLETRANSLATE(D1991,""en"",""es"")"),"colocar")</f>
        <v>colocar</v>
      </c>
    </row>
    <row r="1992">
      <c r="A1992" s="4">
        <v>34.0</v>
      </c>
      <c r="B1992" s="4" t="s">
        <v>8005</v>
      </c>
      <c r="C1992" s="4"/>
      <c r="D1992" s="4" t="s">
        <v>295</v>
      </c>
      <c r="E1992" s="4" t="s">
        <v>5851</v>
      </c>
      <c r="F1992" s="4" t="s">
        <v>295</v>
      </c>
      <c r="G1992" s="5" t="str">
        <f>IFERROR(__xludf.DUMMYFUNCTION("GOOGLETRANSLATE(D1992,""en"",""es"")"),"como")</f>
        <v>como</v>
      </c>
      <c r="H1992" s="4" t="s">
        <v>5852</v>
      </c>
      <c r="I1992" s="4" t="s">
        <v>5853</v>
      </c>
      <c r="J1992" s="4" t="s">
        <v>5854</v>
      </c>
      <c r="K1992" s="4" t="s">
        <v>5855</v>
      </c>
      <c r="L1992" s="4" t="s">
        <v>5856</v>
      </c>
      <c r="M1992" s="4" t="s">
        <v>5857</v>
      </c>
      <c r="N1992" s="4" t="s">
        <v>5858</v>
      </c>
      <c r="O1992" s="4" t="s">
        <v>5859</v>
      </c>
      <c r="P1992" s="4" t="s">
        <v>5860</v>
      </c>
      <c r="Q1992" s="4" t="s">
        <v>5861</v>
      </c>
      <c r="R1992" s="4" t="s">
        <v>5862</v>
      </c>
      <c r="S1992" s="4" t="s">
        <v>5863</v>
      </c>
      <c r="T1992" s="4" t="s">
        <v>5860</v>
      </c>
      <c r="U1992" s="4" t="s">
        <v>5864</v>
      </c>
      <c r="V1992" s="4" t="s">
        <v>5860</v>
      </c>
      <c r="W1992" s="4" t="s">
        <v>5865</v>
      </c>
      <c r="X1992" s="4" t="s">
        <v>5860</v>
      </c>
      <c r="Y1992" s="4" t="s">
        <v>5866</v>
      </c>
      <c r="Z1992" s="4" t="s">
        <v>5867</v>
      </c>
      <c r="AA1992" s="4" t="s">
        <v>5860</v>
      </c>
      <c r="AB1992" s="4" t="s">
        <v>5860</v>
      </c>
      <c r="AC1992" s="4" t="s">
        <v>5868</v>
      </c>
      <c r="AD1992" s="4" t="s">
        <v>5860</v>
      </c>
      <c r="AE1992" s="4" t="s">
        <v>5869</v>
      </c>
      <c r="AF1992" s="4" t="s">
        <v>5870</v>
      </c>
      <c r="AG1992" s="4" t="s">
        <v>5871</v>
      </c>
      <c r="AH1992" s="4" t="s">
        <v>295</v>
      </c>
      <c r="AI1992" s="4" t="s">
        <v>5872</v>
      </c>
    </row>
    <row r="1993">
      <c r="A1993" s="4">
        <v>35.0</v>
      </c>
      <c r="B1993" s="4" t="s">
        <v>8005</v>
      </c>
      <c r="C1993" s="4"/>
      <c r="D1993" s="4" t="s">
        <v>5873</v>
      </c>
      <c r="E1993" s="4" t="s">
        <v>5874</v>
      </c>
      <c r="F1993" s="4" t="s">
        <v>5875</v>
      </c>
      <c r="G1993" s="5" t="str">
        <f>IFERROR(__xludf.DUMMYFUNCTION("GOOGLETRANSLATE(D1993,""en"",""es"")"),"Asenath")</f>
        <v>Asenath</v>
      </c>
    </row>
    <row r="1994">
      <c r="A1994" s="4">
        <v>36.0</v>
      </c>
      <c r="B1994" s="4" t="s">
        <v>8005</v>
      </c>
      <c r="C1994" s="4"/>
      <c r="D1994" s="4" t="s">
        <v>5876</v>
      </c>
      <c r="E1994" s="4" t="s">
        <v>5877</v>
      </c>
      <c r="F1994" s="4" t="s">
        <v>5876</v>
      </c>
      <c r="G1994" s="5" t="str">
        <f>IFERROR(__xludf.DUMMYFUNCTION("GOOGLETRANSLATE(D1994,""en"",""es"")"),"ceniza")</f>
        <v>ceniza</v>
      </c>
      <c r="H1994" s="4" t="s">
        <v>5876</v>
      </c>
      <c r="I1994" s="4" t="s">
        <v>5876</v>
      </c>
      <c r="J1994" s="4" t="s">
        <v>5878</v>
      </c>
      <c r="K1994" s="4" t="s">
        <v>5876</v>
      </c>
      <c r="L1994" s="4" t="s">
        <v>5876</v>
      </c>
    </row>
    <row r="1995">
      <c r="A1995" s="4">
        <v>37.0</v>
      </c>
      <c r="B1995" s="4" t="s">
        <v>8005</v>
      </c>
      <c r="C1995" s="4"/>
      <c r="D1995" s="4" t="s">
        <v>5879</v>
      </c>
      <c r="E1995" s="4" t="s">
        <v>5880</v>
      </c>
      <c r="F1995" s="4" t="s">
        <v>5881</v>
      </c>
      <c r="G1995" s="5" t="str">
        <f>IFERROR(__xludf.DUMMYFUNCTION("GOOGLETRANSLATE(D1995,""en"",""es"")"),"pálido")</f>
        <v>pálido</v>
      </c>
      <c r="H1995" s="4" t="s">
        <v>5879</v>
      </c>
      <c r="I1995" s="4" t="s">
        <v>5882</v>
      </c>
      <c r="J1995" s="4" t="s">
        <v>5883</v>
      </c>
      <c r="K1995" s="4" t="s">
        <v>5884</v>
      </c>
      <c r="L1995" s="4" t="s">
        <v>5885</v>
      </c>
      <c r="M1995" s="4" t="s">
        <v>5879</v>
      </c>
    </row>
    <row r="1996">
      <c r="A1996" s="4">
        <v>38.0</v>
      </c>
      <c r="B1996" s="4" t="s">
        <v>8005</v>
      </c>
      <c r="C1996" s="4"/>
      <c r="D1996" s="4" t="s">
        <v>5886</v>
      </c>
      <c r="E1996" s="4" t="s">
        <v>5887</v>
      </c>
      <c r="F1996" s="4" t="s">
        <v>5888</v>
      </c>
      <c r="G1996" s="5" t="str">
        <f>IFERROR(__xludf.DUMMYFUNCTION("GOOGLETRANSLATE(D1996,""en"",""es"")"),"ceniciento")</f>
        <v>ceniciento</v>
      </c>
      <c r="H1996" s="4" t="s">
        <v>5889</v>
      </c>
      <c r="I1996" s="4" t="s">
        <v>5890</v>
      </c>
      <c r="J1996" s="4" t="s">
        <v>5886</v>
      </c>
    </row>
    <row r="1997">
      <c r="A1997" s="4">
        <v>39.0</v>
      </c>
      <c r="B1997" s="4" t="s">
        <v>8005</v>
      </c>
      <c r="C1997" s="4"/>
      <c r="D1997" s="4" t="s">
        <v>1627</v>
      </c>
      <c r="E1997" s="4" t="s">
        <v>5851</v>
      </c>
      <c r="F1997" s="4" t="s">
        <v>295</v>
      </c>
      <c r="G1997" s="5" t="str">
        <f>IFERROR(__xludf.DUMMYFUNCTION("GOOGLETRANSLATE(D1997,""en"",""es"")"),"culo")</f>
        <v>culo</v>
      </c>
      <c r="H1997" s="4" t="s">
        <v>1602</v>
      </c>
      <c r="I1997" s="4" t="s">
        <v>1603</v>
      </c>
      <c r="J1997" s="4" t="s">
        <v>1604</v>
      </c>
      <c r="K1997" s="4" t="s">
        <v>1605</v>
      </c>
      <c r="L1997" s="4" t="s">
        <v>1606</v>
      </c>
      <c r="M1997" s="4" t="s">
        <v>1147</v>
      </c>
      <c r="N1997" s="4" t="s">
        <v>1607</v>
      </c>
      <c r="O1997" s="4" t="s">
        <v>1120</v>
      </c>
      <c r="P1997" s="4" t="s">
        <v>1608</v>
      </c>
      <c r="Q1997" s="4" t="s">
        <v>1609</v>
      </c>
      <c r="R1997" s="4" t="s">
        <v>1610</v>
      </c>
      <c r="S1997" s="4" t="s">
        <v>1611</v>
      </c>
      <c r="T1997" s="4" t="s">
        <v>1612</v>
      </c>
      <c r="U1997" s="4" t="s">
        <v>1613</v>
      </c>
      <c r="V1997" s="4" t="s">
        <v>1614</v>
      </c>
      <c r="W1997" s="4" t="s">
        <v>1615</v>
      </c>
      <c r="X1997" s="4" t="s">
        <v>1616</v>
      </c>
      <c r="Y1997" s="4" t="s">
        <v>1617</v>
      </c>
      <c r="Z1997" s="4" t="s">
        <v>1618</v>
      </c>
      <c r="AA1997" s="4" t="s">
        <v>1619</v>
      </c>
      <c r="AB1997" s="4" t="s">
        <v>1620</v>
      </c>
      <c r="AC1997" s="4" t="s">
        <v>1621</v>
      </c>
      <c r="AD1997" s="4" t="s">
        <v>1622</v>
      </c>
      <c r="AE1997" s="4" t="s">
        <v>1623</v>
      </c>
      <c r="AF1997" s="4" t="s">
        <v>1624</v>
      </c>
      <c r="AG1997" s="4" t="s">
        <v>1625</v>
      </c>
      <c r="AH1997" s="4" t="s">
        <v>1626</v>
      </c>
      <c r="AI1997" s="4" t="s">
        <v>1627</v>
      </c>
      <c r="AJ1997" s="4" t="s">
        <v>1627</v>
      </c>
      <c r="AK1997" s="4" t="s">
        <v>1627</v>
      </c>
      <c r="AL1997" s="4" t="s">
        <v>5891</v>
      </c>
      <c r="AM1997" s="4" t="s">
        <v>5892</v>
      </c>
      <c r="AN1997" s="4" t="s">
        <v>5893</v>
      </c>
      <c r="AO1997" s="4" t="s">
        <v>5894</v>
      </c>
      <c r="AP1997" s="4" t="s">
        <v>1627</v>
      </c>
      <c r="AQ1997" s="4" t="s">
        <v>5895</v>
      </c>
      <c r="AR1997" s="4" t="s">
        <v>5896</v>
      </c>
      <c r="AS1997" s="4" t="s">
        <v>5897</v>
      </c>
      <c r="AT1997" s="4" t="s">
        <v>5898</v>
      </c>
      <c r="AU1997" s="4" t="s">
        <v>5899</v>
      </c>
      <c r="AV1997" s="4" t="s">
        <v>5900</v>
      </c>
      <c r="AW1997" s="4" t="s">
        <v>5901</v>
      </c>
      <c r="AX1997" s="4" t="s">
        <v>5852</v>
      </c>
      <c r="AY1997" s="4" t="s">
        <v>5853</v>
      </c>
      <c r="AZ1997" s="4" t="s">
        <v>5854</v>
      </c>
      <c r="BA1997" s="4" t="s">
        <v>5855</v>
      </c>
      <c r="BB1997" s="4" t="s">
        <v>5856</v>
      </c>
      <c r="BC1997" s="4" t="s">
        <v>5857</v>
      </c>
    </row>
    <row r="1998">
      <c r="A1998" s="4">
        <v>40.0</v>
      </c>
      <c r="B1998" s="4" t="s">
        <v>8005</v>
      </c>
      <c r="C1998" s="4"/>
      <c r="D1998" s="4" t="s">
        <v>5902</v>
      </c>
      <c r="E1998" s="4" t="s">
        <v>5903</v>
      </c>
      <c r="F1998" s="4" t="s">
        <v>5904</v>
      </c>
      <c r="G1998" s="5" t="str">
        <f>IFERROR(__xludf.DUMMYFUNCTION("GOOGLETRANSLATE(D1998,""en"",""es"")"),"asalto")</f>
        <v>asalto</v>
      </c>
      <c r="H1998" s="4" t="s">
        <v>5905</v>
      </c>
    </row>
    <row r="1999">
      <c r="A1999" s="4">
        <v>41.0</v>
      </c>
      <c r="B1999" s="4" t="s">
        <v>8005</v>
      </c>
      <c r="C1999" s="4"/>
      <c r="D1999" s="4" t="s">
        <v>5906</v>
      </c>
      <c r="E1999" s="4" t="s">
        <v>5851</v>
      </c>
      <c r="F1999" s="4" t="s">
        <v>295</v>
      </c>
      <c r="G1999" s="5" t="str">
        <f>IFERROR(__xludf.DUMMYFUNCTION("GOOGLETRANSLATE(D1999,""en"",""es"")"),"ASSE")</f>
        <v>ASSE</v>
      </c>
    </row>
    <row r="2000">
      <c r="A2000" s="4">
        <v>42.0</v>
      </c>
      <c r="B2000" s="4" t="s">
        <v>8005</v>
      </c>
      <c r="C2000" s="4"/>
      <c r="D2000" s="4" t="s">
        <v>5907</v>
      </c>
      <c r="E2000" s="4" t="s">
        <v>5908</v>
      </c>
      <c r="F2000" s="4" t="s">
        <v>5909</v>
      </c>
      <c r="G2000" s="5" t="str">
        <f>IFERROR(__xludf.DUMMYFUNCTION("GOOGLETRANSLATE(D2000,""en"",""es"")"),"atormentar")</f>
        <v>atormentar</v>
      </c>
    </row>
    <row r="2001">
      <c r="A2001" s="4">
        <v>43.0</v>
      </c>
      <c r="B2001" s="4" t="s">
        <v>8005</v>
      </c>
      <c r="C2001" s="4"/>
      <c r="D2001" s="4" t="s">
        <v>5910</v>
      </c>
      <c r="E2001" s="4" t="s">
        <v>5911</v>
      </c>
      <c r="F2001" s="4" t="s">
        <v>5912</v>
      </c>
      <c r="G2001" s="5" t="str">
        <f>IFERROR(__xludf.DUMMYFUNCTION("GOOGLETRANSLATE(D2001,""en"",""es"")"),"atimy")</f>
        <v>atimy</v>
      </c>
    </row>
    <row r="2002">
      <c r="A2002" s="4">
        <v>44.0</v>
      </c>
      <c r="B2002" s="4" t="s">
        <v>8005</v>
      </c>
      <c r="C2002" s="4"/>
      <c r="D2002" s="4" t="s">
        <v>5913</v>
      </c>
      <c r="E2002" s="4" t="s">
        <v>5914</v>
      </c>
      <c r="F2002" s="4" t="s">
        <v>4769</v>
      </c>
      <c r="G2002" s="5" t="str">
        <f>IFERROR(__xludf.DUMMYFUNCTION("GOOGLETRANSLATE(D2002,""en"",""es"")"),"ático")</f>
        <v>ático</v>
      </c>
      <c r="H2002" s="4" t="s">
        <v>1473</v>
      </c>
      <c r="I2002" s="4" t="s">
        <v>5913</v>
      </c>
      <c r="J2002" s="4" t="s">
        <v>5915</v>
      </c>
      <c r="K2002" s="4" t="s">
        <v>4770</v>
      </c>
      <c r="L2002" s="4" t="s">
        <v>4771</v>
      </c>
      <c r="M2002" s="4" t="s">
        <v>4772</v>
      </c>
      <c r="N2002" s="4" t="s">
        <v>4773</v>
      </c>
      <c r="O2002" s="4" t="s">
        <v>5913</v>
      </c>
      <c r="P2002" s="4" t="s">
        <v>5916</v>
      </c>
      <c r="Q2002" s="4" t="s">
        <v>5917</v>
      </c>
      <c r="R2002" s="4" t="s">
        <v>5918</v>
      </c>
      <c r="S2002" s="4" t="s">
        <v>5919</v>
      </c>
      <c r="T2002" s="4" t="s">
        <v>5920</v>
      </c>
      <c r="U2002" s="4" t="s">
        <v>5913</v>
      </c>
      <c r="V2002" s="4" t="s">
        <v>4770</v>
      </c>
    </row>
    <row r="2003">
      <c r="A2003" s="4">
        <v>45.0</v>
      </c>
      <c r="B2003" s="4" t="s">
        <v>8005</v>
      </c>
      <c r="C2003" s="4"/>
      <c r="D2003" s="4" t="s">
        <v>5921</v>
      </c>
      <c r="E2003" s="4" t="s">
        <v>5922</v>
      </c>
      <c r="F2003" s="4" t="s">
        <v>5921</v>
      </c>
      <c r="G2003" s="5" t="str">
        <f>IFERROR(__xludf.DUMMYFUNCTION("GOOGLETRANSLATE(D2003,""en"",""es"")"),"ayin")</f>
        <v>ayin</v>
      </c>
      <c r="H2003" s="4" t="s">
        <v>5921</v>
      </c>
    </row>
    <row r="2004">
      <c r="A2004" s="4">
        <v>46.0</v>
      </c>
      <c r="B2004" s="4" t="s">
        <v>8005</v>
      </c>
      <c r="C2004" s="4"/>
      <c r="D2004" s="4" t="s">
        <v>496</v>
      </c>
      <c r="E2004" s="4" t="s">
        <v>5923</v>
      </c>
      <c r="F2004" s="4" t="s">
        <v>5924</v>
      </c>
      <c r="G2004" s="5" t="str">
        <f>IFERROR(__xludf.DUMMYFUNCTION("GOOGLETRANSLATE(D2004,""en"",""es"")"),"cache")</f>
        <v>cache</v>
      </c>
      <c r="H2004" s="4" t="s">
        <v>496</v>
      </c>
      <c r="I2004" s="4" t="s">
        <v>494</v>
      </c>
      <c r="J2004" s="4" t="s">
        <v>496</v>
      </c>
      <c r="K2004" s="4" t="s">
        <v>495</v>
      </c>
      <c r="L2004" s="4" t="s">
        <v>496</v>
      </c>
      <c r="M2004" s="4" t="s">
        <v>5925</v>
      </c>
      <c r="N2004" s="4" t="s">
        <v>494</v>
      </c>
      <c r="O2004" s="4" t="s">
        <v>495</v>
      </c>
      <c r="P2004" s="4" t="s">
        <v>496</v>
      </c>
      <c r="Q2004" s="4" t="s">
        <v>497</v>
      </c>
      <c r="R2004" s="4" t="s">
        <v>498</v>
      </c>
      <c r="S2004" s="4" t="s">
        <v>499</v>
      </c>
    </row>
    <row r="2005">
      <c r="A2005" s="4">
        <v>47.0</v>
      </c>
      <c r="B2005" s="4" t="s">
        <v>8005</v>
      </c>
      <c r="C2005" s="4"/>
      <c r="D2005" s="4" t="s">
        <v>5926</v>
      </c>
      <c r="E2005" s="4" t="s">
        <v>5927</v>
      </c>
      <c r="F2005" s="4" t="s">
        <v>319</v>
      </c>
      <c r="G2005" s="5" t="str">
        <f>IFERROR(__xludf.DUMMYFUNCTION("GOOGLETRANSLATE(D2005,""en"",""es"")"),"caca")</f>
        <v>caca</v>
      </c>
    </row>
    <row r="2006">
      <c r="A2006" s="4">
        <v>48.0</v>
      </c>
      <c r="B2006" s="4" t="s">
        <v>8005</v>
      </c>
      <c r="C2006" s="4"/>
      <c r="D2006" s="4" t="s">
        <v>5928</v>
      </c>
      <c r="E2006" s="4" t="s">
        <v>5929</v>
      </c>
      <c r="F2006" s="4" t="s">
        <v>1122</v>
      </c>
      <c r="G2006" s="5" t="str">
        <f>IFERROR(__xludf.DUMMYFUNCTION("GOOGLETRANSLATE(D2006,""en"",""es"")"),"caen")</f>
        <v>caen</v>
      </c>
    </row>
    <row r="2007">
      <c r="A2007" s="4">
        <v>49.0</v>
      </c>
      <c r="B2007" s="4" t="s">
        <v>8005</v>
      </c>
      <c r="C2007" s="4"/>
      <c r="D2007" s="4" t="s">
        <v>973</v>
      </c>
      <c r="E2007" s="4" t="s">
        <v>5930</v>
      </c>
      <c r="F2007" s="4" t="s">
        <v>975</v>
      </c>
      <c r="G2007" s="5" t="str">
        <f>IFERROR(__xludf.DUMMYFUNCTION("GOOGLETRANSLATE(D2007,""en"",""es"")"),"California")</f>
        <v>California</v>
      </c>
    </row>
    <row r="2008">
      <c r="A2008" s="4">
        <v>50.0</v>
      </c>
      <c r="B2008" s="4" t="s">
        <v>8005</v>
      </c>
      <c r="C2008" s="4"/>
      <c r="D2008" s="4" t="s">
        <v>5931</v>
      </c>
      <c r="E2008" s="4" t="s">
        <v>5932</v>
      </c>
      <c r="F2008" s="4" t="s">
        <v>5148</v>
      </c>
      <c r="G2008" s="5" t="str">
        <f>IFERROR(__xludf.DUMMYFUNCTION("GOOGLETRANSLATE(D2008,""en"",""es"")"),"cali")</f>
        <v>cali</v>
      </c>
      <c r="H2008" s="4" t="s">
        <v>5933</v>
      </c>
    </row>
    <row r="2009">
      <c r="A2009" s="4">
        <v>51.0</v>
      </c>
      <c r="B2009" s="4" t="s">
        <v>8005</v>
      </c>
      <c r="C2009" s="4"/>
      <c r="D2009" s="4" t="s">
        <v>5934</v>
      </c>
      <c r="E2009" s="4" t="s">
        <v>5935</v>
      </c>
      <c r="F2009" s="4" t="s">
        <v>5936</v>
      </c>
      <c r="G2009" s="5" t="str">
        <f>IFERROR(__xludf.DUMMYFUNCTION("GOOGLETRANSLATE(D2009,""en"",""es"")"),"calipas")</f>
        <v>calipas</v>
      </c>
    </row>
    <row r="2010">
      <c r="A2010" s="4">
        <v>52.0</v>
      </c>
      <c r="B2010" s="4" t="s">
        <v>8005</v>
      </c>
      <c r="C2010" s="4"/>
      <c r="D2010" s="4" t="s">
        <v>5937</v>
      </c>
      <c r="E2010" s="4" t="s">
        <v>5935</v>
      </c>
      <c r="F2010" s="4" t="s">
        <v>5936</v>
      </c>
      <c r="G2010" s="5" t="str">
        <f>IFERROR(__xludf.DUMMYFUNCTION("GOOGLETRANSLATE(D2010,""en"",""es"")"),"callipash")</f>
        <v>callipash</v>
      </c>
    </row>
    <row r="2011">
      <c r="A2011" s="4">
        <v>53.0</v>
      </c>
      <c r="B2011" s="4" t="s">
        <v>8005</v>
      </c>
      <c r="C2011" s="4"/>
      <c r="D2011" s="4" t="s">
        <v>5938</v>
      </c>
      <c r="E2011" s="4" t="s">
        <v>5939</v>
      </c>
      <c r="F2011" s="4" t="s">
        <v>1108</v>
      </c>
      <c r="G2011" s="5" t="str">
        <f>IFERROR(__xludf.DUMMYFUNCTION("GOOGLETRANSLATE(D2011,""en"",""es"")"),"cami")</f>
        <v>cami</v>
      </c>
    </row>
    <row r="2012">
      <c r="A2012" s="4">
        <v>54.0</v>
      </c>
      <c r="B2012" s="4" t="s">
        <v>8005</v>
      </c>
      <c r="C2012" s="4"/>
      <c r="D2012" s="4" t="s">
        <v>5940</v>
      </c>
      <c r="E2012" s="4" t="s">
        <v>5941</v>
      </c>
      <c r="F2012" s="4" t="s">
        <v>5942</v>
      </c>
      <c r="G2012" s="5" t="str">
        <f>IFERROR(__xludf.DUMMYFUNCTION("GOOGLETRANSLATE(D2012,""en"",""es"")"),"camis")</f>
        <v>camis</v>
      </c>
    </row>
    <row r="2013">
      <c r="A2013" s="4">
        <v>55.0</v>
      </c>
      <c r="B2013" s="4" t="s">
        <v>8005</v>
      </c>
      <c r="C2013" s="4"/>
      <c r="D2013" s="4" t="s">
        <v>1120</v>
      </c>
      <c r="E2013" s="4" t="s">
        <v>5943</v>
      </c>
      <c r="F2013" s="4" t="s">
        <v>1122</v>
      </c>
      <c r="G2013" s="5" t="str">
        <f>IFERROR(__xludf.DUMMYFUNCTION("GOOGLETRANSLATE(D2013,""en"",""es"")"),"pueden")</f>
        <v>pueden</v>
      </c>
      <c r="H2013" s="4" t="s">
        <v>1120</v>
      </c>
      <c r="I2013" s="4" t="s">
        <v>5944</v>
      </c>
      <c r="J2013" s="4" t="s">
        <v>5945</v>
      </c>
      <c r="K2013" s="4" t="s">
        <v>1120</v>
      </c>
      <c r="L2013" s="4" t="s">
        <v>5946</v>
      </c>
      <c r="M2013" s="4" t="s">
        <v>1120</v>
      </c>
      <c r="N2013" s="4" t="s">
        <v>5947</v>
      </c>
      <c r="O2013" s="4" t="s">
        <v>1602</v>
      </c>
      <c r="P2013" s="4" t="s">
        <v>1603</v>
      </c>
      <c r="Q2013" s="4" t="s">
        <v>1604</v>
      </c>
      <c r="R2013" s="4" t="s">
        <v>1605</v>
      </c>
      <c r="S2013" s="4" t="s">
        <v>1606</v>
      </c>
      <c r="T2013" s="4" t="s">
        <v>1147</v>
      </c>
      <c r="U2013" s="4" t="s">
        <v>1607</v>
      </c>
      <c r="V2013" s="4" t="s">
        <v>1120</v>
      </c>
      <c r="W2013" s="4" t="s">
        <v>1608</v>
      </c>
      <c r="X2013" s="4" t="s">
        <v>1609</v>
      </c>
      <c r="Y2013" s="4" t="s">
        <v>1610</v>
      </c>
      <c r="Z2013" s="4" t="s">
        <v>1611</v>
      </c>
      <c r="AA2013" s="4" t="s">
        <v>1612</v>
      </c>
      <c r="AB2013" s="4" t="s">
        <v>1613</v>
      </c>
      <c r="AC2013" s="4" t="s">
        <v>1614</v>
      </c>
      <c r="AD2013" s="4" t="s">
        <v>1615</v>
      </c>
      <c r="AE2013" s="4" t="s">
        <v>1616</v>
      </c>
      <c r="AF2013" s="4" t="s">
        <v>1617</v>
      </c>
      <c r="AG2013" s="4" t="s">
        <v>1618</v>
      </c>
      <c r="AH2013" s="4" t="s">
        <v>1619</v>
      </c>
      <c r="AI2013" s="4" t="s">
        <v>1620</v>
      </c>
      <c r="AJ2013" s="4" t="s">
        <v>1621</v>
      </c>
      <c r="AK2013" s="4" t="s">
        <v>1622</v>
      </c>
      <c r="AL2013" s="4" t="s">
        <v>1623</v>
      </c>
      <c r="AM2013" s="4" t="s">
        <v>1624</v>
      </c>
      <c r="AN2013" s="4" t="s">
        <v>1625</v>
      </c>
      <c r="AO2013" s="4" t="s">
        <v>1626</v>
      </c>
      <c r="AP2013" s="4" t="s">
        <v>1627</v>
      </c>
      <c r="AQ2013" s="4" t="s">
        <v>5948</v>
      </c>
      <c r="AR2013" s="4" t="s">
        <v>1120</v>
      </c>
      <c r="AS2013" s="4" t="s">
        <v>5949</v>
      </c>
      <c r="AT2013" s="4" t="s">
        <v>5950</v>
      </c>
      <c r="AU2013" s="4" t="s">
        <v>1752</v>
      </c>
      <c r="AV2013" s="4" t="s">
        <v>5951</v>
      </c>
      <c r="AW2013" s="4" t="s">
        <v>5952</v>
      </c>
      <c r="AX2013" s="4" t="s">
        <v>5953</v>
      </c>
      <c r="AY2013" s="4" t="s">
        <v>5948</v>
      </c>
      <c r="AZ2013" s="4" t="s">
        <v>5954</v>
      </c>
      <c r="BA2013" s="4" t="s">
        <v>5955</v>
      </c>
      <c r="BB2013" s="4" t="s">
        <v>1120</v>
      </c>
      <c r="BC2013" s="4" t="s">
        <v>5956</v>
      </c>
      <c r="BD2013" s="4" t="s">
        <v>5957</v>
      </c>
      <c r="BE2013" s="4" t="s">
        <v>5958</v>
      </c>
      <c r="BF2013" s="4" t="s">
        <v>1120</v>
      </c>
      <c r="BG2013" s="4" t="s">
        <v>5944</v>
      </c>
      <c r="BH2013" s="4" t="s">
        <v>2996</v>
      </c>
      <c r="BI2013" s="4" t="s">
        <v>5959</v>
      </c>
      <c r="BJ2013" s="4" t="s">
        <v>907</v>
      </c>
      <c r="BK2013" s="4" t="s">
        <v>5960</v>
      </c>
      <c r="BL2013" s="4" t="s">
        <v>1120</v>
      </c>
      <c r="BM2013" s="4" t="s">
        <v>5961</v>
      </c>
      <c r="BN2013" s="4" t="s">
        <v>5962</v>
      </c>
      <c r="BO2013" s="4" t="s">
        <v>5963</v>
      </c>
      <c r="BP2013" s="4" t="s">
        <v>1785</v>
      </c>
      <c r="BQ2013" s="4" t="s">
        <v>5964</v>
      </c>
      <c r="BR2013" s="4" t="s">
        <v>5965</v>
      </c>
      <c r="BS2013" s="4" t="s">
        <v>952</v>
      </c>
    </row>
    <row r="2014">
      <c r="A2014" s="4">
        <v>56.0</v>
      </c>
      <c r="B2014" s="4" t="s">
        <v>8005</v>
      </c>
      <c r="C2014" s="4"/>
      <c r="D2014" s="4" t="s">
        <v>5966</v>
      </c>
      <c r="E2014" s="4" t="s">
        <v>5943</v>
      </c>
      <c r="F2014" s="4" t="s">
        <v>1122</v>
      </c>
      <c r="G2014" s="5" t="str">
        <f>IFERROR(__xludf.DUMMYFUNCTION("GOOGLETRANSLATE(D2014,""en"",""es"")"),"Cannes")</f>
        <v>Cannes</v>
      </c>
      <c r="H2014" s="4" t="s">
        <v>5967</v>
      </c>
    </row>
    <row r="2015">
      <c r="A2015" s="4">
        <v>57.0</v>
      </c>
      <c r="B2015" s="4" t="s">
        <v>8005</v>
      </c>
      <c r="C2015" s="4"/>
      <c r="D2015" s="4" t="s">
        <v>5968</v>
      </c>
      <c r="E2015" s="4" t="s">
        <v>5969</v>
      </c>
      <c r="F2015" s="4" t="s">
        <v>1207</v>
      </c>
      <c r="G2015" s="5" t="str">
        <f>IFERROR(__xludf.DUMMYFUNCTION("GOOGLETRANSLATE(D2015,""en"",""es"")"),"astuto")</f>
        <v>astuto</v>
      </c>
      <c r="H2015" s="4" t="s">
        <v>5970</v>
      </c>
      <c r="I2015" s="4" t="s">
        <v>5971</v>
      </c>
      <c r="J2015" s="4" t="s">
        <v>5968</v>
      </c>
      <c r="K2015" s="4" t="s">
        <v>5972</v>
      </c>
    </row>
    <row r="2016">
      <c r="A2016" s="4">
        <v>58.0</v>
      </c>
      <c r="B2016" s="4" t="s">
        <v>8005</v>
      </c>
      <c r="C2016" s="4"/>
      <c r="D2016" s="4" t="s">
        <v>1208</v>
      </c>
      <c r="E2016" s="4" t="s">
        <v>5973</v>
      </c>
      <c r="F2016" s="4" t="s">
        <v>322</v>
      </c>
      <c r="G2016" s="5" t="str">
        <f>IFERROR(__xludf.DUMMYFUNCTION("GOOGLETRANSLATE(D2016,""en"",""es"")"),"gorra")</f>
        <v>gorra</v>
      </c>
      <c r="H2016" s="4" t="s">
        <v>1208</v>
      </c>
      <c r="I2016" s="4" t="s">
        <v>1208</v>
      </c>
      <c r="J2016" s="4" t="s">
        <v>5974</v>
      </c>
      <c r="K2016" s="4" t="s">
        <v>5975</v>
      </c>
      <c r="L2016" s="4" t="s">
        <v>1208</v>
      </c>
      <c r="M2016" s="4" t="s">
        <v>1208</v>
      </c>
      <c r="N2016" s="4" t="s">
        <v>1208</v>
      </c>
      <c r="O2016" s="4" t="s">
        <v>5976</v>
      </c>
      <c r="P2016" s="4" t="s">
        <v>5977</v>
      </c>
      <c r="Q2016" s="4" t="s">
        <v>1208</v>
      </c>
      <c r="R2016" s="4" t="s">
        <v>5978</v>
      </c>
      <c r="S2016" s="4" t="s">
        <v>5979</v>
      </c>
      <c r="T2016" s="4" t="s">
        <v>1208</v>
      </c>
      <c r="U2016" s="4" t="s">
        <v>1401</v>
      </c>
      <c r="V2016" s="4" t="s">
        <v>5980</v>
      </c>
      <c r="W2016" s="4" t="s">
        <v>5981</v>
      </c>
      <c r="X2016" s="4" t="s">
        <v>5982</v>
      </c>
      <c r="Y2016" s="4" t="s">
        <v>1208</v>
      </c>
      <c r="Z2016" s="4" t="s">
        <v>1274</v>
      </c>
      <c r="AA2016" s="4" t="s">
        <v>5983</v>
      </c>
      <c r="AB2016" s="4" t="s">
        <v>1208</v>
      </c>
      <c r="AC2016" s="4" t="s">
        <v>1208</v>
      </c>
      <c r="AD2016" s="4" t="s">
        <v>1402</v>
      </c>
      <c r="AE2016" s="4" t="s">
        <v>1208</v>
      </c>
    </row>
    <row r="2017">
      <c r="A2017" s="4">
        <v>59.0</v>
      </c>
      <c r="B2017" s="4" t="s">
        <v>8005</v>
      </c>
      <c r="C2017" s="4"/>
      <c r="D2017" s="4" t="s">
        <v>5984</v>
      </c>
      <c r="E2017" s="4" t="s">
        <v>5985</v>
      </c>
      <c r="F2017" s="4" t="s">
        <v>5986</v>
      </c>
      <c r="G2017" s="5" t="str">
        <f>IFERROR(__xludf.DUMMYFUNCTION("GOOGLETRANSLATE(D2017,""en"",""es"")"),"capitán")</f>
        <v>capitán</v>
      </c>
    </row>
    <row r="2018">
      <c r="A2018" s="4">
        <v>60.0</v>
      </c>
      <c r="B2018" s="4" t="s">
        <v>8005</v>
      </c>
      <c r="C2018" s="4"/>
      <c r="D2018" s="4" t="s">
        <v>5987</v>
      </c>
      <c r="E2018" s="4" t="s">
        <v>5988</v>
      </c>
      <c r="F2018" s="4" t="s">
        <v>5638</v>
      </c>
      <c r="G2018" s="5" t="str">
        <f>IFERROR(__xludf.DUMMYFUNCTION("GOOGLETRANSLATE(D2018,""en"",""es"")"),"pez")</f>
        <v>pez</v>
      </c>
    </row>
    <row r="2019">
      <c r="A2019" s="4">
        <v>61.0</v>
      </c>
      <c r="B2019" s="4" t="s">
        <v>8005</v>
      </c>
      <c r="C2019" s="4"/>
      <c r="D2019" s="4" t="s">
        <v>5989</v>
      </c>
      <c r="E2019" s="4" t="s">
        <v>5923</v>
      </c>
      <c r="F2019" s="4" t="s">
        <v>5924</v>
      </c>
      <c r="G2019" s="5" t="str">
        <f>IFERROR(__xludf.DUMMYFUNCTION("GOOGLETRANSLATE(D2019,""en"",""es"")"),"dinero")</f>
        <v>dinero</v>
      </c>
      <c r="H2019" s="4" t="s">
        <v>5989</v>
      </c>
      <c r="I2019" s="4" t="s">
        <v>5990</v>
      </c>
      <c r="J2019" s="4" t="s">
        <v>5991</v>
      </c>
      <c r="K2019" s="4" t="s">
        <v>5989</v>
      </c>
      <c r="L2019" s="4" t="s">
        <v>5992</v>
      </c>
      <c r="M2019" s="4" t="s">
        <v>5993</v>
      </c>
      <c r="N2019" s="4" t="s">
        <v>5994</v>
      </c>
      <c r="O2019" s="4" t="s">
        <v>5995</v>
      </c>
      <c r="P2019" s="4" t="s">
        <v>5989</v>
      </c>
      <c r="Q2019" s="4" t="s">
        <v>5996</v>
      </c>
    </row>
    <row r="2020">
      <c r="A2020" s="4">
        <v>62.0</v>
      </c>
      <c r="B2020" s="4" t="s">
        <v>8005</v>
      </c>
      <c r="C2020" s="4"/>
      <c r="D2020" s="4" t="s">
        <v>5997</v>
      </c>
      <c r="E2020" s="4" t="s">
        <v>5998</v>
      </c>
      <c r="F2020" s="4" t="s">
        <v>5999</v>
      </c>
      <c r="G2020" s="5" t="str">
        <f>IFERROR(__xludf.DUMMYFUNCTION("GOOGLETRANSLATE(D2020,""en"",""es"")"),"cath")</f>
        <v>cath</v>
      </c>
    </row>
    <row r="2021">
      <c r="A2021" s="4">
        <v>63.0</v>
      </c>
      <c r="B2021" s="4" t="s">
        <v>8005</v>
      </c>
      <c r="C2021" s="4"/>
      <c r="D2021" s="4" t="s">
        <v>6000</v>
      </c>
      <c r="E2021" s="4" t="s">
        <v>6001</v>
      </c>
      <c r="F2021" s="4" t="s">
        <v>6002</v>
      </c>
      <c r="G2021" s="5" t="str">
        <f>IFERROR(__xludf.DUMMYFUNCTION("GOOGLETRANSLATE(D2021,""en"",""es"")"),"cathy")</f>
        <v>cathy</v>
      </c>
    </row>
    <row r="2022">
      <c r="A2022" s="4">
        <v>64.0</v>
      </c>
      <c r="B2022" s="4" t="s">
        <v>8005</v>
      </c>
      <c r="C2022" s="4"/>
      <c r="D2022" s="4" t="s">
        <v>6003</v>
      </c>
      <c r="E2022" s="4" t="s">
        <v>6004</v>
      </c>
      <c r="F2022" s="4" t="s">
        <v>6005</v>
      </c>
      <c r="G2022" s="5" t="str">
        <f>IFERROR(__xludf.DUMMYFUNCTION("GOOGLETRANSLATE(D2022,""en"",""es"")"),"challis")</f>
        <v>challis</v>
      </c>
      <c r="H2022" s="4" t="s">
        <v>6003</v>
      </c>
    </row>
    <row r="2023">
      <c r="A2023" s="4">
        <v>65.0</v>
      </c>
      <c r="B2023" s="4" t="s">
        <v>8005</v>
      </c>
      <c r="C2023" s="4"/>
      <c r="D2023" s="4" t="s">
        <v>6006</v>
      </c>
      <c r="E2023" s="4" t="s">
        <v>6007</v>
      </c>
      <c r="F2023" s="4" t="s">
        <v>1039</v>
      </c>
      <c r="G2023" s="5" t="str">
        <f>IFERROR(__xludf.DUMMYFUNCTION("GOOGLETRANSLATE(D2023,""en"",""es"")"),"cham")</f>
        <v>cham</v>
      </c>
    </row>
    <row r="2024">
      <c r="A2024" s="4">
        <v>66.0</v>
      </c>
      <c r="B2024" s="4" t="s">
        <v>8005</v>
      </c>
      <c r="C2024" s="4"/>
      <c r="D2024" s="4" t="s">
        <v>1092</v>
      </c>
      <c r="E2024" s="4" t="s">
        <v>6008</v>
      </c>
      <c r="F2024" s="4" t="s">
        <v>6009</v>
      </c>
      <c r="G2024" s="5" t="str">
        <f>IFERROR(__xludf.DUMMYFUNCTION("GOOGLETRANSLATE(D2024,""en"",""es"")"),"gamuza")</f>
        <v>gamuza</v>
      </c>
      <c r="H2024" s="4" t="s">
        <v>1092</v>
      </c>
      <c r="I2024" s="4" t="s">
        <v>1094</v>
      </c>
      <c r="J2024" s="4" t="s">
        <v>1095</v>
      </c>
      <c r="K2024" s="4" t="s">
        <v>1096</v>
      </c>
      <c r="L2024" s="4" t="s">
        <v>1097</v>
      </c>
      <c r="M2024" s="4" t="s">
        <v>1098</v>
      </c>
      <c r="N2024" s="4" t="s">
        <v>1092</v>
      </c>
      <c r="O2024" s="4" t="s">
        <v>1093</v>
      </c>
    </row>
    <row r="2025">
      <c r="A2025" s="4">
        <v>67.0</v>
      </c>
      <c r="B2025" s="4" t="s">
        <v>8005</v>
      </c>
      <c r="C2025" s="4"/>
      <c r="D2025" s="4" t="s">
        <v>6010</v>
      </c>
      <c r="E2025" s="4" t="s">
        <v>6011</v>
      </c>
      <c r="F2025" s="4" t="s">
        <v>6012</v>
      </c>
      <c r="G2025" s="5" t="str">
        <f>IFERROR(__xludf.DUMMYFUNCTION("GOOGLETRANSLATE(D2025,""en"",""es"")"),"chapé")</f>
        <v>chapé</v>
      </c>
    </row>
    <row r="2026">
      <c r="A2026" s="4">
        <v>68.0</v>
      </c>
      <c r="B2026" s="4" t="s">
        <v>8005</v>
      </c>
      <c r="C2026" s="4"/>
      <c r="D2026" s="4" t="s">
        <v>6013</v>
      </c>
      <c r="E2026" s="4" t="s">
        <v>6014</v>
      </c>
      <c r="F2026" s="4" t="s">
        <v>6015</v>
      </c>
      <c r="G2026" s="5" t="str">
        <f>IFERROR(__xludf.DUMMYFUNCTION("GOOGLETRANSLATE(D2026,""en"",""es"")"),"chasse")</f>
        <v>chasse</v>
      </c>
      <c r="H2026" s="4" t="s">
        <v>6013</v>
      </c>
      <c r="I2026" s="4" t="s">
        <v>6016</v>
      </c>
      <c r="J2026" s="4" t="s">
        <v>6013</v>
      </c>
      <c r="K2026" s="4" t="s">
        <v>6016</v>
      </c>
    </row>
    <row r="2027">
      <c r="A2027" s="4">
        <v>69.0</v>
      </c>
      <c r="B2027" s="4" t="s">
        <v>8005</v>
      </c>
      <c r="C2027" s="4"/>
      <c r="D2027" s="4" t="s">
        <v>6017</v>
      </c>
      <c r="E2027" s="4" t="s">
        <v>6018</v>
      </c>
      <c r="F2027" s="4" t="s">
        <v>6019</v>
      </c>
      <c r="G2027" s="5" t="str">
        <f>IFERROR(__xludf.DUMMYFUNCTION("GOOGLETRANSLATE(D2027,""en"",""es"")"),"chasis")</f>
        <v>chasis</v>
      </c>
      <c r="H2027" s="4" t="s">
        <v>6020</v>
      </c>
      <c r="I2027" s="4" t="s">
        <v>6021</v>
      </c>
      <c r="J2027" s="4" t="s">
        <v>6022</v>
      </c>
      <c r="K2027" s="4" t="s">
        <v>6023</v>
      </c>
      <c r="L2027" s="4" t="s">
        <v>6024</v>
      </c>
      <c r="M2027" s="4" t="s">
        <v>4861</v>
      </c>
      <c r="N2027" s="4" t="s">
        <v>6025</v>
      </c>
      <c r="O2027" s="4" t="s">
        <v>6026</v>
      </c>
      <c r="P2027" s="4" t="s">
        <v>6027</v>
      </c>
      <c r="Q2027" s="4" t="s">
        <v>6028</v>
      </c>
      <c r="R2027" s="4" t="s">
        <v>6017</v>
      </c>
      <c r="S2027" s="4" t="s">
        <v>6029</v>
      </c>
      <c r="T2027" s="4" t="s">
        <v>1679</v>
      </c>
      <c r="U2027" s="4" t="s">
        <v>6030</v>
      </c>
      <c r="V2027" s="4" t="s">
        <v>6017</v>
      </c>
      <c r="W2027" s="4" t="s">
        <v>6017</v>
      </c>
    </row>
    <row r="2028">
      <c r="A2028" s="4">
        <v>70.0</v>
      </c>
      <c r="B2028" s="4" t="s">
        <v>8005</v>
      </c>
      <c r="C2028" s="4"/>
      <c r="D2028" s="4" t="s">
        <v>6031</v>
      </c>
      <c r="E2028" s="4" t="s">
        <v>6032</v>
      </c>
      <c r="F2028" s="4" t="s">
        <v>6033</v>
      </c>
      <c r="G2028" s="5" t="str">
        <f>IFERROR(__xludf.DUMMYFUNCTION("GOOGLETRANSLATE(D2028,""en"",""es"")"),"chichi")</f>
        <v>chichi</v>
      </c>
      <c r="H2028" s="4" t="s">
        <v>6031</v>
      </c>
      <c r="I2028" s="4" t="s">
        <v>6034</v>
      </c>
      <c r="J2028" s="4" t="s">
        <v>6035</v>
      </c>
      <c r="K2028" s="4" t="s">
        <v>6031</v>
      </c>
      <c r="L2028" s="4" t="s">
        <v>6036</v>
      </c>
      <c r="M2028" s="4" t="s">
        <v>6037</v>
      </c>
      <c r="N2028" s="4" t="s">
        <v>6038</v>
      </c>
      <c r="O2028" s="4" t="s">
        <v>6039</v>
      </c>
      <c r="P2028" s="4" t="s">
        <v>6040</v>
      </c>
      <c r="Q2028" s="4" t="s">
        <v>6031</v>
      </c>
    </row>
    <row r="2029">
      <c r="A2029" s="4">
        <v>71.0</v>
      </c>
      <c r="B2029" s="4" t="s">
        <v>8005</v>
      </c>
      <c r="C2029" s="4"/>
      <c r="D2029" s="4" t="s">
        <v>6041</v>
      </c>
      <c r="E2029" s="4" t="s">
        <v>6042</v>
      </c>
      <c r="F2029" s="4" t="s">
        <v>6043</v>
      </c>
      <c r="G2029" s="5" t="str">
        <f>IFERROR(__xludf.DUMMYFUNCTION("GOOGLETRANSLATE(D2029,""en"",""es"")"),"chinook")</f>
        <v>chinook</v>
      </c>
      <c r="H2029" s="4" t="s">
        <v>6041</v>
      </c>
      <c r="I2029" s="4" t="s">
        <v>6044</v>
      </c>
      <c r="J2029" s="4" t="s">
        <v>6045</v>
      </c>
      <c r="K2029" s="4" t="s">
        <v>6046</v>
      </c>
      <c r="L2029" s="4" t="s">
        <v>6047</v>
      </c>
      <c r="M2029" s="4" t="s">
        <v>6041</v>
      </c>
      <c r="N2029" s="4" t="s">
        <v>6048</v>
      </c>
      <c r="O2029" s="4" t="s">
        <v>6049</v>
      </c>
      <c r="P2029" s="4" t="s">
        <v>6046</v>
      </c>
      <c r="Q2029" s="4" t="s">
        <v>6041</v>
      </c>
      <c r="R2029" s="4" t="s">
        <v>6047</v>
      </c>
      <c r="S2029" s="4" t="s">
        <v>6048</v>
      </c>
      <c r="T2029" s="4" t="s">
        <v>6050</v>
      </c>
      <c r="U2029" s="4" t="s">
        <v>6051</v>
      </c>
    </row>
    <row r="2030">
      <c r="A2030" s="4">
        <v>72.0</v>
      </c>
      <c r="B2030" s="4" t="s">
        <v>8005</v>
      </c>
      <c r="C2030" s="4"/>
      <c r="D2030" s="4" t="s">
        <v>6052</v>
      </c>
      <c r="E2030" s="4" t="s">
        <v>6053</v>
      </c>
      <c r="F2030" s="4" t="s">
        <v>4004</v>
      </c>
      <c r="G2030" s="5" t="str">
        <f>IFERROR(__xludf.DUMMYFUNCTION("GOOGLETRANSLATE(D2030,""en"",""es"")"),"cis")</f>
        <v>cis</v>
      </c>
      <c r="H2030" s="4" t="s">
        <v>6054</v>
      </c>
      <c r="I2030" s="4" t="s">
        <v>6055</v>
      </c>
      <c r="J2030" s="4" t="s">
        <v>6056</v>
      </c>
      <c r="K2030" s="4" t="s">
        <v>6057</v>
      </c>
    </row>
    <row r="2031">
      <c r="A2031" s="4">
        <v>73.0</v>
      </c>
      <c r="B2031" s="4" t="s">
        <v>8005</v>
      </c>
      <c r="C2031" s="4"/>
      <c r="D2031" s="4" t="s">
        <v>6058</v>
      </c>
      <c r="E2031" s="4" t="s">
        <v>6053</v>
      </c>
      <c r="F2031" s="4" t="s">
        <v>4004</v>
      </c>
      <c r="G2031" s="5" t="str">
        <f>IFERROR(__xludf.DUMMYFUNCTION("GOOGLETRANSLATE(D2031,""en"",""es"")"),"lata")</f>
        <v>lata</v>
      </c>
      <c r="H2031" s="4" t="s">
        <v>6054</v>
      </c>
      <c r="I2031" s="4" t="s">
        <v>6055</v>
      </c>
    </row>
    <row r="2032">
      <c r="A2032" s="4">
        <v>74.0</v>
      </c>
      <c r="B2032" s="4" t="s">
        <v>8005</v>
      </c>
      <c r="C2032" s="4"/>
      <c r="D2032" s="4" t="s">
        <v>6059</v>
      </c>
      <c r="E2032" s="4" t="s">
        <v>6060</v>
      </c>
      <c r="F2032" s="4" t="s">
        <v>6061</v>
      </c>
      <c r="G2032" s="5" t="str">
        <f>IFERROR(__xludf.DUMMYFUNCTION("GOOGLETRANSLATE(D2032,""en"",""es"")"),"mariquita")</f>
        <v>mariquita</v>
      </c>
      <c r="H2032" s="4" t="s">
        <v>6062</v>
      </c>
      <c r="I2032" s="4" t="s">
        <v>6063</v>
      </c>
      <c r="J2032" s="4" t="s">
        <v>6064</v>
      </c>
      <c r="K2032" s="4" t="s">
        <v>6059</v>
      </c>
      <c r="L2032" s="4" t="s">
        <v>6065</v>
      </c>
      <c r="M2032" s="4" t="s">
        <v>6066</v>
      </c>
      <c r="N2032" s="4" t="s">
        <v>6067</v>
      </c>
    </row>
    <row r="2033">
      <c r="A2033" s="4">
        <v>75.0</v>
      </c>
      <c r="B2033" s="4" t="s">
        <v>8005</v>
      </c>
      <c r="C2033" s="4"/>
      <c r="D2033" s="4" t="s">
        <v>6068</v>
      </c>
      <c r="E2033" s="4" t="s">
        <v>6069</v>
      </c>
      <c r="F2033" s="4" t="s">
        <v>4019</v>
      </c>
      <c r="G2033" s="5" t="str">
        <f>IFERROR(__xludf.DUMMYFUNCTION("GOOGLETRANSLATE(D2033,""en"",""es"")"),"ciudad")</f>
        <v>ciudad</v>
      </c>
      <c r="H2033" s="4" t="s">
        <v>6068</v>
      </c>
      <c r="I2033" s="4" t="s">
        <v>6070</v>
      </c>
      <c r="J2033" s="4" t="s">
        <v>6071</v>
      </c>
      <c r="K2033" s="4" t="s">
        <v>6068</v>
      </c>
      <c r="L2033" s="4" t="s">
        <v>6068</v>
      </c>
      <c r="M2033" s="4" t="s">
        <v>6070</v>
      </c>
    </row>
    <row r="2034">
      <c r="A2034" s="4">
        <v>76.0</v>
      </c>
      <c r="B2034" s="4" t="s">
        <v>8005</v>
      </c>
      <c r="C2034" s="4"/>
      <c r="D2034" s="4" t="s">
        <v>6072</v>
      </c>
      <c r="E2034" s="4" t="s">
        <v>6073</v>
      </c>
      <c r="F2034" s="4" t="s">
        <v>1588</v>
      </c>
      <c r="G2034" s="5" t="str">
        <f>IFERROR(__xludf.DUMMYFUNCTION("GOOGLETRANSLATE(D2034,""en"",""es"")"),"cocinero")</f>
        <v>cocinero</v>
      </c>
      <c r="H2034" s="4" t="s">
        <v>6072</v>
      </c>
      <c r="I2034" s="4" t="s">
        <v>6074</v>
      </c>
      <c r="J2034" s="4" t="s">
        <v>6075</v>
      </c>
      <c r="K2034" s="4" t="s">
        <v>6076</v>
      </c>
      <c r="L2034" s="4" t="s">
        <v>6077</v>
      </c>
      <c r="M2034" s="4" t="s">
        <v>6072</v>
      </c>
      <c r="N2034" s="4" t="s">
        <v>6072</v>
      </c>
      <c r="O2034" s="4" t="s">
        <v>6078</v>
      </c>
      <c r="P2034" s="4" t="s">
        <v>6079</v>
      </c>
      <c r="Q2034" s="4" t="s">
        <v>3000</v>
      </c>
      <c r="R2034" s="4" t="s">
        <v>6080</v>
      </c>
      <c r="S2034" s="4" t="s">
        <v>6072</v>
      </c>
      <c r="T2034" s="4" t="s">
        <v>6081</v>
      </c>
      <c r="U2034" s="4" t="s">
        <v>2424</v>
      </c>
      <c r="V2034" s="4" t="s">
        <v>6082</v>
      </c>
      <c r="W2034" s="4" t="s">
        <v>6083</v>
      </c>
      <c r="X2034" s="4" t="s">
        <v>6072</v>
      </c>
      <c r="Y2034" s="4" t="s">
        <v>6084</v>
      </c>
      <c r="Z2034" s="4" t="s">
        <v>6085</v>
      </c>
      <c r="AA2034" s="4" t="s">
        <v>6072</v>
      </c>
    </row>
    <row r="2035">
      <c r="A2035" s="4">
        <v>77.0</v>
      </c>
      <c r="B2035" s="4" t="s">
        <v>8005</v>
      </c>
      <c r="C2035" s="4"/>
      <c r="D2035" s="4" t="s">
        <v>1554</v>
      </c>
      <c r="E2035" s="4" t="s">
        <v>6086</v>
      </c>
      <c r="F2035" s="4" t="s">
        <v>1556</v>
      </c>
      <c r="G2035" s="5" t="str">
        <f>IFERROR(__xludf.DUMMYFUNCTION("GOOGLETRANSLATE(D2035,""en"",""es"")"),"Galleta")</f>
        <v>Galleta</v>
      </c>
      <c r="H2035" s="4" t="s">
        <v>1554</v>
      </c>
      <c r="I2035" s="4" t="s">
        <v>6087</v>
      </c>
      <c r="J2035" s="4" t="s">
        <v>6088</v>
      </c>
      <c r="K2035" s="4" t="s">
        <v>1554</v>
      </c>
      <c r="L2035" s="4" t="s">
        <v>6087</v>
      </c>
      <c r="M2035" s="4" t="s">
        <v>1554</v>
      </c>
    </row>
    <row r="2036">
      <c r="A2036" s="4">
        <v>78.0</v>
      </c>
      <c r="B2036" s="4" t="s">
        <v>8005</v>
      </c>
      <c r="C2036" s="4"/>
      <c r="D2036" s="4" t="s">
        <v>6089</v>
      </c>
      <c r="E2036" s="4" t="s">
        <v>1479</v>
      </c>
      <c r="F2036" s="4" t="s">
        <v>1480</v>
      </c>
      <c r="G2036" s="5" t="str">
        <f>IFERROR(__xludf.DUMMYFUNCTION("GOOGLETRANSLATE(D2036,""en"",""es"")"),"cooley")</f>
        <v>cooley</v>
      </c>
    </row>
    <row r="2037">
      <c r="A2037" s="4">
        <v>79.0</v>
      </c>
      <c r="B2037" s="4" t="s">
        <v>8005</v>
      </c>
      <c r="C2037" s="4"/>
      <c r="D2037" s="4" t="s">
        <v>6090</v>
      </c>
      <c r="E2037" s="4" t="s">
        <v>6091</v>
      </c>
      <c r="F2037" s="4" t="s">
        <v>6092</v>
      </c>
      <c r="G2037" s="5" t="str">
        <f>IFERROR(__xludf.DUMMYFUNCTION("GOOGLETRANSLATE(D2037,""en"",""es"")"),"semen")</f>
        <v>semen</v>
      </c>
      <c r="H2037" s="4" t="s">
        <v>6093</v>
      </c>
      <c r="I2037" s="4" t="s">
        <v>6094</v>
      </c>
      <c r="J2037" s="4" t="s">
        <v>6095</v>
      </c>
      <c r="K2037" s="4" t="s">
        <v>6096</v>
      </c>
      <c r="L2037" s="4" t="s">
        <v>6090</v>
      </c>
      <c r="M2037" s="4" t="s">
        <v>4146</v>
      </c>
    </row>
    <row r="2038">
      <c r="A2038" s="4">
        <v>80.0</v>
      </c>
      <c r="B2038" s="4" t="s">
        <v>8005</v>
      </c>
      <c r="C2038" s="4"/>
      <c r="D2038" s="4" t="s">
        <v>6097</v>
      </c>
      <c r="E2038" s="4" t="s">
        <v>6098</v>
      </c>
      <c r="F2038" s="4" t="s">
        <v>6099</v>
      </c>
      <c r="G2038" s="5" t="str">
        <f>IFERROR(__xludf.DUMMYFUNCTION("GOOGLETRANSLATE(D2038,""en"",""es"")"),"cusa")</f>
        <v>cusa</v>
      </c>
    </row>
    <row r="2039">
      <c r="A2039" s="4">
        <v>81.0</v>
      </c>
      <c r="B2039" s="4" t="s">
        <v>8005</v>
      </c>
      <c r="C2039" s="4"/>
      <c r="D2039" s="4" t="s">
        <v>6100</v>
      </c>
      <c r="E2039" s="4" t="s">
        <v>6101</v>
      </c>
      <c r="F2039" s="4" t="s">
        <v>1451</v>
      </c>
      <c r="G2039" s="5" t="str">
        <f>IFERROR(__xludf.DUMMYFUNCTION("GOOGLETRANSLATE(D2039,""en"",""es"")"),"fácil")</f>
        <v>fácil</v>
      </c>
      <c r="H2039" s="4" t="s">
        <v>6100</v>
      </c>
      <c r="I2039" s="4" t="s">
        <v>6102</v>
      </c>
      <c r="J2039" s="4" t="s">
        <v>6103</v>
      </c>
    </row>
    <row r="2040">
      <c r="A2040" s="4">
        <v>82.0</v>
      </c>
      <c r="B2040" s="4" t="s">
        <v>8005</v>
      </c>
      <c r="C2040" s="4"/>
      <c r="D2040" s="4" t="s">
        <v>6104</v>
      </c>
      <c r="E2040" s="4" t="s">
        <v>6091</v>
      </c>
      <c r="F2040" s="4" t="s">
        <v>6092</v>
      </c>
      <c r="G2040" s="5" t="str">
        <f>IFERROR(__xludf.DUMMYFUNCTION("GOOGLETRANSLATE(D2040,""en"",""es"")"),"CWM")</f>
        <v>CWM</v>
      </c>
      <c r="H2040" s="4" t="s">
        <v>6105</v>
      </c>
      <c r="I2040" s="4" t="s">
        <v>6106</v>
      </c>
      <c r="J2040" s="4" t="s">
        <v>6104</v>
      </c>
    </row>
    <row r="2041">
      <c r="A2041" s="4">
        <v>83.0</v>
      </c>
      <c r="B2041" s="4" t="s">
        <v>8005</v>
      </c>
      <c r="C2041" s="4"/>
      <c r="D2041" s="4" t="s">
        <v>1716</v>
      </c>
      <c r="E2041" s="4" t="s">
        <v>6107</v>
      </c>
      <c r="F2041" s="4" t="s">
        <v>1712</v>
      </c>
      <c r="G2041" s="5" t="str">
        <f>IFERROR(__xludf.DUMMYFUNCTION("GOOGLETRANSLATE(D2041,""en"",""es"")"),"cínico")</f>
        <v>cínico</v>
      </c>
      <c r="H2041" s="4" t="s">
        <v>1716</v>
      </c>
      <c r="I2041" s="4" t="s">
        <v>1717</v>
      </c>
      <c r="J2041" s="4" t="s">
        <v>6108</v>
      </c>
    </row>
    <row r="2042">
      <c r="A2042" s="4">
        <v>84.0</v>
      </c>
      <c r="B2042" s="4" t="s">
        <v>8005</v>
      </c>
      <c r="C2042" s="4"/>
      <c r="D2042" s="4" t="s">
        <v>6109</v>
      </c>
      <c r="E2042" s="4" t="s">
        <v>6110</v>
      </c>
      <c r="F2042" s="4" t="s">
        <v>6111</v>
      </c>
      <c r="G2042" s="5" t="str">
        <f>IFERROR(__xludf.DUMMYFUNCTION("GOOGLETRANSLATE(D2042,""en"",""es"")"),"EEP")</f>
        <v>EEP</v>
      </c>
    </row>
    <row r="2043">
      <c r="A2043" s="4">
        <v>85.0</v>
      </c>
      <c r="B2043" s="4" t="s">
        <v>8005</v>
      </c>
      <c r="C2043" s="4"/>
      <c r="D2043" s="4" t="s">
        <v>6112</v>
      </c>
      <c r="E2043" s="4" t="s">
        <v>6113</v>
      </c>
      <c r="F2043" s="4" t="s">
        <v>6114</v>
      </c>
      <c r="G2043" s="5" t="str">
        <f>IFERROR(__xludf.DUMMYFUNCTION("GOOGLETRANSLATE(D2043,""en"",""es"")"),"eunice")</f>
        <v>eunice</v>
      </c>
    </row>
    <row r="2044">
      <c r="A2044" s="4">
        <v>86.0</v>
      </c>
      <c r="B2044" s="4" t="s">
        <v>8005</v>
      </c>
      <c r="C2044" s="4"/>
      <c r="D2044" s="4" t="s">
        <v>6115</v>
      </c>
      <c r="E2044" s="4" t="s">
        <v>6116</v>
      </c>
      <c r="F2044" s="4" t="s">
        <v>6117</v>
      </c>
      <c r="G2044" s="5" t="str">
        <f>IFERROR(__xludf.DUMMYFUNCTION("GOOGLETRANSLATE(D2044,""en"",""es"")"),"expediente")</f>
        <v>expediente</v>
      </c>
    </row>
    <row r="2045">
      <c r="A2045" s="4">
        <v>87.0</v>
      </c>
      <c r="B2045" s="4" t="s">
        <v>8005</v>
      </c>
      <c r="C2045" s="4"/>
      <c r="D2045" s="4" t="s">
        <v>6118</v>
      </c>
      <c r="E2045" s="4" t="s">
        <v>6119</v>
      </c>
      <c r="F2045" s="4" t="s">
        <v>6120</v>
      </c>
      <c r="G2045" s="5" t="str">
        <f>IFERROR(__xludf.DUMMYFUNCTION("GOOGLETRANSLATE(D2045,""en"",""es"")"),"Eyak")</f>
        <v>Eyak</v>
      </c>
    </row>
    <row r="2046">
      <c r="A2046" s="4">
        <v>88.0</v>
      </c>
      <c r="B2046" s="4" t="s">
        <v>8005</v>
      </c>
      <c r="C2046" s="4"/>
      <c r="D2046" s="4" t="s">
        <v>6121</v>
      </c>
      <c r="E2046" s="4" t="s">
        <v>6122</v>
      </c>
      <c r="F2046" s="4" t="s">
        <v>383</v>
      </c>
      <c r="G2046" s="5" t="str">
        <f>IFERROR(__xludf.DUMMYFUNCTION("GOOGLETRANSLATE(D2046,""en"",""es"")"),"rechinar")</f>
        <v>rechinar</v>
      </c>
      <c r="H2046" s="4" t="s">
        <v>6121</v>
      </c>
    </row>
    <row r="2047">
      <c r="A2047" s="4">
        <v>89.0</v>
      </c>
      <c r="B2047" s="4" t="s">
        <v>8005</v>
      </c>
      <c r="C2047" s="4"/>
      <c r="D2047" s="4" t="s">
        <v>6123</v>
      </c>
      <c r="E2047" s="4" t="s">
        <v>6124</v>
      </c>
      <c r="F2047" s="4" t="s">
        <v>6125</v>
      </c>
      <c r="G2047" s="5" t="str">
        <f>IFERROR(__xludf.DUMMYFUNCTION("GOOGLETRANSLATE(D2047,""en"",""es"")"),"gnático")</f>
        <v>gnático</v>
      </c>
    </row>
    <row r="2048">
      <c r="A2048" s="4">
        <v>90.0</v>
      </c>
      <c r="B2048" s="4" t="s">
        <v>8005</v>
      </c>
      <c r="C2048" s="4"/>
      <c r="D2048" s="4" t="s">
        <v>3492</v>
      </c>
      <c r="E2048" s="4" t="s">
        <v>6126</v>
      </c>
      <c r="F2048" s="4" t="s">
        <v>6127</v>
      </c>
      <c r="G2048" s="5" t="str">
        <f>IFERROR(__xludf.DUMMYFUNCTION("GOOGLETRANSLATE(D2048,""en"",""es"")"),"cortar a tajos")</f>
        <v>cortar a tajos</v>
      </c>
      <c r="H2048" s="4" t="s">
        <v>3492</v>
      </c>
      <c r="I2048" s="4" t="s">
        <v>6128</v>
      </c>
      <c r="J2048" s="4" t="s">
        <v>6129</v>
      </c>
      <c r="K2048" s="4" t="s">
        <v>6130</v>
      </c>
      <c r="L2048" s="4" t="s">
        <v>6131</v>
      </c>
      <c r="M2048" s="4" t="s">
        <v>6132</v>
      </c>
      <c r="N2048" s="4" t="s">
        <v>3492</v>
      </c>
      <c r="O2048" s="4" t="s">
        <v>3492</v>
      </c>
      <c r="P2048" s="4" t="s">
        <v>6133</v>
      </c>
      <c r="Q2048" s="4" t="s">
        <v>6134</v>
      </c>
      <c r="R2048" s="4" t="s">
        <v>3492</v>
      </c>
      <c r="S2048" s="4" t="s">
        <v>6135</v>
      </c>
      <c r="T2048" s="4" t="s">
        <v>3492</v>
      </c>
      <c r="U2048" s="4" t="s">
        <v>6136</v>
      </c>
      <c r="V2048" s="4" t="s">
        <v>6137</v>
      </c>
      <c r="W2048" s="4" t="s">
        <v>3492</v>
      </c>
      <c r="X2048" s="4" t="s">
        <v>6138</v>
      </c>
      <c r="Y2048" s="4" t="s">
        <v>6139</v>
      </c>
      <c r="Z2048" s="4" t="s">
        <v>4323</v>
      </c>
      <c r="AA2048" s="4" t="s">
        <v>3492</v>
      </c>
      <c r="AB2048" s="4" t="s">
        <v>3492</v>
      </c>
      <c r="AC2048" s="4" t="s">
        <v>3491</v>
      </c>
      <c r="AD2048" s="4" t="s">
        <v>3492</v>
      </c>
      <c r="AE2048" s="4" t="s">
        <v>3492</v>
      </c>
      <c r="AF2048" s="4" t="s">
        <v>1250</v>
      </c>
      <c r="AG2048" s="4" t="s">
        <v>3492</v>
      </c>
      <c r="AH2048" s="4" t="s">
        <v>3492</v>
      </c>
      <c r="AI2048" s="4" t="s">
        <v>3492</v>
      </c>
      <c r="AJ2048" s="4" t="s">
        <v>3492</v>
      </c>
      <c r="AK2048" s="4" t="s">
        <v>6140</v>
      </c>
      <c r="AL2048" s="4" t="s">
        <v>3492</v>
      </c>
      <c r="AM2048" s="4" t="s">
        <v>4288</v>
      </c>
      <c r="AN2048" s="4" t="s">
        <v>3492</v>
      </c>
      <c r="AO2048" s="4" t="s">
        <v>6141</v>
      </c>
    </row>
    <row r="2049">
      <c r="A2049" s="4">
        <v>91.0</v>
      </c>
      <c r="B2049" s="4" t="s">
        <v>8005</v>
      </c>
      <c r="C2049" s="4"/>
      <c r="D2049" s="4" t="s">
        <v>6142</v>
      </c>
      <c r="E2049" s="4" t="s">
        <v>4874</v>
      </c>
      <c r="F2049" s="4" t="s">
        <v>4812</v>
      </c>
      <c r="G2049" s="5" t="str">
        <f>IFERROR(__xludf.DUMMYFUNCTION("GOOGLETRANSLATE(D2049,""en"",""es"")"),"jajaja")</f>
        <v>jajaja</v>
      </c>
    </row>
    <row r="2050">
      <c r="A2050" s="4">
        <v>92.0</v>
      </c>
      <c r="B2050" s="4" t="s">
        <v>8005</v>
      </c>
      <c r="C2050" s="4"/>
      <c r="D2050" s="4" t="s">
        <v>4814</v>
      </c>
      <c r="E2050" s="4" t="s">
        <v>6143</v>
      </c>
      <c r="F2050" s="4" t="s">
        <v>4814</v>
      </c>
      <c r="G2050" s="5" t="str">
        <f>IFERROR(__xludf.DUMMYFUNCTION("GOOGLETRANSLATE(D2050,""en"",""es"")"),"Hal")</f>
        <v>Hal</v>
      </c>
    </row>
    <row r="2051">
      <c r="A2051" s="4">
        <v>93.0</v>
      </c>
      <c r="B2051" s="4" t="s">
        <v>8005</v>
      </c>
      <c r="C2051" s="4"/>
      <c r="D2051" s="4" t="s">
        <v>6144</v>
      </c>
      <c r="E2051" s="4" t="s">
        <v>6145</v>
      </c>
      <c r="F2051" s="4" t="s">
        <v>6146</v>
      </c>
      <c r="G2051" s="5" t="str">
        <f>IFERROR(__xludf.DUMMYFUNCTION("GOOGLETRANSLATE(D2051,""en"",""es"")"),"halley")</f>
        <v>halley</v>
      </c>
      <c r="H2051" s="4" t="s">
        <v>6147</v>
      </c>
      <c r="I2051" s="4" t="s">
        <v>6148</v>
      </c>
      <c r="J2051" s="4" t="s">
        <v>6149</v>
      </c>
    </row>
    <row r="2052">
      <c r="A2052" s="4">
        <v>94.0</v>
      </c>
      <c r="B2052" s="4" t="s">
        <v>8005</v>
      </c>
      <c r="C2052" s="4"/>
      <c r="D2052" s="4" t="s">
        <v>6150</v>
      </c>
      <c r="E2052" s="4" t="s">
        <v>6145</v>
      </c>
      <c r="F2052" s="4" t="s">
        <v>6146</v>
      </c>
      <c r="G2052" s="5" t="str">
        <f>IFERROR(__xludf.DUMMYFUNCTION("GOOGLETRANSLATE(D2052,""en"",""es"")"),"Hally")</f>
        <v>Hally</v>
      </c>
    </row>
    <row r="2053">
      <c r="A2053" s="4">
        <v>95.0</v>
      </c>
      <c r="B2053" s="4" t="s">
        <v>8005</v>
      </c>
      <c r="C2053" s="4"/>
      <c r="D2053" s="4" t="s">
        <v>1778</v>
      </c>
      <c r="E2053" s="4" t="s">
        <v>6151</v>
      </c>
      <c r="F2053" s="4" t="s">
        <v>1778</v>
      </c>
      <c r="G2053" s="5" t="str">
        <f>IFERROR(__xludf.DUMMYFUNCTION("GOOGLETRANSLATE(D2053,""en"",""es"")"),"jamón")</f>
        <v>jamón</v>
      </c>
      <c r="H2053" s="4" t="s">
        <v>1778</v>
      </c>
      <c r="I2053" s="4" t="s">
        <v>6152</v>
      </c>
      <c r="J2053" s="4" t="s">
        <v>6153</v>
      </c>
      <c r="K2053" s="4" t="s">
        <v>6154</v>
      </c>
      <c r="L2053" s="4" t="s">
        <v>1778</v>
      </c>
      <c r="M2053" s="4" t="s">
        <v>1778</v>
      </c>
      <c r="N2053" s="4" t="s">
        <v>6155</v>
      </c>
      <c r="O2053" s="4" t="s">
        <v>6156</v>
      </c>
      <c r="P2053" s="4" t="s">
        <v>6157</v>
      </c>
      <c r="Q2053" s="4" t="s">
        <v>1778</v>
      </c>
      <c r="R2053" s="4" t="s">
        <v>6158</v>
      </c>
    </row>
    <row r="2054">
      <c r="A2054" s="4">
        <v>96.0</v>
      </c>
      <c r="B2054" s="4" t="s">
        <v>8005</v>
      </c>
      <c r="C2054" s="4"/>
      <c r="D2054" s="4" t="s">
        <v>1786</v>
      </c>
      <c r="E2054" s="4" t="s">
        <v>4876</v>
      </c>
      <c r="F2054" s="4" t="s">
        <v>1786</v>
      </c>
      <c r="G2054" s="5" t="str">
        <f>IFERROR(__xludf.DUMMYFUNCTION("GOOGLETRANSLATE(D2054,""en"",""es"")"),"Han")</f>
        <v>Han</v>
      </c>
      <c r="H2054" s="4" t="s">
        <v>6159</v>
      </c>
      <c r="I2054" s="4" t="s">
        <v>6160</v>
      </c>
    </row>
    <row r="2055">
      <c r="A2055" s="4">
        <v>97.0</v>
      </c>
      <c r="B2055" s="4" t="s">
        <v>8005</v>
      </c>
      <c r="C2055" s="4"/>
      <c r="D2055" s="4" t="s">
        <v>3399</v>
      </c>
      <c r="E2055" s="4" t="s">
        <v>6161</v>
      </c>
      <c r="F2055" s="4" t="s">
        <v>3399</v>
      </c>
      <c r="G2055" s="5" t="str">
        <f>IFERROR(__xludf.DUMMYFUNCTION("GOOGLETRANSLATE(D2055,""en"",""es"")"),"tener suerte")</f>
        <v>tener suerte</v>
      </c>
      <c r="H2055" s="4" t="s">
        <v>3399</v>
      </c>
      <c r="I2055" s="4" t="s">
        <v>3398</v>
      </c>
      <c r="J2055" s="4" t="s">
        <v>3399</v>
      </c>
      <c r="K2055" s="4" t="s">
        <v>3400</v>
      </c>
      <c r="L2055" s="4" t="s">
        <v>3401</v>
      </c>
      <c r="M2055" s="4" t="s">
        <v>3402</v>
      </c>
      <c r="N2055" s="4" t="s">
        <v>647</v>
      </c>
      <c r="O2055" s="4" t="s">
        <v>3403</v>
      </c>
      <c r="P2055" s="4" t="s">
        <v>3404</v>
      </c>
      <c r="Q2055" s="4" t="s">
        <v>3405</v>
      </c>
    </row>
    <row r="2056">
      <c r="A2056" s="4">
        <v>98.0</v>
      </c>
      <c r="B2056" s="4" t="s">
        <v>8005</v>
      </c>
      <c r="C2056" s="4"/>
      <c r="D2056" s="4" t="s">
        <v>6162</v>
      </c>
      <c r="E2056" s="4" t="s">
        <v>6163</v>
      </c>
      <c r="F2056" s="4" t="s">
        <v>6164</v>
      </c>
      <c r="G2056" s="5" t="str">
        <f>IFERROR(__xludf.DUMMYFUNCTION("GOOGLETRANSLATE(D2056,""en"",""es"")"),"felicidad")</f>
        <v>felicidad</v>
      </c>
      <c r="H2056" s="4" t="s">
        <v>6162</v>
      </c>
      <c r="I2056" s="4" t="s">
        <v>6165</v>
      </c>
      <c r="J2056" s="4" t="s">
        <v>6162</v>
      </c>
    </row>
    <row r="2057">
      <c r="A2057" s="4">
        <v>99.0</v>
      </c>
      <c r="B2057" s="4" t="s">
        <v>8005</v>
      </c>
      <c r="C2057" s="4"/>
      <c r="D2057" s="4" t="s">
        <v>6166</v>
      </c>
      <c r="E2057" s="4" t="s">
        <v>6167</v>
      </c>
      <c r="F2057" s="4" t="s">
        <v>6168</v>
      </c>
      <c r="G2057" s="5" t="str">
        <f>IFERROR(__xludf.DUMMYFUNCTION("GOOGLETRANSLATE(D2057,""en"",""es"")"),"contento")</f>
        <v>contento</v>
      </c>
      <c r="H2057" s="4" t="s">
        <v>6166</v>
      </c>
      <c r="I2057" s="4" t="s">
        <v>6169</v>
      </c>
      <c r="J2057" s="4" t="s">
        <v>6166</v>
      </c>
      <c r="K2057" s="4" t="s">
        <v>6170</v>
      </c>
      <c r="L2057" s="4" t="s">
        <v>6166</v>
      </c>
      <c r="M2057" s="4" t="s">
        <v>6166</v>
      </c>
      <c r="N2057" s="4" t="s">
        <v>6171</v>
      </c>
    </row>
    <row r="2058">
      <c r="A2058" s="4">
        <v>100.0</v>
      </c>
      <c r="B2058" s="4" t="s">
        <v>8005</v>
      </c>
      <c r="C2058" s="4"/>
      <c r="D2058" s="4" t="s">
        <v>6172</v>
      </c>
      <c r="E2058" s="4" t="s">
        <v>6173</v>
      </c>
      <c r="F2058" s="4" t="s">
        <v>6172</v>
      </c>
      <c r="G2058" s="5" t="str">
        <f>IFERROR(__xludf.DUMMYFUNCTION("GOOGLETRANSLATE(D2058,""en"",""es"")"),"picadillo")</f>
        <v>picadillo</v>
      </c>
      <c r="H2058" s="4" t="s">
        <v>6172</v>
      </c>
      <c r="I2058" s="4" t="s">
        <v>6174</v>
      </c>
      <c r="J2058" s="4" t="s">
        <v>6175</v>
      </c>
      <c r="K2058" s="4" t="s">
        <v>6176</v>
      </c>
      <c r="L2058" s="4" t="s">
        <v>6172</v>
      </c>
      <c r="M2058" s="4" t="s">
        <v>6172</v>
      </c>
    </row>
    <row r="2059">
      <c r="A2059" s="4">
        <v>101.0</v>
      </c>
      <c r="B2059" s="4" t="s">
        <v>8005</v>
      </c>
      <c r="C2059" s="4"/>
      <c r="D2059" s="4" t="s">
        <v>6174</v>
      </c>
      <c r="E2059" s="4" t="s">
        <v>6177</v>
      </c>
      <c r="F2059" s="4" t="s">
        <v>6174</v>
      </c>
      <c r="G2059" s="5" t="str">
        <f>IFERROR(__xludf.DUMMYFUNCTION("GOOGLETRANSLATE(D2059,""en"",""es"")"),"hachís")</f>
        <v>hachís</v>
      </c>
      <c r="H2059" s="4" t="s">
        <v>6174</v>
      </c>
      <c r="I2059" s="4" t="s">
        <v>6175</v>
      </c>
      <c r="J2059" s="4" t="s">
        <v>6176</v>
      </c>
      <c r="K2059" s="4" t="s">
        <v>6172</v>
      </c>
    </row>
    <row r="2060">
      <c r="A2060" s="4">
        <v>102.0</v>
      </c>
      <c r="B2060" s="4" t="s">
        <v>8005</v>
      </c>
      <c r="C2060" s="4"/>
      <c r="D2060" s="4" t="s">
        <v>6178</v>
      </c>
      <c r="E2060" s="4" t="s">
        <v>6179</v>
      </c>
      <c r="F2060" s="4" t="s">
        <v>6178</v>
      </c>
      <c r="G2060" s="5" t="str">
        <f>IFERROR(__xludf.DUMMYFUNCTION("GOOGLETRANSLATE(D2060,""en"",""es"")"),"ha")</f>
        <v>ha</v>
      </c>
    </row>
    <row r="2061">
      <c r="A2061" s="4">
        <v>103.0</v>
      </c>
      <c r="B2061" s="4" t="s">
        <v>8005</v>
      </c>
      <c r="C2061" s="4"/>
      <c r="D2061" s="4" t="s">
        <v>6180</v>
      </c>
      <c r="E2061" s="4" t="s">
        <v>6181</v>
      </c>
      <c r="F2061" s="4" t="s">
        <v>6182</v>
      </c>
      <c r="G2061" s="5" t="str">
        <f>IFERROR(__xludf.DUMMYFUNCTION("GOOGLETRANSLATE(D2061,""en"",""es"")"),"él")</f>
        <v>él</v>
      </c>
      <c r="H2061" s="4" t="s">
        <v>6183</v>
      </c>
      <c r="I2061" s="4" t="s">
        <v>6184</v>
      </c>
      <c r="J2061" s="4" t="s">
        <v>6185</v>
      </c>
      <c r="K2061" s="4" t="s">
        <v>6180</v>
      </c>
    </row>
    <row r="2062">
      <c r="A2062" s="4">
        <v>104.0</v>
      </c>
      <c r="B2062" s="4" t="s">
        <v>8005</v>
      </c>
      <c r="C2062" s="4"/>
      <c r="D2062" s="4" t="s">
        <v>6186</v>
      </c>
      <c r="E2062" s="4" t="s">
        <v>6187</v>
      </c>
      <c r="F2062" s="4" t="s">
        <v>6188</v>
      </c>
      <c r="G2062" s="5" t="str">
        <f>IFERROR(__xludf.DUMMYFUNCTION("GOOGLETRANSLATE(D2062,""en"",""es"")"),"infierno")</f>
        <v>infierno</v>
      </c>
    </row>
    <row r="2063">
      <c r="A2063" s="4">
        <v>105.0</v>
      </c>
      <c r="B2063" s="4" t="s">
        <v>8005</v>
      </c>
      <c r="C2063" s="4"/>
      <c r="D2063" s="4" t="s">
        <v>6189</v>
      </c>
      <c r="E2063" s="4" t="s">
        <v>6190</v>
      </c>
      <c r="F2063" s="4" t="s">
        <v>6191</v>
      </c>
      <c r="G2063" s="5" t="str">
        <f>IFERROR(__xludf.DUMMYFUNCTION("GOOGLETRANSLATE(D2063,""en"",""es"")"),"dobladillo")</f>
        <v>dobladillo</v>
      </c>
      <c r="H2063" s="4" t="s">
        <v>6189</v>
      </c>
      <c r="I2063" s="4" t="s">
        <v>6189</v>
      </c>
      <c r="J2063" s="4" t="s">
        <v>6192</v>
      </c>
      <c r="K2063" s="4" t="s">
        <v>6189</v>
      </c>
      <c r="L2063" s="4" t="s">
        <v>6189</v>
      </c>
    </row>
    <row r="2064">
      <c r="A2064" s="4">
        <v>106.0</v>
      </c>
      <c r="B2064" s="4" t="s">
        <v>8005</v>
      </c>
      <c r="C2064" s="4"/>
      <c r="D2064" s="4" t="s">
        <v>6193</v>
      </c>
      <c r="E2064" s="4" t="s">
        <v>6194</v>
      </c>
      <c r="F2064" s="4" t="s">
        <v>6195</v>
      </c>
      <c r="G2064" s="5" t="str">
        <f>IFERROR(__xludf.DUMMYFUNCTION("GOOGLETRANSLATE(D2064,""en"",""es"")"),"hemítico")</f>
        <v>hemítico</v>
      </c>
      <c r="H2064" s="4" t="s">
        <v>6193</v>
      </c>
      <c r="I2064" s="4" t="s">
        <v>6196</v>
      </c>
      <c r="J2064" s="4" t="s">
        <v>6197</v>
      </c>
      <c r="K2064" s="4" t="s">
        <v>6198</v>
      </c>
    </row>
    <row r="2065">
      <c r="A2065" s="4">
        <v>107.0</v>
      </c>
      <c r="B2065" s="4" t="s">
        <v>8005</v>
      </c>
      <c r="C2065" s="4"/>
      <c r="D2065" s="4" t="s">
        <v>6199</v>
      </c>
      <c r="E2065" s="4" t="s">
        <v>6200</v>
      </c>
      <c r="F2065" s="4" t="s">
        <v>6201</v>
      </c>
      <c r="G2065" s="5" t="str">
        <f>IFERROR(__xludf.DUMMYFUNCTION("GOOGLETRANSLATE(D2065,""en"",""es"")"),"hemina")</f>
        <v>hemina</v>
      </c>
      <c r="H2065" s="4" t="s">
        <v>6199</v>
      </c>
      <c r="I2065" s="4" t="s">
        <v>6202</v>
      </c>
    </row>
    <row r="2066">
      <c r="A2066" s="4">
        <v>108.0</v>
      </c>
      <c r="B2066" s="4" t="s">
        <v>8005</v>
      </c>
      <c r="C2066" s="4"/>
      <c r="D2066" s="4" t="s">
        <v>6203</v>
      </c>
      <c r="E2066" s="4" t="s">
        <v>6204</v>
      </c>
      <c r="F2066" s="4" t="s">
        <v>6205</v>
      </c>
      <c r="G2066" s="5" t="str">
        <f>IFERROR(__xludf.DUMMYFUNCTION("GOOGLETRANSLATE(D2066,""en"",""es"")"),"hepático")</f>
        <v>hepático</v>
      </c>
      <c r="H2066" s="4" t="s">
        <v>6206</v>
      </c>
      <c r="I2066" s="4" t="s">
        <v>6203</v>
      </c>
      <c r="J2066" s="4" t="s">
        <v>6203</v>
      </c>
    </row>
    <row r="2067">
      <c r="A2067" s="4">
        <v>109.0</v>
      </c>
      <c r="B2067" s="4" t="s">
        <v>8005</v>
      </c>
      <c r="C2067" s="4"/>
      <c r="D2067" s="4" t="s">
        <v>6207</v>
      </c>
      <c r="E2067" s="4" t="s">
        <v>6208</v>
      </c>
      <c r="F2067" s="4" t="s">
        <v>6209</v>
      </c>
      <c r="G2067" s="5" t="str">
        <f>IFERROR(__xludf.DUMMYFUNCTION("GOOGLETRANSLATE(D2067,""en"",""es"")"),"paleto")</f>
        <v>paleto</v>
      </c>
      <c r="H2067" s="4" t="s">
        <v>6210</v>
      </c>
      <c r="I2067" s="4" t="s">
        <v>6211</v>
      </c>
      <c r="J2067" s="4" t="s">
        <v>6207</v>
      </c>
      <c r="K2067" s="4" t="s">
        <v>6212</v>
      </c>
      <c r="L2067" s="4" t="s">
        <v>6213</v>
      </c>
      <c r="M2067" s="4" t="s">
        <v>6214</v>
      </c>
      <c r="N2067" s="4" t="s">
        <v>6215</v>
      </c>
      <c r="O2067" s="4" t="s">
        <v>6216</v>
      </c>
      <c r="P2067" s="4" t="s">
        <v>6207</v>
      </c>
      <c r="Q2067" s="4" t="s">
        <v>6217</v>
      </c>
      <c r="R2067" s="4" t="s">
        <v>6218</v>
      </c>
    </row>
    <row r="2068">
      <c r="A2068" s="4">
        <v>110.0</v>
      </c>
      <c r="B2068" s="4" t="s">
        <v>8005</v>
      </c>
      <c r="C2068" s="4"/>
      <c r="D2068" s="4" t="s">
        <v>6219</v>
      </c>
      <c r="E2068" s="4" t="s">
        <v>6220</v>
      </c>
      <c r="F2068" s="4" t="s">
        <v>6221</v>
      </c>
      <c r="G2068" s="5" t="str">
        <f>IFERROR(__xludf.DUMMYFUNCTION("GOOGLETRANSLATE(D2068,""en"",""es"")"),"coso")</f>
        <v>coso</v>
      </c>
      <c r="H2068" s="4" t="s">
        <v>6222</v>
      </c>
      <c r="I2068" s="4" t="s">
        <v>6219</v>
      </c>
      <c r="J2068" s="4" t="s">
        <v>6223</v>
      </c>
      <c r="K2068" s="4" t="s">
        <v>6219</v>
      </c>
      <c r="L2068" s="4" t="s">
        <v>6224</v>
      </c>
    </row>
    <row r="2069">
      <c r="A2069" s="4">
        <v>111.0</v>
      </c>
      <c r="B2069" s="4" t="s">
        <v>8005</v>
      </c>
      <c r="C2069" s="4"/>
      <c r="D2069" s="4" t="s">
        <v>4536</v>
      </c>
      <c r="E2069" s="4" t="s">
        <v>6187</v>
      </c>
      <c r="F2069" s="4" t="s">
        <v>6188</v>
      </c>
      <c r="G2069" s="5" t="str">
        <f>IFERROR(__xludf.DUMMYFUNCTION("GOOGLETRANSLATE(D2069,""en"",""es"")"),"Cerro")</f>
        <v>Cerro</v>
      </c>
      <c r="H2069" s="4" t="s">
        <v>4536</v>
      </c>
      <c r="I2069" s="4" t="s">
        <v>2824</v>
      </c>
      <c r="J2069" s="4" t="s">
        <v>4536</v>
      </c>
      <c r="K2069" s="4" t="s">
        <v>6225</v>
      </c>
      <c r="L2069" s="4" t="s">
        <v>6226</v>
      </c>
      <c r="M2069" s="4" t="s">
        <v>6227</v>
      </c>
      <c r="N2069" s="4" t="s">
        <v>6225</v>
      </c>
      <c r="O2069" s="4" t="s">
        <v>6228</v>
      </c>
      <c r="P2069" s="4" t="s">
        <v>6229</v>
      </c>
      <c r="Q2069" s="4" t="s">
        <v>2824</v>
      </c>
      <c r="R2069" s="4" t="s">
        <v>4536</v>
      </c>
      <c r="S2069" s="4" t="s">
        <v>6230</v>
      </c>
      <c r="T2069" s="4" t="s">
        <v>4536</v>
      </c>
    </row>
    <row r="2070">
      <c r="A2070" s="4">
        <v>112.0</v>
      </c>
      <c r="B2070" s="4" t="s">
        <v>8005</v>
      </c>
      <c r="C2070" s="4"/>
      <c r="D2070" s="4" t="s">
        <v>6231</v>
      </c>
      <c r="E2070" s="4" t="s">
        <v>6232</v>
      </c>
      <c r="F2070" s="4" t="s">
        <v>6233</v>
      </c>
      <c r="G2070" s="5" t="str">
        <f>IFERROR(__xludf.DUMMYFUNCTION("GOOGLETRANSLATE(D2070,""en"",""es"")"),"montañoso")</f>
        <v>montañoso</v>
      </c>
      <c r="H2070" s="4" t="s">
        <v>6234</v>
      </c>
      <c r="I2070" s="4" t="s">
        <v>6235</v>
      </c>
      <c r="J2070" s="4" t="s">
        <v>6231</v>
      </c>
      <c r="K2070" s="4" t="s">
        <v>6236</v>
      </c>
    </row>
    <row r="2071">
      <c r="A2071" s="4">
        <v>113.0</v>
      </c>
      <c r="B2071" s="4" t="s">
        <v>8005</v>
      </c>
      <c r="C2071" s="4"/>
      <c r="D2071" s="4" t="s">
        <v>6191</v>
      </c>
      <c r="E2071" s="4" t="s">
        <v>6190</v>
      </c>
      <c r="F2071" s="4" t="s">
        <v>6191</v>
      </c>
      <c r="G2071" s="5" t="str">
        <f>IFERROR(__xludf.DUMMYFUNCTION("GOOGLETRANSLATE(D2071,""en"",""es"")"),"a él")</f>
        <v>a él</v>
      </c>
    </row>
    <row r="2072">
      <c r="A2072" s="4">
        <v>114.0</v>
      </c>
      <c r="B2072" s="4" t="s">
        <v>8005</v>
      </c>
      <c r="C2072" s="4"/>
      <c r="D2072" s="4" t="s">
        <v>6237</v>
      </c>
      <c r="E2072" s="4" t="s">
        <v>6238</v>
      </c>
      <c r="F2072" s="4" t="s">
        <v>6239</v>
      </c>
      <c r="G2072" s="5" t="str">
        <f>IFERROR(__xludf.DUMMYFUNCTION("GOOGLETRANSLATE(D2072,""en"",""es"")"),"Hinny")</f>
        <v>Hinny</v>
      </c>
      <c r="H2072" s="4" t="s">
        <v>6237</v>
      </c>
    </row>
    <row r="2073">
      <c r="A2073" s="4">
        <v>115.0</v>
      </c>
      <c r="B2073" s="4" t="s">
        <v>8005</v>
      </c>
      <c r="C2073" s="4"/>
      <c r="D2073" s="4" t="s">
        <v>2377</v>
      </c>
      <c r="E2073" s="4" t="s">
        <v>6240</v>
      </c>
      <c r="F2073" s="4" t="s">
        <v>2377</v>
      </c>
      <c r="G2073" s="5" t="str">
        <f>IFERROR(__xludf.DUMMYFUNCTION("GOOGLETRANSLATE(D2073,""en"",""es"")"),"cadera")</f>
        <v>cadera</v>
      </c>
      <c r="H2073" s="4" t="s">
        <v>2377</v>
      </c>
      <c r="I2073" s="4" t="s">
        <v>6241</v>
      </c>
      <c r="J2073" s="4" t="s">
        <v>6242</v>
      </c>
      <c r="K2073" s="4" t="s">
        <v>6243</v>
      </c>
      <c r="L2073" s="4" t="s">
        <v>2377</v>
      </c>
      <c r="M2073" s="4" t="s">
        <v>2377</v>
      </c>
      <c r="N2073" s="4" t="s">
        <v>2378</v>
      </c>
      <c r="O2073" s="4" t="s">
        <v>2379</v>
      </c>
      <c r="P2073" s="4" t="s">
        <v>2380</v>
      </c>
      <c r="Q2073" s="4" t="s">
        <v>2377</v>
      </c>
      <c r="R2073" s="4" t="s">
        <v>2377</v>
      </c>
      <c r="S2073" s="4" t="s">
        <v>6244</v>
      </c>
      <c r="T2073" s="4" t="s">
        <v>6245</v>
      </c>
      <c r="U2073" s="4" t="s">
        <v>6246</v>
      </c>
      <c r="V2073" s="4" t="s">
        <v>2377</v>
      </c>
      <c r="W2073" s="4" t="s">
        <v>6247</v>
      </c>
    </row>
    <row r="2074">
      <c r="A2074" s="4">
        <v>116.0</v>
      </c>
      <c r="B2074" s="4" t="s">
        <v>8005</v>
      </c>
      <c r="C2074" s="4"/>
      <c r="D2074" s="4" t="s">
        <v>6248</v>
      </c>
      <c r="E2074" s="4" t="s">
        <v>6249</v>
      </c>
      <c r="F2074" s="4" t="s">
        <v>6250</v>
      </c>
      <c r="G2074" s="5" t="str">
        <f>IFERROR(__xludf.DUMMYFUNCTION("GOOGLETRANSLATE(D2074,""en"",""es"")"),"hippico")</f>
        <v>hippico</v>
      </c>
    </row>
    <row r="2075">
      <c r="A2075" s="4">
        <v>117.0</v>
      </c>
      <c r="B2075" s="4" t="s">
        <v>8005</v>
      </c>
      <c r="C2075" s="4"/>
      <c r="D2075" s="4" t="s">
        <v>6251</v>
      </c>
      <c r="E2075" s="4" t="s">
        <v>6252</v>
      </c>
      <c r="F2075" s="4" t="s">
        <v>6253</v>
      </c>
      <c r="G2075" s="5" t="str">
        <f>IFERROR(__xludf.DUMMYFUNCTION("GOOGLETRANSLATE(D2075,""en"",""es"")"),"hippie")</f>
        <v>hippie</v>
      </c>
      <c r="H2075" s="4" t="s">
        <v>6251</v>
      </c>
      <c r="I2075" s="4" t="s">
        <v>6254</v>
      </c>
      <c r="J2075" s="4" t="s">
        <v>6255</v>
      </c>
      <c r="K2075" s="4" t="s">
        <v>6256</v>
      </c>
    </row>
    <row r="2076">
      <c r="A2076" s="4">
        <v>118.0</v>
      </c>
      <c r="B2076" s="4" t="s">
        <v>8005</v>
      </c>
      <c r="C2076" s="4"/>
      <c r="D2076" s="4" t="s">
        <v>6254</v>
      </c>
      <c r="E2076" s="4" t="s">
        <v>6252</v>
      </c>
      <c r="F2076" s="4" t="s">
        <v>6253</v>
      </c>
      <c r="G2076" s="5" t="str">
        <f>IFERROR(__xludf.DUMMYFUNCTION("GOOGLETRANSLATE(D2076,""en"",""es"")"),"hippy")</f>
        <v>hippy</v>
      </c>
      <c r="H2076" s="4" t="s">
        <v>6251</v>
      </c>
      <c r="I2076" s="4" t="s">
        <v>6254</v>
      </c>
      <c r="J2076" s="4" t="s">
        <v>6255</v>
      </c>
      <c r="K2076" s="4" t="s">
        <v>6256</v>
      </c>
    </row>
    <row r="2077">
      <c r="A2077" s="4">
        <v>119.0</v>
      </c>
      <c r="B2077" s="4" t="s">
        <v>8005</v>
      </c>
      <c r="C2077" s="4"/>
      <c r="D2077" s="4" t="s">
        <v>6257</v>
      </c>
      <c r="E2077" s="4" t="s">
        <v>6258</v>
      </c>
      <c r="F2077" s="4" t="s">
        <v>6259</v>
      </c>
      <c r="G2077" s="5" t="str">
        <f>IFERROR(__xludf.DUMMYFUNCTION("GOOGLETRANSLATE(D2077,""en"",""es"")"),"silbido")</f>
        <v>silbido</v>
      </c>
      <c r="H2077" s="4" t="s">
        <v>6257</v>
      </c>
      <c r="I2077" s="4" t="s">
        <v>6260</v>
      </c>
      <c r="J2077" s="4" t="s">
        <v>6261</v>
      </c>
      <c r="K2077" s="4" t="s">
        <v>6262</v>
      </c>
      <c r="L2077" s="4" t="s">
        <v>6263</v>
      </c>
      <c r="M2077" s="4" t="s">
        <v>6264</v>
      </c>
      <c r="N2077" s="4" t="s">
        <v>6265</v>
      </c>
      <c r="O2077" s="4" t="s">
        <v>6266</v>
      </c>
      <c r="P2077" s="4" t="s">
        <v>6257</v>
      </c>
      <c r="Q2077" s="4" t="s">
        <v>6267</v>
      </c>
      <c r="R2077" s="4" t="s">
        <v>6268</v>
      </c>
      <c r="S2077" s="4" t="s">
        <v>6269</v>
      </c>
      <c r="T2077" s="4" t="s">
        <v>6270</v>
      </c>
      <c r="U2077" s="4" t="s">
        <v>5515</v>
      </c>
      <c r="V2077" s="4" t="s">
        <v>6257</v>
      </c>
      <c r="W2077" s="4" t="s">
        <v>6271</v>
      </c>
      <c r="X2077" s="4" t="s">
        <v>6272</v>
      </c>
      <c r="Y2077" s="4" t="s">
        <v>6273</v>
      </c>
      <c r="Z2077" s="4" t="s">
        <v>6257</v>
      </c>
      <c r="AA2077" s="4" t="s">
        <v>6274</v>
      </c>
      <c r="AB2077" s="4" t="s">
        <v>6257</v>
      </c>
      <c r="AC2077" s="4" t="s">
        <v>6272</v>
      </c>
      <c r="AD2077" s="4" t="s">
        <v>6271</v>
      </c>
      <c r="AE2077" s="4" t="s">
        <v>6273</v>
      </c>
      <c r="AF2077" s="4" t="s">
        <v>6264</v>
      </c>
      <c r="AG2077" s="4" t="s">
        <v>6257</v>
      </c>
    </row>
    <row r="2078">
      <c r="A2078" s="4">
        <v>120.0</v>
      </c>
      <c r="B2078" s="4" t="s">
        <v>8005</v>
      </c>
      <c r="C2078" s="4"/>
      <c r="D2078" s="4" t="s">
        <v>6275</v>
      </c>
      <c r="E2078" s="4" t="s">
        <v>6276</v>
      </c>
      <c r="F2078" s="4" t="s">
        <v>6277</v>
      </c>
      <c r="G2078" s="5" t="str">
        <f>IFERROR(__xludf.DUMMYFUNCTION("GOOGLETRANSLATE(D2078,""en"",""es"")"),"hiseño")</f>
        <v>hiseño</v>
      </c>
    </row>
    <row r="2079">
      <c r="A2079" s="4">
        <v>121.0</v>
      </c>
      <c r="B2079" s="4" t="s">
        <v>8005</v>
      </c>
      <c r="C2079" s="4"/>
      <c r="D2079" s="4" t="s">
        <v>6278</v>
      </c>
      <c r="E2079" s="4" t="s">
        <v>6279</v>
      </c>
      <c r="F2079" s="4" t="s">
        <v>6280</v>
      </c>
      <c r="G2079" s="5" t="str">
        <f>IFERROR(__xludf.DUMMYFUNCTION("GOOGLETRANSLATE(D2079,""en"",""es"")"),"gancho")</f>
        <v>gancho</v>
      </c>
      <c r="H2079" s="4" t="s">
        <v>6278</v>
      </c>
      <c r="I2079" s="4" t="s">
        <v>6278</v>
      </c>
      <c r="J2079" s="4" t="s">
        <v>6281</v>
      </c>
      <c r="K2079" s="4" t="s">
        <v>3334</v>
      </c>
      <c r="L2079" s="4" t="s">
        <v>6282</v>
      </c>
      <c r="M2079" s="4" t="s">
        <v>6278</v>
      </c>
      <c r="N2079" s="4" t="s">
        <v>3336</v>
      </c>
      <c r="O2079" s="4" t="s">
        <v>6283</v>
      </c>
      <c r="P2079" s="4" t="s">
        <v>6278</v>
      </c>
      <c r="Q2079" s="4" t="s">
        <v>6284</v>
      </c>
      <c r="R2079" s="4" t="s">
        <v>6278</v>
      </c>
      <c r="S2079" s="4" t="s">
        <v>6278</v>
      </c>
      <c r="T2079" s="4" t="s">
        <v>3414</v>
      </c>
      <c r="U2079" s="4" t="s">
        <v>6285</v>
      </c>
      <c r="V2079" s="4" t="s">
        <v>6278</v>
      </c>
      <c r="W2079" s="4" t="s">
        <v>6286</v>
      </c>
      <c r="X2079" s="4" t="s">
        <v>6278</v>
      </c>
      <c r="Y2079" s="4" t="s">
        <v>6278</v>
      </c>
      <c r="Z2079" s="4" t="s">
        <v>6287</v>
      </c>
      <c r="AA2079" s="4" t="s">
        <v>579</v>
      </c>
      <c r="AB2079" s="4" t="s">
        <v>6288</v>
      </c>
      <c r="AC2079" s="4" t="s">
        <v>6289</v>
      </c>
      <c r="AD2079" s="4" t="s">
        <v>2110</v>
      </c>
      <c r="AE2079" s="4" t="s">
        <v>6290</v>
      </c>
      <c r="AF2079" s="4" t="s">
        <v>6291</v>
      </c>
      <c r="AG2079" s="4" t="s">
        <v>6292</v>
      </c>
      <c r="AH2079" s="4" t="s">
        <v>6278</v>
      </c>
      <c r="AI2079" s="4" t="s">
        <v>6293</v>
      </c>
      <c r="AJ2079" s="4" t="s">
        <v>6278</v>
      </c>
      <c r="AK2079" s="4" t="s">
        <v>6278</v>
      </c>
      <c r="AL2079" s="4" t="s">
        <v>6278</v>
      </c>
      <c r="AM2079" s="4" t="s">
        <v>6294</v>
      </c>
      <c r="AN2079" s="4" t="s">
        <v>6295</v>
      </c>
      <c r="AO2079" s="4" t="s">
        <v>6296</v>
      </c>
      <c r="AP2079" s="4" t="s">
        <v>6297</v>
      </c>
      <c r="AQ2079" s="4" t="s">
        <v>6298</v>
      </c>
      <c r="AR2079" s="4" t="s">
        <v>6299</v>
      </c>
      <c r="AS2079" s="4" t="s">
        <v>6300</v>
      </c>
      <c r="AT2079" s="4" t="s">
        <v>6301</v>
      </c>
      <c r="AU2079" s="4" t="s">
        <v>6302</v>
      </c>
      <c r="AV2079" s="4" t="s">
        <v>6303</v>
      </c>
      <c r="AW2079" s="4" t="s">
        <v>6304</v>
      </c>
      <c r="AX2079" s="4" t="s">
        <v>6305</v>
      </c>
      <c r="AY2079" s="4" t="s">
        <v>6278</v>
      </c>
      <c r="AZ2079" s="4" t="s">
        <v>6306</v>
      </c>
      <c r="BA2079" s="4" t="s">
        <v>6307</v>
      </c>
      <c r="BB2079" s="4" t="s">
        <v>6308</v>
      </c>
      <c r="BC2079" s="4" t="s">
        <v>1800</v>
      </c>
      <c r="BD2079" s="4" t="s">
        <v>6278</v>
      </c>
      <c r="BE2079" s="4" t="s">
        <v>6278</v>
      </c>
      <c r="BF2079" s="4" t="s">
        <v>6309</v>
      </c>
      <c r="BG2079" s="4" t="s">
        <v>6278</v>
      </c>
      <c r="BH2079" s="4" t="s">
        <v>6278</v>
      </c>
      <c r="BI2079" s="4" t="s">
        <v>6278</v>
      </c>
      <c r="BJ2079" s="4" t="s">
        <v>6310</v>
      </c>
      <c r="BK2079" s="4" t="s">
        <v>6278</v>
      </c>
      <c r="BL2079" s="4" t="s">
        <v>6311</v>
      </c>
      <c r="BM2079" s="4" t="s">
        <v>6312</v>
      </c>
    </row>
    <row r="2080">
      <c r="A2080" s="4">
        <v>122.0</v>
      </c>
      <c r="B2080" s="4" t="s">
        <v>8005</v>
      </c>
      <c r="C2080" s="4"/>
      <c r="D2080" s="4" t="s">
        <v>6313</v>
      </c>
      <c r="E2080" s="4" t="s">
        <v>6314</v>
      </c>
      <c r="F2080" s="4" t="s">
        <v>6315</v>
      </c>
      <c r="G2080" s="5" t="str">
        <f>IFERROR(__xludf.DUMMYFUNCTION("GOOGLETRANSLATE(D2080,""en"",""es"")"),"gancho")</f>
        <v>gancho</v>
      </c>
      <c r="H2080" s="4" t="s">
        <v>6316</v>
      </c>
      <c r="I2080" s="4" t="s">
        <v>6313</v>
      </c>
    </row>
    <row r="2081">
      <c r="A2081" s="4">
        <v>123.0</v>
      </c>
      <c r="B2081" s="4" t="s">
        <v>8005</v>
      </c>
      <c r="C2081" s="4"/>
      <c r="D2081" s="4" t="s">
        <v>1017</v>
      </c>
      <c r="E2081" s="4" t="s">
        <v>6317</v>
      </c>
      <c r="F2081" s="4" t="s">
        <v>1017</v>
      </c>
      <c r="G2081" s="5" t="str">
        <f>IFERROR(__xludf.DUMMYFUNCTION("GOOGLETRANSLATE(D2081,""en"",""es"")"),"Cállate")</f>
        <v>Cállate</v>
      </c>
      <c r="H2081" s="4" t="s">
        <v>1017</v>
      </c>
      <c r="I2081" s="4" t="s">
        <v>6318</v>
      </c>
      <c r="J2081" s="4" t="s">
        <v>6319</v>
      </c>
      <c r="K2081" s="4" t="s">
        <v>1017</v>
      </c>
      <c r="L2081" s="4" t="s">
        <v>1017</v>
      </c>
      <c r="M2081" s="4" t="s">
        <v>1026</v>
      </c>
      <c r="N2081" s="4" t="s">
        <v>443</v>
      </c>
      <c r="O2081" s="4" t="s">
        <v>6319</v>
      </c>
      <c r="P2081" s="4" t="s">
        <v>1021</v>
      </c>
      <c r="Q2081" s="4" t="s">
        <v>6320</v>
      </c>
      <c r="R2081" s="4" t="s">
        <v>1026</v>
      </c>
      <c r="S2081" s="4" t="s">
        <v>1017</v>
      </c>
      <c r="T2081" s="4" t="s">
        <v>439</v>
      </c>
      <c r="U2081" s="4" t="s">
        <v>1027</v>
      </c>
      <c r="V2081" s="4" t="s">
        <v>1028</v>
      </c>
      <c r="W2081" s="4" t="s">
        <v>1029</v>
      </c>
      <c r="X2081" s="4" t="s">
        <v>1017</v>
      </c>
      <c r="Y2081" s="4" t="s">
        <v>1017</v>
      </c>
    </row>
    <row r="2082">
      <c r="A2082" s="4">
        <v>124.0</v>
      </c>
      <c r="B2082" s="4" t="s">
        <v>8005</v>
      </c>
      <c r="C2082" s="4"/>
      <c r="D2082" s="4" t="s">
        <v>6321</v>
      </c>
      <c r="E2082" s="4" t="s">
        <v>6190</v>
      </c>
      <c r="F2082" s="4" t="s">
        <v>6191</v>
      </c>
      <c r="G2082" s="5" t="str">
        <f>IFERROR(__xludf.DUMMYFUNCTION("GOOGLETRANSLATE(D2082,""en"",""es"")"),"himno")</f>
        <v>himno</v>
      </c>
      <c r="H2082" s="4" t="s">
        <v>6321</v>
      </c>
      <c r="I2082" s="4" t="s">
        <v>6322</v>
      </c>
      <c r="J2082" s="4" t="s">
        <v>6321</v>
      </c>
      <c r="K2082" s="4" t="s">
        <v>6321</v>
      </c>
    </row>
    <row r="2083">
      <c r="A2083" s="4">
        <v>125.0</v>
      </c>
      <c r="B2083" s="4" t="s">
        <v>8005</v>
      </c>
      <c r="C2083" s="4"/>
      <c r="D2083" s="4" t="s">
        <v>6323</v>
      </c>
      <c r="E2083" s="4" t="s">
        <v>6240</v>
      </c>
      <c r="F2083" s="4" t="s">
        <v>2377</v>
      </c>
      <c r="G2083" s="5" t="str">
        <f>IFERROR(__xludf.DUMMYFUNCTION("GOOGLETRANSLATE(D2083,""en"",""es"")"),"exagerado")</f>
        <v>exagerado</v>
      </c>
    </row>
    <row r="2084">
      <c r="A2084" s="4">
        <v>126.0</v>
      </c>
      <c r="B2084" s="4" t="s">
        <v>8005</v>
      </c>
      <c r="C2084" s="4"/>
      <c r="D2084" s="4" t="s">
        <v>6324</v>
      </c>
      <c r="E2084" s="4" t="s">
        <v>507</v>
      </c>
      <c r="F2084" s="4" t="s">
        <v>506</v>
      </c>
      <c r="G2084" s="5" t="str">
        <f>IFERROR(__xludf.DUMMYFUNCTION("GOOGLETRANSLATE(D2084,""en"",""es"")"),"voy a")</f>
        <v>voy a</v>
      </c>
    </row>
    <row r="2085">
      <c r="A2085" s="4">
        <v>127.0</v>
      </c>
      <c r="B2085" s="4" t="s">
        <v>8005</v>
      </c>
      <c r="C2085" s="4"/>
      <c r="D2085" s="4" t="s">
        <v>6325</v>
      </c>
      <c r="E2085" s="4" t="s">
        <v>4823</v>
      </c>
      <c r="F2085" s="4" t="s">
        <v>4824</v>
      </c>
      <c r="G2085" s="5" t="str">
        <f>IFERROR(__xludf.DUMMYFUNCTION("GOOGLETRANSLATE(D2085,""en"",""es"")"),"en")</f>
        <v>en</v>
      </c>
    </row>
    <row r="2086">
      <c r="A2086" s="4">
        <v>128.0</v>
      </c>
      <c r="B2086" s="4" t="s">
        <v>8005</v>
      </c>
      <c r="C2086" s="4"/>
      <c r="D2086" s="4" t="s">
        <v>6326</v>
      </c>
      <c r="E2086" s="4" t="s">
        <v>6327</v>
      </c>
      <c r="F2086" s="4" t="s">
        <v>6328</v>
      </c>
      <c r="G2086" s="5" t="str">
        <f>IFERROR(__xludf.DUMMYFUNCTION("GOOGLETRANSLATE(D2086,""en"",""es"")"),"ICH")</f>
        <v>ICH</v>
      </c>
    </row>
    <row r="2087">
      <c r="A2087" s="4">
        <v>129.0</v>
      </c>
      <c r="B2087" s="4" t="s">
        <v>8005</v>
      </c>
      <c r="C2087" s="4"/>
      <c r="D2087" s="4" t="s">
        <v>6329</v>
      </c>
      <c r="E2087" s="4" t="s">
        <v>6327</v>
      </c>
      <c r="F2087" s="4" t="s">
        <v>6328</v>
      </c>
      <c r="G2087" s="5" t="str">
        <f>IFERROR(__xludf.DUMMYFUNCTION("GOOGLETRANSLATE(D2087,""en"",""es"")"),"hurgir")</f>
        <v>hurgir</v>
      </c>
    </row>
    <row r="2088">
      <c r="A2088" s="4">
        <v>130.0</v>
      </c>
      <c r="B2088" s="4" t="s">
        <v>8005</v>
      </c>
      <c r="C2088" s="4"/>
      <c r="D2088" s="4" t="s">
        <v>6330</v>
      </c>
      <c r="E2088" s="4" t="s">
        <v>6331</v>
      </c>
      <c r="F2088" s="4" t="s">
        <v>6332</v>
      </c>
      <c r="G2088" s="5" t="str">
        <f>IFERROR(__xludf.DUMMYFUNCTION("GOOGLETRANSLATE(D2088,""en"",""es"")"),"espeluznante")</f>
        <v>espeluznante</v>
      </c>
      <c r="H2088" s="4" t="s">
        <v>6330</v>
      </c>
      <c r="I2088" s="4" t="s">
        <v>6333</v>
      </c>
      <c r="J2088" s="4" t="s">
        <v>6334</v>
      </c>
      <c r="K2088" s="4" t="s">
        <v>6335</v>
      </c>
      <c r="L2088" s="4" t="s">
        <v>6336</v>
      </c>
      <c r="M2088" s="4" t="s">
        <v>6337</v>
      </c>
      <c r="N2088" s="4" t="s">
        <v>6338</v>
      </c>
      <c r="O2088" s="4" t="s">
        <v>6339</v>
      </c>
      <c r="P2088" s="4" t="s">
        <v>6330</v>
      </c>
    </row>
    <row r="2089">
      <c r="A2089" s="4">
        <v>131.0</v>
      </c>
      <c r="B2089" s="4" t="s">
        <v>8005</v>
      </c>
      <c r="C2089" s="4"/>
      <c r="D2089" s="4" t="s">
        <v>2345</v>
      </c>
      <c r="E2089" s="4" t="s">
        <v>6340</v>
      </c>
      <c r="F2089" s="4" t="s">
        <v>6341</v>
      </c>
      <c r="G2089" s="5" t="str">
        <f>IFERROR(__xludf.DUMMYFUNCTION("GOOGLETRANSLATE(D2089,""en"",""es"")"),"enfermo")</f>
        <v>enfermo</v>
      </c>
      <c r="H2089" s="4" t="s">
        <v>2343</v>
      </c>
      <c r="I2089" s="4" t="s">
        <v>2344</v>
      </c>
      <c r="J2089" s="4" t="s">
        <v>2345</v>
      </c>
      <c r="K2089" s="4" t="s">
        <v>2345</v>
      </c>
      <c r="L2089" s="4" t="s">
        <v>4402</v>
      </c>
      <c r="M2089" s="4" t="s">
        <v>2345</v>
      </c>
      <c r="N2089" s="4" t="s">
        <v>2345</v>
      </c>
      <c r="O2089" s="4" t="s">
        <v>2345</v>
      </c>
      <c r="P2089" s="4" t="s">
        <v>2345</v>
      </c>
      <c r="Q2089" s="4" t="s">
        <v>6342</v>
      </c>
      <c r="R2089" s="4" t="s">
        <v>6343</v>
      </c>
      <c r="S2089" s="4" t="s">
        <v>2345</v>
      </c>
      <c r="T2089" s="4" t="s">
        <v>6344</v>
      </c>
      <c r="U2089" s="4" t="s">
        <v>6345</v>
      </c>
      <c r="V2089" s="4" t="s">
        <v>2345</v>
      </c>
      <c r="W2089" s="4" t="s">
        <v>6344</v>
      </c>
      <c r="X2089" s="4" t="s">
        <v>2345</v>
      </c>
    </row>
    <row r="2090">
      <c r="A2090" s="4">
        <v>132.0</v>
      </c>
      <c r="B2090" s="4" t="s">
        <v>8005</v>
      </c>
      <c r="C2090" s="4"/>
      <c r="D2090" s="4" t="s">
        <v>4824</v>
      </c>
      <c r="E2090" s="4" t="s">
        <v>4823</v>
      </c>
      <c r="F2090" s="4" t="s">
        <v>4824</v>
      </c>
      <c r="G2090" s="5" t="str">
        <f>IFERROR(__xludf.DUMMYFUNCTION("GOOGLETRANSLATE(D2090,""en"",""es"")"),"en")</f>
        <v>en</v>
      </c>
      <c r="H2090" s="4" t="s">
        <v>6346</v>
      </c>
      <c r="I2090" s="4" t="s">
        <v>4824</v>
      </c>
      <c r="J2090" s="4" t="s">
        <v>6347</v>
      </c>
      <c r="K2090" s="4" t="s">
        <v>6348</v>
      </c>
      <c r="L2090" s="4" t="s">
        <v>6349</v>
      </c>
      <c r="M2090" s="4" t="s">
        <v>6350</v>
      </c>
      <c r="N2090" s="4" t="s">
        <v>6351</v>
      </c>
      <c r="O2090" s="4" t="s">
        <v>6352</v>
      </c>
      <c r="P2090" s="4" t="s">
        <v>4824</v>
      </c>
      <c r="Q2090" s="4" t="s">
        <v>4824</v>
      </c>
      <c r="R2090" s="4" t="s">
        <v>4824</v>
      </c>
      <c r="S2090" s="4" t="s">
        <v>4824</v>
      </c>
      <c r="T2090" s="4" t="s">
        <v>6353</v>
      </c>
      <c r="U2090" s="4" t="s">
        <v>6354</v>
      </c>
    </row>
    <row r="2091">
      <c r="A2091" s="4">
        <v>133.0</v>
      </c>
      <c r="B2091" s="4" t="s">
        <v>8005</v>
      </c>
      <c r="C2091" s="4"/>
      <c r="D2091" s="4" t="s">
        <v>6355</v>
      </c>
      <c r="E2091" s="4" t="s">
        <v>6356</v>
      </c>
      <c r="F2091" s="4" t="s">
        <v>6357</v>
      </c>
      <c r="G2091" s="5" t="str">
        <f>IFERROR(__xludf.DUMMYFUNCTION("GOOGLETRANSLATE(D2091,""en"",""es"")"),"inanidad")</f>
        <v>inanidad</v>
      </c>
      <c r="H2091" s="4" t="s">
        <v>6355</v>
      </c>
      <c r="I2091" s="4" t="s">
        <v>6358</v>
      </c>
      <c r="J2091" s="4" t="s">
        <v>6359</v>
      </c>
      <c r="K2091" s="4" t="s">
        <v>6360</v>
      </c>
      <c r="L2091" s="4" t="s">
        <v>6361</v>
      </c>
    </row>
    <row r="2092">
      <c r="A2092" s="4">
        <v>134.0</v>
      </c>
      <c r="B2092" s="4" t="s">
        <v>8005</v>
      </c>
      <c r="C2092" s="4"/>
      <c r="D2092" s="4" t="s">
        <v>4822</v>
      </c>
      <c r="E2092" s="4" t="s">
        <v>4823</v>
      </c>
      <c r="F2092" s="4" t="s">
        <v>4824</v>
      </c>
      <c r="G2092" s="5" t="str">
        <f>IFERROR(__xludf.DUMMYFUNCTION("GOOGLETRANSLATE(D2092,""en"",""es"")"),"Posada")</f>
        <v>Posada</v>
      </c>
      <c r="H2092" s="4" t="s">
        <v>6362</v>
      </c>
      <c r="I2092" s="4" t="s">
        <v>6363</v>
      </c>
      <c r="J2092" s="4" t="s">
        <v>4822</v>
      </c>
      <c r="K2092" s="4" t="s">
        <v>6364</v>
      </c>
      <c r="L2092" s="4" t="s">
        <v>6365</v>
      </c>
    </row>
    <row r="2093">
      <c r="A2093" s="4">
        <v>135.0</v>
      </c>
      <c r="B2093" s="4" t="s">
        <v>8005</v>
      </c>
      <c r="C2093" s="4"/>
      <c r="D2093" s="4" t="s">
        <v>6366</v>
      </c>
      <c r="E2093" s="4" t="s">
        <v>6367</v>
      </c>
      <c r="F2093" s="4" t="s">
        <v>6368</v>
      </c>
      <c r="G2093" s="5" t="str">
        <f>IFERROR(__xludf.DUMMYFUNCTION("GOOGLETRANSLATE(D2093,""en"",""es"")"),"innie")</f>
        <v>innie</v>
      </c>
    </row>
    <row r="2094">
      <c r="A2094" s="4">
        <v>136.0</v>
      </c>
      <c r="B2094" s="4" t="s">
        <v>8005</v>
      </c>
      <c r="C2094" s="4"/>
      <c r="D2094" s="4" t="s">
        <v>6369</v>
      </c>
      <c r="E2094" s="4" t="s">
        <v>6370</v>
      </c>
      <c r="F2094" s="4" t="s">
        <v>6371</v>
      </c>
      <c r="G2094" s="5" t="str">
        <f>IFERROR(__xludf.DUMMYFUNCTION("GOOGLETRANSLATE(D2094,""en"",""es"")"),"ipecac")</f>
        <v>ipecac</v>
      </c>
      <c r="H2094" s="4" t="s">
        <v>6369</v>
      </c>
    </row>
    <row r="2095">
      <c r="A2095" s="4">
        <v>137.0</v>
      </c>
      <c r="B2095" s="4" t="s">
        <v>8005</v>
      </c>
      <c r="C2095" s="4"/>
      <c r="D2095" s="4" t="s">
        <v>2007</v>
      </c>
      <c r="E2095" s="4" t="s">
        <v>6372</v>
      </c>
      <c r="F2095" s="4" t="s">
        <v>2007</v>
      </c>
      <c r="G2095" s="5" t="str">
        <f>IFERROR(__xludf.DUMMYFUNCTION("GOOGLETRANSLATE(D2095,""en"",""es"")"),"ish")</f>
        <v>ish</v>
      </c>
    </row>
    <row r="2096">
      <c r="A2096" s="4">
        <v>138.0</v>
      </c>
      <c r="B2096" s="4" t="s">
        <v>8005</v>
      </c>
      <c r="C2096" s="4"/>
      <c r="D2096" s="4" t="s">
        <v>6373</v>
      </c>
      <c r="E2096" s="4" t="s">
        <v>6374</v>
      </c>
      <c r="F2096" s="4" t="s">
        <v>6375</v>
      </c>
      <c r="G2096" s="5" t="str">
        <f>IFERROR(__xludf.DUMMYFUNCTION("GOOGLETRANSLATE(D2096,""en"",""es"")"),"itálico")</f>
        <v>itálico</v>
      </c>
      <c r="H2096" s="4" t="s">
        <v>6373</v>
      </c>
      <c r="I2096" s="4" t="s">
        <v>6376</v>
      </c>
      <c r="J2096" s="4" t="s">
        <v>6377</v>
      </c>
      <c r="K2096" s="4" t="s">
        <v>6373</v>
      </c>
      <c r="L2096" s="4" t="s">
        <v>6373</v>
      </c>
      <c r="M2096" s="4" t="s">
        <v>6376</v>
      </c>
    </row>
    <row r="2097">
      <c r="A2097" s="4">
        <v>139.0</v>
      </c>
      <c r="B2097" s="4" t="s">
        <v>8005</v>
      </c>
      <c r="C2097" s="4"/>
      <c r="D2097" s="4" t="s">
        <v>6373</v>
      </c>
      <c r="E2097" s="4" t="s">
        <v>6378</v>
      </c>
      <c r="F2097" s="4" t="s">
        <v>6375</v>
      </c>
      <c r="G2097" s="5" t="str">
        <f>IFERROR(__xludf.DUMMYFUNCTION("GOOGLETRANSLATE(D2097,""en"",""es"")"),"itálico")</f>
        <v>itálico</v>
      </c>
      <c r="H2097" s="4" t="s">
        <v>6373</v>
      </c>
      <c r="I2097" s="4" t="s">
        <v>6376</v>
      </c>
      <c r="J2097" s="4" t="s">
        <v>6377</v>
      </c>
      <c r="K2097" s="4" t="s">
        <v>6373</v>
      </c>
      <c r="L2097" s="4" t="s">
        <v>6373</v>
      </c>
      <c r="M2097" s="4" t="s">
        <v>6376</v>
      </c>
    </row>
    <row r="2098">
      <c r="A2098" s="4">
        <v>140.0</v>
      </c>
      <c r="B2098" s="4" t="s">
        <v>8005</v>
      </c>
      <c r="C2098" s="4"/>
      <c r="D2098" s="4" t="s">
        <v>6379</v>
      </c>
      <c r="E2098" s="4" t="s">
        <v>6380</v>
      </c>
      <c r="F2098" s="4" t="s">
        <v>6379</v>
      </c>
      <c r="G2098" s="5" t="str">
        <f>IFERROR(__xludf.DUMMYFUNCTION("GOOGLETRANSLATE(D2098,""en"",""es"")"),"ortuquilizado")</f>
        <v>ortuquilizado</v>
      </c>
    </row>
    <row r="2099">
      <c r="A2099" s="4">
        <v>141.0</v>
      </c>
      <c r="B2099" s="4" t="s">
        <v>8005</v>
      </c>
      <c r="C2099" s="4"/>
      <c r="D2099" s="4" t="s">
        <v>6381</v>
      </c>
      <c r="E2099" s="4" t="s">
        <v>6382</v>
      </c>
      <c r="F2099" s="4" t="s">
        <v>6381</v>
      </c>
      <c r="G2099" s="5" t="str">
        <f>IFERROR(__xludf.DUMMYFUNCTION("GOOGLETRANSLATE(D2099,""en"",""es"")"),"con todo")</f>
        <v>con todo</v>
      </c>
    </row>
    <row r="2100">
      <c r="A2100" s="4">
        <v>142.0</v>
      </c>
      <c r="B2100" s="4" t="s">
        <v>8005</v>
      </c>
      <c r="C2100" s="4"/>
      <c r="D2100" s="4" t="s">
        <v>6383</v>
      </c>
      <c r="E2100" s="4" t="s">
        <v>6384</v>
      </c>
      <c r="F2100" s="4" t="s">
        <v>6385</v>
      </c>
      <c r="G2100" s="5" t="str">
        <f>IFERROR(__xludf.DUMMYFUNCTION("GOOGLETRANSLATE(D2100,""en"",""es"")"),"itty")</f>
        <v>itty</v>
      </c>
    </row>
    <row r="2101">
      <c r="A2101" s="4">
        <v>143.0</v>
      </c>
      <c r="B2101" s="4" t="s">
        <v>8005</v>
      </c>
      <c r="C2101" s="4"/>
      <c r="D2101" s="4" t="s">
        <v>6386</v>
      </c>
      <c r="E2101" s="4" t="s">
        <v>6387</v>
      </c>
      <c r="F2101" s="4" t="s">
        <v>6388</v>
      </c>
      <c r="G2101" s="5" t="str">
        <f>IFERROR(__xludf.DUMMYFUNCTION("GOOGLETRANSLATE(D2101,""en"",""es"")"),"ene")</f>
        <v>ene</v>
      </c>
      <c r="H2101" s="4" t="s">
        <v>6389</v>
      </c>
      <c r="I2101" s="4" t="s">
        <v>6390</v>
      </c>
    </row>
    <row r="2102">
      <c r="A2102" s="4">
        <v>144.0</v>
      </c>
      <c r="B2102" s="4" t="s">
        <v>8005</v>
      </c>
      <c r="C2102" s="4"/>
      <c r="D2102" s="4" t="s">
        <v>6386</v>
      </c>
      <c r="E2102" s="4" t="s">
        <v>6391</v>
      </c>
      <c r="F2102" s="4" t="s">
        <v>6388</v>
      </c>
      <c r="G2102" s="5" t="str">
        <f>IFERROR(__xludf.DUMMYFUNCTION("GOOGLETRANSLATE(D2102,""en"",""es"")"),"ene")</f>
        <v>ene</v>
      </c>
      <c r="H2102" s="4" t="s">
        <v>6389</v>
      </c>
      <c r="I2102" s="4" t="s">
        <v>6390</v>
      </c>
    </row>
    <row r="2103">
      <c r="A2103" s="4">
        <v>145.0</v>
      </c>
      <c r="B2103" s="4" t="s">
        <v>8005</v>
      </c>
      <c r="C2103" s="4"/>
      <c r="D2103" s="4" t="s">
        <v>6392</v>
      </c>
      <c r="E2103" s="4" t="s">
        <v>6393</v>
      </c>
      <c r="F2103" s="4" t="s">
        <v>6394</v>
      </c>
      <c r="G2103" s="5" t="str">
        <f>IFERROR(__xludf.DUMMYFUNCTION("GOOGLETRANSLATE(D2103,""en"",""es"")"),"jas")</f>
        <v>jas</v>
      </c>
    </row>
    <row r="2104">
      <c r="A2104" s="4">
        <v>146.0</v>
      </c>
      <c r="B2104" s="4" t="s">
        <v>8005</v>
      </c>
      <c r="C2104" s="4"/>
      <c r="D2104" s="4" t="s">
        <v>1297</v>
      </c>
      <c r="E2104" s="4" t="s">
        <v>6395</v>
      </c>
      <c r="F2104" s="4" t="s">
        <v>1297</v>
      </c>
      <c r="G2104" s="5" t="str">
        <f>IFERROR(__xludf.DUMMYFUNCTION("GOOGLETRANSLATE(D2104,""en"",""es"")"),"kaki")</f>
        <v>kaki</v>
      </c>
      <c r="H2104" s="4" t="s">
        <v>6396</v>
      </c>
      <c r="I2104" s="4" t="s">
        <v>1297</v>
      </c>
      <c r="J2104" s="4" t="s">
        <v>6397</v>
      </c>
      <c r="K2104" s="4" t="s">
        <v>1297</v>
      </c>
      <c r="L2104" s="4" t="s">
        <v>6398</v>
      </c>
    </row>
    <row r="2105">
      <c r="A2105" s="4">
        <v>147.0</v>
      </c>
      <c r="B2105" s="4" t="s">
        <v>8005</v>
      </c>
      <c r="C2105" s="4"/>
      <c r="D2105" s="4" t="s">
        <v>6399</v>
      </c>
      <c r="E2105" s="4" t="s">
        <v>5969</v>
      </c>
      <c r="F2105" s="4" t="s">
        <v>1207</v>
      </c>
      <c r="G2105" s="5" t="str">
        <f>IFERROR(__xludf.DUMMYFUNCTION("GOOGLETRANSLATE(D2105,""en"",""es"")"),"kanny")</f>
        <v>kanny</v>
      </c>
    </row>
    <row r="2106">
      <c r="A2106" s="4">
        <v>148.0</v>
      </c>
      <c r="B2106" s="4" t="s">
        <v>8005</v>
      </c>
      <c r="C2106" s="4"/>
      <c r="D2106" s="4" t="s">
        <v>5924</v>
      </c>
      <c r="E2106" s="4" t="s">
        <v>5923</v>
      </c>
      <c r="F2106" s="4" t="s">
        <v>5924</v>
      </c>
      <c r="G2106" s="5" t="str">
        <f>IFERROR(__xludf.DUMMYFUNCTION("GOOGLETRANSLATE(D2106,""en"",""es"")"),"kash")</f>
        <v>kash</v>
      </c>
    </row>
    <row r="2107">
      <c r="A2107" s="4">
        <v>149.0</v>
      </c>
      <c r="B2107" s="4" t="s">
        <v>8005</v>
      </c>
      <c r="C2107" s="4"/>
      <c r="D2107" s="4" t="s">
        <v>4744</v>
      </c>
      <c r="E2107" s="4" t="s">
        <v>6400</v>
      </c>
      <c r="F2107" s="4" t="s">
        <v>6401</v>
      </c>
      <c r="G2107" s="5" t="str">
        <f>IFERROR(__xludf.DUMMYFUNCTION("GOOGLETRANSLATE(D2107,""en"",""es"")"),"patada")</f>
        <v>patada</v>
      </c>
      <c r="H2107" s="4" t="s">
        <v>4744</v>
      </c>
      <c r="I2107" s="4" t="s">
        <v>6402</v>
      </c>
      <c r="J2107" s="4" t="s">
        <v>6403</v>
      </c>
      <c r="K2107" s="4" t="s">
        <v>6404</v>
      </c>
      <c r="L2107" s="4" t="s">
        <v>6402</v>
      </c>
      <c r="M2107" s="4" t="s">
        <v>917</v>
      </c>
      <c r="N2107" s="4" t="s">
        <v>6405</v>
      </c>
      <c r="O2107" s="4" t="s">
        <v>6406</v>
      </c>
      <c r="P2107" s="4" t="s">
        <v>6407</v>
      </c>
      <c r="Q2107" s="4" t="s">
        <v>4744</v>
      </c>
      <c r="R2107" s="4" t="s">
        <v>6408</v>
      </c>
      <c r="S2107" s="4" t="s">
        <v>4744</v>
      </c>
      <c r="T2107" s="4" t="s">
        <v>6409</v>
      </c>
      <c r="U2107" s="4" t="s">
        <v>4744</v>
      </c>
      <c r="V2107" s="4" t="s">
        <v>6410</v>
      </c>
      <c r="W2107" s="4" t="s">
        <v>6411</v>
      </c>
      <c r="X2107" s="4" t="s">
        <v>6412</v>
      </c>
      <c r="Y2107" s="4" t="s">
        <v>4744</v>
      </c>
      <c r="Z2107" s="4" t="s">
        <v>4744</v>
      </c>
      <c r="AA2107" s="4" t="s">
        <v>6403</v>
      </c>
      <c r="AB2107" s="4" t="s">
        <v>4744</v>
      </c>
      <c r="AC2107" s="4" t="s">
        <v>4744</v>
      </c>
      <c r="AD2107" s="4" t="s">
        <v>4744</v>
      </c>
      <c r="AE2107" s="4" t="s">
        <v>4744</v>
      </c>
      <c r="AF2107" s="4" t="s">
        <v>6413</v>
      </c>
      <c r="AG2107" s="4" t="s">
        <v>6408</v>
      </c>
      <c r="AH2107" s="4" t="s">
        <v>4744</v>
      </c>
      <c r="AI2107" s="4" t="s">
        <v>4744</v>
      </c>
      <c r="AJ2107" s="4" t="s">
        <v>3347</v>
      </c>
      <c r="AK2107" s="4" t="s">
        <v>4744</v>
      </c>
      <c r="AL2107" s="4" t="s">
        <v>6414</v>
      </c>
      <c r="AM2107" s="4" t="s">
        <v>4744</v>
      </c>
      <c r="AN2107" s="4" t="s">
        <v>6415</v>
      </c>
      <c r="AO2107" s="4" t="s">
        <v>6416</v>
      </c>
      <c r="AP2107" s="4" t="s">
        <v>6417</v>
      </c>
      <c r="AQ2107" s="4" t="s">
        <v>6418</v>
      </c>
    </row>
    <row r="2108">
      <c r="A2108" s="4">
        <v>150.0</v>
      </c>
      <c r="B2108" s="4" t="s">
        <v>8005</v>
      </c>
      <c r="C2108" s="4"/>
      <c r="D2108" s="4" t="s">
        <v>2570</v>
      </c>
      <c r="E2108" s="4" t="s">
        <v>6419</v>
      </c>
      <c r="F2108" s="4" t="s">
        <v>3801</v>
      </c>
      <c r="G2108" s="5" t="str">
        <f>IFERROR(__xludf.DUMMYFUNCTION("GOOGLETRANSLATE(D2108,""en"",""es"")"),"matar")</f>
        <v>matar</v>
      </c>
      <c r="H2108" s="4" t="s">
        <v>6420</v>
      </c>
      <c r="I2108" s="4" t="s">
        <v>2570</v>
      </c>
      <c r="J2108" s="4" t="s">
        <v>6421</v>
      </c>
      <c r="K2108" s="4" t="s">
        <v>2570</v>
      </c>
      <c r="L2108" s="4" t="s">
        <v>2570</v>
      </c>
      <c r="M2108" s="4" t="s">
        <v>2570</v>
      </c>
      <c r="N2108" s="4" t="s">
        <v>6422</v>
      </c>
      <c r="O2108" s="4" t="s">
        <v>4937</v>
      </c>
      <c r="P2108" s="4" t="s">
        <v>6423</v>
      </c>
      <c r="Q2108" s="4" t="s">
        <v>6424</v>
      </c>
      <c r="R2108" s="4" t="s">
        <v>2569</v>
      </c>
      <c r="S2108" s="4" t="s">
        <v>2570</v>
      </c>
      <c r="T2108" s="4" t="s">
        <v>2570</v>
      </c>
      <c r="U2108" s="4" t="s">
        <v>2570</v>
      </c>
      <c r="V2108" s="4" t="s">
        <v>2570</v>
      </c>
      <c r="W2108" s="4" t="s">
        <v>2570</v>
      </c>
      <c r="X2108" s="4" t="s">
        <v>2570</v>
      </c>
      <c r="Y2108" s="4" t="s">
        <v>2570</v>
      </c>
      <c r="Z2108" s="4" t="s">
        <v>2570</v>
      </c>
      <c r="AA2108" s="4" t="s">
        <v>6425</v>
      </c>
      <c r="AB2108" s="4" t="s">
        <v>3298</v>
      </c>
      <c r="AC2108" s="4" t="s">
        <v>6426</v>
      </c>
      <c r="AD2108" s="4" t="s">
        <v>6427</v>
      </c>
      <c r="AE2108" s="4" t="s">
        <v>6428</v>
      </c>
      <c r="AF2108" s="4" t="s">
        <v>3624</v>
      </c>
      <c r="AG2108" s="4" t="s">
        <v>6429</v>
      </c>
      <c r="AH2108" s="4" t="s">
        <v>2570</v>
      </c>
      <c r="AI2108" s="4" t="s">
        <v>2570</v>
      </c>
      <c r="AJ2108" s="4" t="s">
        <v>6430</v>
      </c>
      <c r="AK2108" s="4" t="s">
        <v>6431</v>
      </c>
      <c r="AL2108" s="4" t="s">
        <v>2570</v>
      </c>
      <c r="AM2108" s="4" t="s">
        <v>2570</v>
      </c>
      <c r="AN2108" s="4" t="s">
        <v>2570</v>
      </c>
    </row>
    <row r="2109">
      <c r="A2109" s="4">
        <v>151.0</v>
      </c>
      <c r="B2109" s="4" t="s">
        <v>8005</v>
      </c>
      <c r="C2109" s="4"/>
      <c r="D2109" s="4" t="s">
        <v>3814</v>
      </c>
      <c r="E2109" s="4" t="s">
        <v>6432</v>
      </c>
      <c r="F2109" s="4" t="s">
        <v>3814</v>
      </c>
      <c r="G2109" s="5" t="str">
        <f>IFERROR(__xludf.DUMMYFUNCTION("GOOGLETRANSLATE(D2109,""en"",""es"")"),"Kim")</f>
        <v>Kim</v>
      </c>
    </row>
    <row r="2110">
      <c r="A2110" s="4">
        <v>152.0</v>
      </c>
      <c r="B2110" s="4" t="s">
        <v>8005</v>
      </c>
      <c r="C2110" s="4"/>
      <c r="D2110" s="4" t="s">
        <v>6433</v>
      </c>
      <c r="E2110" s="4" t="s">
        <v>6434</v>
      </c>
      <c r="F2110" s="4" t="s">
        <v>6435</v>
      </c>
      <c r="G2110" s="5" t="str">
        <f>IFERROR(__xludf.DUMMYFUNCTION("GOOGLETRANSLATE(D2110,""en"",""es"")"),"kimmy")</f>
        <v>kimmy</v>
      </c>
    </row>
    <row r="2111">
      <c r="A2111" s="4">
        <v>153.0</v>
      </c>
      <c r="B2111" s="4" t="s">
        <v>8005</v>
      </c>
      <c r="C2111" s="4"/>
      <c r="D2111" s="4" t="s">
        <v>3817</v>
      </c>
      <c r="E2111" s="4" t="s">
        <v>6436</v>
      </c>
      <c r="F2111" s="4" t="s">
        <v>3817</v>
      </c>
      <c r="G2111" s="5" t="str">
        <f>IFERROR(__xludf.DUMMYFUNCTION("GOOGLETRANSLATE(D2111,""en"",""es"")"),"familiares")</f>
        <v>familiares</v>
      </c>
      <c r="H2111" s="4" t="s">
        <v>3817</v>
      </c>
      <c r="I2111" s="4" t="s">
        <v>6437</v>
      </c>
      <c r="J2111" s="4" t="s">
        <v>2128</v>
      </c>
      <c r="K2111" s="4" t="s">
        <v>3817</v>
      </c>
      <c r="L2111" s="4" t="s">
        <v>6438</v>
      </c>
      <c r="M2111" s="4" t="s">
        <v>6439</v>
      </c>
      <c r="N2111" s="4" t="s">
        <v>6440</v>
      </c>
      <c r="O2111" s="4" t="s">
        <v>6441</v>
      </c>
      <c r="P2111" s="4" t="s">
        <v>6442</v>
      </c>
      <c r="Q2111" s="4" t="s">
        <v>6443</v>
      </c>
      <c r="R2111" s="4" t="s">
        <v>6444</v>
      </c>
      <c r="S2111" s="4" t="s">
        <v>6445</v>
      </c>
      <c r="T2111" s="4" t="s">
        <v>6446</v>
      </c>
      <c r="U2111" s="4" t="s">
        <v>6447</v>
      </c>
      <c r="V2111" s="4" t="s">
        <v>6448</v>
      </c>
      <c r="W2111" s="4" t="s">
        <v>3817</v>
      </c>
    </row>
    <row r="2112">
      <c r="A2112" s="4">
        <v>154.0</v>
      </c>
      <c r="B2112" s="4" t="s">
        <v>8005</v>
      </c>
      <c r="C2112" s="4"/>
      <c r="D2112" s="4" t="s">
        <v>6449</v>
      </c>
      <c r="E2112" s="4" t="s">
        <v>6450</v>
      </c>
      <c r="F2112" s="4" t="s">
        <v>6451</v>
      </c>
      <c r="G2112" s="5" t="str">
        <f>IFERROR(__xludf.DUMMYFUNCTION("GOOGLETRANSLATE(D2112,""en"",""es"")"),"cinemático")</f>
        <v>cinemático</v>
      </c>
    </row>
    <row r="2113">
      <c r="A2113" s="4">
        <v>155.0</v>
      </c>
      <c r="B2113" s="4" t="s">
        <v>8005</v>
      </c>
      <c r="C2113" s="4"/>
      <c r="D2113" s="4" t="s">
        <v>6452</v>
      </c>
      <c r="E2113" s="4" t="s">
        <v>6453</v>
      </c>
      <c r="F2113" s="4" t="s">
        <v>6454</v>
      </c>
      <c r="G2113" s="5" t="str">
        <f>IFERROR(__xludf.DUMMYFUNCTION("GOOGLETRANSLATE(D2113,""en"",""es"")"),"Kinney")</f>
        <v>Kinney</v>
      </c>
    </row>
    <row r="2114">
      <c r="A2114" s="4">
        <v>156.0</v>
      </c>
      <c r="B2114" s="4" t="s">
        <v>8005</v>
      </c>
      <c r="C2114" s="4"/>
      <c r="D2114" s="4" t="s">
        <v>6455</v>
      </c>
      <c r="E2114" s="4" t="s">
        <v>6456</v>
      </c>
      <c r="F2114" s="4" t="s">
        <v>6457</v>
      </c>
      <c r="G2114" s="5" t="str">
        <f>IFERROR(__xludf.DUMMYFUNCTION("GOOGLETRANSLATE(D2114,""en"",""es"")"),"kinnikinnick")</f>
        <v>kinnikinnick</v>
      </c>
    </row>
    <row r="2115">
      <c r="A2115" s="4">
        <v>157.0</v>
      </c>
      <c r="B2115" s="4" t="s">
        <v>8005</v>
      </c>
      <c r="C2115" s="4"/>
      <c r="D2115" s="4" t="s">
        <v>6458</v>
      </c>
      <c r="E2115" s="4" t="s">
        <v>6459</v>
      </c>
      <c r="F2115" s="4" t="s">
        <v>6458</v>
      </c>
      <c r="G2115" s="5" t="str">
        <f>IFERROR(__xludf.DUMMYFUNCTION("GOOGLETRANSLATE(D2115,""en"",""es"")"),"dormir")</f>
        <v>dormir</v>
      </c>
      <c r="H2115" s="4" t="s">
        <v>6458</v>
      </c>
      <c r="I2115" s="4" t="s">
        <v>6458</v>
      </c>
      <c r="J2115" s="4" t="s">
        <v>6458</v>
      </c>
      <c r="K2115" s="4" t="s">
        <v>6460</v>
      </c>
      <c r="L2115" s="4" t="s">
        <v>6461</v>
      </c>
      <c r="M2115" s="4" t="s">
        <v>6458</v>
      </c>
      <c r="N2115" s="4" t="s">
        <v>6462</v>
      </c>
      <c r="O2115" s="4" t="s">
        <v>6463</v>
      </c>
      <c r="P2115" s="4" t="s">
        <v>6464</v>
      </c>
    </row>
    <row r="2116">
      <c r="A2116" s="4">
        <v>158.0</v>
      </c>
      <c r="B2116" s="4" t="s">
        <v>8005</v>
      </c>
      <c r="C2116" s="4"/>
      <c r="D2116" s="4" t="s">
        <v>6465</v>
      </c>
      <c r="E2116" s="4" t="s">
        <v>6466</v>
      </c>
      <c r="F2116" s="4" t="s">
        <v>6465</v>
      </c>
      <c r="G2116" s="5" t="str">
        <f>IFERROR(__xludf.DUMMYFUNCTION("GOOGLETRANSLATE(D2116,""en"",""es"")"),"kish")</f>
        <v>kish</v>
      </c>
    </row>
    <row r="2117">
      <c r="A2117" s="4">
        <v>159.0</v>
      </c>
      <c r="B2117" s="4" t="s">
        <v>8005</v>
      </c>
      <c r="C2117" s="4"/>
      <c r="D2117" s="4" t="s">
        <v>6467</v>
      </c>
      <c r="E2117" s="4" t="s">
        <v>6468</v>
      </c>
      <c r="F2117" s="4" t="s">
        <v>6469</v>
      </c>
      <c r="G2117" s="5" t="str">
        <f>IFERROR(__xludf.DUMMYFUNCTION("GOOGLETRANSLATE(D2117,""en"",""es"")"),"Beso")</f>
        <v>Beso</v>
      </c>
      <c r="H2117" s="4" t="s">
        <v>6467</v>
      </c>
      <c r="I2117" s="4" t="s">
        <v>6470</v>
      </c>
      <c r="J2117" s="4" t="s">
        <v>6471</v>
      </c>
      <c r="K2117" s="4" t="s">
        <v>6467</v>
      </c>
      <c r="L2117" s="4" t="s">
        <v>6467</v>
      </c>
      <c r="M2117" s="4" t="s">
        <v>6472</v>
      </c>
      <c r="N2117" s="4" t="s">
        <v>6467</v>
      </c>
      <c r="O2117" s="4" t="s">
        <v>6473</v>
      </c>
      <c r="P2117" s="4" t="s">
        <v>6467</v>
      </c>
      <c r="Q2117" s="4" t="s">
        <v>6470</v>
      </c>
      <c r="R2117" s="4" t="s">
        <v>6474</v>
      </c>
      <c r="S2117" s="4" t="s">
        <v>6467</v>
      </c>
    </row>
    <row r="2118">
      <c r="A2118" s="4">
        <v>160.0</v>
      </c>
      <c r="B2118" s="4" t="s">
        <v>8005</v>
      </c>
      <c r="C2118" s="4"/>
      <c r="D2118" s="4" t="s">
        <v>6475</v>
      </c>
      <c r="E2118" s="4" t="s">
        <v>6476</v>
      </c>
      <c r="F2118" s="4" t="s">
        <v>6475</v>
      </c>
      <c r="G2118" s="5" t="str">
        <f>IFERROR(__xludf.DUMMYFUNCTION("GOOGLETRANSLATE(D2118,""en"",""es"")"),"kith")</f>
        <v>kith</v>
      </c>
      <c r="H2118" s="4" t="s">
        <v>6475</v>
      </c>
    </row>
    <row r="2119">
      <c r="A2119" s="4">
        <v>161.0</v>
      </c>
      <c r="B2119" s="4" t="s">
        <v>8005</v>
      </c>
      <c r="C2119" s="4"/>
      <c r="D2119" s="4" t="s">
        <v>2722</v>
      </c>
      <c r="E2119" s="4" t="s">
        <v>6477</v>
      </c>
      <c r="F2119" s="4" t="s">
        <v>6478</v>
      </c>
      <c r="G2119" s="5" t="str">
        <f>IFERROR(__xludf.DUMMYFUNCTION("GOOGLETRANSLATE(D2119,""en"",""es"")"),"gatito")</f>
        <v>gatito</v>
      </c>
      <c r="H2119" s="4" t="s">
        <v>6479</v>
      </c>
      <c r="I2119" s="4" t="s">
        <v>2722</v>
      </c>
      <c r="J2119" s="4" t="s">
        <v>1752</v>
      </c>
      <c r="K2119" s="4" t="s">
        <v>6480</v>
      </c>
      <c r="L2119" s="4" t="s">
        <v>2722</v>
      </c>
      <c r="M2119" s="4" t="s">
        <v>6481</v>
      </c>
      <c r="N2119" s="4" t="s">
        <v>2722</v>
      </c>
      <c r="O2119" s="4" t="s">
        <v>2722</v>
      </c>
      <c r="P2119" s="4" t="s">
        <v>2723</v>
      </c>
      <c r="Q2119" s="4" t="s">
        <v>2724</v>
      </c>
      <c r="R2119" s="4" t="s">
        <v>2725</v>
      </c>
      <c r="S2119" s="4" t="s">
        <v>2726</v>
      </c>
    </row>
    <row r="2120">
      <c r="A2120" s="4">
        <v>162.0</v>
      </c>
      <c r="B2120" s="4" t="s">
        <v>8005</v>
      </c>
      <c r="C2120" s="4"/>
      <c r="D2120" s="4" t="s">
        <v>2447</v>
      </c>
      <c r="E2120" s="4" t="s">
        <v>6482</v>
      </c>
      <c r="F2120" s="4" t="s">
        <v>6483</v>
      </c>
      <c r="G2120" s="5" t="str">
        <f>IFERROR(__xludf.DUMMYFUNCTION("GOOGLETRANSLATE(D2120,""en"",""es"")"),"maña")</f>
        <v>maña</v>
      </c>
      <c r="H2120" s="4" t="s">
        <v>2446</v>
      </c>
      <c r="I2120" s="4" t="s">
        <v>2447</v>
      </c>
      <c r="J2120" s="4" t="s">
        <v>2448</v>
      </c>
    </row>
    <row r="2121">
      <c r="A2121" s="4">
        <v>163.0</v>
      </c>
      <c r="B2121" s="4" t="s">
        <v>8005</v>
      </c>
      <c r="C2121" s="4"/>
      <c r="D2121" s="4" t="s">
        <v>6484</v>
      </c>
      <c r="E2121" s="4" t="s">
        <v>6485</v>
      </c>
      <c r="F2121" s="4" t="s">
        <v>2928</v>
      </c>
      <c r="G2121" s="5" t="str">
        <f>IFERROR(__xludf.DUMMYFUNCTION("GOOGLETRANSLATE(D2121,""en"",""es"")"),"mierda")</f>
        <v>mierda</v>
      </c>
      <c r="H2121" s="4" t="s">
        <v>6486</v>
      </c>
      <c r="I2121" s="4" t="s">
        <v>6484</v>
      </c>
      <c r="J2121" s="4" t="s">
        <v>2603</v>
      </c>
      <c r="K2121" s="4" t="s">
        <v>6484</v>
      </c>
      <c r="L2121" s="4" t="s">
        <v>944</v>
      </c>
      <c r="M2121" s="4" t="s">
        <v>6487</v>
      </c>
    </row>
    <row r="2122">
      <c r="A2122" s="4">
        <v>164.0</v>
      </c>
      <c r="B2122" s="4" t="s">
        <v>8005</v>
      </c>
      <c r="C2122" s="4"/>
      <c r="D2122" s="4" t="s">
        <v>6488</v>
      </c>
      <c r="E2122" s="4" t="s">
        <v>6086</v>
      </c>
      <c r="F2122" s="4" t="s">
        <v>1556</v>
      </c>
      <c r="G2122" s="5" t="str">
        <f>IFERROR(__xludf.DUMMYFUNCTION("GOOGLETRANSLATE(D2122,""en"",""es"")"),"gooky")</f>
        <v>gooky</v>
      </c>
      <c r="H2122" s="4" t="s">
        <v>6489</v>
      </c>
      <c r="I2122" s="4" t="s">
        <v>6490</v>
      </c>
      <c r="J2122" s="4" t="s">
        <v>6491</v>
      </c>
      <c r="K2122" s="4" t="s">
        <v>6492</v>
      </c>
      <c r="L2122" s="4" t="s">
        <v>6493</v>
      </c>
      <c r="M2122" s="4" t="s">
        <v>6494</v>
      </c>
      <c r="N2122" s="4" t="s">
        <v>6495</v>
      </c>
      <c r="O2122" s="4" t="s">
        <v>6496</v>
      </c>
      <c r="P2122" s="4" t="s">
        <v>6497</v>
      </c>
      <c r="Q2122" s="4" t="s">
        <v>6498</v>
      </c>
      <c r="R2122" s="4" t="s">
        <v>6499</v>
      </c>
      <c r="S2122" s="4" t="s">
        <v>6500</v>
      </c>
      <c r="T2122" s="4" t="s">
        <v>6488</v>
      </c>
      <c r="U2122" s="4" t="s">
        <v>6501</v>
      </c>
      <c r="V2122" s="4" t="s">
        <v>6502</v>
      </c>
      <c r="W2122" s="4" t="s">
        <v>6503</v>
      </c>
      <c r="X2122" s="4" t="s">
        <v>6504</v>
      </c>
      <c r="Y2122" s="4" t="s">
        <v>6505</v>
      </c>
      <c r="Z2122" s="4" t="s">
        <v>6506</v>
      </c>
      <c r="AA2122" s="4" t="s">
        <v>6507</v>
      </c>
      <c r="AB2122" s="4" t="s">
        <v>6508</v>
      </c>
      <c r="AC2122" s="4" t="s">
        <v>6509</v>
      </c>
      <c r="AD2122" s="4" t="s">
        <v>6510</v>
      </c>
    </row>
    <row r="2123">
      <c r="A2123" s="4">
        <v>165.0</v>
      </c>
      <c r="B2123" s="4" t="s">
        <v>8005</v>
      </c>
      <c r="C2123" s="4"/>
      <c r="D2123" s="4" t="s">
        <v>6099</v>
      </c>
      <c r="E2123" s="4" t="s">
        <v>6098</v>
      </c>
      <c r="F2123" s="4" t="s">
        <v>6099</v>
      </c>
      <c r="G2123" s="5" t="str">
        <f>IFERROR(__xludf.DUMMYFUNCTION("GOOGLETRANSLATE(D2123,""en"",""es"")"),"kush")</f>
        <v>kush</v>
      </c>
    </row>
    <row r="2124">
      <c r="A2124" s="4">
        <v>166.0</v>
      </c>
      <c r="B2124" s="4" t="s">
        <v>8005</v>
      </c>
      <c r="C2124" s="4"/>
      <c r="D2124" s="4" t="s">
        <v>6511</v>
      </c>
      <c r="E2124" s="4" t="s">
        <v>6512</v>
      </c>
      <c r="F2124" s="4" t="s">
        <v>6513</v>
      </c>
      <c r="G2124" s="5" t="str">
        <f>IFERROR(__xludf.DUMMYFUNCTION("GOOGLETRANSLATE(D2124,""en"",""es"")"),"Kylym")</f>
        <v>Kylym</v>
      </c>
    </row>
    <row r="2125">
      <c r="A2125" s="4">
        <v>167.0</v>
      </c>
      <c r="B2125" s="4" t="s">
        <v>8005</v>
      </c>
      <c r="C2125" s="4"/>
      <c r="D2125" s="4" t="s">
        <v>6514</v>
      </c>
      <c r="E2125" s="4" t="s">
        <v>6515</v>
      </c>
      <c r="F2125" s="4" t="s">
        <v>4831</v>
      </c>
      <c r="G2125" s="5" t="str">
        <f>IFERROR(__xludf.DUMMYFUNCTION("GOOGLETRANSLATE(D2125,""en"",""es"")"),"laca")</f>
        <v>laca</v>
      </c>
      <c r="H2125" s="4" t="s">
        <v>6514</v>
      </c>
    </row>
    <row r="2126">
      <c r="A2126" s="4">
        <v>168.0</v>
      </c>
      <c r="B2126" s="4" t="s">
        <v>8005</v>
      </c>
      <c r="C2126" s="4"/>
      <c r="D2126" s="4" t="s">
        <v>6514</v>
      </c>
      <c r="E2126" s="4" t="s">
        <v>6516</v>
      </c>
      <c r="F2126" s="4" t="s">
        <v>6517</v>
      </c>
      <c r="G2126" s="5" t="str">
        <f>IFERROR(__xludf.DUMMYFUNCTION("GOOGLETRANSLATE(D2126,""en"",""es"")"),"laca")</f>
        <v>laca</v>
      </c>
      <c r="H2126" s="4" t="s">
        <v>6514</v>
      </c>
    </row>
    <row r="2127">
      <c r="A2127" s="4">
        <v>169.0</v>
      </c>
      <c r="B2127" s="4" t="s">
        <v>8005</v>
      </c>
      <c r="C2127" s="4"/>
      <c r="D2127" s="4" t="s">
        <v>6518</v>
      </c>
      <c r="E2127" s="4" t="s">
        <v>6519</v>
      </c>
      <c r="F2127" s="4" t="s">
        <v>6520</v>
      </c>
      <c r="G2127" s="5" t="str">
        <f>IFERROR(__xludf.DUMMYFUNCTION("GOOGLETRANSLATE(D2127,""en"",""es"")"),"lacera")</f>
        <v>lacera</v>
      </c>
    </row>
    <row r="2128">
      <c r="A2128" s="4">
        <v>170.0</v>
      </c>
      <c r="B2128" s="4" t="s">
        <v>8005</v>
      </c>
      <c r="C2128" s="4"/>
      <c r="D2128" s="4" t="s">
        <v>6521</v>
      </c>
      <c r="E2128" s="4" t="s">
        <v>6522</v>
      </c>
      <c r="F2128" s="4" t="s">
        <v>6523</v>
      </c>
      <c r="G2128" s="5" t="str">
        <f>IFERROR(__xludf.DUMMYFUNCTION("GOOGLETRANSLATE(D2128,""en"",""es"")"),"Lachesis")</f>
        <v>Lachesis</v>
      </c>
      <c r="H2128" s="4" t="s">
        <v>6524</v>
      </c>
    </row>
    <row r="2129">
      <c r="A2129" s="4">
        <v>171.0</v>
      </c>
      <c r="B2129" s="4" t="s">
        <v>8005</v>
      </c>
      <c r="C2129" s="4"/>
      <c r="D2129" s="4" t="s">
        <v>6525</v>
      </c>
      <c r="E2129" s="4" t="s">
        <v>2019</v>
      </c>
      <c r="F2129" s="4" t="s">
        <v>2020</v>
      </c>
      <c r="G2129" s="5" t="str">
        <f>IFERROR(__xludf.DUMMYFUNCTION("GOOGLETRANSLATE(D2129,""en"",""es"")"),"lacis")</f>
        <v>lacis</v>
      </c>
    </row>
    <row r="2130">
      <c r="A2130" s="4">
        <v>172.0</v>
      </c>
      <c r="B2130" s="4" t="s">
        <v>8005</v>
      </c>
      <c r="C2130" s="4"/>
      <c r="D2130" s="4" t="s">
        <v>6526</v>
      </c>
      <c r="E2130" s="4" t="s">
        <v>4832</v>
      </c>
      <c r="F2130" s="4" t="s">
        <v>4831</v>
      </c>
      <c r="G2130" s="5" t="str">
        <f>IFERROR(__xludf.DUMMYFUNCTION("GOOGLETRANSLATE(D2130,""en"",""es"")"),"falta")</f>
        <v>falta</v>
      </c>
      <c r="H2130" s="4" t="s">
        <v>6526</v>
      </c>
      <c r="I2130" s="4" t="s">
        <v>6527</v>
      </c>
      <c r="J2130" s="4" t="s">
        <v>6528</v>
      </c>
      <c r="K2130" s="4" t="s">
        <v>2709</v>
      </c>
      <c r="L2130" s="4" t="s">
        <v>6526</v>
      </c>
    </row>
    <row r="2131">
      <c r="A2131" s="4">
        <v>173.0</v>
      </c>
      <c r="B2131" s="4" t="s">
        <v>8005</v>
      </c>
      <c r="C2131" s="4"/>
      <c r="D2131" s="4" t="s">
        <v>6529</v>
      </c>
      <c r="E2131" s="4" t="s">
        <v>6530</v>
      </c>
      <c r="F2131" s="4" t="s">
        <v>6531</v>
      </c>
      <c r="G2131" s="5" t="str">
        <f>IFERROR(__xludf.DUMMYFUNCTION("GOOGLETRANSLATE(D2131,""en"",""es"")"),"lacayo")</f>
        <v>lacayo</v>
      </c>
      <c r="H2131" s="4" t="s">
        <v>6529</v>
      </c>
      <c r="I2131" s="4" t="s">
        <v>6532</v>
      </c>
      <c r="J2131" s="4" t="s">
        <v>6533</v>
      </c>
      <c r="K2131" s="4" t="s">
        <v>6534</v>
      </c>
      <c r="L2131" s="4" t="s">
        <v>6535</v>
      </c>
      <c r="M2131" s="4" t="s">
        <v>6536</v>
      </c>
      <c r="N2131" s="4" t="s">
        <v>6529</v>
      </c>
      <c r="O2131" s="4" t="s">
        <v>6537</v>
      </c>
    </row>
    <row r="2132">
      <c r="A2132" s="4">
        <v>174.0</v>
      </c>
      <c r="B2132" s="4" t="s">
        <v>8005</v>
      </c>
      <c r="C2132" s="4"/>
      <c r="D2132" s="4" t="s">
        <v>2017</v>
      </c>
      <c r="E2132" s="4" t="s">
        <v>4888</v>
      </c>
      <c r="F2132" s="4" t="s">
        <v>2015</v>
      </c>
      <c r="G2132" s="5" t="str">
        <f>IFERROR(__xludf.DUMMYFUNCTION("GOOGLETRANSLATE(D2132,""en"",""es"")"),"llah")</f>
        <v>llah</v>
      </c>
      <c r="H2132" s="4" t="s">
        <v>2015</v>
      </c>
      <c r="I2132" s="4" t="s">
        <v>2017</v>
      </c>
    </row>
    <row r="2133">
      <c r="A2133" s="4">
        <v>175.0</v>
      </c>
      <c r="B2133" s="4" t="s">
        <v>8005</v>
      </c>
      <c r="C2133" s="4"/>
      <c r="D2133" s="4" t="s">
        <v>4836</v>
      </c>
      <c r="E2133" s="4" t="s">
        <v>6538</v>
      </c>
      <c r="F2133" s="4" t="s">
        <v>4836</v>
      </c>
      <c r="G2133" s="5" t="str">
        <f>IFERROR(__xludf.DUMMYFUNCTION("GOOGLETRANSLATE(D2133,""en"",""es"")"),"justicia")</f>
        <v>justicia</v>
      </c>
      <c r="H2133" s="4" t="s">
        <v>6539</v>
      </c>
      <c r="I2133" s="4" t="s">
        <v>4836</v>
      </c>
      <c r="J2133" s="4" t="s">
        <v>6540</v>
      </c>
      <c r="K2133" s="4" t="s">
        <v>646</v>
      </c>
      <c r="L2133" s="4" t="s">
        <v>6541</v>
      </c>
      <c r="M2133" s="4" t="s">
        <v>6542</v>
      </c>
      <c r="N2133" s="4" t="s">
        <v>4836</v>
      </c>
      <c r="O2133" s="4" t="s">
        <v>6543</v>
      </c>
      <c r="P2133" s="4" t="s">
        <v>6544</v>
      </c>
      <c r="Q2133" s="4" t="s">
        <v>6545</v>
      </c>
      <c r="R2133" s="4" t="s">
        <v>6546</v>
      </c>
      <c r="S2133" s="4" t="s">
        <v>6547</v>
      </c>
      <c r="T2133" s="4" t="s">
        <v>6548</v>
      </c>
      <c r="U2133" s="4" t="s">
        <v>6549</v>
      </c>
      <c r="V2133" s="4" t="s">
        <v>4306</v>
      </c>
      <c r="W2133" s="4" t="s">
        <v>6550</v>
      </c>
      <c r="X2133" s="4" t="s">
        <v>6551</v>
      </c>
      <c r="Y2133" s="4" t="s">
        <v>4836</v>
      </c>
      <c r="Z2133" s="4" t="s">
        <v>6552</v>
      </c>
    </row>
    <row r="2134">
      <c r="A2134" s="4">
        <v>176.0</v>
      </c>
      <c r="B2134" s="4" t="s">
        <v>8005</v>
      </c>
      <c r="C2134" s="4"/>
      <c r="D2134" s="4" t="s">
        <v>4678</v>
      </c>
      <c r="E2134" s="4" t="s">
        <v>6538</v>
      </c>
      <c r="F2134" s="4" t="s">
        <v>4836</v>
      </c>
      <c r="G2134" s="5" t="str">
        <f>IFERROR(__xludf.DUMMYFUNCTION("GOOGLETRANSLATE(D2134,""en"",""es"")"),"cordero")</f>
        <v>cordero</v>
      </c>
      <c r="H2134" s="4" t="s">
        <v>4678</v>
      </c>
      <c r="I2134" s="4" t="s">
        <v>6553</v>
      </c>
      <c r="J2134" s="4" t="s">
        <v>6554</v>
      </c>
      <c r="K2134" s="4" t="s">
        <v>6555</v>
      </c>
      <c r="L2134" s="4" t="s">
        <v>4678</v>
      </c>
      <c r="M2134" s="4" t="s">
        <v>4678</v>
      </c>
      <c r="N2134" s="4" t="s">
        <v>6556</v>
      </c>
      <c r="O2134" s="4" t="s">
        <v>4678</v>
      </c>
      <c r="P2134" s="4" t="s">
        <v>4678</v>
      </c>
    </row>
    <row r="2135">
      <c r="A2135" s="4">
        <v>177.0</v>
      </c>
      <c r="B2135" s="4" t="s">
        <v>8005</v>
      </c>
      <c r="C2135" s="4"/>
      <c r="D2135" s="4" t="s">
        <v>6557</v>
      </c>
      <c r="E2135" s="4" t="s">
        <v>6558</v>
      </c>
      <c r="F2135" s="4" t="s">
        <v>6557</v>
      </c>
      <c r="G2135" s="5" t="str">
        <f>IFERROR(__xludf.DUMMYFUNCTION("GOOGLETRANSLATE(D2135,""en"",""es"")"),"lan")</f>
        <v>lan</v>
      </c>
      <c r="H2135" s="4" t="s">
        <v>6559</v>
      </c>
      <c r="I2135" s="4" t="s">
        <v>6560</v>
      </c>
    </row>
    <row r="2136">
      <c r="A2136" s="4">
        <v>178.0</v>
      </c>
      <c r="B2136" s="4" t="s">
        <v>8005</v>
      </c>
      <c r="C2136" s="4"/>
      <c r="D2136" s="4" t="s">
        <v>4724</v>
      </c>
      <c r="E2136" s="4" t="s">
        <v>6561</v>
      </c>
      <c r="F2136" s="4" t="s">
        <v>4724</v>
      </c>
      <c r="G2136" s="5" t="str">
        <f>IFERROR(__xludf.DUMMYFUNCTION("GOOGLETRANSLATE(D2136,""en"",""es"")"),"vuelta")</f>
        <v>vuelta</v>
      </c>
      <c r="H2136" s="4" t="s">
        <v>4724</v>
      </c>
      <c r="I2136" s="4" t="s">
        <v>4724</v>
      </c>
      <c r="J2136" s="4" t="s">
        <v>4724</v>
      </c>
      <c r="K2136" s="4" t="s">
        <v>6562</v>
      </c>
      <c r="L2136" s="4" t="s">
        <v>4724</v>
      </c>
      <c r="M2136" s="4" t="s">
        <v>6563</v>
      </c>
      <c r="N2136" s="4" t="s">
        <v>4724</v>
      </c>
      <c r="O2136" s="4" t="s">
        <v>6564</v>
      </c>
      <c r="P2136" s="4" t="s">
        <v>6565</v>
      </c>
      <c r="Q2136" s="4" t="s">
        <v>6566</v>
      </c>
      <c r="R2136" s="4" t="s">
        <v>4724</v>
      </c>
      <c r="S2136" s="4" t="s">
        <v>4724</v>
      </c>
      <c r="T2136" s="4" t="s">
        <v>6566</v>
      </c>
      <c r="U2136" s="4" t="s">
        <v>4724</v>
      </c>
      <c r="V2136" s="4" t="s">
        <v>4724</v>
      </c>
      <c r="W2136" s="4" t="s">
        <v>4725</v>
      </c>
      <c r="X2136" s="4" t="s">
        <v>4726</v>
      </c>
      <c r="Y2136" s="4" t="s">
        <v>4727</v>
      </c>
      <c r="Z2136" s="4" t="s">
        <v>4724</v>
      </c>
      <c r="AA2136" s="4" t="s">
        <v>6567</v>
      </c>
      <c r="AB2136" s="4" t="s">
        <v>6566</v>
      </c>
      <c r="AC2136" s="4" t="s">
        <v>6568</v>
      </c>
      <c r="AD2136" s="4" t="s">
        <v>4724</v>
      </c>
      <c r="AE2136" s="4" t="s">
        <v>2800</v>
      </c>
    </row>
    <row r="2137">
      <c r="A2137" s="4">
        <v>179.0</v>
      </c>
      <c r="B2137" s="4" t="s">
        <v>8005</v>
      </c>
      <c r="C2137" s="4"/>
      <c r="D2137" s="4" t="s">
        <v>6569</v>
      </c>
      <c r="E2137" s="4" t="s">
        <v>6570</v>
      </c>
      <c r="F2137" s="4" t="s">
        <v>6569</v>
      </c>
      <c r="G2137" s="5" t="str">
        <f>IFERROR(__xludf.DUMMYFUNCTION("GOOGLETRANSLATE(D2137,""en"",""es"")"),"lapis")</f>
        <v>lapis</v>
      </c>
    </row>
    <row r="2138">
      <c r="A2138" s="4">
        <v>180.0</v>
      </c>
      <c r="B2138" s="4" t="s">
        <v>8005</v>
      </c>
      <c r="C2138" s="4"/>
      <c r="D2138" s="4" t="s">
        <v>6520</v>
      </c>
      <c r="E2138" s="4" t="s">
        <v>6519</v>
      </c>
      <c r="F2138" s="4" t="s">
        <v>6520</v>
      </c>
      <c r="G2138" s="5" t="str">
        <f>IFERROR(__xludf.DUMMYFUNCTION("GOOGLETRANSLATE(D2138,""en"",""es"")"),"latigazo")</f>
        <v>latigazo</v>
      </c>
      <c r="H2138" s="4" t="s">
        <v>6571</v>
      </c>
      <c r="I2138" s="4" t="s">
        <v>6520</v>
      </c>
      <c r="J2138" s="4" t="s">
        <v>6572</v>
      </c>
      <c r="K2138" s="4" t="s">
        <v>6520</v>
      </c>
      <c r="L2138" s="4" t="s">
        <v>6573</v>
      </c>
      <c r="M2138" s="4" t="s">
        <v>6574</v>
      </c>
      <c r="N2138" s="4" t="s">
        <v>6520</v>
      </c>
      <c r="O2138" s="4" t="s">
        <v>6575</v>
      </c>
      <c r="P2138" s="4" t="s">
        <v>6576</v>
      </c>
      <c r="Q2138" s="4" t="s">
        <v>6577</v>
      </c>
      <c r="R2138" s="4" t="s">
        <v>6574</v>
      </c>
      <c r="S2138" s="4" t="s">
        <v>6578</v>
      </c>
      <c r="T2138" s="4" t="s">
        <v>6520</v>
      </c>
      <c r="U2138" s="4" t="s">
        <v>4283</v>
      </c>
      <c r="V2138" s="4" t="s">
        <v>6579</v>
      </c>
      <c r="W2138" s="4" t="s">
        <v>6580</v>
      </c>
      <c r="X2138" s="4" t="s">
        <v>6520</v>
      </c>
      <c r="Y2138" s="4" t="s">
        <v>6574</v>
      </c>
      <c r="Z2138" s="4" t="s">
        <v>6520</v>
      </c>
      <c r="AA2138" s="4" t="s">
        <v>6520</v>
      </c>
    </row>
    <row r="2139">
      <c r="A2139" s="4">
        <v>181.0</v>
      </c>
      <c r="B2139" s="4" t="s">
        <v>8005</v>
      </c>
      <c r="C2139" s="4"/>
      <c r="D2139" s="4" t="s">
        <v>6581</v>
      </c>
      <c r="E2139" s="4" t="s">
        <v>6516</v>
      </c>
      <c r="F2139" s="4" t="s">
        <v>6517</v>
      </c>
      <c r="G2139" s="5" t="str">
        <f>IFERROR(__xludf.DUMMYFUNCTION("GOOGLETRANSLATE(D2139,""en"",""es"")"),"muchacha")</f>
        <v>muchacha</v>
      </c>
      <c r="H2139" s="4" t="s">
        <v>6581</v>
      </c>
      <c r="I2139" s="4" t="s">
        <v>6582</v>
      </c>
      <c r="J2139" s="4" t="s">
        <v>6583</v>
      </c>
      <c r="K2139" s="4" t="s">
        <v>6584</v>
      </c>
    </row>
    <row r="2140">
      <c r="A2140" s="4">
        <v>182.0</v>
      </c>
      <c r="B2140" s="4" t="s">
        <v>8005</v>
      </c>
      <c r="C2140" s="4"/>
      <c r="D2140" s="4" t="s">
        <v>6585</v>
      </c>
      <c r="E2140" s="4" t="s">
        <v>6586</v>
      </c>
      <c r="F2140" s="4" t="s">
        <v>2020</v>
      </c>
      <c r="G2140" s="5" t="str">
        <f>IFERROR(__xludf.DUMMYFUNCTION("GOOGLETRANSLATE(D2140,""en"",""es"")"),"lassi")</f>
        <v>lassi</v>
      </c>
    </row>
    <row r="2141">
      <c r="A2141" s="4">
        <v>183.0</v>
      </c>
      <c r="B2141" s="4" t="s">
        <v>8005</v>
      </c>
      <c r="C2141" s="4"/>
      <c r="D2141" s="4" t="s">
        <v>6582</v>
      </c>
      <c r="E2141" s="4" t="s">
        <v>6586</v>
      </c>
      <c r="F2141" s="4" t="s">
        <v>2020</v>
      </c>
      <c r="G2141" s="5" t="str">
        <f>IFERROR(__xludf.DUMMYFUNCTION("GOOGLETRANSLATE(D2141,""en"",""es"")"),"muchacha")</f>
        <v>muchacha</v>
      </c>
      <c r="H2141" s="4" t="s">
        <v>6581</v>
      </c>
      <c r="I2141" s="4" t="s">
        <v>6582</v>
      </c>
      <c r="J2141" s="4" t="s">
        <v>6583</v>
      </c>
      <c r="K2141" s="4" t="s">
        <v>6584</v>
      </c>
    </row>
    <row r="2142">
      <c r="A2142" s="4">
        <v>184.0</v>
      </c>
      <c r="B2142" s="4" t="s">
        <v>8005</v>
      </c>
      <c r="C2142" s="4"/>
      <c r="D2142" s="4" t="s">
        <v>6587</v>
      </c>
      <c r="E2142" s="4" t="s">
        <v>6588</v>
      </c>
      <c r="F2142" s="4" t="s">
        <v>6587</v>
      </c>
      <c r="G2142" s="5" t="str">
        <f>IFERROR(__xludf.DUMMYFUNCTION("GOOGLETRANSLATE(D2142,""en"",""es"")"),"listón")</f>
        <v>listón</v>
      </c>
      <c r="H2142" s="4" t="s">
        <v>6587</v>
      </c>
    </row>
    <row r="2143">
      <c r="A2143" s="4">
        <v>185.0</v>
      </c>
      <c r="B2143" s="4" t="s">
        <v>8005</v>
      </c>
      <c r="C2143" s="4"/>
      <c r="D2143" s="4" t="s">
        <v>6589</v>
      </c>
      <c r="E2143" s="4" t="s">
        <v>6590</v>
      </c>
      <c r="F2143" s="4" t="s">
        <v>6589</v>
      </c>
      <c r="G2143" s="5" t="str">
        <f>IFERROR(__xludf.DUMMYFUNCTION("GOOGLETRANSLATE(D2143,""en"",""es"")"),"latín")</f>
        <v>latín</v>
      </c>
      <c r="H2143" s="4" t="s">
        <v>2141</v>
      </c>
      <c r="I2143" s="4" t="s">
        <v>2141</v>
      </c>
      <c r="J2143" s="4" t="s">
        <v>2141</v>
      </c>
      <c r="K2143" s="4" t="s">
        <v>2141</v>
      </c>
      <c r="L2143" s="4" t="s">
        <v>2141</v>
      </c>
      <c r="M2143" s="4" t="s">
        <v>6591</v>
      </c>
      <c r="N2143" s="4" t="s">
        <v>2141</v>
      </c>
      <c r="O2143" s="4" t="s">
        <v>2141</v>
      </c>
    </row>
    <row r="2144">
      <c r="A2144" s="4">
        <v>186.0</v>
      </c>
      <c r="B2144" s="4" t="s">
        <v>8005</v>
      </c>
      <c r="C2144" s="4"/>
      <c r="D2144" s="4" t="s">
        <v>6592</v>
      </c>
      <c r="E2144" s="4" t="s">
        <v>6593</v>
      </c>
      <c r="F2144" s="4" t="s">
        <v>6594</v>
      </c>
      <c r="G2144" s="5" t="str">
        <f>IFERROR(__xludf.DUMMYFUNCTION("GOOGLETRANSLATE(D2144,""en"",""es"")"),"enrejado")</f>
        <v>enrejado</v>
      </c>
      <c r="H2144" s="4" t="s">
        <v>6592</v>
      </c>
      <c r="I2144" s="4" t="s">
        <v>6595</v>
      </c>
      <c r="J2144" s="4" t="s">
        <v>6592</v>
      </c>
      <c r="K2144" s="4" t="s">
        <v>6596</v>
      </c>
      <c r="L2144" s="4" t="s">
        <v>6592</v>
      </c>
      <c r="M2144" s="4" t="s">
        <v>6597</v>
      </c>
      <c r="N2144" s="4" t="s">
        <v>6598</v>
      </c>
    </row>
    <row r="2145">
      <c r="A2145" s="4">
        <v>187.0</v>
      </c>
      <c r="B2145" s="4" t="s">
        <v>8005</v>
      </c>
      <c r="C2145" s="4"/>
      <c r="D2145" s="4" t="s">
        <v>6566</v>
      </c>
      <c r="E2145" s="4" t="s">
        <v>6599</v>
      </c>
      <c r="F2145" s="4" t="s">
        <v>6600</v>
      </c>
      <c r="G2145" s="5" t="str">
        <f>IFERROR(__xludf.DUMMYFUNCTION("GOOGLETRANSLATE(D2145,""en"",""es"")"),"lamer")</f>
        <v>lamer</v>
      </c>
      <c r="H2145" s="4" t="s">
        <v>6601</v>
      </c>
      <c r="I2145" s="4" t="s">
        <v>6566</v>
      </c>
      <c r="J2145" s="4" t="s">
        <v>6566</v>
      </c>
      <c r="K2145" s="4" t="s">
        <v>4724</v>
      </c>
      <c r="L2145" s="4" t="s">
        <v>3498</v>
      </c>
      <c r="M2145" s="4" t="s">
        <v>6602</v>
      </c>
      <c r="N2145" s="4" t="s">
        <v>3489</v>
      </c>
      <c r="O2145" s="4" t="s">
        <v>6566</v>
      </c>
      <c r="P2145" s="4" t="s">
        <v>6603</v>
      </c>
      <c r="Q2145" s="4" t="s">
        <v>2170</v>
      </c>
      <c r="R2145" s="4" t="s">
        <v>2937</v>
      </c>
      <c r="S2145" s="4" t="s">
        <v>6604</v>
      </c>
      <c r="T2145" s="4" t="s">
        <v>6605</v>
      </c>
      <c r="U2145" s="4" t="s">
        <v>6606</v>
      </c>
      <c r="V2145" s="4" t="s">
        <v>6550</v>
      </c>
      <c r="W2145" s="4" t="s">
        <v>6566</v>
      </c>
      <c r="X2145" s="4" t="s">
        <v>6566</v>
      </c>
      <c r="Y2145" s="4" t="s">
        <v>4724</v>
      </c>
      <c r="Z2145" s="4" t="s">
        <v>6607</v>
      </c>
      <c r="AA2145" s="4" t="s">
        <v>6608</v>
      </c>
      <c r="AB2145" s="4" t="s">
        <v>6609</v>
      </c>
      <c r="AC2145" s="4" t="s">
        <v>6610</v>
      </c>
      <c r="AD2145" s="4" t="s">
        <v>6566</v>
      </c>
      <c r="AE2145" s="4" t="s">
        <v>6611</v>
      </c>
      <c r="AF2145" s="4" t="s">
        <v>4724</v>
      </c>
      <c r="AG2145" s="4" t="s">
        <v>6567</v>
      </c>
      <c r="AH2145" s="4" t="s">
        <v>6566</v>
      </c>
    </row>
    <row r="2146">
      <c r="A2146" s="4">
        <v>188.0</v>
      </c>
      <c r="B2146" s="4" t="s">
        <v>8005</v>
      </c>
      <c r="C2146" s="4"/>
      <c r="D2146" s="4" t="s">
        <v>6612</v>
      </c>
      <c r="E2146" s="4" t="s">
        <v>6613</v>
      </c>
      <c r="F2146" s="4" t="s">
        <v>6614</v>
      </c>
      <c r="G2146" s="5" t="str">
        <f>IFERROR(__xludf.DUMMYFUNCTION("GOOGLETRANSLATE(D2146,""en"",""es"")"),"lamer")</f>
        <v>lamer</v>
      </c>
    </row>
    <row r="2147">
      <c r="A2147" s="4">
        <v>189.0</v>
      </c>
      <c r="B2147" s="4" t="s">
        <v>8005</v>
      </c>
      <c r="C2147" s="4"/>
      <c r="D2147" s="4" t="s">
        <v>6615</v>
      </c>
      <c r="E2147" s="4" t="s">
        <v>6616</v>
      </c>
      <c r="F2147" s="4" t="s">
        <v>6615</v>
      </c>
      <c r="G2147" s="5" t="str">
        <f>IFERROR(__xludf.DUMMYFUNCTION("GOOGLETRANSLATE(D2147,""en"",""es"")"),"pequeño")</f>
        <v>pequeño</v>
      </c>
    </row>
    <row r="2148">
      <c r="A2148" s="4">
        <v>190.0</v>
      </c>
      <c r="B2148" s="4" t="s">
        <v>8005</v>
      </c>
      <c r="C2148" s="4"/>
      <c r="D2148" s="4" t="s">
        <v>6617</v>
      </c>
      <c r="E2148" s="4" t="s">
        <v>6616</v>
      </c>
      <c r="F2148" s="4" t="s">
        <v>6615</v>
      </c>
      <c r="G2148" s="5" t="str">
        <f>IFERROR(__xludf.DUMMYFUNCTION("GOOGLETRANSLATE(D2148,""en"",""es"")"),"lirio")</f>
        <v>lirio</v>
      </c>
    </row>
    <row r="2149">
      <c r="A2149" s="4">
        <v>191.0</v>
      </c>
      <c r="B2149" s="4" t="s">
        <v>8005</v>
      </c>
      <c r="C2149" s="4"/>
      <c r="D2149" s="4" t="s">
        <v>6618</v>
      </c>
      <c r="E2149" s="4" t="s">
        <v>6619</v>
      </c>
      <c r="F2149" s="4" t="s">
        <v>6620</v>
      </c>
      <c r="G2149" s="5" t="str">
        <f>IFERROR(__xludf.DUMMYFUNCTION("GOOGLETRANSLATE(D2149,""en"",""es"")"),"lirio")</f>
        <v>lirio</v>
      </c>
      <c r="H2149" s="4" t="s">
        <v>6618</v>
      </c>
    </row>
    <row r="2150">
      <c r="A2150" s="4">
        <v>192.0</v>
      </c>
      <c r="B2150" s="4" t="s">
        <v>8005</v>
      </c>
      <c r="C2150" s="4"/>
      <c r="D2150" s="4" t="s">
        <v>6621</v>
      </c>
      <c r="E2150" s="4" t="s">
        <v>6622</v>
      </c>
      <c r="F2150" s="4" t="s">
        <v>6623</v>
      </c>
      <c r="G2150" s="5" t="str">
        <f>IFERROR(__xludf.DUMMYFUNCTION("GOOGLETRANSLATE(D2150,""en"",""es"")"),"miembro")</f>
        <v>miembro</v>
      </c>
      <c r="H2150" s="4" t="s">
        <v>6621</v>
      </c>
      <c r="I2150" s="4" t="s">
        <v>6621</v>
      </c>
      <c r="J2150" s="4" t="s">
        <v>6624</v>
      </c>
      <c r="K2150" s="4" t="s">
        <v>6621</v>
      </c>
      <c r="L2150" s="4" t="s">
        <v>6621</v>
      </c>
      <c r="M2150" s="4" t="s">
        <v>6621</v>
      </c>
      <c r="N2150" s="4" t="s">
        <v>6625</v>
      </c>
      <c r="O2150" s="4" t="s">
        <v>6626</v>
      </c>
      <c r="P2150" s="4" t="s">
        <v>6621</v>
      </c>
    </row>
    <row r="2151">
      <c r="A2151" s="4">
        <v>193.0</v>
      </c>
      <c r="B2151" s="4" t="s">
        <v>8005</v>
      </c>
      <c r="C2151" s="4"/>
      <c r="D2151" s="4" t="s">
        <v>6627</v>
      </c>
      <c r="E2151" s="4" t="s">
        <v>6628</v>
      </c>
      <c r="F2151" s="4" t="s">
        <v>6629</v>
      </c>
      <c r="G2151" s="5" t="str">
        <f>IFERROR(__xludf.DUMMYFUNCTION("GOOGLETRANSLATE(D2151,""en"",""es"")"),"flojo")</f>
        <v>flojo</v>
      </c>
    </row>
    <row r="2152">
      <c r="A2152" s="4">
        <v>194.0</v>
      </c>
      <c r="B2152" s="4" t="s">
        <v>8005</v>
      </c>
      <c r="C2152" s="4"/>
      <c r="D2152" s="4" t="s">
        <v>6630</v>
      </c>
      <c r="E2152" s="4" t="s">
        <v>6622</v>
      </c>
      <c r="F2152" s="4" t="s">
        <v>6623</v>
      </c>
      <c r="G2152" s="5" t="str">
        <f>IFERROR(__xludf.DUMMYFUNCTION("GOOGLETRANSLATE(D2152,""en"",""es"")"),"manuscrito iluminado")</f>
        <v>manuscrito iluminado</v>
      </c>
      <c r="H2152" s="4" t="s">
        <v>6631</v>
      </c>
      <c r="I2152" s="4" t="s">
        <v>6630</v>
      </c>
      <c r="J2152" s="4" t="s">
        <v>6632</v>
      </c>
      <c r="K2152" s="4" t="s">
        <v>6633</v>
      </c>
      <c r="L2152" s="4" t="s">
        <v>6634</v>
      </c>
      <c r="M2152" s="4" t="s">
        <v>6630</v>
      </c>
    </row>
    <row r="2153">
      <c r="A2153" s="4">
        <v>195.0</v>
      </c>
      <c r="B2153" s="4" t="s">
        <v>8005</v>
      </c>
      <c r="C2153" s="4"/>
      <c r="D2153" s="4" t="s">
        <v>6635</v>
      </c>
      <c r="E2153" s="4" t="s">
        <v>6636</v>
      </c>
      <c r="F2153" s="4" t="s">
        <v>6635</v>
      </c>
      <c r="G2153" s="5" t="str">
        <f>IFERROR(__xludf.DUMMYFUNCTION("GOOGLETRANSLATE(D2153,""en"",""es"")"),"lin")</f>
        <v>lin</v>
      </c>
      <c r="H2153" s="4" t="s">
        <v>6637</v>
      </c>
      <c r="I2153" s="4" t="s">
        <v>6638</v>
      </c>
    </row>
    <row r="2154">
      <c r="A2154" s="4">
        <v>196.0</v>
      </c>
      <c r="B2154" s="4" t="s">
        <v>8005</v>
      </c>
      <c r="C2154" s="4"/>
      <c r="D2154" s="4" t="s">
        <v>6639</v>
      </c>
      <c r="E2154" s="4" t="s">
        <v>6640</v>
      </c>
      <c r="F2154" s="4" t="s">
        <v>6641</v>
      </c>
      <c r="G2154" s="5" t="str">
        <f>IFERROR(__xludf.DUMMYFUNCTION("GOOGLETRANSLATE(D2154,""en"",""es"")"),"lina")</f>
        <v>lina</v>
      </c>
      <c r="H2154" s="4" t="s">
        <v>6642</v>
      </c>
      <c r="I2154" s="4" t="s">
        <v>6639</v>
      </c>
    </row>
    <row r="2155">
      <c r="A2155" s="4">
        <v>197.0</v>
      </c>
      <c r="B2155" s="4" t="s">
        <v>8005</v>
      </c>
      <c r="C2155" s="4"/>
      <c r="D2155" s="4" t="s">
        <v>6643</v>
      </c>
      <c r="E2155" s="4" t="s">
        <v>6644</v>
      </c>
      <c r="F2155" s="4" t="s">
        <v>6645</v>
      </c>
      <c r="G2155" s="5" t="str">
        <f>IFERROR(__xludf.DUMMYFUNCTION("GOOGLETRANSLATE(D2155,""en"",""es"")"),"lino")</f>
        <v>lino</v>
      </c>
      <c r="H2155" s="4" t="s">
        <v>6643</v>
      </c>
      <c r="I2155" s="4" t="s">
        <v>6643</v>
      </c>
      <c r="J2155" s="4" t="s">
        <v>6646</v>
      </c>
      <c r="K2155" s="4" t="s">
        <v>6643</v>
      </c>
    </row>
    <row r="2156">
      <c r="A2156" s="4">
        <v>198.0</v>
      </c>
      <c r="B2156" s="4" t="s">
        <v>8005</v>
      </c>
      <c r="C2156" s="4"/>
      <c r="D2156" s="4" t="s">
        <v>6647</v>
      </c>
      <c r="E2156" s="4" t="s">
        <v>6648</v>
      </c>
      <c r="F2156" s="4" t="s">
        <v>5282</v>
      </c>
      <c r="G2156" s="5" t="str">
        <f>IFERROR(__xludf.DUMMYFUNCTION("GOOGLETRANSLATE(D2156,""en"",""es"")"),"linhay")</f>
        <v>linhay</v>
      </c>
    </row>
    <row r="2157">
      <c r="A2157" s="4">
        <v>199.0</v>
      </c>
      <c r="B2157" s="4" t="s">
        <v>8005</v>
      </c>
      <c r="C2157" s="4"/>
      <c r="D2157" s="4" t="s">
        <v>6649</v>
      </c>
      <c r="E2157" s="4" t="s">
        <v>6636</v>
      </c>
      <c r="F2157" s="4" t="s">
        <v>6635</v>
      </c>
      <c r="G2157" s="5" t="str">
        <f>IFERROR(__xludf.DUMMYFUNCTION("GOOGLETRANSLATE(D2157,""en"",""es"")"),"linn")</f>
        <v>linn</v>
      </c>
    </row>
    <row r="2158">
      <c r="A2158" s="4">
        <v>200.0</v>
      </c>
      <c r="B2158" s="4" t="s">
        <v>8005</v>
      </c>
      <c r="C2158" s="4"/>
      <c r="D2158" s="4" t="s">
        <v>6650</v>
      </c>
      <c r="E2158" s="4" t="s">
        <v>6651</v>
      </c>
      <c r="F2158" s="4" t="s">
        <v>6650</v>
      </c>
      <c r="G2158" s="5" t="str">
        <f>IFERROR(__xludf.DUMMYFUNCTION("GOOGLETRANSLATE(D2158,""en"",""es"")"),"labio")</f>
        <v>labio</v>
      </c>
      <c r="H2158" s="4" t="s">
        <v>6650</v>
      </c>
      <c r="I2158" s="4" t="s">
        <v>6650</v>
      </c>
      <c r="J2158" s="4" t="s">
        <v>6652</v>
      </c>
      <c r="K2158" s="4" t="s">
        <v>6653</v>
      </c>
      <c r="L2158" s="4" t="s">
        <v>6654</v>
      </c>
      <c r="M2158" s="4" t="s">
        <v>6655</v>
      </c>
      <c r="N2158" s="4" t="s">
        <v>6650</v>
      </c>
      <c r="O2158" s="4" t="s">
        <v>6656</v>
      </c>
      <c r="P2158" s="4" t="s">
        <v>6657</v>
      </c>
      <c r="Q2158" s="4" t="s">
        <v>6658</v>
      </c>
      <c r="R2158" s="4" t="s">
        <v>6650</v>
      </c>
      <c r="S2158" s="4" t="s">
        <v>6650</v>
      </c>
    </row>
    <row r="2159">
      <c r="A2159" s="4">
        <v>201.0</v>
      </c>
      <c r="B2159" s="4" t="s">
        <v>8005</v>
      </c>
      <c r="C2159" s="4"/>
      <c r="D2159" s="4" t="s">
        <v>6659</v>
      </c>
      <c r="E2159" s="4" t="s">
        <v>6660</v>
      </c>
      <c r="F2159" s="4" t="s">
        <v>6661</v>
      </c>
      <c r="G2159" s="5" t="str">
        <f>IFERROR(__xludf.DUMMYFUNCTION("GOOGLETRANSLATE(D2159,""en"",""es"")"),"lippy")</f>
        <v>lippy</v>
      </c>
    </row>
    <row r="2160">
      <c r="A2160" s="4">
        <v>202.0</v>
      </c>
      <c r="B2160" s="4" t="s">
        <v>8005</v>
      </c>
      <c r="C2160" s="4"/>
      <c r="D2160" s="4" t="s">
        <v>6662</v>
      </c>
      <c r="E2160" s="4" t="s">
        <v>6663</v>
      </c>
      <c r="F2160" s="4" t="s">
        <v>6662</v>
      </c>
      <c r="G2160" s="5" t="str">
        <f>IFERROR(__xludf.DUMMYFUNCTION("GOOGLETRANSLATE(D2160,""en"",""es"")"),"litas")</f>
        <v>litas</v>
      </c>
      <c r="H2160" s="4" t="s">
        <v>6662</v>
      </c>
    </row>
    <row r="2161">
      <c r="A2161" s="4">
        <v>203.0</v>
      </c>
      <c r="B2161" s="4" t="s">
        <v>8005</v>
      </c>
      <c r="C2161" s="4"/>
      <c r="D2161" s="4" t="s">
        <v>6664</v>
      </c>
      <c r="E2161" s="4" t="s">
        <v>6665</v>
      </c>
      <c r="F2161" s="4" t="s">
        <v>6664</v>
      </c>
      <c r="G2161" s="5" t="str">
        <f>IFERROR(__xludf.DUMMYFUNCTION("GOOGLETRANSLATE(D2161,""en"",""es"")"),"lith")</f>
        <v>lith</v>
      </c>
    </row>
    <row r="2162">
      <c r="A2162" s="4">
        <v>204.0</v>
      </c>
      <c r="B2162" s="4" t="s">
        <v>8005</v>
      </c>
      <c r="C2162" s="4"/>
      <c r="D2162" s="4" t="s">
        <v>6666</v>
      </c>
      <c r="E2162" s="4" t="s">
        <v>6667</v>
      </c>
      <c r="F2162" s="4" t="s">
        <v>6668</v>
      </c>
      <c r="G2162" s="5" t="str">
        <f>IFERROR(__xludf.DUMMYFUNCTION("GOOGLETRANSLATE(D2162,""en"",""es"")"),"lítico")</f>
        <v>lítico</v>
      </c>
      <c r="H2162" s="4" t="s">
        <v>6666</v>
      </c>
      <c r="I2162" s="4" t="s">
        <v>6666</v>
      </c>
    </row>
    <row r="2163">
      <c r="A2163" s="4">
        <v>205.0</v>
      </c>
      <c r="B2163" s="4" t="s">
        <v>8005</v>
      </c>
      <c r="C2163" s="4"/>
      <c r="D2163" s="4" t="s">
        <v>6669</v>
      </c>
      <c r="E2163" s="4" t="s">
        <v>6670</v>
      </c>
      <c r="F2163" s="4" t="s">
        <v>6671</v>
      </c>
      <c r="G2163" s="5" t="str">
        <f>IFERROR(__xludf.DUMMYFUNCTION("GOOGLETRANSLATE(D2163,""en"",""es"")"),"Mira")</f>
        <v>Mira</v>
      </c>
      <c r="H2163" s="4" t="s">
        <v>6672</v>
      </c>
      <c r="I2163" s="4" t="s">
        <v>6669</v>
      </c>
      <c r="J2163" s="4" t="s">
        <v>2587</v>
      </c>
      <c r="K2163" s="4" t="s">
        <v>6673</v>
      </c>
      <c r="L2163" s="4" t="s">
        <v>1310</v>
      </c>
      <c r="M2163" s="4" t="s">
        <v>6669</v>
      </c>
      <c r="N2163" s="4" t="s">
        <v>6674</v>
      </c>
      <c r="O2163" s="4" t="s">
        <v>6675</v>
      </c>
      <c r="P2163" s="4" t="s">
        <v>6669</v>
      </c>
      <c r="Q2163" s="4" t="s">
        <v>4751</v>
      </c>
      <c r="R2163" s="4" t="s">
        <v>6676</v>
      </c>
      <c r="S2163" s="4" t="s">
        <v>3005</v>
      </c>
      <c r="T2163" s="4" t="s">
        <v>6677</v>
      </c>
      <c r="U2163" s="4" t="s">
        <v>6678</v>
      </c>
      <c r="V2163" s="4" t="s">
        <v>6679</v>
      </c>
      <c r="W2163" s="4" t="s">
        <v>6669</v>
      </c>
      <c r="X2163" s="4" t="s">
        <v>3109</v>
      </c>
      <c r="Y2163" s="4" t="s">
        <v>6669</v>
      </c>
      <c r="Z2163" s="4" t="s">
        <v>6669</v>
      </c>
      <c r="AA2163" s="4" t="s">
        <v>6680</v>
      </c>
      <c r="AB2163" s="4" t="s">
        <v>6681</v>
      </c>
      <c r="AC2163" s="4" t="s">
        <v>6669</v>
      </c>
      <c r="AD2163" s="4" t="s">
        <v>6682</v>
      </c>
      <c r="AE2163" s="4" t="s">
        <v>6669</v>
      </c>
      <c r="AF2163" s="4" t="s">
        <v>6683</v>
      </c>
      <c r="AG2163" s="4" t="s">
        <v>6669</v>
      </c>
      <c r="AH2163" s="4" t="s">
        <v>1310</v>
      </c>
      <c r="AI2163" s="4" t="s">
        <v>6684</v>
      </c>
      <c r="AJ2163" s="4" t="s">
        <v>6685</v>
      </c>
      <c r="AK2163" s="4" t="s">
        <v>6669</v>
      </c>
      <c r="AL2163" s="4" t="s">
        <v>6686</v>
      </c>
      <c r="AM2163" s="4" t="s">
        <v>6669</v>
      </c>
      <c r="AN2163" s="4" t="s">
        <v>6687</v>
      </c>
      <c r="AO2163" s="4" t="s">
        <v>6669</v>
      </c>
      <c r="AP2163" s="4" t="s">
        <v>6688</v>
      </c>
      <c r="AQ2163" s="4" t="s">
        <v>6689</v>
      </c>
      <c r="AR2163" s="4" t="s">
        <v>6669</v>
      </c>
      <c r="AS2163" s="4" t="s">
        <v>6690</v>
      </c>
      <c r="AT2163" s="4" t="s">
        <v>6691</v>
      </c>
      <c r="AU2163" s="4" t="s">
        <v>6692</v>
      </c>
      <c r="AV2163" s="4" t="s">
        <v>6669</v>
      </c>
      <c r="AW2163" s="4" t="s">
        <v>6693</v>
      </c>
      <c r="AX2163" s="4" t="s">
        <v>6694</v>
      </c>
    </row>
    <row r="2164">
      <c r="A2164" s="4">
        <v>206.0</v>
      </c>
      <c r="B2164" s="4" t="s">
        <v>8005</v>
      </c>
      <c r="C2164" s="4"/>
      <c r="D2164" s="4" t="s">
        <v>6695</v>
      </c>
      <c r="E2164" s="4" t="s">
        <v>6696</v>
      </c>
      <c r="F2164" s="4" t="s">
        <v>6695</v>
      </c>
      <c r="G2164" s="5" t="str">
        <f>IFERROR(__xludf.DUMMYFUNCTION("GOOGLETRANSLATE(D2164,""en"",""es"")"),"luma")</f>
        <v>luma</v>
      </c>
    </row>
    <row r="2165">
      <c r="A2165" s="4">
        <v>207.0</v>
      </c>
      <c r="B2165" s="4" t="s">
        <v>8005</v>
      </c>
      <c r="C2165" s="4"/>
      <c r="D2165" s="4" t="s">
        <v>6697</v>
      </c>
      <c r="E2165" s="4" t="s">
        <v>6622</v>
      </c>
      <c r="F2165" s="4" t="s">
        <v>6623</v>
      </c>
      <c r="G2165" s="5" t="str">
        <f>IFERROR(__xludf.DUMMYFUNCTION("GOOGLETRANSLATE(D2165,""en"",""es"")"),"lymm")</f>
        <v>lymm</v>
      </c>
    </row>
    <row r="2166">
      <c r="A2166" s="4">
        <v>208.0</v>
      </c>
      <c r="B2166" s="4" t="s">
        <v>8005</v>
      </c>
      <c r="C2166" s="4"/>
      <c r="D2166" s="4" t="s">
        <v>6698</v>
      </c>
      <c r="E2166" s="4" t="s">
        <v>6636</v>
      </c>
      <c r="F2166" s="4" t="s">
        <v>6635</v>
      </c>
      <c r="G2166" s="5" t="str">
        <f>IFERROR(__xludf.DUMMYFUNCTION("GOOGLETRANSLATE(D2166,""en"",""es"")"),"lynn")</f>
        <v>lynn</v>
      </c>
    </row>
    <row r="2167">
      <c r="A2167" s="4">
        <v>209.0</v>
      </c>
      <c r="B2167" s="4" t="s">
        <v>8005</v>
      </c>
      <c r="C2167" s="4"/>
      <c r="D2167" s="4" t="s">
        <v>6699</v>
      </c>
      <c r="E2167" s="4" t="s">
        <v>6700</v>
      </c>
      <c r="F2167" s="4" t="s">
        <v>6701</v>
      </c>
      <c r="G2167" s="5" t="str">
        <f>IFERROR(__xludf.DUMMYFUNCTION("GOOGLETRANSLATE(D2167,""en"",""es"")"),"señora")</f>
        <v>señora</v>
      </c>
      <c r="H2167" s="4" t="s">
        <v>6702</v>
      </c>
      <c r="I2167" s="4" t="s">
        <v>6703</v>
      </c>
      <c r="J2167" s="4" t="s">
        <v>6699</v>
      </c>
      <c r="K2167" s="4" t="s">
        <v>6704</v>
      </c>
      <c r="L2167" s="4" t="s">
        <v>6705</v>
      </c>
    </row>
    <row r="2168">
      <c r="A2168" s="4">
        <v>210.0</v>
      </c>
      <c r="B2168" s="4" t="s">
        <v>8005</v>
      </c>
      <c r="C2168" s="4"/>
      <c r="D2168" s="4" t="s">
        <v>6706</v>
      </c>
      <c r="E2168" s="4" t="s">
        <v>6707</v>
      </c>
      <c r="F2168" s="4" t="s">
        <v>2301</v>
      </c>
      <c r="G2168" s="5" t="str">
        <f>IFERROR(__xludf.DUMMYFUNCTION("GOOGLETRANSLATE(D2168,""en"",""es"")"),"Mac")</f>
        <v>Mac</v>
      </c>
      <c r="H2168" s="4" t="s">
        <v>6708</v>
      </c>
      <c r="I2168" s="4" t="s">
        <v>6709</v>
      </c>
      <c r="J2168" s="4" t="s">
        <v>6706</v>
      </c>
      <c r="K2168" s="4" t="s">
        <v>6710</v>
      </c>
    </row>
    <row r="2169">
      <c r="A2169" s="4">
        <v>211.0</v>
      </c>
      <c r="B2169" s="4" t="s">
        <v>8005</v>
      </c>
      <c r="C2169" s="4"/>
      <c r="D2169" s="4" t="s">
        <v>6711</v>
      </c>
      <c r="E2169" s="4" t="s">
        <v>6707</v>
      </c>
      <c r="F2169" s="4" t="s">
        <v>2301</v>
      </c>
      <c r="G2169" s="5" t="str">
        <f>IFERROR(__xludf.DUMMYFUNCTION("GOOGLETRANSLATE(D2169,""en"",""es"")"),"machacar")</f>
        <v>machacar</v>
      </c>
      <c r="H2169" s="4" t="s">
        <v>6712</v>
      </c>
      <c r="I2169" s="4" t="s">
        <v>6713</v>
      </c>
    </row>
    <row r="2170">
      <c r="A2170" s="4">
        <v>212.0</v>
      </c>
      <c r="B2170" s="4" t="s">
        <v>8005</v>
      </c>
      <c r="C2170" s="4"/>
      <c r="D2170" s="4" t="s">
        <v>6710</v>
      </c>
      <c r="E2170" s="4" t="s">
        <v>6707</v>
      </c>
      <c r="F2170" s="4" t="s">
        <v>2301</v>
      </c>
      <c r="G2170" s="5" t="str">
        <f>IFERROR(__xludf.DUMMYFUNCTION("GOOGLETRANSLATE(D2170,""en"",""es"")"),"machacar")</f>
        <v>machacar</v>
      </c>
      <c r="H2170" s="4" t="s">
        <v>6708</v>
      </c>
      <c r="I2170" s="4" t="s">
        <v>6709</v>
      </c>
      <c r="J2170" s="4" t="s">
        <v>6706</v>
      </c>
      <c r="K2170" s="4" t="s">
        <v>6710</v>
      </c>
    </row>
    <row r="2171">
      <c r="A2171" s="4">
        <v>213.0</v>
      </c>
      <c r="B2171" s="4" t="s">
        <v>8005</v>
      </c>
      <c r="C2171" s="4"/>
      <c r="D2171" s="4" t="s">
        <v>6714</v>
      </c>
      <c r="E2171" s="4" t="s">
        <v>6715</v>
      </c>
      <c r="F2171" s="4" t="s">
        <v>2463</v>
      </c>
      <c r="G2171" s="5" t="str">
        <f>IFERROR(__xludf.DUMMYFUNCTION("GOOGLETRANSLATE(D2171,""en"",""es"")"),"mackey")</f>
        <v>mackey</v>
      </c>
    </row>
    <row r="2172">
      <c r="A2172" s="4">
        <v>214.0</v>
      </c>
      <c r="B2172" s="4" t="s">
        <v>8005</v>
      </c>
      <c r="C2172" s="4"/>
      <c r="D2172" s="4" t="s">
        <v>6716</v>
      </c>
      <c r="E2172" s="4" t="s">
        <v>6715</v>
      </c>
      <c r="F2172" s="4" t="s">
        <v>2463</v>
      </c>
      <c r="G2172" s="5" t="str">
        <f>IFERROR(__xludf.DUMMYFUNCTION("GOOGLETRANSLATE(D2172,""en"",""es"")"),"mackie")</f>
        <v>mackie</v>
      </c>
    </row>
    <row r="2173">
      <c r="A2173" s="4">
        <v>215.0</v>
      </c>
      <c r="B2173" s="4" t="s">
        <v>8005</v>
      </c>
      <c r="C2173" s="4"/>
      <c r="D2173" s="4" t="s">
        <v>6717</v>
      </c>
      <c r="E2173" s="4" t="s">
        <v>6715</v>
      </c>
      <c r="F2173" s="4" t="s">
        <v>2463</v>
      </c>
      <c r="G2173" s="5" t="str">
        <f>IFERROR(__xludf.DUMMYFUNCTION("GOOGLETRANSLATE(D2173,""en"",""es"")"),"maco")</f>
        <v>maco</v>
      </c>
    </row>
    <row r="2174">
      <c r="A2174" s="4">
        <v>216.0</v>
      </c>
      <c r="B2174" s="4" t="s">
        <v>8005</v>
      </c>
      <c r="C2174" s="4"/>
      <c r="D2174" s="4" t="s">
        <v>6718</v>
      </c>
      <c r="E2174" s="4" t="s">
        <v>6719</v>
      </c>
      <c r="F2174" s="4" t="s">
        <v>2414</v>
      </c>
      <c r="G2174" s="5" t="str">
        <f>IFERROR(__xludf.DUMMYFUNCTION("GOOGLETRANSLATE(D2174,""en"",""es"")"),"Mahoney")</f>
        <v>Mahoney</v>
      </c>
    </row>
    <row r="2175">
      <c r="A2175" s="4">
        <v>217.0</v>
      </c>
      <c r="B2175" s="4" t="s">
        <v>8005</v>
      </c>
      <c r="C2175" s="4"/>
      <c r="D2175" s="4" t="s">
        <v>6720</v>
      </c>
      <c r="E2175" s="4" t="s">
        <v>6719</v>
      </c>
      <c r="F2175" s="4" t="s">
        <v>2414</v>
      </c>
      <c r="G2175" s="5" t="str">
        <f>IFERROR(__xludf.DUMMYFUNCTION("GOOGLETRANSLATE(D2175,""en"",""es"")"),"mahony")</f>
        <v>mahony</v>
      </c>
    </row>
    <row r="2176">
      <c r="A2176" s="4">
        <v>218.0</v>
      </c>
      <c r="B2176" s="4" t="s">
        <v>8005</v>
      </c>
      <c r="C2176" s="4"/>
      <c r="D2176" s="4" t="s">
        <v>2322</v>
      </c>
      <c r="E2176" s="4" t="s">
        <v>6721</v>
      </c>
      <c r="F2176" s="4" t="s">
        <v>2322</v>
      </c>
      <c r="G2176" s="5" t="str">
        <f>IFERROR(__xludf.DUMMYFUNCTION("GOOGLETRANSLATE(D2176,""en"",""es"")"),"mal")</f>
        <v>mal</v>
      </c>
    </row>
    <row r="2177">
      <c r="A2177" s="4">
        <v>219.0</v>
      </c>
      <c r="B2177" s="4" t="s">
        <v>8005</v>
      </c>
      <c r="C2177" s="4"/>
      <c r="D2177" s="4" t="s">
        <v>6722</v>
      </c>
      <c r="E2177" s="4" t="s">
        <v>6723</v>
      </c>
      <c r="F2177" s="4" t="s">
        <v>6724</v>
      </c>
      <c r="G2177" s="5" t="str">
        <f>IFERROR(__xludf.DUMMYFUNCTION("GOOGLETRANSLATE(D2177,""en"",""es"")"),"málico")</f>
        <v>málico</v>
      </c>
    </row>
    <row r="2178">
      <c r="A2178" s="4">
        <v>220.0</v>
      </c>
      <c r="B2178" s="4" t="s">
        <v>8005</v>
      </c>
      <c r="C2178" s="4"/>
      <c r="D2178" s="4" t="s">
        <v>6725</v>
      </c>
      <c r="E2178" s="4" t="s">
        <v>6726</v>
      </c>
      <c r="F2178" s="4" t="s">
        <v>6727</v>
      </c>
      <c r="G2178" s="5" t="str">
        <f>IFERROR(__xludf.DUMMYFUNCTION("GOOGLETRANSLATE(D2178,""en"",""es"")"),"malicia")</f>
        <v>malicia</v>
      </c>
      <c r="H2178" s="4" t="s">
        <v>6725</v>
      </c>
      <c r="I2178" s="4" t="s">
        <v>6728</v>
      </c>
      <c r="J2178" s="4" t="s">
        <v>6729</v>
      </c>
      <c r="K2178" s="4" t="s">
        <v>6730</v>
      </c>
      <c r="L2178" s="4" t="s">
        <v>6731</v>
      </c>
      <c r="M2178" s="4" t="s">
        <v>6732</v>
      </c>
      <c r="N2178" s="4" t="s">
        <v>6733</v>
      </c>
      <c r="O2178" s="4" t="s">
        <v>6725</v>
      </c>
    </row>
    <row r="2179">
      <c r="A2179" s="4">
        <v>221.0</v>
      </c>
      <c r="B2179" s="4" t="s">
        <v>8005</v>
      </c>
      <c r="C2179" s="4"/>
      <c r="D2179" s="4" t="s">
        <v>2365</v>
      </c>
      <c r="E2179" s="4" t="s">
        <v>6721</v>
      </c>
      <c r="F2179" s="4" t="s">
        <v>2322</v>
      </c>
      <c r="G2179" s="5" t="str">
        <f>IFERROR(__xludf.DUMMYFUNCTION("GOOGLETRANSLATE(D2179,""en"",""es"")"),"centro comercial")</f>
        <v>centro comercial</v>
      </c>
      <c r="H2179" s="4" t="s">
        <v>6734</v>
      </c>
      <c r="I2179" s="4" t="s">
        <v>2365</v>
      </c>
      <c r="J2179" s="4" t="s">
        <v>6735</v>
      </c>
      <c r="K2179" s="4" t="s">
        <v>2365</v>
      </c>
      <c r="L2179" s="4" t="s">
        <v>4621</v>
      </c>
      <c r="M2179" s="4" t="s">
        <v>6736</v>
      </c>
      <c r="N2179" s="4" t="s">
        <v>6737</v>
      </c>
      <c r="O2179" s="4" t="s">
        <v>6738</v>
      </c>
    </row>
    <row r="2180">
      <c r="A2180" s="4">
        <v>222.0</v>
      </c>
      <c r="B2180" s="4" t="s">
        <v>8005</v>
      </c>
      <c r="C2180" s="4"/>
      <c r="D2180" s="4" t="s">
        <v>6739</v>
      </c>
      <c r="E2180" s="4" t="s">
        <v>6740</v>
      </c>
      <c r="F2180" s="4" t="s">
        <v>5314</v>
      </c>
      <c r="G2180" s="5" t="str">
        <f>IFERROR(__xludf.DUMMYFUNCTION("GOOGLETRANSLATE(D2180,""en"",""es"")"),"mallee")</f>
        <v>mallee</v>
      </c>
      <c r="H2180" s="4" t="s">
        <v>6739</v>
      </c>
    </row>
    <row r="2181">
      <c r="A2181" s="4">
        <v>223.0</v>
      </c>
      <c r="B2181" s="4" t="s">
        <v>8005</v>
      </c>
      <c r="C2181" s="4"/>
      <c r="D2181" s="4" t="s">
        <v>1856</v>
      </c>
      <c r="E2181" s="4" t="s">
        <v>6741</v>
      </c>
      <c r="F2181" s="4" t="s">
        <v>1856</v>
      </c>
      <c r="G2181" s="5" t="str">
        <f>IFERROR(__xludf.DUMMYFUNCTION("GOOGLETRANSLATE(D2181,""en"",""es"")"),"hombre")</f>
        <v>hombre</v>
      </c>
      <c r="H2181" s="4" t="s">
        <v>1856</v>
      </c>
      <c r="I2181" s="4" t="s">
        <v>6742</v>
      </c>
      <c r="J2181" s="4" t="s">
        <v>2642</v>
      </c>
      <c r="K2181" s="4" t="s">
        <v>2643</v>
      </c>
      <c r="L2181" s="4" t="s">
        <v>1856</v>
      </c>
      <c r="M2181" s="4" t="s">
        <v>2644</v>
      </c>
      <c r="N2181" s="4" t="s">
        <v>1856</v>
      </c>
      <c r="O2181" s="4" t="s">
        <v>1855</v>
      </c>
      <c r="P2181" s="4" t="s">
        <v>1856</v>
      </c>
      <c r="Q2181" s="4" t="s">
        <v>1857</v>
      </c>
      <c r="R2181" s="4" t="s">
        <v>1854</v>
      </c>
      <c r="S2181" s="4" t="s">
        <v>1856</v>
      </c>
      <c r="T2181" s="4" t="s">
        <v>1856</v>
      </c>
      <c r="U2181" s="4" t="s">
        <v>6743</v>
      </c>
      <c r="V2181" s="4" t="s">
        <v>6744</v>
      </c>
      <c r="W2181" s="4" t="s">
        <v>6745</v>
      </c>
      <c r="X2181" s="4" t="s">
        <v>6746</v>
      </c>
      <c r="Y2181" s="4" t="s">
        <v>1856</v>
      </c>
      <c r="Z2181" s="4" t="s">
        <v>1856</v>
      </c>
      <c r="AA2181" s="4" t="s">
        <v>6747</v>
      </c>
      <c r="AB2181" s="4" t="s">
        <v>6748</v>
      </c>
      <c r="AC2181" s="4" t="s">
        <v>1856</v>
      </c>
      <c r="AD2181" s="4" t="s">
        <v>3486</v>
      </c>
      <c r="AE2181" s="4" t="s">
        <v>2953</v>
      </c>
      <c r="AF2181" s="4" t="s">
        <v>6749</v>
      </c>
      <c r="AG2181" s="4" t="s">
        <v>6750</v>
      </c>
      <c r="AH2181" s="4" t="s">
        <v>6751</v>
      </c>
      <c r="AI2181" s="4" t="s">
        <v>6752</v>
      </c>
      <c r="AJ2181" s="4" t="s">
        <v>6753</v>
      </c>
      <c r="AK2181" s="4" t="s">
        <v>6754</v>
      </c>
      <c r="AL2181" s="4" t="s">
        <v>1856</v>
      </c>
      <c r="AM2181" s="4" t="s">
        <v>1856</v>
      </c>
      <c r="AN2181" s="4" t="s">
        <v>1856</v>
      </c>
    </row>
    <row r="2182">
      <c r="A2182" s="4">
        <v>224.0</v>
      </c>
      <c r="B2182" s="4" t="s">
        <v>8005</v>
      </c>
      <c r="C2182" s="4"/>
      <c r="D2182" s="4" t="s">
        <v>6755</v>
      </c>
      <c r="E2182" s="4" t="s">
        <v>6756</v>
      </c>
      <c r="F2182" s="4" t="s">
        <v>6757</v>
      </c>
      <c r="G2182" s="5" t="str">
        <f>IFERROR(__xludf.DUMMYFUNCTION("GOOGLETRANSLATE(D2182,""en"",""es"")"),"maníaco")</f>
        <v>maníaco</v>
      </c>
      <c r="H2182" s="4" t="s">
        <v>6758</v>
      </c>
      <c r="I2182" s="4" t="s">
        <v>6755</v>
      </c>
    </row>
    <row r="2183">
      <c r="A2183" s="4">
        <v>225.0</v>
      </c>
      <c r="B2183" s="4" t="s">
        <v>8005</v>
      </c>
      <c r="C2183" s="4"/>
      <c r="D2183" s="4" t="s">
        <v>2434</v>
      </c>
      <c r="E2183" s="4" t="s">
        <v>6759</v>
      </c>
      <c r="F2183" s="4" t="s">
        <v>2434</v>
      </c>
      <c r="G2183" s="5" t="str">
        <f>IFERROR(__xludf.DUMMYFUNCTION("GOOGLETRANSLATE(D2183,""en"",""es"")"),"maniquí")</f>
        <v>maniquí</v>
      </c>
      <c r="H2183" s="4" t="s">
        <v>2434</v>
      </c>
      <c r="I2183" s="4" t="s">
        <v>2435</v>
      </c>
      <c r="J2183" s="4" t="s">
        <v>6760</v>
      </c>
      <c r="K2183" s="4" t="s">
        <v>2433</v>
      </c>
      <c r="L2183" s="4" t="s">
        <v>2434</v>
      </c>
      <c r="M2183" s="4" t="s">
        <v>2435</v>
      </c>
      <c r="N2183" s="4" t="s">
        <v>2436</v>
      </c>
      <c r="O2183" s="4" t="s">
        <v>2437</v>
      </c>
      <c r="P2183" s="4" t="s">
        <v>2438</v>
      </c>
      <c r="Q2183" s="4" t="s">
        <v>2433</v>
      </c>
      <c r="R2183" s="4" t="s">
        <v>2434</v>
      </c>
      <c r="S2183" s="4" t="s">
        <v>2435</v>
      </c>
      <c r="T2183" s="4" t="s">
        <v>2436</v>
      </c>
      <c r="U2183" s="4" t="s">
        <v>1679</v>
      </c>
    </row>
    <row r="2184">
      <c r="A2184" s="4">
        <v>226.0</v>
      </c>
      <c r="B2184" s="4" t="s">
        <v>8005</v>
      </c>
      <c r="C2184" s="4"/>
      <c r="D2184" s="4" t="s">
        <v>6761</v>
      </c>
      <c r="E2184" s="4" t="s">
        <v>6762</v>
      </c>
      <c r="F2184" s="4" t="s">
        <v>6763</v>
      </c>
      <c r="G2184" s="5" t="str">
        <f>IFERROR(__xludf.DUMMYFUNCTION("GOOGLETRANSLATE(D2184,""en"",""es"")"),"varonil")</f>
        <v>varonil</v>
      </c>
      <c r="H2184" s="4" t="s">
        <v>6761</v>
      </c>
      <c r="I2184" s="4" t="s">
        <v>6761</v>
      </c>
    </row>
    <row r="2185">
      <c r="A2185" s="4">
        <v>227.0</v>
      </c>
      <c r="B2185" s="4" t="s">
        <v>8005</v>
      </c>
      <c r="C2185" s="4"/>
      <c r="D2185" s="4" t="s">
        <v>2460</v>
      </c>
      <c r="E2185" s="4" t="s">
        <v>6764</v>
      </c>
      <c r="F2185" s="4" t="s">
        <v>2460</v>
      </c>
      <c r="G2185" s="5" t="str">
        <f>IFERROR(__xludf.DUMMYFUNCTION("GOOGLETRANSLATE(D2185,""en"",""es"")"),"mapa")</f>
        <v>mapa</v>
      </c>
      <c r="H2185" s="4" t="s">
        <v>2460</v>
      </c>
      <c r="I2185" s="4" t="s">
        <v>6765</v>
      </c>
      <c r="J2185" s="4" t="s">
        <v>6766</v>
      </c>
      <c r="K2185" s="4" t="s">
        <v>6767</v>
      </c>
      <c r="L2185" s="4" t="s">
        <v>2460</v>
      </c>
      <c r="M2185" s="4" t="s">
        <v>6768</v>
      </c>
      <c r="N2185" s="4" t="s">
        <v>2460</v>
      </c>
      <c r="O2185" s="4" t="s">
        <v>2460</v>
      </c>
      <c r="P2185" s="4" t="s">
        <v>2460</v>
      </c>
      <c r="Q2185" s="4" t="s">
        <v>2460</v>
      </c>
      <c r="R2185" s="4" t="s">
        <v>6769</v>
      </c>
      <c r="S2185" s="4" t="s">
        <v>2460</v>
      </c>
      <c r="T2185" s="4" t="s">
        <v>2460</v>
      </c>
      <c r="U2185" s="4" t="s">
        <v>6770</v>
      </c>
    </row>
    <row r="2186">
      <c r="A2186" s="4">
        <v>228.0</v>
      </c>
      <c r="B2186" s="4" t="s">
        <v>8005</v>
      </c>
      <c r="C2186" s="4"/>
      <c r="D2186" s="4" t="s">
        <v>6771</v>
      </c>
      <c r="E2186" s="4" t="s">
        <v>6772</v>
      </c>
      <c r="F2186" s="4" t="s">
        <v>6771</v>
      </c>
      <c r="G2186" s="5" t="str">
        <f>IFERROR(__xludf.DUMMYFUNCTION("GOOGLETRANSLATE(D2186,""en"",""es"")"),"mezcla")</f>
        <v>mezcla</v>
      </c>
      <c r="H2186" s="4" t="s">
        <v>6771</v>
      </c>
      <c r="I2186" s="4" t="s">
        <v>6771</v>
      </c>
      <c r="J2186" s="4" t="s">
        <v>6773</v>
      </c>
      <c r="K2186" s="4" t="s">
        <v>6774</v>
      </c>
      <c r="L2186" s="4" t="s">
        <v>6775</v>
      </c>
      <c r="M2186" s="4" t="s">
        <v>6771</v>
      </c>
      <c r="N2186" s="4" t="s">
        <v>6776</v>
      </c>
      <c r="O2186" s="4" t="s">
        <v>6777</v>
      </c>
      <c r="P2186" s="4" t="s">
        <v>6778</v>
      </c>
      <c r="Q2186" s="4" t="s">
        <v>6779</v>
      </c>
      <c r="R2186" s="4" t="s">
        <v>6780</v>
      </c>
      <c r="S2186" s="4" t="s">
        <v>6781</v>
      </c>
      <c r="T2186" s="4" t="s">
        <v>6782</v>
      </c>
      <c r="U2186" s="4" t="s">
        <v>6783</v>
      </c>
      <c r="V2186" s="4" t="s">
        <v>6784</v>
      </c>
      <c r="W2186" s="4" t="s">
        <v>6771</v>
      </c>
      <c r="X2186" s="4" t="s">
        <v>6785</v>
      </c>
      <c r="Y2186" s="4" t="s">
        <v>6771</v>
      </c>
      <c r="Z2186" s="4" t="s">
        <v>6786</v>
      </c>
      <c r="AA2186" s="4" t="s">
        <v>6787</v>
      </c>
      <c r="AB2186" s="4" t="s">
        <v>6788</v>
      </c>
    </row>
    <row r="2187">
      <c r="A2187" s="4">
        <v>229.0</v>
      </c>
      <c r="B2187" s="4" t="s">
        <v>8005</v>
      </c>
      <c r="C2187" s="4"/>
      <c r="D2187" s="4" t="s">
        <v>1743</v>
      </c>
      <c r="E2187" s="4" t="s">
        <v>6789</v>
      </c>
      <c r="F2187" s="4" t="s">
        <v>339</v>
      </c>
      <c r="G2187" s="5" t="str">
        <f>IFERROR(__xludf.DUMMYFUNCTION("GOOGLETRANSLATE(D2187,""en"",""es"")"),"masa")</f>
        <v>masa</v>
      </c>
      <c r="H2187" s="4" t="s">
        <v>1743</v>
      </c>
      <c r="I2187" s="4" t="s">
        <v>1736</v>
      </c>
      <c r="J2187" s="4" t="s">
        <v>1737</v>
      </c>
      <c r="K2187" s="4" t="s">
        <v>1738</v>
      </c>
      <c r="L2187" s="4" t="s">
        <v>1739</v>
      </c>
      <c r="M2187" s="4" t="s">
        <v>1740</v>
      </c>
      <c r="N2187" s="4" t="s">
        <v>1741</v>
      </c>
      <c r="O2187" s="4" t="s">
        <v>484</v>
      </c>
      <c r="P2187" s="4" t="s">
        <v>1742</v>
      </c>
      <c r="Q2187" s="4" t="s">
        <v>1743</v>
      </c>
      <c r="R2187" s="4" t="s">
        <v>1744</v>
      </c>
      <c r="S2187" s="4" t="s">
        <v>1745</v>
      </c>
      <c r="T2187" s="4" t="s">
        <v>1746</v>
      </c>
      <c r="U2187" s="4" t="s">
        <v>1747</v>
      </c>
      <c r="V2187" s="4" t="s">
        <v>1748</v>
      </c>
      <c r="W2187" s="4" t="s">
        <v>1749</v>
      </c>
      <c r="X2187" s="4" t="s">
        <v>1750</v>
      </c>
      <c r="Y2187" s="4" t="s">
        <v>483</v>
      </c>
      <c r="Z2187" s="4" t="s">
        <v>1751</v>
      </c>
      <c r="AA2187" s="4" t="s">
        <v>1752</v>
      </c>
      <c r="AB2187" s="4" t="s">
        <v>1753</v>
      </c>
      <c r="AC2187" s="4" t="s">
        <v>1754</v>
      </c>
      <c r="AD2187" s="4" t="s">
        <v>1755</v>
      </c>
      <c r="AE2187" s="4" t="s">
        <v>1756</v>
      </c>
      <c r="AF2187" s="4" t="s">
        <v>1757</v>
      </c>
      <c r="AG2187" s="4" t="s">
        <v>482</v>
      </c>
      <c r="AH2187" s="4" t="s">
        <v>1758</v>
      </c>
      <c r="AI2187" s="4" t="s">
        <v>780</v>
      </c>
      <c r="AJ2187" s="4" t="s">
        <v>1743</v>
      </c>
      <c r="AK2187" s="4" t="s">
        <v>2715</v>
      </c>
      <c r="AL2187" s="4" t="s">
        <v>1743</v>
      </c>
      <c r="AM2187" s="4" t="s">
        <v>2532</v>
      </c>
      <c r="AN2187" s="4" t="s">
        <v>2533</v>
      </c>
      <c r="AO2187" s="4" t="s">
        <v>1743</v>
      </c>
      <c r="AP2187" s="4" t="s">
        <v>2534</v>
      </c>
      <c r="AQ2187" s="4" t="s">
        <v>2535</v>
      </c>
      <c r="AR2187" s="4" t="s">
        <v>2536</v>
      </c>
      <c r="AS2187" s="4" t="s">
        <v>2526</v>
      </c>
      <c r="AT2187" s="4" t="s">
        <v>1743</v>
      </c>
      <c r="AU2187" s="4" t="s">
        <v>2527</v>
      </c>
      <c r="AV2187" s="4" t="s">
        <v>2715</v>
      </c>
      <c r="AW2187" s="4" t="s">
        <v>2715</v>
      </c>
      <c r="AX2187" s="4" t="s">
        <v>1743</v>
      </c>
      <c r="AY2187" s="4" t="s">
        <v>4554</v>
      </c>
      <c r="AZ2187" s="4" t="s">
        <v>6790</v>
      </c>
      <c r="BA2187" s="4" t="s">
        <v>6791</v>
      </c>
      <c r="BB2187" s="4" t="s">
        <v>1743</v>
      </c>
    </row>
    <row r="2188">
      <c r="A2188" s="4">
        <v>230.0</v>
      </c>
      <c r="B2188" s="4" t="s">
        <v>8005</v>
      </c>
      <c r="C2188" s="4"/>
      <c r="D2188" s="4" t="s">
        <v>5338</v>
      </c>
      <c r="E2188" s="4" t="s">
        <v>6792</v>
      </c>
      <c r="F2188" s="4" t="s">
        <v>5338</v>
      </c>
      <c r="G2188" s="5" t="str">
        <f>IFERROR(__xludf.DUMMYFUNCTION("GOOGLETRANSLATE(D2188,""en"",""es"")"),"Matemáticas")</f>
        <v>Matemáticas</v>
      </c>
      <c r="H2188" s="4" t="s">
        <v>5337</v>
      </c>
      <c r="I2188" s="4" t="s">
        <v>5338</v>
      </c>
      <c r="J2188" s="4" t="s">
        <v>5339</v>
      </c>
    </row>
    <row r="2189">
      <c r="A2189" s="4">
        <v>231.0</v>
      </c>
      <c r="B2189" s="4" t="s">
        <v>8005</v>
      </c>
      <c r="C2189" s="4"/>
      <c r="D2189" s="4" t="s">
        <v>6793</v>
      </c>
      <c r="E2189" s="4" t="s">
        <v>6794</v>
      </c>
      <c r="F2189" s="4" t="s">
        <v>2575</v>
      </c>
      <c r="G2189" s="5" t="str">
        <f>IFERROR(__xludf.DUMMYFUNCTION("GOOGLETRANSLATE(D2189,""en"",""es"")"),"mate")</f>
        <v>mate</v>
      </c>
    </row>
    <row r="2190">
      <c r="A2190" s="4">
        <v>232.0</v>
      </c>
      <c r="B2190" s="4" t="s">
        <v>8005</v>
      </c>
      <c r="C2190" s="4"/>
      <c r="D2190" s="4" t="s">
        <v>6795</v>
      </c>
      <c r="E2190" s="4" t="s">
        <v>6796</v>
      </c>
      <c r="F2190" s="4" t="s">
        <v>2878</v>
      </c>
      <c r="G2190" s="5" t="str">
        <f>IFERROR(__xludf.DUMMYFUNCTION("GOOGLETRANSLATE(D2190,""en"",""es"")"),"memoria")</f>
        <v>memoria</v>
      </c>
    </row>
    <row r="2191">
      <c r="A2191" s="4">
        <v>233.0</v>
      </c>
      <c r="B2191" s="4" t="s">
        <v>8005</v>
      </c>
      <c r="C2191" s="4"/>
      <c r="D2191" s="4" t="s">
        <v>6797</v>
      </c>
      <c r="E2191" s="4" t="s">
        <v>6798</v>
      </c>
      <c r="F2191" s="4" t="s">
        <v>6799</v>
      </c>
      <c r="G2191" s="5" t="str">
        <f>IFERROR(__xludf.DUMMYFUNCTION("GOOGLETRANSLATE(D2191,""en"",""es"")"),"malla")</f>
        <v>malla</v>
      </c>
    </row>
    <row r="2192">
      <c r="A2192" s="4">
        <v>234.0</v>
      </c>
      <c r="B2192" s="4" t="s">
        <v>8005</v>
      </c>
      <c r="C2192" s="4"/>
      <c r="D2192" s="4" t="s">
        <v>6800</v>
      </c>
      <c r="E2192" s="4" t="s">
        <v>6801</v>
      </c>
      <c r="F2192" s="4" t="s">
        <v>6802</v>
      </c>
      <c r="G2192" s="5" t="str">
        <f>IFERROR(__xludf.DUMMYFUNCTION("GOOGLETRANSLATE(D2192,""en"",""es"")"),"metálico")</f>
        <v>metálico</v>
      </c>
      <c r="H2192" s="4" t="s">
        <v>6800</v>
      </c>
      <c r="I2192" s="4" t="s">
        <v>6800</v>
      </c>
      <c r="J2192" s="4" t="s">
        <v>6800</v>
      </c>
      <c r="K2192" s="4" t="s">
        <v>6803</v>
      </c>
    </row>
    <row r="2193">
      <c r="A2193" s="4">
        <v>235.0</v>
      </c>
      <c r="B2193" s="4" t="s">
        <v>8005</v>
      </c>
      <c r="C2193" s="4"/>
      <c r="D2193" s="4" t="s">
        <v>6804</v>
      </c>
      <c r="E2193" s="4" t="s">
        <v>6805</v>
      </c>
      <c r="F2193" s="4" t="s">
        <v>345</v>
      </c>
      <c r="G2193" s="5" t="str">
        <f>IFERROR(__xludf.DUMMYFUNCTION("GOOGLETRANSLATE(D2193,""en"",""es"")"),"mick")</f>
        <v>mick</v>
      </c>
      <c r="H2193" s="4" t="s">
        <v>6806</v>
      </c>
      <c r="I2193" s="4" t="s">
        <v>6807</v>
      </c>
      <c r="J2193" s="4" t="s">
        <v>6808</v>
      </c>
    </row>
    <row r="2194">
      <c r="A2194" s="4">
        <v>236.0</v>
      </c>
      <c r="B2194" s="4" t="s">
        <v>8005</v>
      </c>
      <c r="C2194" s="4"/>
      <c r="D2194" s="4" t="s">
        <v>6809</v>
      </c>
      <c r="E2194" s="4" t="s">
        <v>6810</v>
      </c>
      <c r="F2194" s="4" t="s">
        <v>6811</v>
      </c>
      <c r="G2194" s="5" t="str">
        <f>IFERROR(__xludf.DUMMYFUNCTION("GOOGLETRANSLATE(D2194,""en"",""es"")"),"mickey")</f>
        <v>mickey</v>
      </c>
      <c r="H2194" s="4" t="s">
        <v>6806</v>
      </c>
      <c r="I2194" s="4" t="s">
        <v>6807</v>
      </c>
      <c r="J2194" s="4" t="s">
        <v>6808</v>
      </c>
    </row>
    <row r="2195">
      <c r="A2195" s="4">
        <v>237.0</v>
      </c>
      <c r="B2195" s="4" t="s">
        <v>8005</v>
      </c>
      <c r="C2195" s="4"/>
      <c r="D2195" s="4" t="s">
        <v>6812</v>
      </c>
      <c r="E2195" s="4" t="s">
        <v>6813</v>
      </c>
      <c r="F2195" s="4" t="s">
        <v>6812</v>
      </c>
      <c r="G2195" s="5" t="str">
        <f>IFERROR(__xludf.DUMMYFUNCTION("GOOGLETRANSLATE(D2195,""en"",""es"")"),"mikan")</f>
        <v>mikan</v>
      </c>
    </row>
    <row r="2196">
      <c r="A2196" s="4">
        <v>238.0</v>
      </c>
      <c r="B2196" s="4" t="s">
        <v>8005</v>
      </c>
      <c r="C2196" s="4"/>
      <c r="D2196" s="4" t="s">
        <v>2622</v>
      </c>
      <c r="E2196" s="4" t="s">
        <v>6814</v>
      </c>
      <c r="F2196" s="4" t="s">
        <v>2622</v>
      </c>
      <c r="G2196" s="5" t="str">
        <f>IFERROR(__xludf.DUMMYFUNCTION("GOOGLETRANSLATE(D2196,""en"",""es"")"),"mil")</f>
        <v>mil</v>
      </c>
      <c r="H2196" s="4" t="s">
        <v>2622</v>
      </c>
      <c r="I2196" s="4" t="s">
        <v>2653</v>
      </c>
      <c r="J2196" s="4" t="s">
        <v>2622</v>
      </c>
      <c r="K2196" s="4" t="s">
        <v>2658</v>
      </c>
      <c r="L2196" s="4" t="s">
        <v>2622</v>
      </c>
      <c r="M2196" s="4" t="s">
        <v>6815</v>
      </c>
      <c r="N2196" s="4" t="s">
        <v>6816</v>
      </c>
      <c r="O2196" s="4" t="s">
        <v>2622</v>
      </c>
      <c r="P2196" s="4" t="s">
        <v>6817</v>
      </c>
      <c r="Q2196" s="4" t="s">
        <v>6818</v>
      </c>
      <c r="R2196" s="4" t="s">
        <v>6819</v>
      </c>
      <c r="S2196" s="4" t="s">
        <v>6820</v>
      </c>
      <c r="T2196" s="4" t="s">
        <v>2622</v>
      </c>
    </row>
    <row r="2197">
      <c r="A2197" s="4">
        <v>239.0</v>
      </c>
      <c r="B2197" s="4" t="s">
        <v>8005</v>
      </c>
      <c r="C2197" s="4"/>
      <c r="D2197" s="4" t="s">
        <v>6821</v>
      </c>
      <c r="E2197" s="4" t="s">
        <v>6822</v>
      </c>
      <c r="F2197" s="4" t="s">
        <v>6821</v>
      </c>
      <c r="G2197" s="5" t="str">
        <f>IFERROR(__xludf.DUMMYFUNCTION("GOOGLETRANSLATE(D2197,""en"",""es"")"),"Milán")</f>
        <v>Milán</v>
      </c>
      <c r="H2197" s="4" t="s">
        <v>6823</v>
      </c>
      <c r="I2197" s="4" t="s">
        <v>6824</v>
      </c>
    </row>
    <row r="2198">
      <c r="A2198" s="4">
        <v>240.0</v>
      </c>
      <c r="B2198" s="4" t="s">
        <v>8005</v>
      </c>
      <c r="C2198" s="4"/>
      <c r="D2198" s="4" t="s">
        <v>2027</v>
      </c>
      <c r="E2198" s="4" t="s">
        <v>6814</v>
      </c>
      <c r="F2198" s="4" t="s">
        <v>2622</v>
      </c>
      <c r="G2198" s="5" t="str">
        <f>IFERROR(__xludf.DUMMYFUNCTION("GOOGLETRANSLATE(D2198,""en"",""es"")"),"molino")</f>
        <v>molino</v>
      </c>
      <c r="H2198" s="4" t="s">
        <v>6825</v>
      </c>
      <c r="I2198" s="4" t="s">
        <v>2027</v>
      </c>
      <c r="J2198" s="4" t="s">
        <v>6826</v>
      </c>
      <c r="K2198" s="4" t="s">
        <v>6827</v>
      </c>
      <c r="L2198" s="4" t="s">
        <v>6828</v>
      </c>
      <c r="M2198" s="4" t="s">
        <v>6829</v>
      </c>
      <c r="N2198" s="4" t="s">
        <v>6828</v>
      </c>
      <c r="O2198" s="4" t="s">
        <v>6830</v>
      </c>
      <c r="P2198" s="4" t="s">
        <v>6831</v>
      </c>
      <c r="Q2198" s="4" t="s">
        <v>2027</v>
      </c>
      <c r="R2198" s="4" t="s">
        <v>6832</v>
      </c>
      <c r="S2198" s="4" t="s">
        <v>6833</v>
      </c>
      <c r="T2198" s="4" t="s">
        <v>6785</v>
      </c>
      <c r="U2198" s="4" t="s">
        <v>2027</v>
      </c>
      <c r="V2198" s="4" t="s">
        <v>6834</v>
      </c>
      <c r="W2198" s="4" t="s">
        <v>6835</v>
      </c>
      <c r="X2198" s="4" t="s">
        <v>2027</v>
      </c>
      <c r="Y2198" s="4" t="s">
        <v>6836</v>
      </c>
      <c r="Z2198" s="4" t="s">
        <v>6837</v>
      </c>
      <c r="AA2198" s="4" t="s">
        <v>2027</v>
      </c>
      <c r="AB2198" s="4" t="s">
        <v>2027</v>
      </c>
      <c r="AC2198" s="4" t="s">
        <v>2027</v>
      </c>
    </row>
    <row r="2199">
      <c r="A2199" s="4">
        <v>241.0</v>
      </c>
      <c r="B2199" s="4" t="s">
        <v>8005</v>
      </c>
      <c r="C2199" s="4"/>
      <c r="D2199" s="4" t="s">
        <v>6838</v>
      </c>
      <c r="E2199" s="4" t="s">
        <v>6839</v>
      </c>
      <c r="F2199" s="4" t="s">
        <v>2878</v>
      </c>
      <c r="G2199" s="5" t="str">
        <f>IFERROR(__xludf.DUMMYFUNCTION("GOOGLETRANSLATE(D2199,""en"",""es"")"),"imitar")</f>
        <v>imitar</v>
      </c>
      <c r="H2199" s="4" t="s">
        <v>6838</v>
      </c>
      <c r="I2199" s="4" t="s">
        <v>6840</v>
      </c>
      <c r="J2199" s="4" t="s">
        <v>6838</v>
      </c>
      <c r="K2199" s="4" t="s">
        <v>2690</v>
      </c>
      <c r="L2199" s="4" t="s">
        <v>6838</v>
      </c>
    </row>
    <row r="2200">
      <c r="A2200" s="4">
        <v>242.0</v>
      </c>
      <c r="B2200" s="4" t="s">
        <v>8005</v>
      </c>
      <c r="C2200" s="4"/>
      <c r="D2200" s="4" t="s">
        <v>6841</v>
      </c>
      <c r="E2200" s="4" t="s">
        <v>6842</v>
      </c>
      <c r="F2200" s="4" t="s">
        <v>6841</v>
      </c>
      <c r="G2200" s="5" t="str">
        <f>IFERROR(__xludf.DUMMYFUNCTION("GOOGLETRANSLATE(D2200,""en"",""es"")"),"mínimo")</f>
        <v>mínimo</v>
      </c>
      <c r="H2200" s="4" t="s">
        <v>6843</v>
      </c>
      <c r="I2200" s="4" t="s">
        <v>6841</v>
      </c>
      <c r="J2200" s="4" t="s">
        <v>6844</v>
      </c>
      <c r="K2200" s="4" t="s">
        <v>6845</v>
      </c>
      <c r="L2200" s="4" t="s">
        <v>6846</v>
      </c>
      <c r="M2200" s="4" t="s">
        <v>6847</v>
      </c>
      <c r="N2200" s="4" t="s">
        <v>6848</v>
      </c>
      <c r="O2200" s="4" t="s">
        <v>6849</v>
      </c>
      <c r="P2200" s="4" t="s">
        <v>6850</v>
      </c>
      <c r="Q2200" s="4" t="s">
        <v>6844</v>
      </c>
    </row>
    <row r="2201">
      <c r="A2201" s="4">
        <v>243.0</v>
      </c>
      <c r="B2201" s="4" t="s">
        <v>8005</v>
      </c>
      <c r="C2201" s="4"/>
      <c r="D2201" s="4" t="s">
        <v>6851</v>
      </c>
      <c r="E2201" s="4" t="s">
        <v>6852</v>
      </c>
      <c r="F2201" s="4" t="s">
        <v>6851</v>
      </c>
      <c r="G2201" s="5" t="str">
        <f>IFERROR(__xludf.DUMMYFUNCTION("GOOGLETRANSLATE(D2201,""en"",""es"")"),"mini")</f>
        <v>mini</v>
      </c>
      <c r="H2201" s="4" t="s">
        <v>6853</v>
      </c>
      <c r="I2201" s="4" t="s">
        <v>6851</v>
      </c>
      <c r="J2201" s="4" t="s">
        <v>6851</v>
      </c>
    </row>
    <row r="2202">
      <c r="A2202" s="4">
        <v>244.0</v>
      </c>
      <c r="B2202" s="4" t="s">
        <v>8005</v>
      </c>
      <c r="C2202" s="4"/>
      <c r="D2202" s="4" t="s">
        <v>2890</v>
      </c>
      <c r="E2202" s="4" t="s">
        <v>6854</v>
      </c>
      <c r="F2202" s="4" t="s">
        <v>2890</v>
      </c>
      <c r="G2202" s="5" t="str">
        <f>IFERROR(__xludf.DUMMYFUNCTION("GOOGLETRANSLATE(D2202,""en"",""es"")"),"blanca")</f>
        <v>blanca</v>
      </c>
      <c r="H2202" s="4" t="s">
        <v>2890</v>
      </c>
      <c r="I2202" s="4" t="s">
        <v>2890</v>
      </c>
      <c r="J2202" s="4" t="s">
        <v>6855</v>
      </c>
      <c r="K2202" s="4" t="s">
        <v>2890</v>
      </c>
    </row>
    <row r="2203">
      <c r="A2203" s="4">
        <v>245.0</v>
      </c>
      <c r="B2203" s="4" t="s">
        <v>8005</v>
      </c>
      <c r="C2203" s="4"/>
      <c r="D2203" s="4" t="s">
        <v>6856</v>
      </c>
      <c r="E2203" s="4" t="s">
        <v>6857</v>
      </c>
      <c r="F2203" s="4" t="s">
        <v>6856</v>
      </c>
      <c r="G2203" s="5" t="str">
        <f>IFERROR(__xludf.DUMMYFUNCTION("GOOGLETRANSLATE(D2203,""en"",""es"")"),"minas")</f>
        <v>minas</v>
      </c>
    </row>
    <row r="2204">
      <c r="A2204" s="4">
        <v>246.0</v>
      </c>
      <c r="B2204" s="4" t="s">
        <v>8005</v>
      </c>
      <c r="C2204" s="4"/>
      <c r="D2204" s="4" t="s">
        <v>6858</v>
      </c>
      <c r="E2204" s="4" t="s">
        <v>6852</v>
      </c>
      <c r="F2204" s="4" t="s">
        <v>6851</v>
      </c>
      <c r="G2204" s="5" t="str">
        <f>IFERROR(__xludf.DUMMYFUNCTION("GOOGLETRANSLATE(D2204,""en"",""es"")"),"Minnie")</f>
        <v>Minnie</v>
      </c>
    </row>
    <row r="2205">
      <c r="A2205" s="4">
        <v>247.0</v>
      </c>
      <c r="B2205" s="4" t="s">
        <v>8005</v>
      </c>
      <c r="C2205" s="4"/>
      <c r="D2205" s="4" t="s">
        <v>6859</v>
      </c>
      <c r="E2205" s="4" t="s">
        <v>6852</v>
      </c>
      <c r="F2205" s="4" t="s">
        <v>6851</v>
      </c>
      <c r="G2205" s="5" t="str">
        <f>IFERROR(__xludf.DUMMYFUNCTION("GOOGLETRANSLATE(D2205,""en"",""es"")"),"miny")</f>
        <v>miny</v>
      </c>
    </row>
    <row r="2206">
      <c r="A2206" s="4">
        <v>248.0</v>
      </c>
      <c r="B2206" s="4" t="s">
        <v>8005</v>
      </c>
      <c r="C2206" s="4"/>
      <c r="D2206" s="4" t="s">
        <v>2709</v>
      </c>
      <c r="E2206" s="4" t="s">
        <v>6860</v>
      </c>
      <c r="F2206" s="4" t="s">
        <v>2711</v>
      </c>
      <c r="G2206" s="5" t="str">
        <f>IFERROR(__xludf.DUMMYFUNCTION("GOOGLETRANSLATE(D2206,""en"",""es"")"),"señorita")</f>
        <v>señorita</v>
      </c>
      <c r="H2206" s="4" t="s">
        <v>6861</v>
      </c>
      <c r="I2206" s="4" t="s">
        <v>2709</v>
      </c>
      <c r="J2206" s="4" t="s">
        <v>6862</v>
      </c>
      <c r="K2206" s="4" t="s">
        <v>6863</v>
      </c>
      <c r="L2206" s="4" t="s">
        <v>6864</v>
      </c>
      <c r="M2206" s="4" t="s">
        <v>6865</v>
      </c>
      <c r="N2206" s="4" t="s">
        <v>2709</v>
      </c>
      <c r="O2206" s="4" t="s">
        <v>6866</v>
      </c>
      <c r="P2206" s="4" t="s">
        <v>6867</v>
      </c>
      <c r="Q2206" s="4" t="s">
        <v>2709</v>
      </c>
      <c r="R2206" s="4" t="s">
        <v>6868</v>
      </c>
      <c r="S2206" s="4" t="s">
        <v>2709</v>
      </c>
      <c r="T2206" s="4" t="s">
        <v>2709</v>
      </c>
      <c r="U2206" s="4" t="s">
        <v>6869</v>
      </c>
      <c r="V2206" s="4" t="s">
        <v>6870</v>
      </c>
      <c r="W2206" s="4" t="s">
        <v>6871</v>
      </c>
      <c r="X2206" s="4" t="s">
        <v>6872</v>
      </c>
      <c r="Y2206" s="4" t="s">
        <v>2709</v>
      </c>
      <c r="Z2206" s="4" t="s">
        <v>6873</v>
      </c>
      <c r="AA2206" s="4" t="s">
        <v>6874</v>
      </c>
      <c r="AB2206" s="4" t="s">
        <v>6875</v>
      </c>
      <c r="AC2206" s="4" t="s">
        <v>2709</v>
      </c>
      <c r="AD2206" s="4" t="s">
        <v>2709</v>
      </c>
      <c r="AE2206" s="4" t="s">
        <v>6526</v>
      </c>
      <c r="AF2206" s="4" t="s">
        <v>2709</v>
      </c>
      <c r="AG2206" s="4" t="s">
        <v>2709</v>
      </c>
      <c r="AH2206" s="4" t="s">
        <v>2709</v>
      </c>
      <c r="AI2206" s="4" t="s">
        <v>6548</v>
      </c>
    </row>
    <row r="2207">
      <c r="A2207" s="4">
        <v>249.0</v>
      </c>
      <c r="B2207" s="4" t="s">
        <v>8005</v>
      </c>
      <c r="C2207" s="4"/>
      <c r="D2207" s="4" t="s">
        <v>6876</v>
      </c>
      <c r="E2207" s="4" t="s">
        <v>6877</v>
      </c>
      <c r="F2207" s="4" t="s">
        <v>6878</v>
      </c>
      <c r="G2207" s="5" t="str">
        <f>IFERROR(__xludf.DUMMYFUNCTION("GOOGLETRANSLATE(D2207,""en"",""es"")"),"Missippi")</f>
        <v>Missippi</v>
      </c>
    </row>
    <row r="2208">
      <c r="A2208" s="4">
        <v>250.0</v>
      </c>
      <c r="B2208" s="4" t="s">
        <v>8005</v>
      </c>
      <c r="C2208" s="4"/>
      <c r="D2208" s="4" t="s">
        <v>6862</v>
      </c>
      <c r="E2208" s="4" t="s">
        <v>6879</v>
      </c>
      <c r="F2208" s="4" t="s">
        <v>6880</v>
      </c>
      <c r="G2208" s="5" t="str">
        <f>IFERROR(__xludf.DUMMYFUNCTION("GOOGLETRANSLATE(D2208,""en"",""es"")"),"señorita")</f>
        <v>señorita</v>
      </c>
      <c r="H2208" s="4" t="s">
        <v>6861</v>
      </c>
      <c r="I2208" s="4" t="s">
        <v>2709</v>
      </c>
      <c r="J2208" s="4" t="s">
        <v>6862</v>
      </c>
      <c r="K2208" s="4" t="s">
        <v>6863</v>
      </c>
      <c r="L2208" s="4" t="s">
        <v>6864</v>
      </c>
      <c r="M2208" s="4" t="s">
        <v>6865</v>
      </c>
    </row>
    <row r="2209">
      <c r="A2209" s="4">
        <v>251.0</v>
      </c>
      <c r="B2209" s="4" t="s">
        <v>8005</v>
      </c>
      <c r="C2209" s="4"/>
      <c r="D2209" s="4" t="s">
        <v>6881</v>
      </c>
      <c r="E2209" s="4" t="s">
        <v>6882</v>
      </c>
      <c r="F2209" s="4" t="s">
        <v>6883</v>
      </c>
      <c r="G2209" s="5" t="str">
        <f>IFERROR(__xludf.DUMMYFUNCTION("GOOGLETRANSLATE(D2209,""en"",""es"")"),"mitanni")</f>
        <v>mitanni</v>
      </c>
    </row>
    <row r="2210">
      <c r="A2210" s="4">
        <v>252.0</v>
      </c>
      <c r="B2210" s="4" t="s">
        <v>8005</v>
      </c>
      <c r="C2210" s="4"/>
      <c r="D2210" s="4" t="s">
        <v>6884</v>
      </c>
      <c r="E2210" s="4" t="s">
        <v>6885</v>
      </c>
      <c r="F2210" s="4" t="s">
        <v>6886</v>
      </c>
      <c r="G2210" s="5" t="str">
        <f>IFERROR(__xludf.DUMMYFUNCTION("GOOGLETRANSLATE(D2210,""en"",""es"")"),"moochin")</f>
        <v>moochin</v>
      </c>
    </row>
    <row r="2211">
      <c r="A2211" s="4">
        <v>253.0</v>
      </c>
      <c r="B2211" s="4" t="s">
        <v>8005</v>
      </c>
      <c r="C2211" s="4"/>
      <c r="D2211" s="4" t="s">
        <v>6888</v>
      </c>
      <c r="E2211" s="4" t="s">
        <v>6889</v>
      </c>
      <c r="F2211" s="4" t="s">
        <v>6890</v>
      </c>
      <c r="G2211" s="5" t="str">
        <f>IFERROR(__xludf.DUMMYFUNCTION("GOOGLETRANSLATE(D2211,""en"",""es"")"),"mugar")</f>
        <v>mugar</v>
      </c>
    </row>
    <row r="2212">
      <c r="A2212" s="4">
        <v>254.0</v>
      </c>
      <c r="B2212" s="4" t="s">
        <v>8005</v>
      </c>
      <c r="C2212" s="4"/>
      <c r="D2212" s="4" t="s">
        <v>6891</v>
      </c>
      <c r="E2212" s="4" t="s">
        <v>2733</v>
      </c>
      <c r="F2212" s="4" t="s">
        <v>2734</v>
      </c>
      <c r="G2212" s="5" t="str">
        <f>IFERROR(__xludf.DUMMYFUNCTION("GOOGLETRANSLATE(D2212,""en"",""es"")"),"mooli")</f>
        <v>mooli</v>
      </c>
    </row>
    <row r="2213">
      <c r="A2213" s="4">
        <v>255.0</v>
      </c>
      <c r="B2213" s="4" t="s">
        <v>8005</v>
      </c>
      <c r="C2213" s="4"/>
      <c r="D2213" s="4" t="s">
        <v>6892</v>
      </c>
      <c r="E2213" s="4" t="s">
        <v>6893</v>
      </c>
      <c r="F2213" s="4" t="s">
        <v>6894</v>
      </c>
      <c r="G2213" s="5" t="str">
        <f>IFERROR(__xludf.DUMMYFUNCTION("GOOGLETRANSLATE(D2213,""en"",""es"")"),"moussy")</f>
        <v>moussy</v>
      </c>
    </row>
    <row r="2214">
      <c r="A2214" s="4">
        <v>256.0</v>
      </c>
      <c r="B2214" s="4" t="s">
        <v>8005</v>
      </c>
      <c r="C2214" s="4"/>
      <c r="D2214" s="4" t="s">
        <v>6895</v>
      </c>
      <c r="E2214" s="4" t="s">
        <v>6896</v>
      </c>
      <c r="F2214" s="4" t="s">
        <v>6895</v>
      </c>
      <c r="G2214" s="5" t="str">
        <f>IFERROR(__xludf.DUMMYFUNCTION("GOOGLETRANSLATE(D2214,""en"",""es"")"),"gachas")</f>
        <v>gachas</v>
      </c>
      <c r="H2214" s="4" t="s">
        <v>6897</v>
      </c>
      <c r="I2214" s="4" t="s">
        <v>6895</v>
      </c>
      <c r="J2214" s="4" t="s">
        <v>6895</v>
      </c>
      <c r="K2214" s="4" t="s">
        <v>6898</v>
      </c>
      <c r="L2214" s="4" t="s">
        <v>6899</v>
      </c>
      <c r="M2214" s="4" t="s">
        <v>6895</v>
      </c>
      <c r="N2214" s="4" t="s">
        <v>6900</v>
      </c>
      <c r="O2214" s="4" t="s">
        <v>6901</v>
      </c>
      <c r="P2214" s="4" t="s">
        <v>6895</v>
      </c>
      <c r="Q2214" s="4" t="s">
        <v>6895</v>
      </c>
      <c r="R2214" s="4" t="s">
        <v>6902</v>
      </c>
      <c r="S2214" s="4" t="s">
        <v>6895</v>
      </c>
    </row>
    <row r="2215">
      <c r="A2215" s="4">
        <v>257.0</v>
      </c>
      <c r="B2215" s="4" t="s">
        <v>8005</v>
      </c>
      <c r="C2215" s="4"/>
      <c r="D2215" s="4" t="s">
        <v>6903</v>
      </c>
      <c r="E2215" s="4" t="s">
        <v>6904</v>
      </c>
      <c r="F2215" s="4" t="s">
        <v>2731</v>
      </c>
      <c r="G2215" s="5" t="str">
        <f>IFERROR(__xludf.DUMMYFUNCTION("GOOGLETRANSLATE(D2215,""en"",""es"")"),"pulposo")</f>
        <v>pulposo</v>
      </c>
      <c r="H2215" s="4" t="s">
        <v>6903</v>
      </c>
      <c r="I2215" s="4" t="s">
        <v>6905</v>
      </c>
      <c r="J2215" s="4" t="s">
        <v>6906</v>
      </c>
      <c r="K2215" s="4" t="s">
        <v>6907</v>
      </c>
      <c r="L2215" s="4" t="s">
        <v>6908</v>
      </c>
      <c r="M2215" s="4" t="s">
        <v>6909</v>
      </c>
      <c r="N2215" s="4" t="s">
        <v>6910</v>
      </c>
      <c r="O2215" s="4" t="s">
        <v>6903</v>
      </c>
      <c r="P2215" s="4" t="s">
        <v>6911</v>
      </c>
      <c r="Q2215" s="4" t="s">
        <v>6912</v>
      </c>
      <c r="R2215" s="4" t="s">
        <v>6913</v>
      </c>
      <c r="S2215" s="4" t="s">
        <v>6914</v>
      </c>
      <c r="T2215" s="4" t="s">
        <v>6915</v>
      </c>
      <c r="U2215" s="4" t="s">
        <v>6916</v>
      </c>
    </row>
    <row r="2216">
      <c r="A2216" s="4">
        <v>258.0</v>
      </c>
      <c r="B2216" s="4" t="s">
        <v>8005</v>
      </c>
      <c r="C2216" s="4"/>
      <c r="D2216" s="4" t="s">
        <v>6917</v>
      </c>
      <c r="E2216" s="4" t="s">
        <v>6918</v>
      </c>
      <c r="F2216" s="4" t="s">
        <v>6919</v>
      </c>
      <c r="G2216" s="5" t="str">
        <f>IFERROR(__xludf.DUMMYFUNCTION("GOOGLETRANSLATE(D2216,""en"",""es"")"),"mito")</f>
        <v>mito</v>
      </c>
      <c r="H2216" s="4" t="s">
        <v>6917</v>
      </c>
    </row>
    <row r="2217">
      <c r="A2217" s="4">
        <v>259.0</v>
      </c>
      <c r="B2217" s="4" t="s">
        <v>8005</v>
      </c>
      <c r="C2217" s="4"/>
      <c r="D2217" s="4" t="s">
        <v>6920</v>
      </c>
      <c r="E2217" s="4" t="s">
        <v>6921</v>
      </c>
      <c r="F2217" s="4" t="s">
        <v>6922</v>
      </c>
      <c r="G2217" s="5" t="str">
        <f>IFERROR(__xludf.DUMMYFUNCTION("GOOGLETRANSLATE(D2217,""en"",""es"")"),"mítico")</f>
        <v>mítico</v>
      </c>
      <c r="H2217" s="4" t="s">
        <v>6920</v>
      </c>
      <c r="I2217" s="4" t="s">
        <v>6923</v>
      </c>
      <c r="J2217" s="4" t="s">
        <v>6920</v>
      </c>
      <c r="K2217" s="4" t="s">
        <v>6924</v>
      </c>
      <c r="L2217" s="4" t="s">
        <v>6925</v>
      </c>
      <c r="M2217" s="4" t="s">
        <v>6926</v>
      </c>
    </row>
    <row r="2218">
      <c r="A2218" s="4">
        <v>260.0</v>
      </c>
      <c r="B2218" s="4" t="s">
        <v>8005</v>
      </c>
      <c r="C2218" s="4"/>
      <c r="D2218" s="4" t="s">
        <v>6927</v>
      </c>
      <c r="E2218" s="4" t="s">
        <v>6928</v>
      </c>
      <c r="F2218" s="4" t="s">
        <v>2912</v>
      </c>
      <c r="G2218" s="5" t="str">
        <f>IFERROR(__xludf.DUMMYFUNCTION("GOOGLETRANSLATE(D2218,""en"",""es"")"),"naan")</f>
        <v>naan</v>
      </c>
      <c r="I2218" s="4" t="s">
        <v>6927</v>
      </c>
    </row>
    <row r="2219">
      <c r="A2219" s="4">
        <v>261.0</v>
      </c>
      <c r="B2219" s="4" t="s">
        <v>8005</v>
      </c>
      <c r="C2219" s="4"/>
      <c r="D2219" s="4" t="s">
        <v>6929</v>
      </c>
      <c r="E2219" s="4" t="s">
        <v>6482</v>
      </c>
      <c r="F2219" s="4" t="s">
        <v>6483</v>
      </c>
      <c r="G2219" s="5" t="str">
        <f>IFERROR(__xludf.DUMMYFUNCTION("GOOGLETRANSLATE(D2219,""en"",""es"")"),"fastidiar")</f>
        <v>fastidiar</v>
      </c>
    </row>
    <row r="2220">
      <c r="A2220" s="4">
        <v>262.0</v>
      </c>
      <c r="B2220" s="4" t="s">
        <v>8005</v>
      </c>
      <c r="E2220" s="4" t="s">
        <v>6928</v>
      </c>
      <c r="F2220" s="4" t="s">
        <v>2912</v>
      </c>
      <c r="G2220" s="5" t="str">
        <f>IFERROR(__xludf.DUMMYFUNCTION("GOOGLETRANSLATE(D2220,""en"",""es"")"),"#VALUE!")</f>
        <v>#VALUE!</v>
      </c>
      <c r="I2220" s="4" t="s">
        <v>1878</v>
      </c>
      <c r="J2220" s="4" t="s">
        <v>1879</v>
      </c>
      <c r="K2220" s="4" t="s">
        <v>1880</v>
      </c>
      <c r="L2220" s="4" t="s">
        <v>1881</v>
      </c>
      <c r="M2220" s="4" t="s">
        <v>1882</v>
      </c>
      <c r="O2220" s="4" t="s">
        <v>1883</v>
      </c>
      <c r="P2220" s="4" t="s">
        <v>6930</v>
      </c>
      <c r="Q2220" s="4" t="s">
        <v>6931</v>
      </c>
      <c r="S2220" s="4" t="s">
        <v>6927</v>
      </c>
    </row>
    <row r="2221">
      <c r="A2221" s="4">
        <v>263.0</v>
      </c>
      <c r="B2221" s="4" t="s">
        <v>8005</v>
      </c>
      <c r="C2221" s="4"/>
      <c r="D2221" s="4" t="s">
        <v>6932</v>
      </c>
      <c r="E2221" s="4" t="s">
        <v>6933</v>
      </c>
      <c r="F2221" s="4" t="s">
        <v>6934</v>
      </c>
      <c r="G2221" s="5" t="str">
        <f>IFERROR(__xludf.DUMMYFUNCTION("GOOGLETRANSLATE(D2221,""en"",""es"")"),"niñera")</f>
        <v>niñera</v>
      </c>
      <c r="H2221" s="4" t="s">
        <v>6932</v>
      </c>
      <c r="I2221" s="4" t="s">
        <v>6935</v>
      </c>
      <c r="J2221" s="4" t="s">
        <v>6936</v>
      </c>
      <c r="K2221" s="4" t="s">
        <v>6932</v>
      </c>
      <c r="L2221" s="4" t="s">
        <v>6937</v>
      </c>
      <c r="M2221" s="4" t="s">
        <v>6938</v>
      </c>
    </row>
    <row r="2222">
      <c r="A2222" s="4">
        <v>264.0</v>
      </c>
      <c r="B2222" s="4" t="s">
        <v>8005</v>
      </c>
      <c r="C2222" s="4"/>
      <c r="D2222" s="4" t="s">
        <v>2928</v>
      </c>
      <c r="E2222" s="4" t="s">
        <v>2929</v>
      </c>
      <c r="F2222" s="4" t="s">
        <v>2928</v>
      </c>
      <c r="G2222" s="5" t="str">
        <f>IFERROR(__xludf.DUMMYFUNCTION("GOOGLETRANSLATE(D2222,""en"",""es"")"),"siesta")</f>
        <v>siesta</v>
      </c>
      <c r="H2222" s="4" t="s">
        <v>6461</v>
      </c>
      <c r="I2222" s="4" t="s">
        <v>2928</v>
      </c>
      <c r="J2222" s="4" t="s">
        <v>2928</v>
      </c>
      <c r="K2222" s="4" t="s">
        <v>483</v>
      </c>
      <c r="L2222" s="4" t="s">
        <v>2928</v>
      </c>
      <c r="M2222" s="4" t="s">
        <v>2928</v>
      </c>
      <c r="N2222" s="4" t="s">
        <v>6939</v>
      </c>
      <c r="O2222" s="4" t="s">
        <v>6940</v>
      </c>
      <c r="P2222" s="4" t="s">
        <v>6941</v>
      </c>
      <c r="Q2222" s="4" t="s">
        <v>6942</v>
      </c>
      <c r="R2222" s="4" t="s">
        <v>6943</v>
      </c>
      <c r="S2222" s="4" t="s">
        <v>6944</v>
      </c>
      <c r="T2222" s="4" t="s">
        <v>2928</v>
      </c>
      <c r="U2222" s="4" t="s">
        <v>2928</v>
      </c>
      <c r="V2222" s="4" t="s">
        <v>6939</v>
      </c>
      <c r="W2222" s="4" t="s">
        <v>6945</v>
      </c>
    </row>
    <row r="2223">
      <c r="A2223" s="4">
        <v>265.0</v>
      </c>
      <c r="B2223" s="4" t="s">
        <v>8005</v>
      </c>
      <c r="C2223" s="4"/>
      <c r="D2223" s="4" t="s">
        <v>6946</v>
      </c>
      <c r="E2223" s="4" t="s">
        <v>2929</v>
      </c>
      <c r="F2223" s="4" t="s">
        <v>2928</v>
      </c>
      <c r="G2223" s="5" t="str">
        <f>IFERROR(__xludf.DUMMYFUNCTION("GOOGLETRANSLATE(D2223,""en"",""es"")"),"pizca")</f>
        <v>pizca</v>
      </c>
    </row>
    <row r="2224">
      <c r="A2224" s="4">
        <v>266.0</v>
      </c>
      <c r="B2224" s="4" t="s">
        <v>8005</v>
      </c>
      <c r="C2224" s="4"/>
      <c r="D2224" s="4" t="s">
        <v>6947</v>
      </c>
      <c r="E2224" s="4" t="s">
        <v>6948</v>
      </c>
      <c r="F2224" s="4" t="s">
        <v>6949</v>
      </c>
      <c r="G2224" s="5" t="str">
        <f>IFERROR(__xludf.DUMMYFUNCTION("GOOGLETRANSLATE(D2224,""en"",""es"")"),"pañal")</f>
        <v>pañal</v>
      </c>
      <c r="H2224" s="4" t="s">
        <v>6950</v>
      </c>
      <c r="I2224" s="4" t="s">
        <v>6947</v>
      </c>
      <c r="J2224" s="4" t="s">
        <v>6951</v>
      </c>
      <c r="K2224" s="4" t="s">
        <v>6952</v>
      </c>
      <c r="L2224" s="4" t="s">
        <v>6953</v>
      </c>
      <c r="M2224" s="4" t="s">
        <v>6954</v>
      </c>
      <c r="N2224" s="4" t="s">
        <v>6955</v>
      </c>
      <c r="O2224" s="4" t="s">
        <v>6947</v>
      </c>
    </row>
    <row r="2225">
      <c r="A2225" s="4">
        <v>267.0</v>
      </c>
      <c r="B2225" s="4" t="s">
        <v>8005</v>
      </c>
      <c r="C2225" s="4"/>
      <c r="D2225" s="4" t="s">
        <v>383</v>
      </c>
      <c r="E2225" s="4" t="s">
        <v>6122</v>
      </c>
      <c r="F2225" s="4" t="s">
        <v>383</v>
      </c>
      <c r="G2225" s="5" t="str">
        <f>IFERROR(__xludf.DUMMYFUNCTION("GOOGLETRANSLATE(D2225,""en"",""es"")"),"nash")</f>
        <v>nash</v>
      </c>
      <c r="H2225" s="4" t="s">
        <v>6956</v>
      </c>
      <c r="I2225" s="4" t="s">
        <v>6957</v>
      </c>
    </row>
    <row r="2226">
      <c r="A2226" s="4">
        <v>268.0</v>
      </c>
      <c r="B2226" s="4" t="s">
        <v>8005</v>
      </c>
      <c r="C2226" s="4"/>
      <c r="D2226" s="4" t="s">
        <v>6958</v>
      </c>
      <c r="E2226" s="4" t="s">
        <v>6959</v>
      </c>
      <c r="F2226" s="4" t="s">
        <v>6960</v>
      </c>
      <c r="G2226" s="5" t="str">
        <f>IFERROR(__xludf.DUMMYFUNCTION("GOOGLETRANSLATE(D2226,""en"",""es"")"),"elegante")</f>
        <v>elegante</v>
      </c>
      <c r="H2226" s="4" t="s">
        <v>6961</v>
      </c>
      <c r="I2226" s="4" t="s">
        <v>6962</v>
      </c>
      <c r="J2226" s="4" t="s">
        <v>6963</v>
      </c>
      <c r="K2226" s="4" t="s">
        <v>6958</v>
      </c>
      <c r="L2226" s="4" t="s">
        <v>6964</v>
      </c>
      <c r="M2226" s="4" t="s">
        <v>6965</v>
      </c>
      <c r="N2226" s="4" t="s">
        <v>6966</v>
      </c>
      <c r="O2226" s="4" t="s">
        <v>6967</v>
      </c>
      <c r="P2226" s="4" t="s">
        <v>6968</v>
      </c>
    </row>
    <row r="2227">
      <c r="A2227" s="4">
        <v>269.0</v>
      </c>
      <c r="B2227" s="4" t="s">
        <v>8005</v>
      </c>
      <c r="C2227" s="4"/>
      <c r="D2227" s="4" t="s">
        <v>4277</v>
      </c>
      <c r="E2227" s="4" t="s">
        <v>6969</v>
      </c>
      <c r="F2227" s="4" t="s">
        <v>6970</v>
      </c>
      <c r="G2227" s="5" t="str">
        <f>IFERROR(__xludf.DUMMYFUNCTION("GOOGLETRANSLATE(D2227,""en"",""es"")"),"mella")</f>
        <v>mella</v>
      </c>
      <c r="H2227" s="4" t="s">
        <v>4275</v>
      </c>
      <c r="I2227" s="4" t="s">
        <v>4082</v>
      </c>
      <c r="J2227" s="4" t="s">
        <v>4276</v>
      </c>
      <c r="K2227" s="4" t="s">
        <v>4277</v>
      </c>
      <c r="L2227" s="4" t="s">
        <v>4277</v>
      </c>
      <c r="M2227" s="4" t="s">
        <v>3383</v>
      </c>
      <c r="N2227" s="4" t="s">
        <v>4277</v>
      </c>
      <c r="O2227" s="4" t="s">
        <v>6971</v>
      </c>
      <c r="P2227" s="4" t="s">
        <v>4277</v>
      </c>
      <c r="Q2227" s="4" t="s">
        <v>6971</v>
      </c>
      <c r="R2227" s="4" t="s">
        <v>4277</v>
      </c>
      <c r="S2227" s="4" t="s">
        <v>2603</v>
      </c>
      <c r="T2227" s="4" t="s">
        <v>4277</v>
      </c>
      <c r="U2227" s="4" t="s">
        <v>4277</v>
      </c>
    </row>
    <row r="2228">
      <c r="A2228" s="4">
        <v>270.0</v>
      </c>
      <c r="B2228" s="4" t="s">
        <v>8005</v>
      </c>
      <c r="C2228" s="4"/>
      <c r="D2228" s="4" t="s">
        <v>6972</v>
      </c>
      <c r="E2228" s="4" t="s">
        <v>6973</v>
      </c>
      <c r="F2228" s="4" t="s">
        <v>6972</v>
      </c>
      <c r="G2228" s="5" t="str">
        <f>IFERROR(__xludf.DUMMYFUNCTION("GOOGLETRANSLATE(D2228,""en"",""es"")"),"nihil")</f>
        <v>nihil</v>
      </c>
      <c r="H2228" s="4" t="s">
        <v>6972</v>
      </c>
    </row>
    <row r="2229">
      <c r="A2229" s="4">
        <v>271.0</v>
      </c>
      <c r="B2229" s="4" t="s">
        <v>8005</v>
      </c>
      <c r="C2229" s="4"/>
      <c r="D2229" s="4" t="s">
        <v>2976</v>
      </c>
      <c r="E2229" s="4" t="s">
        <v>6974</v>
      </c>
      <c r="F2229" s="4" t="s">
        <v>2976</v>
      </c>
      <c r="G2229" s="5" t="str">
        <f>IFERROR(__xludf.DUMMYFUNCTION("GOOGLETRANSLATE(D2229,""en"",""es"")"),"nulo")</f>
        <v>nulo</v>
      </c>
      <c r="H2229" s="4" t="s">
        <v>6975</v>
      </c>
      <c r="I2229" s="4" t="s">
        <v>2976</v>
      </c>
      <c r="J2229" s="4" t="s">
        <v>6976</v>
      </c>
      <c r="K2229" s="4" t="s">
        <v>6977</v>
      </c>
      <c r="M2229" s="4" t="s">
        <v>6978</v>
      </c>
      <c r="N2229" s="4" t="s">
        <v>6979</v>
      </c>
      <c r="O2229" s="4" t="s">
        <v>6980</v>
      </c>
      <c r="P2229" s="4" t="s">
        <v>6981</v>
      </c>
      <c r="Q2229" s="4" t="s">
        <v>6982</v>
      </c>
      <c r="R2229" s="4" t="s">
        <v>6983</v>
      </c>
      <c r="S2229" s="4" t="s">
        <v>6984</v>
      </c>
      <c r="T2229" s="4" t="s">
        <v>6985</v>
      </c>
      <c r="U2229" s="4" t="s">
        <v>6986</v>
      </c>
    </row>
    <row r="2230">
      <c r="A2230" s="4">
        <v>272.0</v>
      </c>
      <c r="B2230" s="4" t="s">
        <v>8005</v>
      </c>
      <c r="C2230" s="4"/>
      <c r="D2230" s="4" t="s">
        <v>6987</v>
      </c>
      <c r="E2230" s="4" t="s">
        <v>6974</v>
      </c>
      <c r="F2230" s="4" t="s">
        <v>2976</v>
      </c>
      <c r="G2230" s="5" t="str">
        <f>IFERROR(__xludf.DUMMYFUNCTION("GOOGLETRANSLATE(D2230,""en"",""es"")"),"altillo")</f>
        <v>altillo</v>
      </c>
    </row>
    <row r="2231">
      <c r="A2231" s="4">
        <v>273.0</v>
      </c>
      <c r="B2231" s="4" t="s">
        <v>8005</v>
      </c>
      <c r="C2231" s="4"/>
      <c r="D2231" s="4" t="s">
        <v>6988</v>
      </c>
      <c r="E2231" s="4" t="s">
        <v>6989</v>
      </c>
      <c r="F2231" s="4" t="s">
        <v>6988</v>
      </c>
      <c r="G2231" s="5" t="str">
        <f>IFERROR(__xludf.DUMMYFUNCTION("GOOGLETRANSLATE(D2231,""en"",""es"")"),"nim")</f>
        <v>nim</v>
      </c>
      <c r="H2231" s="4" t="s">
        <v>6988</v>
      </c>
    </row>
    <row r="2232">
      <c r="A2232" s="4">
        <v>274.0</v>
      </c>
      <c r="B2232" s="4" t="s">
        <v>8005</v>
      </c>
      <c r="C2232" s="4"/>
      <c r="D2232" s="4" t="s">
        <v>6990</v>
      </c>
      <c r="E2232" s="4" t="s">
        <v>6989</v>
      </c>
      <c r="F2232" s="4" t="s">
        <v>6988</v>
      </c>
      <c r="G2232" s="5" t="str">
        <f>IFERROR(__xludf.DUMMYFUNCTION("GOOGLETRANSLATE(D2232,""en"",""es"")"),"niMB")</f>
        <v>niMB</v>
      </c>
    </row>
    <row r="2233">
      <c r="A2233" s="4">
        <v>275.0</v>
      </c>
      <c r="B2233" s="4" t="s">
        <v>8005</v>
      </c>
      <c r="C2233" s="4"/>
      <c r="D2233" s="4" t="s">
        <v>2980</v>
      </c>
      <c r="E2233" s="4" t="s">
        <v>6991</v>
      </c>
      <c r="F2233" s="4" t="s">
        <v>2980</v>
      </c>
      <c r="G2233" s="5" t="str">
        <f>IFERROR(__xludf.DUMMYFUNCTION("GOOGLETRANSLATE(D2233,""en"",""es"")"),"Nin")</f>
        <v>Nin</v>
      </c>
    </row>
    <row r="2234">
      <c r="A2234" s="4">
        <v>276.0</v>
      </c>
      <c r="B2234" s="4" t="s">
        <v>8005</v>
      </c>
      <c r="C2234" s="4"/>
      <c r="D2234" s="4" t="s">
        <v>6992</v>
      </c>
      <c r="E2234" s="4" t="s">
        <v>6993</v>
      </c>
      <c r="F2234" s="4" t="s">
        <v>6994</v>
      </c>
      <c r="G2234" s="5" t="str">
        <f>IFERROR(__xludf.DUMMYFUNCTION("GOOGLETRANSLATE(D2234,""en"",""es"")"),"bobo")</f>
        <v>bobo</v>
      </c>
      <c r="H2234" s="4" t="s">
        <v>6995</v>
      </c>
      <c r="I2234" s="4" t="s">
        <v>6996</v>
      </c>
      <c r="J2234" s="4" t="s">
        <v>6992</v>
      </c>
    </row>
    <row r="2235">
      <c r="A2235" s="4">
        <v>277.0</v>
      </c>
      <c r="B2235" s="4" t="s">
        <v>8005</v>
      </c>
      <c r="C2235" s="4"/>
      <c r="D2235" s="4" t="s">
        <v>4298</v>
      </c>
      <c r="E2235" s="4" t="s">
        <v>6997</v>
      </c>
      <c r="F2235" s="4" t="s">
        <v>4298</v>
      </c>
      <c r="G2235" s="5" t="str">
        <f>IFERROR(__xludf.DUMMYFUNCTION("GOOGLETRANSLATE(D2235,""en"",""es"")"),"cortar")</f>
        <v>cortar</v>
      </c>
      <c r="H2235" s="4" t="s">
        <v>4298</v>
      </c>
      <c r="I2235" s="4" t="s">
        <v>6998</v>
      </c>
      <c r="J2235" s="4" t="s">
        <v>6999</v>
      </c>
      <c r="K2235" s="4" t="s">
        <v>7000</v>
      </c>
      <c r="L2235" s="4" t="s">
        <v>7001</v>
      </c>
      <c r="M2235" s="4" t="s">
        <v>6678</v>
      </c>
      <c r="N2235" s="4" t="s">
        <v>6679</v>
      </c>
      <c r="O2235" s="4" t="s">
        <v>7002</v>
      </c>
      <c r="P2235" s="4" t="s">
        <v>7003</v>
      </c>
      <c r="Q2235" s="4" t="s">
        <v>7004</v>
      </c>
      <c r="R2235" s="4" t="s">
        <v>7005</v>
      </c>
      <c r="S2235" s="4" t="s">
        <v>4298</v>
      </c>
      <c r="T2235" s="4" t="s">
        <v>7006</v>
      </c>
      <c r="U2235" s="4" t="s">
        <v>7007</v>
      </c>
      <c r="V2235" s="4" t="s">
        <v>7008</v>
      </c>
      <c r="W2235" s="4" t="s">
        <v>4298</v>
      </c>
      <c r="X2235" s="4" t="s">
        <v>4298</v>
      </c>
      <c r="Y2235" s="4" t="s">
        <v>7009</v>
      </c>
      <c r="Z2235" s="4" t="s">
        <v>7010</v>
      </c>
      <c r="AA2235" s="4" t="s">
        <v>7011</v>
      </c>
      <c r="AB2235" s="4" t="s">
        <v>7006</v>
      </c>
      <c r="AC2235" s="4" t="s">
        <v>7012</v>
      </c>
      <c r="AD2235" s="4" t="s">
        <v>7013</v>
      </c>
      <c r="AE2235" s="4" t="s">
        <v>4298</v>
      </c>
      <c r="AF2235" s="4" t="s">
        <v>6302</v>
      </c>
      <c r="AG2235" s="4" t="s">
        <v>6302</v>
      </c>
      <c r="AH2235" s="4" t="s">
        <v>6776</v>
      </c>
      <c r="AI2235" s="4" t="s">
        <v>3503</v>
      </c>
      <c r="AJ2235" s="4" t="s">
        <v>7014</v>
      </c>
      <c r="AK2235" s="4" t="s">
        <v>4298</v>
      </c>
      <c r="AL2235" s="4" t="s">
        <v>4435</v>
      </c>
      <c r="AM2235" s="4" t="s">
        <v>4298</v>
      </c>
      <c r="AN2235" s="4" t="s">
        <v>4298</v>
      </c>
      <c r="AO2235" s="4" t="s">
        <v>4299</v>
      </c>
      <c r="AP2235" s="4" t="s">
        <v>928</v>
      </c>
      <c r="AQ2235" s="4" t="s">
        <v>4300</v>
      </c>
      <c r="AR2235" s="4" t="s">
        <v>4301</v>
      </c>
    </row>
    <row r="2236">
      <c r="A2236" s="4">
        <v>278.0</v>
      </c>
      <c r="B2236" s="4" t="s">
        <v>8005</v>
      </c>
      <c r="C2236" s="4"/>
      <c r="D2236" s="4" t="s">
        <v>7015</v>
      </c>
      <c r="E2236" s="4" t="s">
        <v>7016</v>
      </c>
      <c r="F2236" s="4" t="s">
        <v>7017</v>
      </c>
      <c r="G2236" s="5" t="str">
        <f>IFERROR(__xludf.DUMMYFUNCTION("GOOGLETRANSLATE(D2236,""en"",""es"")"),"ágil")</f>
        <v>ágil</v>
      </c>
      <c r="H2236" s="4" t="s">
        <v>7015</v>
      </c>
      <c r="I2236" s="4" t="s">
        <v>6952</v>
      </c>
      <c r="J2236" s="4" t="s">
        <v>7018</v>
      </c>
      <c r="K2236" s="4" t="s">
        <v>7019</v>
      </c>
      <c r="L2236" s="4" t="s">
        <v>7015</v>
      </c>
      <c r="M2236" s="4" t="s">
        <v>6967</v>
      </c>
    </row>
    <row r="2237">
      <c r="A2237" s="4">
        <v>279.0</v>
      </c>
      <c r="B2237" s="4" t="s">
        <v>8005</v>
      </c>
      <c r="C2237" s="4"/>
      <c r="D2237" s="4" t="s">
        <v>7020</v>
      </c>
      <c r="E2237" s="4" t="s">
        <v>7021</v>
      </c>
      <c r="F2237" s="4" t="s">
        <v>7022</v>
      </c>
      <c r="G2237" s="5" t="str">
        <f>IFERROR(__xludf.DUMMYFUNCTION("GOOGLETRANSLATE(D2237,""en"",""es"")"),"con timbre")</f>
        <v>con timbre</v>
      </c>
    </row>
    <row r="2238">
      <c r="A2238" s="4">
        <v>280.0</v>
      </c>
      <c r="B2238" s="4" t="s">
        <v>8005</v>
      </c>
      <c r="C2238" s="4"/>
      <c r="D2238" s="4" t="s">
        <v>7023</v>
      </c>
      <c r="E2238" s="4" t="s">
        <v>7024</v>
      </c>
      <c r="F2238" s="4" t="s">
        <v>7025</v>
      </c>
      <c r="G2238" s="5" t="str">
        <f>IFERROR(__xludf.DUMMYFUNCTION("GOOGLETRANSLATE(D2238,""en"",""es"")"),"piojoso")</f>
        <v>piojoso</v>
      </c>
    </row>
    <row r="2239">
      <c r="A2239" s="4">
        <v>281.0</v>
      </c>
      <c r="B2239" s="4" t="s">
        <v>8005</v>
      </c>
      <c r="C2239" s="4"/>
      <c r="D2239" s="4" t="s">
        <v>7026</v>
      </c>
      <c r="E2239" s="4" t="s">
        <v>7027</v>
      </c>
      <c r="F2239" s="4" t="s">
        <v>7028</v>
      </c>
      <c r="G2239" s="5" t="str">
        <f>IFERROR(__xludf.DUMMYFUNCTION("GOOGLETRANSLATE(D2239,""en"",""es"")"),"rincón")</f>
        <v>rincón</v>
      </c>
      <c r="H2239" s="4" t="s">
        <v>7026</v>
      </c>
      <c r="I2239" s="4" t="s">
        <v>7029</v>
      </c>
      <c r="J2239" s="4" t="s">
        <v>7026</v>
      </c>
    </row>
    <row r="2240">
      <c r="A2240" s="4">
        <v>282.0</v>
      </c>
      <c r="B2240" s="4" t="s">
        <v>8005</v>
      </c>
      <c r="C2240" s="4"/>
      <c r="D2240" s="4" t="s">
        <v>5896</v>
      </c>
      <c r="E2240" s="4" t="s">
        <v>7030</v>
      </c>
      <c r="F2240" s="4" t="s">
        <v>7031</v>
      </c>
      <c r="G2240" s="5" t="str">
        <f>IFERROR(__xludf.DUMMYFUNCTION("GOOGLETRANSLATE(D2240,""en"",""es"")"),"nokie")</f>
        <v>nokie</v>
      </c>
      <c r="H2240" s="4" t="s">
        <v>5891</v>
      </c>
      <c r="I2240" s="4" t="s">
        <v>5892</v>
      </c>
      <c r="J2240" s="4" t="s">
        <v>5893</v>
      </c>
      <c r="K2240" s="4" t="s">
        <v>5894</v>
      </c>
      <c r="L2240" s="4" t="s">
        <v>1627</v>
      </c>
      <c r="M2240" s="4" t="s">
        <v>5895</v>
      </c>
      <c r="N2240" s="4" t="s">
        <v>5896</v>
      </c>
      <c r="O2240" s="4" t="s">
        <v>5897</v>
      </c>
      <c r="P2240" s="4" t="s">
        <v>5898</v>
      </c>
      <c r="Q2240" s="4" t="s">
        <v>5899</v>
      </c>
      <c r="R2240" s="4" t="s">
        <v>5900</v>
      </c>
      <c r="S2240" s="4" t="s">
        <v>5901</v>
      </c>
    </row>
    <row r="2241">
      <c r="A2241" s="4">
        <v>283.0</v>
      </c>
      <c r="B2241" s="4" t="s">
        <v>8005</v>
      </c>
      <c r="C2241" s="4"/>
      <c r="D2241" s="4" t="s">
        <v>7032</v>
      </c>
      <c r="E2241" s="4" t="s">
        <v>7033</v>
      </c>
      <c r="F2241" s="4" t="s">
        <v>7032</v>
      </c>
      <c r="G2241" s="5" t="str">
        <f>IFERROR(__xludf.DUMMYFUNCTION("GOOGLETRANSLATE(D2241,""en"",""es"")"),"monja")</f>
        <v>monja</v>
      </c>
      <c r="H2241" s="4" t="s">
        <v>7032</v>
      </c>
      <c r="I2241" s="4" t="s">
        <v>7034</v>
      </c>
      <c r="J2241" s="4" t="s">
        <v>7032</v>
      </c>
      <c r="K2241" s="4" t="s">
        <v>7035</v>
      </c>
      <c r="L2241" s="4" t="s">
        <v>7032</v>
      </c>
    </row>
    <row r="2242">
      <c r="A2242" s="4">
        <v>284.0</v>
      </c>
      <c r="B2242" s="4" t="s">
        <v>8005</v>
      </c>
      <c r="C2242" s="4"/>
      <c r="D2242" s="4" t="s">
        <v>7036</v>
      </c>
      <c r="E2242" s="4" t="s">
        <v>6989</v>
      </c>
      <c r="F2242" s="4" t="s">
        <v>6988</v>
      </c>
      <c r="G2242" s="5" t="str">
        <f>IFERROR(__xludf.DUMMYFUNCTION("GOOGLETRANSLATE(D2242,""en"",""es"")"),"nym")</f>
        <v>nym</v>
      </c>
    </row>
    <row r="2243">
      <c r="A2243" s="4">
        <v>285.0</v>
      </c>
      <c r="B2243" s="4" t="s">
        <v>8005</v>
      </c>
      <c r="C2243" s="4"/>
      <c r="D2243" s="4" t="s">
        <v>7037</v>
      </c>
      <c r="E2243" s="4" t="s">
        <v>7038</v>
      </c>
      <c r="F2243" s="4" t="s">
        <v>275</v>
      </c>
      <c r="G2243" s="5" t="str">
        <f>IFERROR(__xludf.DUMMYFUNCTION("GOOGLETRANSLATE(D2243,""en"",""es"")"),"oom")</f>
        <v>oom</v>
      </c>
    </row>
    <row r="2244">
      <c r="A2244" s="4">
        <v>286.0</v>
      </c>
      <c r="B2244" s="4" t="s">
        <v>8005</v>
      </c>
      <c r="C2244" s="4"/>
      <c r="D2244" s="4" t="s">
        <v>7039</v>
      </c>
      <c r="E2244" s="4" t="s">
        <v>7040</v>
      </c>
      <c r="F2244" s="4" t="s">
        <v>7041</v>
      </c>
      <c r="G2244" s="5" t="str">
        <f>IFERROR(__xludf.DUMMYFUNCTION("GOOGLETRANSLATE(D2244,""en"",""es"")"),"oop")</f>
        <v>oop</v>
      </c>
    </row>
    <row r="2245">
      <c r="A2245" s="4">
        <v>287.0</v>
      </c>
      <c r="B2245" s="4" t="s">
        <v>8005</v>
      </c>
      <c r="C2245" s="4"/>
      <c r="D2245" s="4" t="s">
        <v>2543</v>
      </c>
      <c r="E2245" s="4" t="s">
        <v>7042</v>
      </c>
      <c r="F2245" s="4" t="s">
        <v>392</v>
      </c>
      <c r="G2245" s="5" t="str">
        <f>IFERROR(__xludf.DUMMYFUNCTION("GOOGLETRANSLATE(D2245,""en"",""es"")"),"paquete")</f>
        <v>paquete</v>
      </c>
      <c r="H2245" s="4" t="s">
        <v>2540</v>
      </c>
      <c r="I2245" s="4" t="s">
        <v>2541</v>
      </c>
      <c r="J2245" s="4" t="s">
        <v>2532</v>
      </c>
      <c r="K2245" s="4" t="s">
        <v>2542</v>
      </c>
      <c r="L2245" s="4" t="s">
        <v>2543</v>
      </c>
      <c r="M2245" s="4" t="s">
        <v>2543</v>
      </c>
      <c r="N2245" s="4" t="s">
        <v>2543</v>
      </c>
      <c r="O2245" s="4" t="s">
        <v>7043</v>
      </c>
      <c r="P2245" s="4" t="s">
        <v>2543</v>
      </c>
      <c r="Q2245" s="4" t="s">
        <v>4080</v>
      </c>
      <c r="R2245" s="4" t="s">
        <v>7044</v>
      </c>
      <c r="S2245" s="4" t="s">
        <v>4385</v>
      </c>
      <c r="T2245" s="4" t="s">
        <v>4386</v>
      </c>
      <c r="U2245" s="4" t="s">
        <v>4387</v>
      </c>
      <c r="V2245" s="4" t="s">
        <v>4388</v>
      </c>
      <c r="W2245" s="4" t="s">
        <v>2543</v>
      </c>
      <c r="X2245" s="4" t="s">
        <v>1058</v>
      </c>
      <c r="Y2245" s="4" t="s">
        <v>2543</v>
      </c>
      <c r="Z2245" s="4" t="s">
        <v>2543</v>
      </c>
      <c r="AA2245" s="4" t="s">
        <v>7045</v>
      </c>
      <c r="AB2245" s="4" t="s">
        <v>2543</v>
      </c>
      <c r="AC2245" s="4" t="s">
        <v>2543</v>
      </c>
      <c r="AD2245" s="4" t="s">
        <v>2543</v>
      </c>
      <c r="AE2245" s="4" t="s">
        <v>2543</v>
      </c>
      <c r="AF2245" s="4" t="s">
        <v>2543</v>
      </c>
      <c r="AG2245" s="4" t="s">
        <v>7046</v>
      </c>
      <c r="AH2245" s="4" t="s">
        <v>780</v>
      </c>
      <c r="AI2245" s="4" t="s">
        <v>7047</v>
      </c>
      <c r="AJ2245" s="4" t="s">
        <v>2543</v>
      </c>
      <c r="AK2245" s="4" t="s">
        <v>2543</v>
      </c>
      <c r="AL2245" s="4" t="s">
        <v>7048</v>
      </c>
      <c r="AM2245" s="4" t="s">
        <v>2543</v>
      </c>
      <c r="AN2245" s="4" t="s">
        <v>887</v>
      </c>
      <c r="AO2245" s="4" t="s">
        <v>2537</v>
      </c>
      <c r="AP2245" s="4" t="s">
        <v>7044</v>
      </c>
      <c r="AQ2245" s="4" t="s">
        <v>2543</v>
      </c>
      <c r="AR2245" s="4" t="s">
        <v>483</v>
      </c>
      <c r="AS2245" s="4" t="s">
        <v>775</v>
      </c>
      <c r="AT2245" s="4" t="s">
        <v>7049</v>
      </c>
      <c r="AU2245" s="4" t="s">
        <v>2543</v>
      </c>
      <c r="AV2245" s="4" t="s">
        <v>3517</v>
      </c>
      <c r="AW2245" s="4" t="s">
        <v>3518</v>
      </c>
      <c r="AX2245" s="4" t="s">
        <v>2543</v>
      </c>
      <c r="AY2245" s="4" t="s">
        <v>2543</v>
      </c>
      <c r="AZ2245" s="4" t="s">
        <v>7047</v>
      </c>
      <c r="BA2245" s="4" t="s">
        <v>2543</v>
      </c>
      <c r="BB2245" s="4" t="s">
        <v>2543</v>
      </c>
      <c r="BC2245" s="4" t="s">
        <v>7050</v>
      </c>
      <c r="BD2245" s="4" t="s">
        <v>2543</v>
      </c>
    </row>
    <row r="2246">
      <c r="A2246" s="4">
        <v>288.0</v>
      </c>
      <c r="B2246" s="4" t="s">
        <v>8005</v>
      </c>
      <c r="C2246" s="4"/>
      <c r="D2246" s="4" t="s">
        <v>7051</v>
      </c>
      <c r="E2246" s="4" t="s">
        <v>7052</v>
      </c>
      <c r="F2246" s="4" t="s">
        <v>7051</v>
      </c>
      <c r="G2246" s="5" t="str">
        <f>IFERROR(__xludf.DUMMYFUNCTION("GOOGLETRANSLATE(D2246,""en"",""es"")"),"paquistaní")</f>
        <v>paquistaní</v>
      </c>
    </row>
    <row r="2247">
      <c r="A2247" s="4">
        <v>289.0</v>
      </c>
      <c r="B2247" s="4" t="s">
        <v>8005</v>
      </c>
      <c r="C2247" s="4"/>
      <c r="D2247" s="4" t="s">
        <v>3161</v>
      </c>
      <c r="E2247" s="4" t="s">
        <v>3162</v>
      </c>
      <c r="F2247" s="4" t="s">
        <v>3161</v>
      </c>
      <c r="G2247" s="5" t="str">
        <f>IFERROR(__xludf.DUMMYFUNCTION("GOOGLETRANSLATE(D2247,""en"",""es"")"),"camarada")</f>
        <v>camarada</v>
      </c>
      <c r="H2247" s="4" t="s">
        <v>7053</v>
      </c>
      <c r="I2247" s="4" t="s">
        <v>7054</v>
      </c>
      <c r="J2247" s="4" t="s">
        <v>7055</v>
      </c>
      <c r="K2247" s="4" t="s">
        <v>7056</v>
      </c>
      <c r="L2247" s="4" t="s">
        <v>3161</v>
      </c>
      <c r="M2247" s="4" t="s">
        <v>7057</v>
      </c>
      <c r="N2247" s="4" t="s">
        <v>3161</v>
      </c>
      <c r="O2247" s="4" t="s">
        <v>7058</v>
      </c>
      <c r="P2247" s="4" t="s">
        <v>7059</v>
      </c>
    </row>
    <row r="2248">
      <c r="A2248" s="4">
        <v>290.0</v>
      </c>
      <c r="B2248" s="4" t="s">
        <v>8005</v>
      </c>
      <c r="C2248" s="4"/>
      <c r="D2248" s="4" t="s">
        <v>7060</v>
      </c>
      <c r="E2248" s="4" t="s">
        <v>7061</v>
      </c>
      <c r="F2248" s="4" t="s">
        <v>7062</v>
      </c>
      <c r="G2248" s="5" t="str">
        <f>IFERROR(__xludf.DUMMYFUNCTION("GOOGLETRANSLATE(D2248,""en"",""es"")"),"palacio")</f>
        <v>palacio</v>
      </c>
      <c r="H2248" s="4" t="s">
        <v>7060</v>
      </c>
      <c r="I2248" s="4" t="s">
        <v>7063</v>
      </c>
      <c r="J2248" s="4" t="s">
        <v>7060</v>
      </c>
      <c r="K2248" s="4" t="s">
        <v>7060</v>
      </c>
      <c r="L2248" s="4" t="s">
        <v>7060</v>
      </c>
    </row>
    <row r="2249">
      <c r="A2249" s="4">
        <v>291.0</v>
      </c>
      <c r="B2249" s="4" t="s">
        <v>8005</v>
      </c>
      <c r="C2249" s="4"/>
      <c r="D2249" s="4" t="s">
        <v>7064</v>
      </c>
      <c r="E2249" s="4" t="s">
        <v>3185</v>
      </c>
      <c r="F2249" s="4" t="s">
        <v>3184</v>
      </c>
      <c r="G2249" s="5" t="str">
        <f>IFERROR(__xludf.DUMMYFUNCTION("GOOGLETRANSLATE(D2249,""en"",""es"")"),"amistoso")</f>
        <v>amistoso</v>
      </c>
      <c r="H2249" s="4" t="s">
        <v>7065</v>
      </c>
      <c r="I2249" s="4" t="s">
        <v>7066</v>
      </c>
      <c r="J2249" s="4" t="s">
        <v>7064</v>
      </c>
      <c r="K2249" s="4" t="s">
        <v>7067</v>
      </c>
    </row>
    <row r="2250">
      <c r="A2250" s="4">
        <v>292.0</v>
      </c>
      <c r="B2250" s="4" t="s">
        <v>8005</v>
      </c>
      <c r="C2250" s="4"/>
      <c r="D2250" s="4" t="s">
        <v>3257</v>
      </c>
      <c r="E2250" s="4" t="s">
        <v>7068</v>
      </c>
      <c r="F2250" s="4" t="s">
        <v>3257</v>
      </c>
      <c r="G2250" s="5" t="str">
        <f>IFERROR(__xludf.DUMMYFUNCTION("GOOGLETRANSLATE(D2250,""en"",""es"")"),"pam")</f>
        <v>pam</v>
      </c>
    </row>
    <row r="2251">
      <c r="A2251" s="4">
        <v>293.0</v>
      </c>
      <c r="B2251" s="4" t="s">
        <v>8005</v>
      </c>
      <c r="C2251" s="4"/>
      <c r="D2251" s="4" t="s">
        <v>7069</v>
      </c>
      <c r="E2251" s="4" t="s">
        <v>7070</v>
      </c>
      <c r="F2251" s="4" t="s">
        <v>7069</v>
      </c>
      <c r="G2251" s="5" t="str">
        <f>IFERROR(__xludf.DUMMYFUNCTION("GOOGLETRANSLATE(D2251,""en"",""es"")"),"sartén")</f>
        <v>sartén</v>
      </c>
      <c r="H2251" s="4" t="s">
        <v>7069</v>
      </c>
      <c r="I2251" s="4" t="s">
        <v>7071</v>
      </c>
      <c r="J2251" s="4" t="s">
        <v>7072</v>
      </c>
      <c r="K2251" s="4" t="s">
        <v>7073</v>
      </c>
      <c r="L2251" s="4" t="s">
        <v>7069</v>
      </c>
      <c r="M2251" s="4" t="s">
        <v>7072</v>
      </c>
      <c r="N2251" s="4" t="s">
        <v>7074</v>
      </c>
      <c r="O2251" s="4" t="s">
        <v>7069</v>
      </c>
      <c r="P2251" s="4" t="s">
        <v>7069</v>
      </c>
      <c r="Q2251" s="4" t="s">
        <v>7075</v>
      </c>
      <c r="R2251" s="4" t="s">
        <v>7076</v>
      </c>
      <c r="S2251" s="4" t="s">
        <v>7069</v>
      </c>
      <c r="T2251" s="4" t="s">
        <v>7077</v>
      </c>
      <c r="U2251" s="4" t="s">
        <v>3192</v>
      </c>
    </row>
    <row r="2252">
      <c r="A2252" s="4">
        <v>294.0</v>
      </c>
      <c r="B2252" s="4" t="s">
        <v>8005</v>
      </c>
      <c r="C2252" s="4"/>
      <c r="D2252" s="4" t="s">
        <v>3791</v>
      </c>
      <c r="E2252" s="4" t="s">
        <v>7078</v>
      </c>
      <c r="F2252" s="4" t="s">
        <v>3790</v>
      </c>
      <c r="G2252" s="5" t="str">
        <f>IFERROR(__xludf.DUMMYFUNCTION("GOOGLETRANSLATE(D2252,""en"",""es"")"),"pánico")</f>
        <v>pánico</v>
      </c>
      <c r="H2252" s="4" t="s">
        <v>3791</v>
      </c>
      <c r="I2252" s="4" t="s">
        <v>3792</v>
      </c>
      <c r="J2252" s="4" t="s">
        <v>3793</v>
      </c>
      <c r="K2252" s="4" t="s">
        <v>3791</v>
      </c>
      <c r="L2252" s="4" t="s">
        <v>3794</v>
      </c>
      <c r="M2252" s="4" t="s">
        <v>3791</v>
      </c>
      <c r="N2252" s="4" t="s">
        <v>3791</v>
      </c>
    </row>
    <row r="2253">
      <c r="A2253" s="4">
        <v>295.0</v>
      </c>
      <c r="B2253" s="4" t="s">
        <v>8005</v>
      </c>
      <c r="C2253" s="4"/>
      <c r="D2253" s="4" t="s">
        <v>7079</v>
      </c>
      <c r="E2253" s="4" t="s">
        <v>7080</v>
      </c>
      <c r="F2253" s="4" t="s">
        <v>7081</v>
      </c>
      <c r="G2253" s="5" t="str">
        <f>IFERROR(__xludf.DUMMYFUNCTION("GOOGLETRANSLATE(D2253,""en"",""es"")"),"lleno de pánico")</f>
        <v>lleno de pánico</v>
      </c>
      <c r="H2253" s="4" t="s">
        <v>7079</v>
      </c>
      <c r="I2253" s="4" t="s">
        <v>7082</v>
      </c>
      <c r="J2253" s="4" t="s">
        <v>7083</v>
      </c>
      <c r="K2253" s="4" t="s">
        <v>7084</v>
      </c>
      <c r="L2253" s="4" t="s">
        <v>7085</v>
      </c>
      <c r="M2253" s="4" t="s">
        <v>7086</v>
      </c>
    </row>
    <row r="2254">
      <c r="A2254" s="4">
        <v>296.0</v>
      </c>
      <c r="B2254" s="4" t="s">
        <v>8005</v>
      </c>
      <c r="C2254" s="4"/>
      <c r="D2254" s="4" t="s">
        <v>7087</v>
      </c>
      <c r="E2254" s="4" t="s">
        <v>7070</v>
      </c>
      <c r="F2254" s="4" t="s">
        <v>7069</v>
      </c>
      <c r="G2254" s="5" t="str">
        <f>IFERROR(__xludf.DUMMYFUNCTION("GOOGLETRANSLATE(D2254,""en"",""es"")"),"pana")</f>
        <v>pana</v>
      </c>
    </row>
    <row r="2255">
      <c r="A2255" s="4">
        <v>297.0</v>
      </c>
      <c r="B2255" s="4" t="s">
        <v>8005</v>
      </c>
      <c r="C2255" s="4"/>
      <c r="D2255" s="4" t="s">
        <v>7088</v>
      </c>
      <c r="E2255" s="4" t="s">
        <v>7089</v>
      </c>
      <c r="F2255" s="4" t="s">
        <v>7088</v>
      </c>
      <c r="G2255" s="5" t="str">
        <f>IFERROR(__xludf.DUMMYFUNCTION("GOOGLETRANSLATE(D2255,""en"",""es"")"),"papilla")</f>
        <v>papilla</v>
      </c>
      <c r="H2255" s="4" t="s">
        <v>7088</v>
      </c>
      <c r="I2255" s="4" t="s">
        <v>7090</v>
      </c>
      <c r="J2255" s="4" t="s">
        <v>7091</v>
      </c>
      <c r="K2255" s="4" t="s">
        <v>7088</v>
      </c>
      <c r="L2255" s="4" t="s">
        <v>7092</v>
      </c>
      <c r="M2255" s="4" t="s">
        <v>7093</v>
      </c>
      <c r="N2255" s="4" t="s">
        <v>7094</v>
      </c>
      <c r="O2255" s="4" t="s">
        <v>7095</v>
      </c>
      <c r="P2255" s="4" t="s">
        <v>7088</v>
      </c>
      <c r="Q2255" s="4" t="s">
        <v>7096</v>
      </c>
      <c r="R2255" s="4" t="s">
        <v>7097</v>
      </c>
    </row>
    <row r="2256">
      <c r="A2256" s="4">
        <v>298.0</v>
      </c>
      <c r="B2256" s="4" t="s">
        <v>8005</v>
      </c>
      <c r="C2256" s="4"/>
      <c r="D2256" s="4" t="s">
        <v>7098</v>
      </c>
      <c r="E2256" s="4" t="s">
        <v>7099</v>
      </c>
      <c r="F2256" s="4" t="s">
        <v>7100</v>
      </c>
      <c r="G2256" s="5" t="str">
        <f>IFERROR(__xludf.DUMMYFUNCTION("GOOGLETRANSLATE(D2256,""en"",""es"")"),"papá")</f>
        <v>papá</v>
      </c>
    </row>
    <row r="2257">
      <c r="A2257" s="4">
        <v>299.0</v>
      </c>
      <c r="B2257" s="4" t="s">
        <v>8005</v>
      </c>
      <c r="C2257" s="4"/>
      <c r="D2257" s="4" t="s">
        <v>7101</v>
      </c>
      <c r="E2257" s="4" t="s">
        <v>7102</v>
      </c>
      <c r="F2257" s="4" t="s">
        <v>7101</v>
      </c>
      <c r="G2257" s="5" t="str">
        <f>IFERROR(__xludf.DUMMYFUNCTION("GOOGLETRANSLATE(D2257,""en"",""es"")"),"pash")</f>
        <v>pash</v>
      </c>
    </row>
    <row r="2258">
      <c r="A2258" s="4">
        <v>300.0</v>
      </c>
      <c r="B2258" s="4" t="s">
        <v>8005</v>
      </c>
      <c r="C2258" s="4"/>
      <c r="D2258" s="4" t="s">
        <v>647</v>
      </c>
      <c r="E2258" s="4" t="s">
        <v>7103</v>
      </c>
      <c r="F2258" s="4" t="s">
        <v>3361</v>
      </c>
      <c r="G2258" s="5" t="str">
        <f>IFERROR(__xludf.DUMMYFUNCTION("GOOGLETRANSLATE(D2258,""en"",""es"")"),"pasar")</f>
        <v>pasar</v>
      </c>
      <c r="H2258" s="4" t="s">
        <v>7104</v>
      </c>
      <c r="I2258" s="4" t="s">
        <v>1056</v>
      </c>
      <c r="J2258" s="4" t="s">
        <v>647</v>
      </c>
      <c r="K2258" s="4" t="s">
        <v>647</v>
      </c>
      <c r="L2258" s="4" t="s">
        <v>647</v>
      </c>
      <c r="M2258" s="4" t="s">
        <v>7105</v>
      </c>
      <c r="N2258" s="4" t="s">
        <v>7106</v>
      </c>
      <c r="O2258" s="4" t="s">
        <v>3369</v>
      </c>
      <c r="P2258" s="4" t="s">
        <v>647</v>
      </c>
      <c r="Q2258" s="4" t="s">
        <v>3382</v>
      </c>
      <c r="R2258" s="4" t="s">
        <v>3383</v>
      </c>
      <c r="S2258" s="4" t="s">
        <v>647</v>
      </c>
      <c r="T2258" s="4" t="s">
        <v>7107</v>
      </c>
      <c r="U2258" s="4" t="s">
        <v>647</v>
      </c>
      <c r="V2258" s="4" t="s">
        <v>7108</v>
      </c>
      <c r="W2258" s="4" t="s">
        <v>647</v>
      </c>
      <c r="X2258" s="4" t="s">
        <v>647</v>
      </c>
      <c r="Y2258" s="4" t="s">
        <v>7109</v>
      </c>
      <c r="Z2258" s="4" t="s">
        <v>7110</v>
      </c>
      <c r="AA2258" s="4" t="s">
        <v>647</v>
      </c>
      <c r="AB2258" s="4" t="s">
        <v>1209</v>
      </c>
      <c r="AC2258" s="4" t="s">
        <v>7110</v>
      </c>
      <c r="AD2258" s="4" t="s">
        <v>647</v>
      </c>
      <c r="AE2258" s="4" t="s">
        <v>7111</v>
      </c>
      <c r="AF2258" s="4" t="s">
        <v>647</v>
      </c>
      <c r="AG2258" s="4" t="s">
        <v>647</v>
      </c>
      <c r="AH2258" s="4" t="s">
        <v>7112</v>
      </c>
      <c r="AI2258" s="4" t="s">
        <v>647</v>
      </c>
      <c r="AJ2258" s="4" t="s">
        <v>7113</v>
      </c>
      <c r="AK2258" s="4" t="s">
        <v>7114</v>
      </c>
      <c r="AL2258" s="4" t="s">
        <v>637</v>
      </c>
      <c r="AM2258" s="4" t="s">
        <v>647</v>
      </c>
      <c r="AN2258" s="4" t="s">
        <v>7115</v>
      </c>
      <c r="AO2258" s="4" t="s">
        <v>7116</v>
      </c>
      <c r="AP2258" s="4" t="s">
        <v>647</v>
      </c>
      <c r="AQ2258" s="4" t="s">
        <v>4447</v>
      </c>
      <c r="AR2258" s="4" t="s">
        <v>4431</v>
      </c>
      <c r="AS2258" s="4" t="s">
        <v>3369</v>
      </c>
      <c r="AT2258" s="4" t="s">
        <v>647</v>
      </c>
      <c r="AU2258" s="4" t="s">
        <v>7117</v>
      </c>
      <c r="AV2258" s="4" t="s">
        <v>3361</v>
      </c>
      <c r="AW2258" s="4" t="s">
        <v>647</v>
      </c>
      <c r="AX2258" s="4" t="s">
        <v>7118</v>
      </c>
      <c r="AY2258" s="4" t="s">
        <v>7119</v>
      </c>
      <c r="AZ2258" s="4" t="s">
        <v>3417</v>
      </c>
      <c r="BA2258" s="4" t="s">
        <v>3418</v>
      </c>
      <c r="BB2258" s="4" t="s">
        <v>3419</v>
      </c>
      <c r="BC2258" s="4" t="s">
        <v>3420</v>
      </c>
      <c r="BD2258" s="4" t="s">
        <v>3421</v>
      </c>
      <c r="BE2258" s="4" t="s">
        <v>647</v>
      </c>
      <c r="BF2258" s="4" t="s">
        <v>7120</v>
      </c>
      <c r="BG2258" s="4" t="s">
        <v>647</v>
      </c>
      <c r="BH2258" s="4" t="s">
        <v>7121</v>
      </c>
      <c r="BI2258" s="4" t="s">
        <v>3416</v>
      </c>
      <c r="BJ2258" s="4" t="s">
        <v>647</v>
      </c>
      <c r="BK2258" s="4" t="s">
        <v>7122</v>
      </c>
      <c r="BL2258" s="4" t="s">
        <v>7123</v>
      </c>
      <c r="BM2258" s="4" t="s">
        <v>7124</v>
      </c>
      <c r="BN2258" s="4" t="s">
        <v>3421</v>
      </c>
      <c r="BO2258" s="4" t="s">
        <v>7125</v>
      </c>
      <c r="BP2258" s="4" t="s">
        <v>7126</v>
      </c>
      <c r="BQ2258" s="4" t="s">
        <v>647</v>
      </c>
      <c r="BR2258" s="4" t="s">
        <v>2858</v>
      </c>
      <c r="BS2258" s="4" t="s">
        <v>3423</v>
      </c>
      <c r="BT2258" s="4" t="s">
        <v>1496</v>
      </c>
      <c r="BU2258" s="4" t="s">
        <v>3424</v>
      </c>
      <c r="BV2258" s="4" t="s">
        <v>1503</v>
      </c>
      <c r="BW2258" s="4" t="s">
        <v>646</v>
      </c>
      <c r="BX2258" s="4" t="s">
        <v>637</v>
      </c>
      <c r="BY2258" s="4" t="s">
        <v>647</v>
      </c>
      <c r="BZ2258" s="4" t="s">
        <v>648</v>
      </c>
      <c r="CA2258" s="4" t="s">
        <v>649</v>
      </c>
      <c r="CB2258" s="4" t="s">
        <v>647</v>
      </c>
      <c r="CC2258" s="4" t="s">
        <v>7127</v>
      </c>
      <c r="CD2258" s="4" t="s">
        <v>7128</v>
      </c>
      <c r="CE2258" s="4" t="s">
        <v>3398</v>
      </c>
      <c r="CF2258" s="4" t="s">
        <v>3399</v>
      </c>
      <c r="CG2258" s="4" t="s">
        <v>3400</v>
      </c>
      <c r="CH2258" s="4" t="s">
        <v>3401</v>
      </c>
      <c r="CI2258" s="4" t="s">
        <v>3402</v>
      </c>
      <c r="CJ2258" s="4" t="s">
        <v>647</v>
      </c>
      <c r="CK2258" s="4" t="s">
        <v>3403</v>
      </c>
      <c r="CL2258" s="4" t="s">
        <v>3404</v>
      </c>
      <c r="CM2258" s="4" t="s">
        <v>3405</v>
      </c>
      <c r="CN2258" s="4" t="s">
        <v>647</v>
      </c>
      <c r="CO2258" s="4" t="s">
        <v>2682</v>
      </c>
      <c r="CP2258" s="4" t="s">
        <v>3425</v>
      </c>
      <c r="CQ2258" s="4" t="s">
        <v>647</v>
      </c>
      <c r="CR2258" s="4" t="s">
        <v>3413</v>
      </c>
      <c r="CS2258" s="4" t="s">
        <v>646</v>
      </c>
      <c r="CT2258" s="4" t="s">
        <v>3414</v>
      </c>
      <c r="CU2258" s="4" t="s">
        <v>647</v>
      </c>
      <c r="CV2258" s="4" t="s">
        <v>1494</v>
      </c>
      <c r="CW2258" s="4" t="s">
        <v>1496</v>
      </c>
      <c r="CX2258" s="4" t="s">
        <v>647</v>
      </c>
      <c r="CY2258" s="4" t="s">
        <v>1497</v>
      </c>
      <c r="CZ2258" s="4" t="s">
        <v>1498</v>
      </c>
      <c r="DA2258" s="4" t="s">
        <v>7129</v>
      </c>
      <c r="DB2258" s="4" t="s">
        <v>7130</v>
      </c>
      <c r="DC2258" s="4" t="s">
        <v>7131</v>
      </c>
      <c r="DD2258" s="4" t="s">
        <v>3401</v>
      </c>
      <c r="DE2258" s="4" t="s">
        <v>7132</v>
      </c>
      <c r="DF2258" s="4" t="s">
        <v>647</v>
      </c>
      <c r="DG2258" s="4" t="s">
        <v>647</v>
      </c>
      <c r="DH2258" s="4" t="s">
        <v>7133</v>
      </c>
      <c r="DI2258" s="4" t="s">
        <v>7134</v>
      </c>
      <c r="DJ2258" s="4" t="s">
        <v>7135</v>
      </c>
      <c r="DK2258" s="4" t="s">
        <v>7136</v>
      </c>
      <c r="DL2258" s="4" t="s">
        <v>647</v>
      </c>
      <c r="DM2258" s="4" t="s">
        <v>3420</v>
      </c>
      <c r="DN2258" s="4" t="s">
        <v>1403</v>
      </c>
      <c r="DO2258" s="4" t="s">
        <v>647</v>
      </c>
      <c r="DP2258" s="4" t="s">
        <v>647</v>
      </c>
      <c r="DQ2258" s="4" t="s">
        <v>647</v>
      </c>
      <c r="DR2258" s="4" t="s">
        <v>3415</v>
      </c>
      <c r="DS2258" s="4" t="s">
        <v>647</v>
      </c>
      <c r="DT2258" s="4" t="s">
        <v>3416</v>
      </c>
      <c r="DU2258" s="4" t="s">
        <v>647</v>
      </c>
      <c r="DV2258" s="4" t="s">
        <v>4502</v>
      </c>
      <c r="DW2258" s="4" t="s">
        <v>7137</v>
      </c>
      <c r="DX2258" s="4" t="s">
        <v>647</v>
      </c>
      <c r="DY2258" s="4" t="s">
        <v>7138</v>
      </c>
      <c r="DZ2258" s="4" t="s">
        <v>647</v>
      </c>
      <c r="EA2258" s="4" t="s">
        <v>3422</v>
      </c>
      <c r="EB2258" s="4" t="s">
        <v>7139</v>
      </c>
      <c r="EC2258" s="4" t="s">
        <v>7140</v>
      </c>
      <c r="ED2258" s="4" t="s">
        <v>647</v>
      </c>
      <c r="EE2258" s="4" t="s">
        <v>2682</v>
      </c>
      <c r="EF2258" s="4" t="s">
        <v>2756</v>
      </c>
      <c r="EG2258" s="4" t="s">
        <v>2762</v>
      </c>
      <c r="EH2258" s="4" t="s">
        <v>2763</v>
      </c>
      <c r="EI2258" s="4" t="s">
        <v>637</v>
      </c>
      <c r="EJ2258" s="4" t="s">
        <v>2764</v>
      </c>
      <c r="EK2258" s="4" t="s">
        <v>2765</v>
      </c>
      <c r="EL2258" s="4" t="s">
        <v>2766</v>
      </c>
      <c r="EM2258" s="4" t="s">
        <v>647</v>
      </c>
      <c r="EN2258" s="4" t="s">
        <v>2767</v>
      </c>
      <c r="EO2258" s="4" t="s">
        <v>2768</v>
      </c>
      <c r="EP2258" s="4" t="s">
        <v>2769</v>
      </c>
      <c r="EQ2258" s="4" t="s">
        <v>2770</v>
      </c>
      <c r="ER2258" s="4" t="s">
        <v>2771</v>
      </c>
      <c r="ES2258" s="4" t="s">
        <v>2772</v>
      </c>
      <c r="ET2258" s="4" t="s">
        <v>2773</v>
      </c>
      <c r="EU2258" s="4" t="s">
        <v>2774</v>
      </c>
      <c r="EV2258" s="4" t="s">
        <v>2775</v>
      </c>
      <c r="EW2258" s="4" t="s">
        <v>2776</v>
      </c>
      <c r="EX2258" s="4" t="s">
        <v>7141</v>
      </c>
      <c r="EY2258" s="4" t="s">
        <v>7142</v>
      </c>
      <c r="EZ2258" s="4" t="s">
        <v>7143</v>
      </c>
      <c r="FA2258" s="4" t="s">
        <v>647</v>
      </c>
      <c r="FB2258" s="4" t="s">
        <v>3369</v>
      </c>
      <c r="FC2258" s="4" t="s">
        <v>647</v>
      </c>
    </row>
    <row r="2259">
      <c r="A2259" s="4">
        <v>301.0</v>
      </c>
      <c r="B2259" s="4" t="s">
        <v>8005</v>
      </c>
      <c r="C2259" s="4"/>
      <c r="D2259" s="4" t="s">
        <v>7144</v>
      </c>
      <c r="E2259" s="4" t="s">
        <v>7145</v>
      </c>
      <c r="F2259" s="4" t="s">
        <v>7146</v>
      </c>
      <c r="G2259" s="5" t="str">
        <f>IFERROR(__xludf.DUMMYFUNCTION("GOOGLETRANSLATE(D2259,""en"",""es"")"),"pássim")</f>
        <v>pássim</v>
      </c>
      <c r="H2259" s="4" t="s">
        <v>7144</v>
      </c>
      <c r="I2259" s="4" t="s">
        <v>7147</v>
      </c>
    </row>
    <row r="2260">
      <c r="A2260" s="4">
        <v>302.0</v>
      </c>
      <c r="B2260" s="4" t="s">
        <v>8005</v>
      </c>
      <c r="C2260" s="4"/>
      <c r="D2260" s="4" t="s">
        <v>1112</v>
      </c>
      <c r="E2260" s="4" t="s">
        <v>7148</v>
      </c>
      <c r="F2260" s="4" t="s">
        <v>1112</v>
      </c>
      <c r="G2260" s="5" t="str">
        <f>IFERROR(__xludf.DUMMYFUNCTION("GOOGLETRANSLATE(D2260,""en"",""es"")"),"sendero")</f>
        <v>sendero</v>
      </c>
      <c r="H2260" s="4" t="s">
        <v>1111</v>
      </c>
      <c r="I2260" s="4" t="s">
        <v>1112</v>
      </c>
      <c r="J2260" s="4" t="s">
        <v>1113</v>
      </c>
      <c r="K2260" s="4" t="s">
        <v>1112</v>
      </c>
      <c r="L2260" s="4" t="s">
        <v>1112</v>
      </c>
      <c r="M2260" s="4" t="s">
        <v>1117</v>
      </c>
      <c r="N2260" s="4" t="s">
        <v>1118</v>
      </c>
      <c r="O2260" s="4" t="s">
        <v>1112</v>
      </c>
      <c r="P2260" s="4" t="s">
        <v>1114</v>
      </c>
      <c r="Q2260" s="4" t="s">
        <v>1061</v>
      </c>
    </row>
    <row r="2261">
      <c r="A2261" s="4">
        <v>303.0</v>
      </c>
      <c r="B2261" s="4" t="s">
        <v>8005</v>
      </c>
      <c r="C2261" s="4"/>
      <c r="D2261" s="4" t="s">
        <v>7149</v>
      </c>
      <c r="E2261" s="4" t="s">
        <v>7150</v>
      </c>
      <c r="F2261" s="4" t="s">
        <v>7151</v>
      </c>
      <c r="G2261" s="5" t="str">
        <f>IFERROR(__xludf.DUMMYFUNCTION("GOOGLETRANSLATE(D2261,""en"",""es"")"),"patente")</f>
        <v>patente</v>
      </c>
    </row>
    <row r="2262">
      <c r="A2262" s="4">
        <v>304.0</v>
      </c>
      <c r="B2262" s="4" t="s">
        <v>8005</v>
      </c>
      <c r="C2262" s="4"/>
      <c r="D2262" s="4" t="s">
        <v>7152</v>
      </c>
      <c r="E2262" s="4" t="s">
        <v>7153</v>
      </c>
      <c r="F2262" s="4" t="s">
        <v>3442</v>
      </c>
      <c r="G2262" s="5" t="str">
        <f>IFERROR(__xludf.DUMMYFUNCTION("GOOGLETRANSLATE(D2262,""en"",""es"")"),"empanada")</f>
        <v>empanada</v>
      </c>
      <c r="H2262" s="4" t="s">
        <v>7152</v>
      </c>
      <c r="I2262" s="4" t="s">
        <v>7154</v>
      </c>
      <c r="J2262" s="4" t="s">
        <v>7152</v>
      </c>
      <c r="K2262" s="4" t="s">
        <v>7152</v>
      </c>
    </row>
    <row r="2263">
      <c r="A2263" s="4">
        <v>305.0</v>
      </c>
      <c r="B2263" s="4" t="s">
        <v>8005</v>
      </c>
      <c r="C2263" s="4"/>
      <c r="D2263" s="4" t="s">
        <v>7155</v>
      </c>
      <c r="E2263" s="4" t="s">
        <v>7156</v>
      </c>
      <c r="F2263" s="4" t="s">
        <v>3170</v>
      </c>
      <c r="G2263" s="5" t="str">
        <f>IFERROR(__xludf.DUMMYFUNCTION("GOOGLETRANSLATE(D2263,""en"",""es"")"),"lápiz")</f>
        <v>lápiz</v>
      </c>
      <c r="H2263" s="4" t="s">
        <v>7155</v>
      </c>
      <c r="I2263" s="4" t="s">
        <v>7155</v>
      </c>
      <c r="J2263" s="4" t="s">
        <v>7157</v>
      </c>
      <c r="K2263" s="4" t="s">
        <v>7155</v>
      </c>
      <c r="L2263" s="4" t="s">
        <v>7158</v>
      </c>
      <c r="M2263" s="4" t="s">
        <v>7155</v>
      </c>
      <c r="N2263" s="4" t="s">
        <v>7155</v>
      </c>
      <c r="O2263" s="4" t="s">
        <v>7159</v>
      </c>
      <c r="P2263" s="4" t="s">
        <v>7160</v>
      </c>
      <c r="Q2263" s="4" t="s">
        <v>7155</v>
      </c>
      <c r="R2263" s="4" t="s">
        <v>7161</v>
      </c>
    </row>
    <row r="2264">
      <c r="A2264" s="4">
        <v>306.0</v>
      </c>
      <c r="B2264" s="4" t="s">
        <v>8005</v>
      </c>
      <c r="C2264" s="4"/>
      <c r="D2264" s="4" t="s">
        <v>3457</v>
      </c>
      <c r="E2264" s="4" t="s">
        <v>7162</v>
      </c>
      <c r="F2264" s="4" t="s">
        <v>266</v>
      </c>
      <c r="G2264" s="5" t="str">
        <f>IFERROR(__xludf.DUMMYFUNCTION("GOOGLETRANSLATE(D2264,""en"",""es"")"),"Foto")</f>
        <v>Foto</v>
      </c>
      <c r="H2264" s="4" t="s">
        <v>7163</v>
      </c>
      <c r="I2264" s="4" t="s">
        <v>1240</v>
      </c>
      <c r="J2264" s="4" t="s">
        <v>7164</v>
      </c>
      <c r="K2264" s="4" t="s">
        <v>7165</v>
      </c>
      <c r="L2264" s="4" t="s">
        <v>7166</v>
      </c>
      <c r="M2264" s="4" t="s">
        <v>7167</v>
      </c>
      <c r="N2264" s="4" t="s">
        <v>7168</v>
      </c>
      <c r="O2264" s="4" t="s">
        <v>7169</v>
      </c>
      <c r="P2264" s="4" t="s">
        <v>3457</v>
      </c>
      <c r="Q2264" s="4" t="s">
        <v>4448</v>
      </c>
      <c r="R2264" s="4" t="s">
        <v>7170</v>
      </c>
      <c r="S2264" s="4" t="s">
        <v>7171</v>
      </c>
      <c r="T2264" s="4" t="s">
        <v>7172</v>
      </c>
      <c r="U2264" s="4" t="s">
        <v>7164</v>
      </c>
      <c r="V2264" s="4" t="s">
        <v>3457</v>
      </c>
    </row>
    <row r="2265">
      <c r="A2265" s="4">
        <v>307.0</v>
      </c>
      <c r="B2265" s="4" t="s">
        <v>8005</v>
      </c>
      <c r="C2265" s="4"/>
      <c r="D2265" s="4" t="s">
        <v>7173</v>
      </c>
      <c r="E2265" s="4" t="s">
        <v>7174</v>
      </c>
      <c r="F2265" s="4" t="s">
        <v>7175</v>
      </c>
      <c r="G2265" s="5" t="str">
        <f>IFERROR(__xludf.DUMMYFUNCTION("GOOGLETRANSLATE(D2265,""en"",""es"")"),"piccy")</f>
        <v>piccy</v>
      </c>
    </row>
    <row r="2266">
      <c r="A2266" s="4">
        <v>308.0</v>
      </c>
      <c r="B2266" s="4" t="s">
        <v>8005</v>
      </c>
      <c r="C2266" s="4"/>
      <c r="D2266" s="4" t="s">
        <v>3459</v>
      </c>
      <c r="E2266" s="4" t="s">
        <v>7162</v>
      </c>
      <c r="F2266" s="4" t="s">
        <v>266</v>
      </c>
      <c r="G2266" s="5" t="str">
        <f>IFERROR(__xludf.DUMMYFUNCTION("GOOGLETRANSLATE(D2266,""en"",""es"")"),"elegir")</f>
        <v>elegir</v>
      </c>
      <c r="H2266" s="4" t="s">
        <v>7176</v>
      </c>
      <c r="I2266" s="4" t="s">
        <v>3459</v>
      </c>
      <c r="J2266" s="4" t="s">
        <v>7177</v>
      </c>
      <c r="K2266" s="4" t="s">
        <v>7178</v>
      </c>
      <c r="L2266" s="4" t="s">
        <v>3459</v>
      </c>
      <c r="M2266" s="4" t="s">
        <v>2937</v>
      </c>
      <c r="N2266" s="4" t="s">
        <v>3459</v>
      </c>
      <c r="O2266" s="4" t="s">
        <v>7179</v>
      </c>
      <c r="P2266" s="4" t="s">
        <v>7180</v>
      </c>
      <c r="Q2266" s="4" t="s">
        <v>7181</v>
      </c>
      <c r="R2266" s="4" t="s">
        <v>3459</v>
      </c>
      <c r="S2266" s="4" t="s">
        <v>3459</v>
      </c>
      <c r="T2266" s="4" t="s">
        <v>7182</v>
      </c>
      <c r="U2266" s="4" t="s">
        <v>7183</v>
      </c>
      <c r="V2266" s="4" t="s">
        <v>3459</v>
      </c>
      <c r="W2266" s="4" t="s">
        <v>3459</v>
      </c>
      <c r="X2266" s="4" t="s">
        <v>3460</v>
      </c>
      <c r="Y2266" s="4" t="s">
        <v>3461</v>
      </c>
      <c r="Z2266" s="4" t="s">
        <v>3459</v>
      </c>
      <c r="AA2266" s="4" t="s">
        <v>7176</v>
      </c>
      <c r="AB2266" s="4" t="s">
        <v>7177</v>
      </c>
      <c r="AC2266" s="4" t="s">
        <v>7184</v>
      </c>
      <c r="AD2266" s="4" t="s">
        <v>3459</v>
      </c>
      <c r="AE2266" s="4" t="s">
        <v>3459</v>
      </c>
      <c r="AF2266" s="4" t="s">
        <v>3459</v>
      </c>
      <c r="AG2266" s="4" t="s">
        <v>6291</v>
      </c>
      <c r="AH2266" s="4" t="s">
        <v>1640</v>
      </c>
      <c r="AI2266" s="4" t="s">
        <v>7185</v>
      </c>
      <c r="AJ2266" s="4" t="s">
        <v>7186</v>
      </c>
      <c r="AK2266" s="4" t="s">
        <v>3459</v>
      </c>
      <c r="AL2266" s="4" t="s">
        <v>3459</v>
      </c>
      <c r="AM2266" s="4" t="s">
        <v>3459</v>
      </c>
      <c r="AN2266" s="4" t="s">
        <v>7187</v>
      </c>
      <c r="AO2266" s="4" t="s">
        <v>3459</v>
      </c>
      <c r="AP2266" s="4" t="s">
        <v>3459</v>
      </c>
      <c r="AQ2266" s="4" t="s">
        <v>7188</v>
      </c>
      <c r="AR2266" s="4" t="s">
        <v>3459</v>
      </c>
      <c r="AS2266" s="4" t="s">
        <v>6291</v>
      </c>
      <c r="AT2266" s="4" t="s">
        <v>7189</v>
      </c>
      <c r="AU2266" s="4" t="s">
        <v>3459</v>
      </c>
      <c r="AV2266" s="4" t="s">
        <v>3459</v>
      </c>
      <c r="AW2266" s="4" t="s">
        <v>943</v>
      </c>
      <c r="AX2266" s="4" t="s">
        <v>1750</v>
      </c>
      <c r="AY2266" s="4" t="s">
        <v>3459</v>
      </c>
      <c r="AZ2266" s="4" t="s">
        <v>7190</v>
      </c>
      <c r="BA2266" s="4" t="s">
        <v>3485</v>
      </c>
      <c r="BB2266" s="4" t="s">
        <v>3459</v>
      </c>
      <c r="BC2266" s="4" t="s">
        <v>3486</v>
      </c>
    </row>
    <row r="2267">
      <c r="A2267" s="4">
        <v>309.0</v>
      </c>
      <c r="B2267" s="4" t="s">
        <v>8005</v>
      </c>
      <c r="C2267" s="4"/>
      <c r="D2267" s="4" t="s">
        <v>7191</v>
      </c>
      <c r="E2267" s="4" t="s">
        <v>7174</v>
      </c>
      <c r="F2267" s="4" t="s">
        <v>7175</v>
      </c>
      <c r="G2267" s="5" t="str">
        <f>IFERROR(__xludf.DUMMYFUNCTION("GOOGLETRANSLATE(D2267,""en"",""es"")"),"quisquilloso")</f>
        <v>quisquilloso</v>
      </c>
      <c r="H2267" s="4" t="s">
        <v>7192</v>
      </c>
      <c r="I2267" s="4" t="s">
        <v>7193</v>
      </c>
      <c r="J2267" s="4" t="s">
        <v>7194</v>
      </c>
      <c r="K2267" s="4" t="s">
        <v>7195</v>
      </c>
      <c r="L2267" s="4" t="s">
        <v>7191</v>
      </c>
    </row>
    <row r="2268">
      <c r="A2268" s="4">
        <v>310.0</v>
      </c>
      <c r="B2268" s="4" t="s">
        <v>8005</v>
      </c>
      <c r="C2268" s="4"/>
      <c r="D2268" s="4" t="s">
        <v>7196</v>
      </c>
      <c r="E2268" s="4" t="s">
        <v>7174</v>
      </c>
      <c r="F2268" s="4" t="s">
        <v>7175</v>
      </c>
      <c r="G2268" s="5" t="str">
        <f>IFERROR(__xludf.DUMMYFUNCTION("GOOGLETRANSLATE(D2268,""en"",""es"")"),"pikkie")</f>
        <v>pikkie</v>
      </c>
    </row>
    <row r="2269">
      <c r="A2269" s="4">
        <v>311.0</v>
      </c>
      <c r="B2269" s="4" t="s">
        <v>8005</v>
      </c>
      <c r="C2269" s="4"/>
      <c r="D2269" s="4" t="s">
        <v>7197</v>
      </c>
      <c r="E2269" s="4" t="s">
        <v>7198</v>
      </c>
      <c r="F2269" s="4" t="s">
        <v>7199</v>
      </c>
      <c r="G2269" s="5" t="str">
        <f>IFERROR(__xludf.DUMMYFUNCTION("GOOGLETRANSLATE(D2269,""en"",""es"")"),"píldora")</f>
        <v>píldora</v>
      </c>
      <c r="H2269" s="4" t="s">
        <v>7197</v>
      </c>
      <c r="I2269" s="4" t="s">
        <v>7197</v>
      </c>
      <c r="J2269" s="4" t="s">
        <v>7200</v>
      </c>
      <c r="K2269" s="4" t="s">
        <v>7201</v>
      </c>
      <c r="L2269" s="4" t="s">
        <v>7202</v>
      </c>
      <c r="M2269" s="4" t="s">
        <v>7197</v>
      </c>
      <c r="N2269" s="4" t="s">
        <v>7197</v>
      </c>
      <c r="O2269" s="4" t="s">
        <v>7197</v>
      </c>
      <c r="P2269" s="4" t="s">
        <v>7203</v>
      </c>
      <c r="Q2269" s="4" t="s">
        <v>7204</v>
      </c>
      <c r="R2269" s="4" t="s">
        <v>7205</v>
      </c>
      <c r="S2269" s="4" t="s">
        <v>7206</v>
      </c>
      <c r="T2269" s="4" t="s">
        <v>7207</v>
      </c>
      <c r="U2269" s="4" t="s">
        <v>7208</v>
      </c>
    </row>
    <row r="2270">
      <c r="A2270" s="4">
        <v>312.0</v>
      </c>
      <c r="B2270" s="4" t="s">
        <v>8005</v>
      </c>
      <c r="C2270" s="4"/>
      <c r="D2270" s="4" t="s">
        <v>3170</v>
      </c>
      <c r="E2270" s="4" t="s">
        <v>7156</v>
      </c>
      <c r="F2270" s="4" t="s">
        <v>3170</v>
      </c>
      <c r="G2270" s="5" t="str">
        <f>IFERROR(__xludf.DUMMYFUNCTION("GOOGLETRANSLATE(D2270,""en"",""es"")"),"alfiler")</f>
        <v>alfiler</v>
      </c>
      <c r="H2270" s="4" t="s">
        <v>3170</v>
      </c>
      <c r="I2270" s="4" t="s">
        <v>4502</v>
      </c>
      <c r="J2270" s="4" t="s">
        <v>3170</v>
      </c>
      <c r="K2270" s="4" t="s">
        <v>3171</v>
      </c>
      <c r="L2270" s="4" t="s">
        <v>3170</v>
      </c>
      <c r="M2270" s="4" t="s">
        <v>7209</v>
      </c>
      <c r="N2270" s="4" t="s">
        <v>7210</v>
      </c>
      <c r="O2270" s="4" t="s">
        <v>7211</v>
      </c>
      <c r="P2270" s="4" t="s">
        <v>3170</v>
      </c>
      <c r="Q2270" s="4" t="s">
        <v>3171</v>
      </c>
      <c r="R2270" s="4" t="s">
        <v>3169</v>
      </c>
      <c r="S2270" s="4" t="s">
        <v>7212</v>
      </c>
      <c r="T2270" s="4" t="s">
        <v>3170</v>
      </c>
      <c r="U2270" s="4" t="s">
        <v>3170</v>
      </c>
      <c r="V2270" s="4" t="s">
        <v>7213</v>
      </c>
      <c r="W2270" s="4" t="s">
        <v>3170</v>
      </c>
      <c r="X2270" s="4" t="s">
        <v>2179</v>
      </c>
      <c r="Y2270" s="4" t="s">
        <v>3170</v>
      </c>
      <c r="Z2270" s="4" t="s">
        <v>3171</v>
      </c>
      <c r="AA2270" s="4" t="s">
        <v>3170</v>
      </c>
      <c r="AB2270" s="4" t="s">
        <v>7214</v>
      </c>
      <c r="AC2270" s="4" t="s">
        <v>7215</v>
      </c>
      <c r="AD2270" s="4" t="s">
        <v>7216</v>
      </c>
      <c r="AE2270" s="4" t="s">
        <v>7217</v>
      </c>
      <c r="AF2270" s="4" t="s">
        <v>7218</v>
      </c>
      <c r="AG2270" s="4" t="s">
        <v>3170</v>
      </c>
      <c r="AH2270" s="4" t="s">
        <v>7219</v>
      </c>
      <c r="AI2270" s="4" t="s">
        <v>3170</v>
      </c>
      <c r="AJ2270" s="4" t="s">
        <v>7220</v>
      </c>
      <c r="AK2270" s="4" t="s">
        <v>7221</v>
      </c>
      <c r="AL2270" s="4" t="s">
        <v>3170</v>
      </c>
      <c r="AM2270" s="4" t="s">
        <v>3170</v>
      </c>
      <c r="AN2270" s="4" t="s">
        <v>3170</v>
      </c>
    </row>
    <row r="2271">
      <c r="A2271" s="4">
        <v>313.0</v>
      </c>
      <c r="B2271" s="4" t="s">
        <v>8005</v>
      </c>
      <c r="C2271" s="4"/>
      <c r="D2271" s="4" t="s">
        <v>7222</v>
      </c>
      <c r="E2271" s="4" t="s">
        <v>7223</v>
      </c>
      <c r="F2271" s="4" t="s">
        <v>5451</v>
      </c>
      <c r="G2271" s="5" t="str">
        <f>IFERROR(__xludf.DUMMYFUNCTION("GOOGLETRANSLATE(D2271,""en"",""es"")"),"pinaza")</f>
        <v>pinaza</v>
      </c>
      <c r="H2271" s="4" t="s">
        <v>7224</v>
      </c>
      <c r="I2271" s="4" t="s">
        <v>7225</v>
      </c>
      <c r="J2271" s="4" t="s">
        <v>7222</v>
      </c>
      <c r="K2271" s="4" t="s">
        <v>7226</v>
      </c>
    </row>
    <row r="2272">
      <c r="A2272" s="4">
        <v>314.0</v>
      </c>
      <c r="B2272" s="4" t="s">
        <v>8005</v>
      </c>
      <c r="C2272" s="4"/>
      <c r="D2272" s="4" t="s">
        <v>7227</v>
      </c>
      <c r="E2272" s="4" t="s">
        <v>7228</v>
      </c>
      <c r="F2272" s="4" t="s">
        <v>5448</v>
      </c>
      <c r="G2272" s="5" t="str">
        <f>IFERROR(__xludf.DUMMYFUNCTION("GOOGLETRANSLATE(D2272,""en"",""es"")"),"delantal")</f>
        <v>delantal</v>
      </c>
      <c r="H2272" s="4" t="s">
        <v>7229</v>
      </c>
      <c r="I2272" s="4" t="s">
        <v>7230</v>
      </c>
      <c r="J2272" s="4" t="s">
        <v>7227</v>
      </c>
    </row>
    <row r="2273">
      <c r="A2273" s="4">
        <v>315.0</v>
      </c>
      <c r="B2273" s="4" t="s">
        <v>8005</v>
      </c>
      <c r="C2273" s="4"/>
      <c r="D2273" s="4" t="s">
        <v>4851</v>
      </c>
      <c r="E2273" s="4" t="s">
        <v>7231</v>
      </c>
      <c r="F2273" s="4" t="s">
        <v>4851</v>
      </c>
      <c r="G2273" s="5" t="str">
        <f>IFERROR(__xludf.DUMMYFUNCTION("GOOGLETRANSLATE(D2273,""en"",""es"")"),"pepita")</f>
        <v>pepita</v>
      </c>
      <c r="H2273" s="4" t="s">
        <v>4851</v>
      </c>
      <c r="I2273" s="4" t="s">
        <v>4851</v>
      </c>
      <c r="J2273" s="4" t="s">
        <v>4851</v>
      </c>
      <c r="K2273" s="4" t="s">
        <v>2298</v>
      </c>
      <c r="L2273" s="4" t="s">
        <v>4851</v>
      </c>
      <c r="M2273" s="4" t="s">
        <v>7232</v>
      </c>
      <c r="N2273" s="4" t="s">
        <v>4851</v>
      </c>
      <c r="O2273" s="4" t="s">
        <v>7233</v>
      </c>
      <c r="P2273" s="4" t="s">
        <v>4430</v>
      </c>
      <c r="Q2273" s="4" t="s">
        <v>4851</v>
      </c>
      <c r="R2273" s="4" t="s">
        <v>4430</v>
      </c>
      <c r="S2273" s="4" t="s">
        <v>856</v>
      </c>
      <c r="T2273" s="4" t="s">
        <v>4851</v>
      </c>
      <c r="U2273" s="4" t="s">
        <v>7234</v>
      </c>
      <c r="V2273" s="4" t="s">
        <v>4851</v>
      </c>
      <c r="W2273" s="4" t="s">
        <v>7235</v>
      </c>
      <c r="X2273" s="4" t="s">
        <v>6574</v>
      </c>
      <c r="Y2273" s="4" t="s">
        <v>7236</v>
      </c>
    </row>
    <row r="2274">
      <c r="A2274" s="4">
        <v>316.0</v>
      </c>
      <c r="B2274" s="4" t="s">
        <v>8005</v>
      </c>
      <c r="C2274" s="4"/>
      <c r="D2274" s="4" t="s">
        <v>7237</v>
      </c>
      <c r="E2274" s="4" t="s">
        <v>7238</v>
      </c>
      <c r="F2274" s="4" t="s">
        <v>7237</v>
      </c>
      <c r="G2274" s="5" t="str">
        <f>IFERROR(__xludf.DUMMYFUNCTION("GOOGLETRANSLATE(D2274,""en"",""es"")"),"pish")</f>
        <v>pish</v>
      </c>
    </row>
    <row r="2275">
      <c r="A2275" s="4">
        <v>317.0</v>
      </c>
      <c r="B2275" s="4" t="s">
        <v>8005</v>
      </c>
      <c r="C2275" s="4"/>
      <c r="D2275" s="4" t="s">
        <v>7239</v>
      </c>
      <c r="E2275" s="4" t="s">
        <v>7240</v>
      </c>
      <c r="F2275" s="4" t="s">
        <v>3570</v>
      </c>
      <c r="G2275" s="5" t="str">
        <f>IFERROR(__xludf.DUMMYFUNCTION("GOOGLETRANSLATE(D2275,""en"",""es"")"),"orinar")</f>
        <v>orinar</v>
      </c>
      <c r="H2275" s="4" t="s">
        <v>7241</v>
      </c>
      <c r="I2275" s="4" t="s">
        <v>7239</v>
      </c>
      <c r="J2275" s="4" t="s">
        <v>7242</v>
      </c>
      <c r="K2275" s="4" t="s">
        <v>7243</v>
      </c>
      <c r="L2275" s="4" t="s">
        <v>7244</v>
      </c>
      <c r="M2275" s="4" t="s">
        <v>7245</v>
      </c>
      <c r="N2275" s="4" t="s">
        <v>7246</v>
      </c>
      <c r="O2275" s="4" t="s">
        <v>7242</v>
      </c>
      <c r="P2275" s="4" t="s">
        <v>7247</v>
      </c>
      <c r="Q2275" s="4" t="s">
        <v>7239</v>
      </c>
      <c r="R2275" s="4" t="s">
        <v>3000</v>
      </c>
      <c r="S2275" s="4" t="s">
        <v>7248</v>
      </c>
      <c r="T2275" s="4" t="s">
        <v>7243</v>
      </c>
      <c r="U2275" s="4" t="s">
        <v>4723</v>
      </c>
      <c r="V2275" s="4" t="s">
        <v>7249</v>
      </c>
      <c r="W2275" s="4" t="s">
        <v>7239</v>
      </c>
      <c r="X2275" s="4" t="s">
        <v>7242</v>
      </c>
      <c r="Y2275" s="4" t="s">
        <v>7250</v>
      </c>
      <c r="Z2275" s="4" t="s">
        <v>7251</v>
      </c>
      <c r="AA2275" s="4" t="s">
        <v>7252</v>
      </c>
      <c r="AB2275" s="4" t="s">
        <v>7253</v>
      </c>
      <c r="AC2275" s="4" t="s">
        <v>7254</v>
      </c>
      <c r="AD2275" s="4" t="s">
        <v>4693</v>
      </c>
      <c r="AE2275" s="4" t="s">
        <v>7255</v>
      </c>
      <c r="AF2275" s="4" t="s">
        <v>7256</v>
      </c>
    </row>
    <row r="2276">
      <c r="A2276" s="4">
        <v>318.0</v>
      </c>
      <c r="B2276" s="4" t="s">
        <v>8005</v>
      </c>
      <c r="C2276" s="4"/>
      <c r="D2276" s="4" t="s">
        <v>7257</v>
      </c>
      <c r="E2276" s="4" t="s">
        <v>7258</v>
      </c>
      <c r="F2276" s="4" t="s">
        <v>7259</v>
      </c>
      <c r="G2276" s="5" t="str">
        <f>IFERROR(__xludf.DUMMYFUNCTION("GOOGLETRANSLATE(D2276,""en"",""es"")"),"pisoteo")</f>
        <v>pisoteo</v>
      </c>
    </row>
    <row r="2277">
      <c r="A2277" s="4">
        <v>319.0</v>
      </c>
      <c r="B2277" s="4" t="s">
        <v>8005</v>
      </c>
      <c r="C2277" s="4"/>
      <c r="D2277" s="4" t="s">
        <v>395</v>
      </c>
      <c r="E2277" s="4" t="s">
        <v>7260</v>
      </c>
      <c r="F2277" s="4" t="s">
        <v>395</v>
      </c>
      <c r="G2277" s="5" t="str">
        <f>IFERROR(__xludf.DUMMYFUNCTION("GOOGLETRANSLATE(D2277,""en"",""es"")"),"Agave")</f>
        <v>Agave</v>
      </c>
      <c r="H2277" s="4" t="s">
        <v>395</v>
      </c>
      <c r="I2277" s="4" t="s">
        <v>3587</v>
      </c>
    </row>
    <row r="2278">
      <c r="A2278" s="4">
        <v>320.0</v>
      </c>
      <c r="B2278" s="4" t="s">
        <v>8005</v>
      </c>
      <c r="C2278" s="4"/>
      <c r="D2278" s="4" t="s">
        <v>7261</v>
      </c>
      <c r="E2278" s="4" t="s">
        <v>7262</v>
      </c>
      <c r="F2278" s="4" t="s">
        <v>7261</v>
      </c>
      <c r="G2278" s="5" t="str">
        <f>IFERROR(__xludf.DUMMYFUNCTION("GOOGLETRANSLATE(D2278,""en"",""es"")"),"médula")</f>
        <v>médula</v>
      </c>
      <c r="H2278" s="4" t="s">
        <v>7261</v>
      </c>
      <c r="I2278" s="4" t="s">
        <v>7263</v>
      </c>
      <c r="J2278" s="4" t="s">
        <v>5326</v>
      </c>
      <c r="K2278" s="4" t="s">
        <v>7264</v>
      </c>
      <c r="L2278" s="4" t="s">
        <v>4621</v>
      </c>
      <c r="M2278" s="4" t="s">
        <v>4622</v>
      </c>
      <c r="N2278" s="4" t="s">
        <v>7265</v>
      </c>
      <c r="O2278" s="4" t="s">
        <v>7266</v>
      </c>
      <c r="P2278" s="4" t="s">
        <v>4624</v>
      </c>
      <c r="Q2278" s="4" t="s">
        <v>7267</v>
      </c>
      <c r="R2278" s="4" t="s">
        <v>7268</v>
      </c>
      <c r="S2278" s="4" t="s">
        <v>7269</v>
      </c>
      <c r="T2278" s="4" t="s">
        <v>7270</v>
      </c>
      <c r="U2278" s="4" t="s">
        <v>7271</v>
      </c>
      <c r="V2278" s="4" t="s">
        <v>7261</v>
      </c>
      <c r="W2278" s="4" t="s">
        <v>4123</v>
      </c>
      <c r="X2278" s="4" t="s">
        <v>7272</v>
      </c>
      <c r="Y2278" s="4" t="s">
        <v>7261</v>
      </c>
    </row>
    <row r="2279">
      <c r="A2279" s="4">
        <v>321.0</v>
      </c>
      <c r="B2279" s="4" t="s">
        <v>8005</v>
      </c>
      <c r="C2279" s="4"/>
      <c r="D2279" s="4" t="s">
        <v>7273</v>
      </c>
      <c r="E2279" s="4" t="s">
        <v>7274</v>
      </c>
      <c r="F2279" s="4" t="s">
        <v>5439</v>
      </c>
      <c r="G2279" s="5" t="str">
        <f>IFERROR(__xludf.DUMMYFUNCTION("GOOGLETRANSLATE(D2279,""en"",""es"")"),"sustancial")</f>
        <v>sustancial</v>
      </c>
      <c r="H2279" s="4" t="s">
        <v>7273</v>
      </c>
      <c r="I2279" s="4" t="s">
        <v>7275</v>
      </c>
    </row>
    <row r="2280">
      <c r="A2280" s="4">
        <v>322.0</v>
      </c>
      <c r="B2280" s="4" t="s">
        <v>8005</v>
      </c>
      <c r="C2280" s="4"/>
      <c r="D2280" s="4" t="s">
        <v>7276</v>
      </c>
      <c r="E2280" s="4" t="s">
        <v>7277</v>
      </c>
      <c r="F2280" s="4" t="s">
        <v>7278</v>
      </c>
      <c r="G2280" s="5" t="str">
        <f>IFERROR(__xludf.DUMMYFUNCTION("GOOGLETRANSLATE(D2280,""en"",""es"")"),"pitty")</f>
        <v>pitty</v>
      </c>
    </row>
    <row r="2281">
      <c r="A2281" s="4">
        <v>323.0</v>
      </c>
      <c r="B2281" s="4" t="s">
        <v>8005</v>
      </c>
      <c r="C2281" s="4"/>
      <c r="D2281" s="4" t="s">
        <v>7279</v>
      </c>
      <c r="E2281" s="4" t="s">
        <v>7277</v>
      </c>
      <c r="F2281" s="4" t="s">
        <v>7278</v>
      </c>
      <c r="G2281" s="5" t="str">
        <f>IFERROR(__xludf.DUMMYFUNCTION("GOOGLETRANSLATE(D2281,""en"",""es"")"),"lástima")</f>
        <v>lástima</v>
      </c>
      <c r="H2281" s="4" t="s">
        <v>7280</v>
      </c>
      <c r="I2281" s="4" t="s">
        <v>7279</v>
      </c>
      <c r="J2281" s="4" t="s">
        <v>7281</v>
      </c>
      <c r="K2281" s="4" t="s">
        <v>7282</v>
      </c>
      <c r="L2281" s="4" t="s">
        <v>7279</v>
      </c>
      <c r="M2281" s="4" t="s">
        <v>7283</v>
      </c>
      <c r="N2281" s="4" t="s">
        <v>7284</v>
      </c>
      <c r="O2281" s="4" t="s">
        <v>7279</v>
      </c>
      <c r="P2281" s="4" t="s">
        <v>7285</v>
      </c>
      <c r="Q2281" s="4" t="s">
        <v>7279</v>
      </c>
      <c r="R2281" s="4" t="s">
        <v>7286</v>
      </c>
      <c r="S2281" s="4" t="s">
        <v>7287</v>
      </c>
      <c r="T2281" s="4" t="s">
        <v>7288</v>
      </c>
    </row>
    <row r="2282">
      <c r="A2282" s="4">
        <v>324.0</v>
      </c>
      <c r="B2282" s="4" t="s">
        <v>8005</v>
      </c>
      <c r="C2282" s="4"/>
      <c r="D2282" s="4" t="s">
        <v>7289</v>
      </c>
      <c r="E2282" s="4" t="s">
        <v>3767</v>
      </c>
      <c r="F2282" s="4" t="s">
        <v>3766</v>
      </c>
      <c r="G2282" s="5" t="str">
        <f>IFERROR(__xludf.DUMMYFUNCTION("GOOGLETRANSLATE(D2282,""en"",""es"")"),"poes")</f>
        <v>poes</v>
      </c>
      <c r="H2282" s="4" t="s">
        <v>7290</v>
      </c>
      <c r="I2282" s="4" t="s">
        <v>7291</v>
      </c>
    </row>
    <row r="2283">
      <c r="A2283" s="4">
        <v>325.0</v>
      </c>
      <c r="B2283" s="4" t="s">
        <v>8005</v>
      </c>
      <c r="C2283" s="4"/>
      <c r="D2283" s="4" t="s">
        <v>7292</v>
      </c>
      <c r="E2283" s="4" t="s">
        <v>7293</v>
      </c>
      <c r="F2283" s="4" t="s">
        <v>7294</v>
      </c>
      <c r="G2283" s="5" t="str">
        <f>IFERROR(__xludf.DUMMYFUNCTION("GOOGLETRANSLATE(D2283,""en"",""es"")"),"caca")</f>
        <v>caca</v>
      </c>
    </row>
    <row r="2284">
      <c r="A2284" s="4">
        <v>326.0</v>
      </c>
      <c r="B2284" s="4" t="s">
        <v>8005</v>
      </c>
      <c r="C2284" s="4"/>
      <c r="D2284" s="4" t="s">
        <v>4433</v>
      </c>
      <c r="E2284" s="4" t="s">
        <v>7295</v>
      </c>
      <c r="F2284" s="4" t="s">
        <v>7296</v>
      </c>
      <c r="G2284" s="5" t="str">
        <f>IFERROR(__xludf.DUMMYFUNCTION("GOOGLETRANSLATE(D2284,""en"",""es"")"),"jalar")</f>
        <v>jalar</v>
      </c>
      <c r="H2284" s="4" t="s">
        <v>4433</v>
      </c>
      <c r="I2284" s="4" t="s">
        <v>7297</v>
      </c>
      <c r="J2284" s="4" t="s">
        <v>4433</v>
      </c>
      <c r="K2284" s="4" t="s">
        <v>4433</v>
      </c>
      <c r="L2284" s="4" t="s">
        <v>6602</v>
      </c>
      <c r="M2284" s="4" t="s">
        <v>4433</v>
      </c>
      <c r="N2284" s="4" t="s">
        <v>7298</v>
      </c>
      <c r="O2284" s="4" t="s">
        <v>7299</v>
      </c>
      <c r="P2284" s="4" t="s">
        <v>4433</v>
      </c>
      <c r="Q2284" s="4" t="s">
        <v>7300</v>
      </c>
      <c r="R2284" s="4" t="s">
        <v>4438</v>
      </c>
      <c r="S2284" s="4" t="s">
        <v>4433</v>
      </c>
      <c r="T2284" s="4" t="s">
        <v>4433</v>
      </c>
      <c r="U2284" s="4" t="s">
        <v>4433</v>
      </c>
      <c r="V2284" s="4" t="s">
        <v>3414</v>
      </c>
      <c r="W2284" s="4" t="s">
        <v>4434</v>
      </c>
      <c r="X2284" s="4" t="s">
        <v>7301</v>
      </c>
      <c r="Y2284" s="4" t="s">
        <v>4433</v>
      </c>
      <c r="Z2284" s="4" t="s">
        <v>7302</v>
      </c>
      <c r="AA2284" s="4" t="s">
        <v>3414</v>
      </c>
      <c r="AB2284" s="4" t="s">
        <v>7303</v>
      </c>
      <c r="AC2284" s="4" t="s">
        <v>4433</v>
      </c>
      <c r="AD2284" s="4" t="s">
        <v>4433</v>
      </c>
      <c r="AE2284" s="4" t="s">
        <v>7304</v>
      </c>
      <c r="AF2284" s="4" t="s">
        <v>7305</v>
      </c>
      <c r="AG2284" s="4" t="s">
        <v>4433</v>
      </c>
      <c r="AH2284" s="4" t="s">
        <v>3414</v>
      </c>
      <c r="AI2284" s="4" t="s">
        <v>4433</v>
      </c>
      <c r="AJ2284" s="4" t="s">
        <v>7306</v>
      </c>
      <c r="AK2284" s="4" t="s">
        <v>7307</v>
      </c>
      <c r="AL2284" s="4" t="s">
        <v>7308</v>
      </c>
      <c r="AM2284" s="4" t="s">
        <v>4433</v>
      </c>
      <c r="AN2284" s="4" t="s">
        <v>4433</v>
      </c>
      <c r="AO2284" s="4" t="s">
        <v>7309</v>
      </c>
      <c r="AP2284" s="4" t="s">
        <v>4433</v>
      </c>
      <c r="AQ2284" s="4" t="s">
        <v>3414</v>
      </c>
      <c r="AR2284" s="4" t="s">
        <v>4433</v>
      </c>
      <c r="AS2284" s="4" t="s">
        <v>4433</v>
      </c>
      <c r="AT2284" s="4" t="s">
        <v>7310</v>
      </c>
      <c r="AU2284" s="4" t="s">
        <v>7311</v>
      </c>
      <c r="AV2284" s="4" t="s">
        <v>4304</v>
      </c>
      <c r="AW2284" s="4" t="s">
        <v>4433</v>
      </c>
      <c r="AX2284" s="4" t="s">
        <v>4433</v>
      </c>
      <c r="AY2284" s="4" t="s">
        <v>6291</v>
      </c>
      <c r="AZ2284" s="4" t="s">
        <v>4433</v>
      </c>
      <c r="BA2284" s="4" t="s">
        <v>7312</v>
      </c>
      <c r="BB2284" s="4" t="s">
        <v>7313</v>
      </c>
      <c r="BC2284" s="4" t="s">
        <v>7314</v>
      </c>
      <c r="BD2284" s="4" t="s">
        <v>7315</v>
      </c>
      <c r="BE2284" s="4" t="s">
        <v>7316</v>
      </c>
      <c r="BF2284" s="4" t="s">
        <v>7306</v>
      </c>
      <c r="BG2284" s="4" t="s">
        <v>4433</v>
      </c>
      <c r="BH2284" s="4" t="s">
        <v>7317</v>
      </c>
      <c r="BI2284" s="4" t="s">
        <v>7308</v>
      </c>
      <c r="BJ2284" s="4" t="s">
        <v>7318</v>
      </c>
      <c r="BK2284" s="4" t="s">
        <v>4433</v>
      </c>
      <c r="BL2284" s="4" t="s">
        <v>7319</v>
      </c>
      <c r="BM2284" s="4" t="s">
        <v>4433</v>
      </c>
    </row>
    <row r="2285">
      <c r="A2285" s="4">
        <v>327.0</v>
      </c>
      <c r="B2285" s="4" t="s">
        <v>8005</v>
      </c>
      <c r="C2285" s="4"/>
      <c r="D2285" s="4" t="s">
        <v>7320</v>
      </c>
      <c r="E2285" s="4" t="s">
        <v>7321</v>
      </c>
      <c r="F2285" s="4" t="s">
        <v>3616</v>
      </c>
      <c r="G2285" s="5" t="str">
        <f>IFERROR(__xludf.DUMMYFUNCTION("GOOGLETRANSLATE(D2285,""en"",""es"")"),"polea")</f>
        <v>polea</v>
      </c>
      <c r="H2285" s="4" t="s">
        <v>7320</v>
      </c>
      <c r="I2285" s="4" t="s">
        <v>7322</v>
      </c>
      <c r="J2285" s="4" t="s">
        <v>7323</v>
      </c>
      <c r="K2285" s="4" t="s">
        <v>326</v>
      </c>
    </row>
    <row r="2286">
      <c r="A2286" s="4">
        <v>328.0</v>
      </c>
      <c r="B2286" s="4" t="s">
        <v>8005</v>
      </c>
      <c r="C2286" s="4"/>
      <c r="D2286" s="4" t="s">
        <v>697</v>
      </c>
      <c r="E2286" s="4" t="s">
        <v>7324</v>
      </c>
      <c r="F2286" s="4" t="s">
        <v>697</v>
      </c>
      <c r="G2286" s="5" t="str">
        <f>IFERROR(__xludf.DUMMYFUNCTION("GOOGLETRANSLATE(D2286,""en"",""es"")"),"empujar")</f>
        <v>empujar</v>
      </c>
      <c r="H2286" s="4" t="s">
        <v>697</v>
      </c>
      <c r="I2286" s="4" t="s">
        <v>7325</v>
      </c>
      <c r="J2286" s="4" t="s">
        <v>697</v>
      </c>
      <c r="K2286" s="4" t="s">
        <v>7326</v>
      </c>
      <c r="L2286" s="4" t="s">
        <v>7327</v>
      </c>
      <c r="M2286" s="4" t="s">
        <v>697</v>
      </c>
      <c r="N2286" s="4" t="s">
        <v>7328</v>
      </c>
      <c r="O2286" s="4" t="s">
        <v>7329</v>
      </c>
      <c r="P2286" s="4" t="s">
        <v>697</v>
      </c>
      <c r="Q2286" s="4" t="s">
        <v>7330</v>
      </c>
      <c r="R2286" s="4" t="s">
        <v>697</v>
      </c>
      <c r="S2286" s="4" t="s">
        <v>697</v>
      </c>
      <c r="T2286" s="4" t="s">
        <v>4434</v>
      </c>
      <c r="U2286" s="4" t="s">
        <v>697</v>
      </c>
      <c r="V2286" s="4" t="s">
        <v>698</v>
      </c>
      <c r="W2286" s="4" t="s">
        <v>7331</v>
      </c>
      <c r="X2286" s="4" t="s">
        <v>7332</v>
      </c>
      <c r="Y2286" s="4" t="s">
        <v>7333</v>
      </c>
      <c r="Z2286" s="4" t="s">
        <v>697</v>
      </c>
      <c r="AA2286" s="4" t="s">
        <v>7334</v>
      </c>
      <c r="AB2286" s="4" t="s">
        <v>7335</v>
      </c>
      <c r="AC2286" s="4" t="s">
        <v>7336</v>
      </c>
      <c r="AD2286" s="4" t="s">
        <v>697</v>
      </c>
      <c r="AE2286" s="4" t="s">
        <v>7337</v>
      </c>
      <c r="AF2286" s="4" t="s">
        <v>697</v>
      </c>
      <c r="AG2286" s="4" t="s">
        <v>697</v>
      </c>
      <c r="AH2286" s="4" t="s">
        <v>781</v>
      </c>
      <c r="AI2286" s="4" t="s">
        <v>7338</v>
      </c>
      <c r="AJ2286" s="4" t="s">
        <v>7339</v>
      </c>
      <c r="AK2286" s="4" t="s">
        <v>7340</v>
      </c>
      <c r="AL2286" s="4" t="s">
        <v>7341</v>
      </c>
      <c r="AM2286" s="4" t="s">
        <v>697</v>
      </c>
      <c r="AN2286" s="4" t="s">
        <v>7342</v>
      </c>
      <c r="AO2286" s="4" t="s">
        <v>697</v>
      </c>
      <c r="AP2286" s="4" t="s">
        <v>697</v>
      </c>
      <c r="AQ2286" s="4" t="s">
        <v>7340</v>
      </c>
      <c r="AR2286" s="4" t="s">
        <v>697</v>
      </c>
    </row>
    <row r="2287">
      <c r="A2287" s="4">
        <v>329.0</v>
      </c>
      <c r="B2287" s="4" t="s">
        <v>8005</v>
      </c>
      <c r="C2287" s="4"/>
      <c r="D2287" s="4" t="s">
        <v>7343</v>
      </c>
      <c r="E2287" s="4" t="s">
        <v>7344</v>
      </c>
      <c r="F2287" s="4" t="s">
        <v>7345</v>
      </c>
      <c r="G2287" s="5" t="str">
        <f>IFERROR(__xludf.DUMMYFUNCTION("GOOGLETRANSLATE(D2287,""en"",""es"")"),"molesto")</f>
        <v>molesto</v>
      </c>
      <c r="H2287" s="4" t="s">
        <v>7346</v>
      </c>
      <c r="I2287" s="4" t="s">
        <v>7343</v>
      </c>
    </row>
    <row r="2288">
      <c r="A2288" s="4">
        <v>330.0</v>
      </c>
      <c r="B2288" s="4" t="s">
        <v>8005</v>
      </c>
      <c r="C2288" s="4"/>
      <c r="D2288" s="4" t="s">
        <v>2724</v>
      </c>
      <c r="E2288" s="4" t="s">
        <v>7347</v>
      </c>
      <c r="F2288" s="4" t="s">
        <v>3766</v>
      </c>
      <c r="G2288" s="5" t="str">
        <f>IFERROR(__xludf.DUMMYFUNCTION("GOOGLETRANSLATE(D2288,""en"",""es"")"),"cara")</f>
        <v>cara</v>
      </c>
      <c r="H2288" s="4" t="s">
        <v>3432</v>
      </c>
      <c r="I2288" s="4" t="s">
        <v>2724</v>
      </c>
      <c r="J2288" s="4" t="s">
        <v>2725</v>
      </c>
      <c r="K2288" s="4" t="s">
        <v>3433</v>
      </c>
      <c r="L2288" s="4" t="s">
        <v>3434</v>
      </c>
      <c r="M2288" s="4" t="s">
        <v>3435</v>
      </c>
      <c r="N2288" s="4" t="s">
        <v>2722</v>
      </c>
      <c r="O2288" s="4" t="s">
        <v>2723</v>
      </c>
      <c r="P2288" s="4" t="s">
        <v>2724</v>
      </c>
      <c r="Q2288" s="4" t="s">
        <v>2725</v>
      </c>
      <c r="R2288" s="4" t="s">
        <v>2726</v>
      </c>
      <c r="S2288" s="4" t="s">
        <v>7348</v>
      </c>
      <c r="T2288" s="4" t="s">
        <v>7349</v>
      </c>
      <c r="U2288" s="4" t="s">
        <v>3766</v>
      </c>
      <c r="V2288" s="4" t="s">
        <v>3768</v>
      </c>
      <c r="W2288" s="4" t="s">
        <v>3769</v>
      </c>
      <c r="X2288" s="4" t="s">
        <v>3770</v>
      </c>
      <c r="Y2288" s="4" t="s">
        <v>3771</v>
      </c>
      <c r="Z2288" s="4" t="s">
        <v>3772</v>
      </c>
    </row>
    <row r="2289">
      <c r="A2289" s="4">
        <v>331.0</v>
      </c>
      <c r="B2289" s="4" t="s">
        <v>8005</v>
      </c>
      <c r="C2289" s="4"/>
      <c r="D2289" s="4" t="s">
        <v>2725</v>
      </c>
      <c r="E2289" s="4" t="s">
        <v>7350</v>
      </c>
      <c r="F2289" s="4" t="s">
        <v>7351</v>
      </c>
      <c r="G2289" s="5" t="str">
        <f>IFERROR(__xludf.DUMMYFUNCTION("GOOGLETRANSLATE(D2289,""en"",""es"")"),"coño")</f>
        <v>coño</v>
      </c>
      <c r="H2289" s="4" t="s">
        <v>3432</v>
      </c>
      <c r="I2289" s="4" t="s">
        <v>2724</v>
      </c>
      <c r="J2289" s="4" t="s">
        <v>2725</v>
      </c>
      <c r="K2289" s="4" t="s">
        <v>3433</v>
      </c>
      <c r="L2289" s="4" t="s">
        <v>3434</v>
      </c>
      <c r="M2289" s="4" t="s">
        <v>3435</v>
      </c>
      <c r="N2289" s="4" t="s">
        <v>2722</v>
      </c>
      <c r="O2289" s="4" t="s">
        <v>2723</v>
      </c>
      <c r="P2289" s="4" t="s">
        <v>2724</v>
      </c>
      <c r="Q2289" s="4" t="s">
        <v>2725</v>
      </c>
      <c r="R2289" s="4" t="s">
        <v>2726</v>
      </c>
      <c r="S2289" s="4" t="s">
        <v>7352</v>
      </c>
      <c r="T2289" s="4" t="s">
        <v>2725</v>
      </c>
    </row>
    <row r="2290">
      <c r="A2290" s="4">
        <v>332.0</v>
      </c>
      <c r="B2290" s="4" t="s">
        <v>8005</v>
      </c>
      <c r="C2290" s="4"/>
      <c r="D2290" s="4" t="s">
        <v>7353</v>
      </c>
      <c r="E2290" s="4" t="s">
        <v>7354</v>
      </c>
      <c r="F2290" s="4" t="s">
        <v>7355</v>
      </c>
      <c r="G2290" s="5" t="str">
        <f>IFERROR(__xludf.DUMMYFUNCTION("GOOGLETRANSLATE(D2290,""en"",""es"")"),"putti")</f>
        <v>putti</v>
      </c>
    </row>
    <row r="2291">
      <c r="A2291" s="4">
        <v>333.0</v>
      </c>
      <c r="B2291" s="4" t="s">
        <v>8005</v>
      </c>
      <c r="C2291" s="4"/>
      <c r="D2291" s="4" t="s">
        <v>3815</v>
      </c>
      <c r="E2291" s="4" t="s">
        <v>3816</v>
      </c>
      <c r="F2291" s="4" t="s">
        <v>3817</v>
      </c>
      <c r="G2291" s="5" t="str">
        <f>IFERROR(__xludf.DUMMYFUNCTION("GOOGLETRANSLATE(D2291,""en"",""es"")"),"quin")</f>
        <v>quin</v>
      </c>
      <c r="H2291" s="4" t="s">
        <v>7356</v>
      </c>
      <c r="I2291" s="4" t="s">
        <v>3825</v>
      </c>
      <c r="J2291" s="4" t="s">
        <v>3815</v>
      </c>
    </row>
    <row r="2292">
      <c r="A2292" s="4">
        <v>334.0</v>
      </c>
      <c r="B2292" s="4" t="s">
        <v>8005</v>
      </c>
      <c r="C2292" s="4"/>
      <c r="D2292" s="4" t="s">
        <v>7357</v>
      </c>
      <c r="E2292" s="4" t="s">
        <v>7358</v>
      </c>
      <c r="F2292" s="4" t="s">
        <v>7359</v>
      </c>
      <c r="G2292" s="5" t="str">
        <f>IFERROR(__xludf.DUMMYFUNCTION("GOOGLETRANSLATE(D2292,""en"",""es"")"),"quipu")</f>
        <v>quipu</v>
      </c>
      <c r="H2292" s="4" t="s">
        <v>7357</v>
      </c>
    </row>
    <row r="2293">
      <c r="A2293" s="4">
        <v>335.0</v>
      </c>
      <c r="B2293" s="4" t="s">
        <v>8005</v>
      </c>
      <c r="C2293" s="4"/>
      <c r="D2293" s="4" t="s">
        <v>3866</v>
      </c>
      <c r="E2293" s="4" t="s">
        <v>7360</v>
      </c>
      <c r="F2293" s="4" t="s">
        <v>3868</v>
      </c>
      <c r="G2293" s="5" t="str">
        <f>IFERROR(__xludf.DUMMYFUNCTION("GOOGLETRANSLATE(D2293,""en"",""es"")"),"saco")</f>
        <v>saco</v>
      </c>
      <c r="H2293" s="4" t="s">
        <v>7361</v>
      </c>
      <c r="I2293" s="4" t="s">
        <v>3866</v>
      </c>
      <c r="J2293" s="4" t="s">
        <v>1785</v>
      </c>
      <c r="K2293" s="4" t="s">
        <v>7362</v>
      </c>
      <c r="L2293" s="4" t="s">
        <v>7363</v>
      </c>
      <c r="M2293" s="4" t="s">
        <v>3866</v>
      </c>
      <c r="N2293" s="4" t="s">
        <v>7364</v>
      </c>
      <c r="O2293" s="4" t="s">
        <v>7365</v>
      </c>
      <c r="P2293" s="4" t="s">
        <v>3866</v>
      </c>
    </row>
    <row r="2294">
      <c r="A2294" s="4">
        <v>336.0</v>
      </c>
      <c r="B2294" s="4" t="s">
        <v>8005</v>
      </c>
      <c r="C2294" s="4"/>
      <c r="D2294" s="4" t="s">
        <v>1785</v>
      </c>
      <c r="E2294" s="4" t="s">
        <v>7360</v>
      </c>
      <c r="F2294" s="4" t="s">
        <v>3868</v>
      </c>
      <c r="G2294" s="5" t="str">
        <f>IFERROR(__xludf.DUMMYFUNCTION("GOOGLETRANSLATE(D2294,""en"",""es"")"),"bolsa")</f>
        <v>bolsa</v>
      </c>
      <c r="H2294" s="4" t="s">
        <v>1785</v>
      </c>
      <c r="I2294" s="4" t="s">
        <v>3489</v>
      </c>
      <c r="J2294" s="4" t="s">
        <v>7366</v>
      </c>
      <c r="K2294" s="4" t="s">
        <v>7367</v>
      </c>
      <c r="L2294" s="4" t="s">
        <v>7361</v>
      </c>
      <c r="M2294" s="4" t="s">
        <v>3866</v>
      </c>
      <c r="N2294" s="4" t="s">
        <v>1785</v>
      </c>
      <c r="O2294" s="4" t="s">
        <v>7362</v>
      </c>
      <c r="P2294" s="4" t="s">
        <v>1785</v>
      </c>
      <c r="Q2294" s="4" t="s">
        <v>3871</v>
      </c>
      <c r="R2294" s="4" t="s">
        <v>1785</v>
      </c>
      <c r="S2294" s="4" t="s">
        <v>1785</v>
      </c>
      <c r="T2294" s="4" t="s">
        <v>7368</v>
      </c>
      <c r="U2294" s="4" t="s">
        <v>1784</v>
      </c>
      <c r="V2294" s="4" t="s">
        <v>1785</v>
      </c>
      <c r="W2294" s="4" t="s">
        <v>7369</v>
      </c>
      <c r="X2294" s="4" t="s">
        <v>1785</v>
      </c>
      <c r="Y2294" s="4" t="s">
        <v>7370</v>
      </c>
      <c r="Z2294" s="4" t="s">
        <v>1785</v>
      </c>
      <c r="AA2294" s="4" t="s">
        <v>7371</v>
      </c>
      <c r="AB2294" s="4" t="s">
        <v>7372</v>
      </c>
      <c r="AC2294" s="4" t="s">
        <v>7373</v>
      </c>
      <c r="AD2294" s="4" t="s">
        <v>5527</v>
      </c>
      <c r="AE2294" s="4" t="s">
        <v>7374</v>
      </c>
      <c r="AF2294" s="4" t="s">
        <v>3379</v>
      </c>
      <c r="AG2294" s="4" t="s">
        <v>1785</v>
      </c>
      <c r="AH2294" s="4" t="s">
        <v>7375</v>
      </c>
      <c r="AI2294" s="4" t="s">
        <v>1785</v>
      </c>
      <c r="AJ2294" s="4" t="s">
        <v>3531</v>
      </c>
      <c r="AK2294" s="4" t="s">
        <v>5959</v>
      </c>
      <c r="AL2294" s="4" t="s">
        <v>907</v>
      </c>
      <c r="AM2294" s="4" t="s">
        <v>5960</v>
      </c>
      <c r="AN2294" s="4" t="s">
        <v>1120</v>
      </c>
      <c r="AO2294" s="4" t="s">
        <v>5961</v>
      </c>
      <c r="AP2294" s="4" t="s">
        <v>5962</v>
      </c>
      <c r="AQ2294" s="4" t="s">
        <v>5963</v>
      </c>
      <c r="AR2294" s="4" t="s">
        <v>1785</v>
      </c>
      <c r="AS2294" s="4" t="s">
        <v>5964</v>
      </c>
      <c r="AT2294" s="4" t="s">
        <v>5965</v>
      </c>
      <c r="AU2294" s="4" t="s">
        <v>952</v>
      </c>
      <c r="AV2294" s="4" t="s">
        <v>7376</v>
      </c>
      <c r="AW2294" s="4" t="s">
        <v>1785</v>
      </c>
      <c r="AX2294" s="4" t="s">
        <v>7377</v>
      </c>
      <c r="AY2294" s="4" t="s">
        <v>2682</v>
      </c>
      <c r="AZ2294" s="4" t="s">
        <v>1785</v>
      </c>
    </row>
    <row r="2295">
      <c r="A2295" s="4">
        <v>337.0</v>
      </c>
      <c r="B2295" s="4" t="s">
        <v>8005</v>
      </c>
      <c r="C2295" s="4"/>
      <c r="D2295" s="4" t="s">
        <v>7368</v>
      </c>
      <c r="E2295" s="4" t="s">
        <v>7360</v>
      </c>
      <c r="F2295" s="4" t="s">
        <v>3868</v>
      </c>
      <c r="G2295" s="5" t="str">
        <f>IFERROR(__xludf.DUMMYFUNCTION("GOOGLETRANSLATE(D2295,""en"",""es"")"),"sacque")</f>
        <v>sacque</v>
      </c>
      <c r="H2295" s="4" t="s">
        <v>1785</v>
      </c>
      <c r="I2295" s="4" t="s">
        <v>7368</v>
      </c>
    </row>
    <row r="2296">
      <c r="A2296" s="4">
        <v>338.0</v>
      </c>
      <c r="B2296" s="4" t="s">
        <v>8005</v>
      </c>
      <c r="C2296" s="4"/>
      <c r="D2296" s="4" t="s">
        <v>7378</v>
      </c>
      <c r="E2296" s="4" t="s">
        <v>7379</v>
      </c>
      <c r="F2296" s="4" t="s">
        <v>3955</v>
      </c>
      <c r="G2296" s="5" t="str">
        <f>IFERROR(__xludf.DUMMYFUNCTION("GOOGLETRANSLATE(D2296,""en"",""es"")"),"motivo")</f>
        <v>motivo</v>
      </c>
    </row>
    <row r="2297">
      <c r="A2297" s="4">
        <v>339.0</v>
      </c>
      <c r="B2297" s="4" t="s">
        <v>8005</v>
      </c>
      <c r="C2297" s="4"/>
      <c r="D2297" s="4" t="s">
        <v>7380</v>
      </c>
      <c r="E2297" s="4" t="s">
        <v>7381</v>
      </c>
      <c r="F2297" s="4" t="s">
        <v>4196</v>
      </c>
      <c r="G2297" s="5" t="str">
        <f>IFERROR(__xludf.DUMMYFUNCTION("GOOGLETRANSLATE(D2297,""en"",""es"")"),"sálico")</f>
        <v>sálico</v>
      </c>
    </row>
    <row r="2298">
      <c r="A2298" s="4">
        <v>340.0</v>
      </c>
      <c r="B2298" s="4" t="s">
        <v>8005</v>
      </c>
      <c r="C2298" s="4"/>
      <c r="D2298" s="4" t="s">
        <v>7382</v>
      </c>
      <c r="E2298" s="4" t="s">
        <v>7383</v>
      </c>
      <c r="F2298" s="4" t="s">
        <v>7384</v>
      </c>
      <c r="G2298" s="5" t="str">
        <f>IFERROR(__xludf.DUMMYFUNCTION("GOOGLETRANSLATE(D2298,""en"",""es"")"),"salicílico")</f>
        <v>salicílico</v>
      </c>
    </row>
    <row r="2299">
      <c r="A2299" s="4">
        <v>341.0</v>
      </c>
      <c r="B2299" s="4" t="s">
        <v>8005</v>
      </c>
      <c r="C2299" s="4"/>
      <c r="D2299" s="4" t="s">
        <v>7385</v>
      </c>
      <c r="E2299" s="4" t="s">
        <v>7386</v>
      </c>
      <c r="F2299" s="4" t="s">
        <v>7387</v>
      </c>
      <c r="G2299" s="5" t="str">
        <f>IFERROR(__xludf.DUMMYFUNCTION("GOOGLETRANSLATE(D2299,""en"",""es"")"),"salley")</f>
        <v>salley</v>
      </c>
    </row>
    <row r="2300">
      <c r="A2300" s="4">
        <v>342.0</v>
      </c>
      <c r="B2300" s="4" t="s">
        <v>8005</v>
      </c>
      <c r="C2300" s="4"/>
      <c r="D2300" s="4" t="s">
        <v>7388</v>
      </c>
      <c r="E2300" s="4" t="s">
        <v>7386</v>
      </c>
      <c r="F2300" s="4" t="s">
        <v>7387</v>
      </c>
      <c r="G2300" s="5" t="str">
        <f>IFERROR(__xludf.DUMMYFUNCTION("GOOGLETRANSLATE(D2300,""en"",""es"")"),"salida")</f>
        <v>salida</v>
      </c>
      <c r="H2300" s="4" t="s">
        <v>7389</v>
      </c>
      <c r="I2300" s="4" t="s">
        <v>7113</v>
      </c>
      <c r="J2300" s="4" t="s">
        <v>7388</v>
      </c>
      <c r="K2300" s="4" t="s">
        <v>7390</v>
      </c>
      <c r="L2300" s="4" t="s">
        <v>7391</v>
      </c>
      <c r="M2300" s="4" t="s">
        <v>7388</v>
      </c>
      <c r="N2300" s="4" t="s">
        <v>7388</v>
      </c>
      <c r="O2300" s="4" t="s">
        <v>7392</v>
      </c>
    </row>
    <row r="2301">
      <c r="A2301" s="4">
        <v>343.0</v>
      </c>
      <c r="B2301" s="4" t="s">
        <v>8005</v>
      </c>
      <c r="C2301" s="4"/>
      <c r="D2301" s="4" t="s">
        <v>398</v>
      </c>
      <c r="E2301" s="4" t="s">
        <v>7393</v>
      </c>
      <c r="F2301" s="4" t="s">
        <v>398</v>
      </c>
      <c r="G2301" s="5" t="str">
        <f>IFERROR(__xludf.DUMMYFUNCTION("GOOGLETRANSLATE(D2301,""en"",""es"")"),"sam")</f>
        <v>sam</v>
      </c>
      <c r="H2301" s="4" t="s">
        <v>7394</v>
      </c>
      <c r="I2301" s="4" t="s">
        <v>7395</v>
      </c>
    </row>
    <row r="2302">
      <c r="A2302" s="4">
        <v>344.0</v>
      </c>
      <c r="B2302" s="4" t="s">
        <v>8005</v>
      </c>
      <c r="C2302" s="4"/>
      <c r="D2302" s="4" t="s">
        <v>7396</v>
      </c>
      <c r="E2302" s="4" t="s">
        <v>7397</v>
      </c>
      <c r="F2302" s="4" t="s">
        <v>7398</v>
      </c>
      <c r="G2302" s="5" t="str">
        <f>IFERROR(__xludf.DUMMYFUNCTION("GOOGLETRANSLATE(D2302,""en"",""es"")"),"sammy")</f>
        <v>sammy</v>
      </c>
    </row>
    <row r="2303">
      <c r="A2303" s="4">
        <v>345.0</v>
      </c>
      <c r="B2303" s="4" t="s">
        <v>8005</v>
      </c>
      <c r="C2303" s="4"/>
      <c r="D2303" s="4" t="s">
        <v>7399</v>
      </c>
      <c r="E2303" s="4" t="s">
        <v>7400</v>
      </c>
      <c r="F2303" s="4" t="s">
        <v>7401</v>
      </c>
      <c r="G2303" s="5" t="str">
        <f>IFERROR(__xludf.DUMMYFUNCTION("GOOGLETRANSLATE(D2303,""en"",""es"")"),"cordura")</f>
        <v>cordura</v>
      </c>
      <c r="H2303" s="4" t="s">
        <v>7399</v>
      </c>
      <c r="I2303" s="4" t="s">
        <v>7402</v>
      </c>
    </row>
    <row r="2304">
      <c r="A2304" s="4">
        <v>346.0</v>
      </c>
      <c r="B2304" s="4" t="s">
        <v>8005</v>
      </c>
      <c r="C2304" s="4"/>
      <c r="D2304" s="4" t="s">
        <v>3951</v>
      </c>
      <c r="E2304" s="4" t="s">
        <v>7403</v>
      </c>
      <c r="F2304" s="4" t="s">
        <v>3951</v>
      </c>
      <c r="G2304" s="5" t="str">
        <f>IFERROR(__xludf.DUMMYFUNCTION("GOOGLETRANSLATE(D2304,""en"",""es"")"),"savia")</f>
        <v>savia</v>
      </c>
      <c r="H2304" s="4" t="s">
        <v>3951</v>
      </c>
      <c r="I2304" s="4" t="s">
        <v>3230</v>
      </c>
      <c r="J2304" s="4" t="s">
        <v>3951</v>
      </c>
      <c r="K2304" s="4" t="s">
        <v>7404</v>
      </c>
      <c r="L2304" s="4" t="s">
        <v>7405</v>
      </c>
      <c r="M2304" s="4" t="s">
        <v>7406</v>
      </c>
      <c r="N2304" s="4" t="s">
        <v>7407</v>
      </c>
      <c r="O2304" s="4" t="s">
        <v>7408</v>
      </c>
      <c r="P2304" s="4" t="s">
        <v>3951</v>
      </c>
      <c r="Q2304" s="4" t="s">
        <v>7409</v>
      </c>
      <c r="R2304" s="4" t="s">
        <v>7410</v>
      </c>
      <c r="S2304" s="4" t="s">
        <v>7411</v>
      </c>
      <c r="T2304" s="4" t="s">
        <v>3951</v>
      </c>
      <c r="U2304" s="4" t="s">
        <v>7412</v>
      </c>
      <c r="V2304" s="4" t="s">
        <v>3951</v>
      </c>
    </row>
    <row r="2305">
      <c r="A2305" s="4">
        <v>347.0</v>
      </c>
      <c r="B2305" s="4" t="s">
        <v>8005</v>
      </c>
      <c r="C2305" s="4"/>
      <c r="D2305" s="4" t="s">
        <v>7413</v>
      </c>
      <c r="E2305" s="4" t="s">
        <v>7414</v>
      </c>
      <c r="F2305" s="4" t="s">
        <v>7415</v>
      </c>
      <c r="G2305" s="5" t="str">
        <f>IFERROR(__xludf.DUMMYFUNCTION("GOOGLETRANSLATE(D2305,""en"",""es"")"),"lleno de savia")</f>
        <v>lleno de savia</v>
      </c>
      <c r="H2305" s="4" t="s">
        <v>7416</v>
      </c>
      <c r="I2305" s="4" t="s">
        <v>7417</v>
      </c>
      <c r="J2305" s="4" t="s">
        <v>7418</v>
      </c>
      <c r="K2305" s="4" t="s">
        <v>7413</v>
      </c>
      <c r="L2305" s="4" t="s">
        <v>7419</v>
      </c>
      <c r="M2305" s="4" t="s">
        <v>6509</v>
      </c>
      <c r="N2305" s="4" t="s">
        <v>6510</v>
      </c>
      <c r="O2305" s="4" t="s">
        <v>7420</v>
      </c>
      <c r="P2305" s="4" t="s">
        <v>7413</v>
      </c>
    </row>
    <row r="2306">
      <c r="A2306" s="4">
        <v>348.0</v>
      </c>
      <c r="B2306" s="4" t="s">
        <v>8005</v>
      </c>
      <c r="C2306" s="4"/>
      <c r="D2306" s="4" t="s">
        <v>7421</v>
      </c>
      <c r="E2306" s="4" t="s">
        <v>7422</v>
      </c>
      <c r="F2306" s="4" t="s">
        <v>7421</v>
      </c>
      <c r="G2306" s="5" t="str">
        <f>IFERROR(__xludf.DUMMYFUNCTION("GOOGLETRANSLATE(D2306,""en"",""es"")"),"faja")</f>
        <v>faja</v>
      </c>
      <c r="H2306" s="4" t="s">
        <v>7421</v>
      </c>
      <c r="I2306" s="4" t="s">
        <v>7423</v>
      </c>
      <c r="J2306" s="4" t="s">
        <v>7424</v>
      </c>
      <c r="K2306" s="4" t="s">
        <v>7425</v>
      </c>
      <c r="L2306" s="4" t="s">
        <v>7421</v>
      </c>
      <c r="M2306" s="4" t="s">
        <v>7426</v>
      </c>
      <c r="N2306" s="4" t="s">
        <v>7427</v>
      </c>
    </row>
    <row r="2307">
      <c r="A2307" s="4">
        <v>349.0</v>
      </c>
      <c r="B2307" s="4" t="s">
        <v>8005</v>
      </c>
      <c r="C2307" s="4"/>
      <c r="D2307" s="4" t="s">
        <v>7428</v>
      </c>
      <c r="E2307" s="4" t="s">
        <v>7429</v>
      </c>
      <c r="F2307" s="4" t="s">
        <v>7428</v>
      </c>
      <c r="G2307" s="5" t="str">
        <f>IFERROR(__xludf.DUMMYFUNCTION("GOOGLETRANSLATE(D2307,""en"",""es"")"),"sashimi")</f>
        <v>sashimi</v>
      </c>
      <c r="H2307" s="4" t="s">
        <v>7428</v>
      </c>
    </row>
    <row r="2308">
      <c r="A2308" s="4">
        <v>350.0</v>
      </c>
      <c r="B2308" s="4" t="s">
        <v>8005</v>
      </c>
      <c r="C2308" s="4"/>
      <c r="D2308" s="4" t="s">
        <v>6652</v>
      </c>
      <c r="E2308" s="4" t="s">
        <v>7430</v>
      </c>
      <c r="F2308" s="4" t="s">
        <v>7431</v>
      </c>
      <c r="G2308" s="5" t="str">
        <f>IFERROR(__xludf.DUMMYFUNCTION("GOOGLETRANSLATE(D2308,""en"",""es"")"),"hablar con descaro a")</f>
        <v>hablar con descaro a</v>
      </c>
      <c r="H2308" s="4" t="s">
        <v>6652</v>
      </c>
      <c r="I2308" s="4" t="s">
        <v>6653</v>
      </c>
      <c r="J2308" s="4" t="s">
        <v>6654</v>
      </c>
      <c r="K2308" s="4" t="s">
        <v>6655</v>
      </c>
      <c r="L2308" s="4" t="s">
        <v>6650</v>
      </c>
      <c r="M2308" s="4" t="s">
        <v>6656</v>
      </c>
      <c r="N2308" s="4" t="s">
        <v>7432</v>
      </c>
      <c r="O2308" s="4" t="s">
        <v>7433</v>
      </c>
      <c r="P2308" s="4" t="s">
        <v>6652</v>
      </c>
    </row>
    <row r="2309">
      <c r="A2309" s="4">
        <v>351.0</v>
      </c>
      <c r="B2309" s="4" t="s">
        <v>8005</v>
      </c>
      <c r="C2309" s="4"/>
      <c r="D2309" s="4" t="s">
        <v>7434</v>
      </c>
      <c r="E2309" s="4" t="s">
        <v>7430</v>
      </c>
      <c r="F2309" s="4" t="s">
        <v>7431</v>
      </c>
      <c r="G2309" s="5" t="str">
        <f>IFERROR(__xludf.DUMMYFUNCTION("GOOGLETRANSLATE(D2309,""en"",""es"")"),"sasse")</f>
        <v>sasse</v>
      </c>
    </row>
    <row r="2310">
      <c r="A2310" s="4">
        <v>352.0</v>
      </c>
      <c r="B2310" s="4" t="s">
        <v>8005</v>
      </c>
      <c r="C2310" s="4"/>
      <c r="D2310" s="4" t="s">
        <v>7435</v>
      </c>
      <c r="E2310" s="4" t="s">
        <v>7436</v>
      </c>
      <c r="F2310" s="4" t="s">
        <v>7437</v>
      </c>
      <c r="G2310" s="5" t="str">
        <f>IFERROR(__xludf.DUMMYFUNCTION("GOOGLETRANSLATE(D2310,""en"",""es"")"),"atrevido")</f>
        <v>atrevido</v>
      </c>
      <c r="H2310" s="4" t="s">
        <v>7438</v>
      </c>
      <c r="I2310" s="4" t="s">
        <v>7439</v>
      </c>
      <c r="J2310" s="4" t="s">
        <v>7440</v>
      </c>
      <c r="K2310" s="4" t="s">
        <v>7441</v>
      </c>
      <c r="L2310" s="4" t="s">
        <v>3502</v>
      </c>
      <c r="M2310" s="4" t="s">
        <v>7442</v>
      </c>
      <c r="N2310" s="4" t="s">
        <v>7435</v>
      </c>
      <c r="O2310" s="4" t="s">
        <v>7443</v>
      </c>
    </row>
    <row r="2311">
      <c r="A2311" s="4">
        <v>353.0</v>
      </c>
      <c r="B2311" s="4" t="s">
        <v>8005</v>
      </c>
      <c r="C2311" s="4"/>
      <c r="D2311" s="4" t="s">
        <v>7444</v>
      </c>
      <c r="E2311" s="4" t="s">
        <v>7445</v>
      </c>
      <c r="F2311" s="4" t="s">
        <v>7444</v>
      </c>
      <c r="G2311" s="5" t="str">
        <f>IFERROR(__xludf.DUMMYFUNCTION("GOOGLETRANSLATE(D2311,""en"",""es"")"),"satín")</f>
        <v>satín</v>
      </c>
      <c r="H2311" s="4" t="s">
        <v>7444</v>
      </c>
    </row>
    <row r="2312">
      <c r="A2312" s="4">
        <v>354.0</v>
      </c>
      <c r="B2312" s="4" t="s">
        <v>8005</v>
      </c>
      <c r="C2312" s="4"/>
      <c r="D2312" s="4" t="s">
        <v>7446</v>
      </c>
      <c r="E2312" s="4" t="s">
        <v>7447</v>
      </c>
      <c r="F2312" s="4" t="s">
        <v>7448</v>
      </c>
      <c r="G2312" s="5" t="str">
        <f>IFERROR(__xludf.DUMMYFUNCTION("GOOGLETRANSLATE(D2312,""en"",""es"")"),"recta")</f>
        <v>recta</v>
      </c>
      <c r="H2312" s="4" t="s">
        <v>7446</v>
      </c>
    </row>
    <row r="2313">
      <c r="A2313" s="4">
        <v>355.0</v>
      </c>
      <c r="B2313" s="4" t="s">
        <v>8005</v>
      </c>
      <c r="C2313" s="4"/>
      <c r="D2313" s="4" t="s">
        <v>7449</v>
      </c>
      <c r="E2313" s="4" t="s">
        <v>7450</v>
      </c>
      <c r="F2313" s="4" t="s">
        <v>7451</v>
      </c>
      <c r="G2313" s="5" t="str">
        <f>IFERROR(__xludf.DUMMYFUNCTION("GOOGLETRANSLATE(D2313,""en"",""es"")"),"semic")</f>
        <v>semic</v>
      </c>
    </row>
    <row r="2314">
      <c r="A2314" s="4">
        <v>356.0</v>
      </c>
      <c r="B2314" s="4" t="s">
        <v>8005</v>
      </c>
      <c r="C2314" s="4"/>
      <c r="D2314" s="4" t="s">
        <v>7452</v>
      </c>
      <c r="E2314" s="4" t="s">
        <v>7453</v>
      </c>
      <c r="F2314" s="4" t="s">
        <v>7454</v>
      </c>
      <c r="G2314" s="5" t="str">
        <f>IFERROR(__xludf.DUMMYFUNCTION("GOOGLETRANSLATE(D2314,""en"",""es"")"),"choza")</f>
        <v>choza</v>
      </c>
      <c r="H2314" s="4" t="s">
        <v>7455</v>
      </c>
      <c r="I2314" s="4" t="s">
        <v>7456</v>
      </c>
      <c r="J2314" s="4" t="s">
        <v>7457</v>
      </c>
      <c r="K2314" s="4" t="s">
        <v>7452</v>
      </c>
      <c r="L2314" s="4" t="s">
        <v>7458</v>
      </c>
      <c r="M2314" s="4" t="s">
        <v>7459</v>
      </c>
      <c r="N2314" s="4" t="s">
        <v>7452</v>
      </c>
      <c r="O2314" s="4" t="s">
        <v>3574</v>
      </c>
      <c r="P2314" s="4" t="s">
        <v>7460</v>
      </c>
      <c r="Q2314" s="4" t="s">
        <v>7461</v>
      </c>
      <c r="R2314" s="4" t="s">
        <v>7452</v>
      </c>
    </row>
    <row r="2315">
      <c r="A2315" s="4">
        <v>357.0</v>
      </c>
      <c r="B2315" s="4" t="s">
        <v>8005</v>
      </c>
      <c r="C2315" s="4"/>
      <c r="D2315" s="4" t="s">
        <v>3997</v>
      </c>
      <c r="E2315" s="4" t="s">
        <v>7462</v>
      </c>
      <c r="F2315" s="4" t="s">
        <v>3997</v>
      </c>
      <c r="G2315" s="5" t="str">
        <f>IFERROR(__xludf.DUMMYFUNCTION("GOOGLETRANSLATE(D2315,""en"",""es"")"),"impostor")</f>
        <v>impostor</v>
      </c>
      <c r="H2315" s="4" t="s">
        <v>6082</v>
      </c>
      <c r="I2315" s="4" t="s">
        <v>3997</v>
      </c>
      <c r="J2315" s="4" t="s">
        <v>7463</v>
      </c>
      <c r="K2315" s="4" t="s">
        <v>7464</v>
      </c>
      <c r="L2315" s="4" t="s">
        <v>7465</v>
      </c>
      <c r="M2315" s="4" t="s">
        <v>7466</v>
      </c>
      <c r="N2315" s="4" t="s">
        <v>6082</v>
      </c>
      <c r="O2315" s="4" t="s">
        <v>7467</v>
      </c>
      <c r="P2315" s="4" t="s">
        <v>5693</v>
      </c>
      <c r="Q2315" s="4" t="s">
        <v>3997</v>
      </c>
      <c r="R2315" s="4" t="s">
        <v>7468</v>
      </c>
      <c r="S2315" s="4" t="s">
        <v>7469</v>
      </c>
      <c r="T2315" s="4" t="s">
        <v>7470</v>
      </c>
      <c r="U2315" s="4" t="s">
        <v>7471</v>
      </c>
      <c r="V2315" s="4" t="s">
        <v>1911</v>
      </c>
      <c r="W2315" s="4" t="s">
        <v>883</v>
      </c>
      <c r="X2315" s="4" t="s">
        <v>3997</v>
      </c>
      <c r="Y2315" s="4" t="s">
        <v>3996</v>
      </c>
      <c r="Z2315" s="4" t="s">
        <v>3996</v>
      </c>
      <c r="AA2315" s="4" t="s">
        <v>3997</v>
      </c>
      <c r="AB2315" s="4" t="s">
        <v>3998</v>
      </c>
      <c r="AC2315" s="4" t="s">
        <v>3999</v>
      </c>
      <c r="AD2315" s="4" t="s">
        <v>4000</v>
      </c>
      <c r="AE2315" s="4" t="s">
        <v>7472</v>
      </c>
      <c r="AF2315" s="4" t="b">
        <v>0</v>
      </c>
      <c r="AG2315" s="4" t="s">
        <v>7473</v>
      </c>
      <c r="AH2315" s="4" t="s">
        <v>7474</v>
      </c>
      <c r="AI2315" s="4" t="s">
        <v>7475</v>
      </c>
      <c r="AJ2315" s="4" t="s">
        <v>7476</v>
      </c>
      <c r="AK2315" s="4" t="s">
        <v>3997</v>
      </c>
    </row>
    <row r="2316">
      <c r="A2316" s="4">
        <v>358.0</v>
      </c>
      <c r="B2316" s="4" t="s">
        <v>8005</v>
      </c>
      <c r="C2316" s="4"/>
      <c r="D2316" s="4" t="s">
        <v>7477</v>
      </c>
      <c r="E2316" s="4" t="s">
        <v>6008</v>
      </c>
      <c r="F2316" s="4" t="s">
        <v>6009</v>
      </c>
      <c r="G2316" s="5" t="str">
        <f>IFERROR(__xludf.DUMMYFUNCTION("GOOGLETRANSLATE(D2316,""en"",""es"")"),"ambiente")</f>
        <v>ambiente</v>
      </c>
    </row>
    <row r="2317">
      <c r="A2317" s="4">
        <v>359.0</v>
      </c>
      <c r="B2317" s="4" t="s">
        <v>8005</v>
      </c>
      <c r="C2317" s="4"/>
      <c r="D2317" s="4" t="s">
        <v>7478</v>
      </c>
      <c r="E2317" s="4" t="s">
        <v>7479</v>
      </c>
      <c r="F2317" s="4" t="s">
        <v>7478</v>
      </c>
      <c r="G2317" s="5" t="str">
        <f>IFERROR(__xludf.DUMMYFUNCTION("GOOGLETRANSLATE(D2317,""en"",""es"")"),"brocheta")</f>
        <v>brocheta</v>
      </c>
    </row>
    <row r="2318">
      <c r="A2318" s="4">
        <v>360.0</v>
      </c>
      <c r="B2318" s="4" t="s">
        <v>8005</v>
      </c>
      <c r="C2318" s="4"/>
      <c r="D2318" s="4" t="s">
        <v>7480</v>
      </c>
      <c r="E2318" s="4" t="s">
        <v>6014</v>
      </c>
      <c r="F2318" s="4" t="s">
        <v>6015</v>
      </c>
      <c r="G2318" s="5" t="str">
        <f>IFERROR(__xludf.DUMMYFUNCTION("GOOGLETRANSLATE(D2318,""en"",""es"")"),"trastornar")</f>
        <v>trastornar</v>
      </c>
    </row>
    <row r="2319">
      <c r="A2319" s="4">
        <v>361.0</v>
      </c>
      <c r="B2319" s="4" t="s">
        <v>8005</v>
      </c>
      <c r="C2319" s="4"/>
      <c r="D2319" s="4" t="s">
        <v>7481</v>
      </c>
      <c r="E2319" s="4" t="s">
        <v>7482</v>
      </c>
      <c r="F2319" s="4" t="s">
        <v>7483</v>
      </c>
      <c r="G2319" s="5" t="str">
        <f>IFERROR(__xludf.DUMMYFUNCTION("GOOGLETRANSLATE(D2319,""en"",""es"")"),"caparazón")</f>
        <v>caparazón</v>
      </c>
    </row>
    <row r="2320">
      <c r="A2320" s="4">
        <v>362.0</v>
      </c>
      <c r="B2320" s="4" t="s">
        <v>8005</v>
      </c>
      <c r="C2320" s="4"/>
      <c r="D2320" s="4" t="s">
        <v>7484</v>
      </c>
      <c r="E2320" s="4" t="s">
        <v>277</v>
      </c>
      <c r="F2320" s="4" t="s">
        <v>278</v>
      </c>
      <c r="G2320" s="5" t="str">
        <f>IFERROR(__xludf.DUMMYFUNCTION("GOOGLETRANSLATE(D2320,""en"",""es"")"),"Ella a")</f>
        <v>Ella a</v>
      </c>
    </row>
    <row r="2321">
      <c r="A2321" s="4">
        <v>363.0</v>
      </c>
      <c r="B2321" s="4" t="s">
        <v>8005</v>
      </c>
      <c r="C2321" s="4"/>
      <c r="D2321" s="4" t="s">
        <v>7485</v>
      </c>
      <c r="E2321" s="4" t="s">
        <v>7482</v>
      </c>
      <c r="F2321" s="4" t="s">
        <v>7483</v>
      </c>
      <c r="G2321" s="5" t="str">
        <f>IFERROR(__xludf.DUMMYFUNCTION("GOOGLETRANSLATE(D2321,""en"",""es"")"),"cómplice")</f>
        <v>cómplice</v>
      </c>
      <c r="H2321" s="4" t="s">
        <v>7485</v>
      </c>
      <c r="I2321" s="4" t="s">
        <v>7485</v>
      </c>
    </row>
    <row r="2322">
      <c r="A2322" s="4">
        <v>364.0</v>
      </c>
      <c r="B2322" s="4" t="s">
        <v>8005</v>
      </c>
      <c r="C2322" s="4"/>
      <c r="D2322" s="4" t="s">
        <v>7486</v>
      </c>
      <c r="E2322" s="4" t="s">
        <v>7487</v>
      </c>
      <c r="F2322" s="4" t="s">
        <v>7486</v>
      </c>
      <c r="G2322" s="5" t="str">
        <f>IFERROR(__xludf.DUMMYFUNCTION("GOOGLETRANSLATE(D2322,""en"",""es"")"),"calce")</f>
        <v>calce</v>
      </c>
      <c r="H2322" s="4" t="s">
        <v>7486</v>
      </c>
    </row>
    <row r="2323">
      <c r="A2323" s="4">
        <v>365.0</v>
      </c>
      <c r="B2323" s="4" t="s">
        <v>8005</v>
      </c>
      <c r="C2323" s="4"/>
      <c r="D2323" s="4" t="s">
        <v>7488</v>
      </c>
      <c r="E2323" s="4" t="s">
        <v>7489</v>
      </c>
      <c r="F2323" s="4" t="s">
        <v>7490</v>
      </c>
      <c r="G2323" s="5" t="str">
        <f>IFERROR(__xludf.DUMMYFUNCTION("GOOGLETRANSLATE(D2323,""en"",""es"")"),"camisa")</f>
        <v>camisa</v>
      </c>
      <c r="H2323" s="4" t="s">
        <v>7488</v>
      </c>
      <c r="I2323" s="4" t="s">
        <v>7369</v>
      </c>
      <c r="J2323" s="4" t="s">
        <v>7488</v>
      </c>
      <c r="K2323" s="4" t="s">
        <v>7370</v>
      </c>
      <c r="L2323" s="4" t="s">
        <v>3397</v>
      </c>
      <c r="M2323" s="4" t="s">
        <v>7491</v>
      </c>
      <c r="N2323" s="4" t="s">
        <v>7488</v>
      </c>
      <c r="O2323" s="4" t="s">
        <v>7488</v>
      </c>
      <c r="P2323" s="4" t="s">
        <v>7492</v>
      </c>
      <c r="Q2323" s="4" t="s">
        <v>7488</v>
      </c>
    </row>
    <row r="2324">
      <c r="A2324" s="4">
        <v>366.0</v>
      </c>
      <c r="B2324" s="4" t="s">
        <v>8005</v>
      </c>
      <c r="C2324" s="4"/>
      <c r="D2324" s="4" t="s">
        <v>1188</v>
      </c>
      <c r="E2324" s="4" t="s">
        <v>7493</v>
      </c>
      <c r="F2324" s="4" t="s">
        <v>1188</v>
      </c>
      <c r="G2324" s="5" t="str">
        <f>IFERROR(__xludf.DUMMYFUNCTION("GOOGLETRANSLATE(D2324,""en"",""es"")"),"espinilla")</f>
        <v>espinilla</v>
      </c>
      <c r="H2324" s="4" t="s">
        <v>1188</v>
      </c>
      <c r="I2324" s="4" t="s">
        <v>1188</v>
      </c>
      <c r="J2324" s="4" t="s">
        <v>7494</v>
      </c>
      <c r="K2324" s="4" t="s">
        <v>1188</v>
      </c>
      <c r="L2324" s="4" t="s">
        <v>7495</v>
      </c>
      <c r="M2324" s="4" t="s">
        <v>7496</v>
      </c>
      <c r="N2324" s="4" t="s">
        <v>7494</v>
      </c>
      <c r="O2324" s="4" t="s">
        <v>1188</v>
      </c>
      <c r="P2324" s="4" t="s">
        <v>7497</v>
      </c>
      <c r="Q2324" s="4" t="s">
        <v>7498</v>
      </c>
      <c r="R2324" s="4" t="s">
        <v>1188</v>
      </c>
      <c r="S2324" s="4" t="s">
        <v>7499</v>
      </c>
      <c r="T2324" s="4" t="s">
        <v>7500</v>
      </c>
      <c r="U2324" s="4" t="s">
        <v>7501</v>
      </c>
      <c r="V2324" s="4" t="s">
        <v>7502</v>
      </c>
    </row>
    <row r="2325">
      <c r="A2325" s="4">
        <v>367.0</v>
      </c>
      <c r="B2325" s="4" t="s">
        <v>8005</v>
      </c>
      <c r="C2325" s="4"/>
      <c r="D2325" s="4" t="s">
        <v>4715</v>
      </c>
      <c r="E2325" s="4" t="s">
        <v>7503</v>
      </c>
      <c r="F2325" s="4" t="s">
        <v>4715</v>
      </c>
      <c r="G2325" s="5" t="str">
        <f>IFERROR(__xludf.DUMMYFUNCTION("GOOGLETRANSLATE(D2325,""en"",""es"")"),"Embarcacion")</f>
        <v>Embarcacion</v>
      </c>
      <c r="H2325" s="4" t="s">
        <v>4715</v>
      </c>
      <c r="I2325" s="4" t="s">
        <v>7504</v>
      </c>
      <c r="J2325" s="4" t="s">
        <v>4429</v>
      </c>
      <c r="K2325" s="4" t="s">
        <v>4715</v>
      </c>
      <c r="L2325" s="4" t="s">
        <v>4715</v>
      </c>
      <c r="M2325" s="4" t="s">
        <v>7505</v>
      </c>
      <c r="N2325" s="4" t="s">
        <v>4715</v>
      </c>
      <c r="O2325" s="4" t="s">
        <v>4715</v>
      </c>
      <c r="P2325" s="4" t="s">
        <v>4715</v>
      </c>
    </row>
    <row r="2326">
      <c r="A2326" s="4">
        <v>368.0</v>
      </c>
      <c r="B2326" s="4" t="s">
        <v>8005</v>
      </c>
      <c r="C2326" s="4"/>
      <c r="D2326" s="4" t="s">
        <v>7506</v>
      </c>
      <c r="E2326" s="4" t="s">
        <v>7503</v>
      </c>
      <c r="F2326" s="4" t="s">
        <v>4715</v>
      </c>
      <c r="G2326" s="5" t="str">
        <f>IFERROR(__xludf.DUMMYFUNCTION("GOOGLETRANSLATE(D2326,""en"",""es"")"),"cargada")</f>
        <v>cargada</v>
      </c>
    </row>
    <row r="2327">
      <c r="A2327" s="4">
        <v>369.0</v>
      </c>
      <c r="B2327" s="4" t="s">
        <v>8005</v>
      </c>
      <c r="C2327" s="4"/>
      <c r="D2327" s="4" t="s">
        <v>7507</v>
      </c>
      <c r="E2327" s="4" t="s">
        <v>7508</v>
      </c>
      <c r="F2327" s="4" t="s">
        <v>7507</v>
      </c>
      <c r="G2327" s="5" t="str">
        <f>IFERROR(__xludf.DUMMYFUNCTION("GOOGLETRANSLATE(D2327,""en"",""es"")"),"shish")</f>
        <v>shish</v>
      </c>
    </row>
    <row r="2328">
      <c r="A2328" s="4">
        <v>370.0</v>
      </c>
      <c r="B2328" s="4" t="s">
        <v>8005</v>
      </c>
      <c r="C2328" s="4"/>
      <c r="D2328" s="4" t="s">
        <v>6336</v>
      </c>
      <c r="E2328" s="4" t="s">
        <v>7509</v>
      </c>
      <c r="F2328" s="4" t="s">
        <v>7510</v>
      </c>
      <c r="G2328" s="5" t="str">
        <f>IFERROR(__xludf.DUMMYFUNCTION("GOOGLETRANSLATE(D2328,""en"",""es"")"),"de mierda")</f>
        <v>de mierda</v>
      </c>
      <c r="H2328" s="4" t="s">
        <v>6330</v>
      </c>
      <c r="I2328" s="4" t="s">
        <v>6333</v>
      </c>
      <c r="J2328" s="4" t="s">
        <v>6334</v>
      </c>
      <c r="K2328" s="4" t="s">
        <v>6335</v>
      </c>
      <c r="L2328" s="4" t="s">
        <v>6336</v>
      </c>
      <c r="M2328" s="4" t="s">
        <v>6337</v>
      </c>
      <c r="N2328" s="4" t="s">
        <v>6338</v>
      </c>
    </row>
    <row r="2329">
      <c r="A2329" s="4">
        <v>371.0</v>
      </c>
      <c r="B2329" s="4" t="s">
        <v>8005</v>
      </c>
      <c r="C2329" s="4"/>
      <c r="D2329" s="4" t="s">
        <v>7511</v>
      </c>
      <c r="E2329" s="4" t="s">
        <v>7512</v>
      </c>
      <c r="F2329" s="4" t="s">
        <v>7513</v>
      </c>
      <c r="G2329" s="5" t="str">
        <f>IFERROR(__xludf.DUMMYFUNCTION("GOOGLETRANSLATE(D2329,""en"",""es"")"),"sacudirse")</f>
        <v>sacudirse</v>
      </c>
      <c r="H2329" s="4" t="s">
        <v>7511</v>
      </c>
      <c r="I2329" s="4" t="s">
        <v>2700</v>
      </c>
      <c r="J2329" s="4" t="s">
        <v>7342</v>
      </c>
      <c r="K2329" s="4" t="s">
        <v>2700</v>
      </c>
      <c r="L2329" s="4" t="s">
        <v>7514</v>
      </c>
      <c r="M2329" s="4" t="s">
        <v>7515</v>
      </c>
      <c r="N2329" s="4" t="s">
        <v>2700</v>
      </c>
      <c r="O2329" s="4" t="s">
        <v>7516</v>
      </c>
      <c r="P2329" s="4" t="s">
        <v>7517</v>
      </c>
      <c r="Q2329" s="4" t="s">
        <v>2700</v>
      </c>
      <c r="R2329" s="4" t="s">
        <v>2700</v>
      </c>
      <c r="S2329" s="4" t="s">
        <v>7518</v>
      </c>
      <c r="T2329" s="4" t="s">
        <v>2700</v>
      </c>
      <c r="U2329" s="4" t="s">
        <v>7519</v>
      </c>
      <c r="V2329" s="4" t="s">
        <v>709</v>
      </c>
      <c r="W2329" s="4" t="s">
        <v>7520</v>
      </c>
      <c r="X2329" s="4" t="s">
        <v>2700</v>
      </c>
      <c r="Y2329" s="4" t="s">
        <v>7521</v>
      </c>
      <c r="Z2329" s="4" t="s">
        <v>7522</v>
      </c>
      <c r="AA2329" s="4" t="s">
        <v>7523</v>
      </c>
      <c r="AB2329" s="4" t="s">
        <v>2700</v>
      </c>
      <c r="AC2329" s="4" t="s">
        <v>2700</v>
      </c>
    </row>
    <row r="2330">
      <c r="A2330" s="4">
        <v>372.0</v>
      </c>
      <c r="B2330" s="4" t="s">
        <v>8005</v>
      </c>
      <c r="C2330" s="4"/>
      <c r="D2330" s="4" t="s">
        <v>7524</v>
      </c>
      <c r="E2330" s="4" t="s">
        <v>7525</v>
      </c>
      <c r="F2330" s="4" t="s">
        <v>7524</v>
      </c>
      <c r="G2330" s="5" t="str">
        <f>IFERROR(__xludf.DUMMYFUNCTION("GOOGLETRANSLATE(D2330,""en"",""es"")"),"shul")</f>
        <v>shul</v>
      </c>
    </row>
    <row r="2331">
      <c r="A2331" s="4">
        <v>373.0</v>
      </c>
      <c r="B2331" s="4" t="s">
        <v>8005</v>
      </c>
      <c r="C2331" s="4"/>
      <c r="D2331" s="4" t="s">
        <v>7526</v>
      </c>
      <c r="E2331" s="4" t="s">
        <v>7527</v>
      </c>
      <c r="F2331" s="4" t="s">
        <v>7526</v>
      </c>
      <c r="G2331" s="5" t="str">
        <f>IFERROR(__xludf.DUMMYFUNCTION("GOOGLETRANSLATE(D2331,""en"",""es"")"),"silenciar")</f>
        <v>silenciar</v>
      </c>
      <c r="H2331" s="4" t="s">
        <v>7526</v>
      </c>
    </row>
    <row r="2332">
      <c r="A2332" s="4">
        <v>374.0</v>
      </c>
      <c r="B2332" s="4" t="s">
        <v>8005</v>
      </c>
      <c r="C2332" s="4"/>
      <c r="D2332" s="4" t="s">
        <v>401</v>
      </c>
      <c r="E2332" s="4" t="s">
        <v>400</v>
      </c>
      <c r="F2332" s="4" t="s">
        <v>401</v>
      </c>
      <c r="G2332" s="5" t="str">
        <f>IFERROR(__xludf.DUMMYFUNCTION("GOOGLETRANSLATE(D2332,""en"",""es"")"),"si")</f>
        <v>si</v>
      </c>
      <c r="H2332" s="4" t="s">
        <v>3976</v>
      </c>
      <c r="I2332" s="4" t="s">
        <v>3977</v>
      </c>
      <c r="J2332" s="4" t="s">
        <v>3978</v>
      </c>
      <c r="K2332" s="4" t="s">
        <v>7528</v>
      </c>
      <c r="L2332" s="4" t="s">
        <v>7529</v>
      </c>
      <c r="M2332" s="4" t="s">
        <v>7530</v>
      </c>
      <c r="N2332" s="4" t="s">
        <v>7531</v>
      </c>
      <c r="O2332" s="4" t="s">
        <v>7532</v>
      </c>
      <c r="P2332" s="4" t="s">
        <v>7533</v>
      </c>
      <c r="Q2332" s="4" t="s">
        <v>7534</v>
      </c>
      <c r="R2332" s="4" t="s">
        <v>422</v>
      </c>
      <c r="S2332" s="4" t="s">
        <v>3975</v>
      </c>
      <c r="T2332" s="4" t="s">
        <v>401</v>
      </c>
    </row>
    <row r="2333">
      <c r="A2333" s="4">
        <v>375.0</v>
      </c>
      <c r="B2333" s="4" t="s">
        <v>8005</v>
      </c>
      <c r="C2333" s="4"/>
      <c r="D2333" s="4" t="s">
        <v>401</v>
      </c>
      <c r="E2333" s="4" t="s">
        <v>7535</v>
      </c>
      <c r="F2333" s="4" t="s">
        <v>401</v>
      </c>
      <c r="G2333" s="5" t="str">
        <f>IFERROR(__xludf.DUMMYFUNCTION("GOOGLETRANSLATE(D2333,""en"",""es"")"),"si")</f>
        <v>si</v>
      </c>
      <c r="H2333" s="4" t="s">
        <v>3976</v>
      </c>
      <c r="I2333" s="4" t="s">
        <v>3977</v>
      </c>
      <c r="J2333" s="4" t="s">
        <v>3978</v>
      </c>
      <c r="K2333" s="4" t="s">
        <v>7528</v>
      </c>
      <c r="L2333" s="4" t="s">
        <v>7529</v>
      </c>
      <c r="M2333" s="4" t="s">
        <v>7530</v>
      </c>
      <c r="N2333" s="4" t="s">
        <v>7531</v>
      </c>
      <c r="O2333" s="4" t="s">
        <v>7532</v>
      </c>
      <c r="P2333" s="4" t="s">
        <v>7533</v>
      </c>
      <c r="Q2333" s="4" t="s">
        <v>7534</v>
      </c>
      <c r="R2333" s="4" t="s">
        <v>422</v>
      </c>
      <c r="S2333" s="4" t="s">
        <v>3975</v>
      </c>
      <c r="T2333" s="4" t="s">
        <v>401</v>
      </c>
    </row>
    <row r="2334">
      <c r="A2334" s="4">
        <v>376.0</v>
      </c>
      <c r="B2334" s="4" t="s">
        <v>8005</v>
      </c>
      <c r="C2334" s="4"/>
      <c r="D2334" s="4" t="s">
        <v>7536</v>
      </c>
      <c r="E2334" s="4" t="s">
        <v>7537</v>
      </c>
      <c r="F2334" s="4" t="s">
        <v>7538</v>
      </c>
      <c r="G2334" s="5" t="str">
        <f>IFERROR(__xludf.DUMMYFUNCTION("GOOGLETRANSLATE(D2334,""en"",""es"")"),"sic")</f>
        <v>sic</v>
      </c>
      <c r="H2334" s="4" t="s">
        <v>7536</v>
      </c>
      <c r="I2334" s="4" t="s">
        <v>7539</v>
      </c>
      <c r="J2334" s="4" t="s">
        <v>7536</v>
      </c>
    </row>
    <row r="2335">
      <c r="A2335" s="4">
        <v>377.0</v>
      </c>
      <c r="B2335" s="4" t="s">
        <v>8005</v>
      </c>
      <c r="C2335" s="4"/>
      <c r="D2335" s="4" t="s">
        <v>4402</v>
      </c>
      <c r="E2335" s="4" t="s">
        <v>7537</v>
      </c>
      <c r="F2335" s="4" t="s">
        <v>7538</v>
      </c>
      <c r="G2335" s="5" t="str">
        <f>IFERROR(__xludf.DUMMYFUNCTION("GOOGLETRANSLATE(D2335,""en"",""es"")"),"enfermo")</f>
        <v>enfermo</v>
      </c>
      <c r="H2335" s="4" t="s">
        <v>4402</v>
      </c>
      <c r="I2335" s="4" t="s">
        <v>7540</v>
      </c>
      <c r="J2335" s="4" t="s">
        <v>7541</v>
      </c>
      <c r="K2335" s="4" t="s">
        <v>7542</v>
      </c>
      <c r="L2335" s="4" t="s">
        <v>5158</v>
      </c>
      <c r="M2335" s="4" t="s">
        <v>4402</v>
      </c>
      <c r="N2335" s="4" t="s">
        <v>4845</v>
      </c>
      <c r="O2335" s="4" t="s">
        <v>7543</v>
      </c>
      <c r="P2335" s="4" t="s">
        <v>7544</v>
      </c>
      <c r="Q2335" s="4" t="s">
        <v>7545</v>
      </c>
      <c r="R2335" s="4" t="s">
        <v>7546</v>
      </c>
      <c r="S2335" s="4" t="s">
        <v>1148</v>
      </c>
      <c r="T2335" s="4" t="s">
        <v>7547</v>
      </c>
      <c r="U2335" s="4" t="s">
        <v>7548</v>
      </c>
      <c r="V2335" s="4" t="s">
        <v>7549</v>
      </c>
      <c r="W2335" s="4" t="s">
        <v>7550</v>
      </c>
      <c r="X2335" s="4" t="s">
        <v>7551</v>
      </c>
      <c r="Y2335" s="4" t="s">
        <v>4087</v>
      </c>
      <c r="Z2335" s="4" t="s">
        <v>7552</v>
      </c>
      <c r="AA2335" s="4" t="s">
        <v>7553</v>
      </c>
      <c r="AB2335" s="4" t="s">
        <v>2345</v>
      </c>
      <c r="AC2335" s="4" t="s">
        <v>4402</v>
      </c>
      <c r="AD2335" s="4" t="s">
        <v>7554</v>
      </c>
      <c r="AE2335" s="4" t="s">
        <v>7555</v>
      </c>
      <c r="AF2335" s="4" t="s">
        <v>7556</v>
      </c>
      <c r="AG2335" s="4" t="s">
        <v>4402</v>
      </c>
      <c r="AH2335" s="4" t="s">
        <v>7557</v>
      </c>
      <c r="AI2335" s="4" t="s">
        <v>7558</v>
      </c>
      <c r="AJ2335" s="4" t="s">
        <v>7559</v>
      </c>
      <c r="AK2335" s="4" t="s">
        <v>7560</v>
      </c>
      <c r="AL2335" s="4" t="s">
        <v>7561</v>
      </c>
      <c r="AM2335" s="4" t="s">
        <v>7562</v>
      </c>
      <c r="AN2335" s="4" t="s">
        <v>4402</v>
      </c>
      <c r="AO2335" s="4" t="s">
        <v>7563</v>
      </c>
      <c r="AP2335" s="4" t="s">
        <v>7564</v>
      </c>
      <c r="AQ2335" s="4" t="s">
        <v>4400</v>
      </c>
      <c r="AR2335" s="4" t="s">
        <v>4401</v>
      </c>
      <c r="AS2335" s="4" t="s">
        <v>4402</v>
      </c>
      <c r="AT2335" s="4" t="s">
        <v>4403</v>
      </c>
      <c r="AU2335" s="4" t="s">
        <v>4404</v>
      </c>
      <c r="AV2335" s="4" t="s">
        <v>7565</v>
      </c>
      <c r="AW2335" s="4" t="s">
        <v>7566</v>
      </c>
      <c r="AX2335" s="4" t="s">
        <v>7567</v>
      </c>
      <c r="AY2335" s="4" t="s">
        <v>4402</v>
      </c>
      <c r="AZ2335" s="4" t="s">
        <v>4402</v>
      </c>
      <c r="BA2335" s="4" t="s">
        <v>7568</v>
      </c>
      <c r="BB2335" s="4" t="s">
        <v>7569</v>
      </c>
      <c r="BC2335" s="4" t="s">
        <v>7570</v>
      </c>
      <c r="BD2335" s="4" t="s">
        <v>7571</v>
      </c>
      <c r="BE2335" s="4" t="s">
        <v>7572</v>
      </c>
      <c r="BF2335" s="4" t="s">
        <v>4402</v>
      </c>
    </row>
    <row r="2336">
      <c r="A2336" s="4">
        <v>378.0</v>
      </c>
      <c r="B2336" s="4" t="s">
        <v>8005</v>
      </c>
      <c r="C2336" s="4"/>
      <c r="D2336" s="4" t="s">
        <v>7573</v>
      </c>
      <c r="E2336" s="4" t="s">
        <v>7574</v>
      </c>
      <c r="F2336" s="4" t="s">
        <v>5573</v>
      </c>
      <c r="G2336" s="5" t="str">
        <f>IFERROR(__xludf.DUMMYFUNCTION("GOOGLETRANSLATE(D2336,""en"",""es"")"),"enfermo")</f>
        <v>enfermo</v>
      </c>
    </row>
    <row r="2337">
      <c r="A2337" s="4">
        <v>379.0</v>
      </c>
      <c r="B2337" s="4" t="s">
        <v>8005</v>
      </c>
      <c r="C2337" s="4"/>
      <c r="D2337" s="4" t="s">
        <v>7575</v>
      </c>
      <c r="E2337" s="4" t="s">
        <v>7537</v>
      </c>
      <c r="F2337" s="4" t="s">
        <v>7538</v>
      </c>
      <c r="G2337" s="5" t="str">
        <f>IFERROR(__xludf.DUMMYFUNCTION("GOOGLETRANSLATE(D2337,""en"",""es"")"),"sij")</f>
        <v>sij</v>
      </c>
      <c r="H2337" s="4" t="s">
        <v>7576</v>
      </c>
      <c r="I2337" s="4" t="s">
        <v>7576</v>
      </c>
    </row>
    <row r="2338">
      <c r="A2338" s="4">
        <v>380.0</v>
      </c>
      <c r="B2338" s="4" t="s">
        <v>8005</v>
      </c>
      <c r="C2338" s="4"/>
      <c r="D2338" s="4" t="s">
        <v>7577</v>
      </c>
      <c r="E2338" s="4" t="s">
        <v>7578</v>
      </c>
      <c r="F2338" s="4" t="s">
        <v>7579</v>
      </c>
      <c r="G2338" s="5" t="str">
        <f>IFERROR(__xludf.DUMMYFUNCTION("GOOGLETRANSLATE(D2338,""en"",""es"")"),"sikkim")</f>
        <v>sikkim</v>
      </c>
      <c r="H2338" s="4" t="s">
        <v>7580</v>
      </c>
    </row>
    <row r="2339">
      <c r="A2339" s="4">
        <v>381.0</v>
      </c>
      <c r="B2339" s="4" t="s">
        <v>8005</v>
      </c>
      <c r="C2339" s="4"/>
      <c r="D2339" s="4" t="s">
        <v>7581</v>
      </c>
      <c r="E2339" s="4" t="s">
        <v>7582</v>
      </c>
      <c r="F2339" s="4" t="s">
        <v>7583</v>
      </c>
      <c r="G2339" s="5" t="str">
        <f>IFERROR(__xludf.DUMMYFUNCTION("GOOGLETRANSLATE(D2339,""en"",""es"")"),"silíque")</f>
        <v>silíque</v>
      </c>
      <c r="H2339" s="4" t="s">
        <v>7581</v>
      </c>
      <c r="I2339" s="4" t="s">
        <v>7584</v>
      </c>
    </row>
    <row r="2340">
      <c r="A2340" s="4">
        <v>382.0</v>
      </c>
      <c r="B2340" s="4" t="s">
        <v>8005</v>
      </c>
      <c r="C2340" s="4"/>
      <c r="D2340" s="4" t="s">
        <v>7585</v>
      </c>
      <c r="E2340" s="4" t="s">
        <v>7586</v>
      </c>
      <c r="F2340" s="4" t="s">
        <v>7587</v>
      </c>
      <c r="G2340" s="5" t="str">
        <f>IFERROR(__xludf.DUMMYFUNCTION("GOOGLETRANSLATE(D2340,""en"",""es"")"),"umbral")</f>
        <v>umbral</v>
      </c>
      <c r="H2340" s="4" t="s">
        <v>7585</v>
      </c>
      <c r="I2340" s="4" t="s">
        <v>7585</v>
      </c>
    </row>
    <row r="2341">
      <c r="A2341" s="4">
        <v>383.0</v>
      </c>
      <c r="B2341" s="4" t="s">
        <v>8005</v>
      </c>
      <c r="C2341" s="4"/>
      <c r="D2341" s="4" t="s">
        <v>7588</v>
      </c>
      <c r="E2341" s="4" t="s">
        <v>7589</v>
      </c>
      <c r="F2341" s="4" t="s">
        <v>7590</v>
      </c>
      <c r="G2341" s="5" t="str">
        <f>IFERROR(__xludf.DUMMYFUNCTION("GOOGLETRANSLATE(D2341,""en"",""es"")"),"tontería")</f>
        <v>tontería</v>
      </c>
      <c r="H2341" s="4" t="s">
        <v>7591</v>
      </c>
      <c r="I2341" s="4" t="s">
        <v>7592</v>
      </c>
      <c r="J2341" s="4" t="s">
        <v>7593</v>
      </c>
      <c r="K2341" s="4" t="s">
        <v>7588</v>
      </c>
      <c r="L2341" s="4" t="s">
        <v>7594</v>
      </c>
      <c r="M2341" s="4" t="s">
        <v>7588</v>
      </c>
    </row>
    <row r="2342">
      <c r="A2342" s="4">
        <v>384.0</v>
      </c>
      <c r="B2342" s="4" t="s">
        <v>8005</v>
      </c>
      <c r="C2342" s="4"/>
      <c r="D2342" s="4" t="s">
        <v>7419</v>
      </c>
      <c r="E2342" s="4" t="s">
        <v>7595</v>
      </c>
      <c r="F2342" s="4" t="s">
        <v>7596</v>
      </c>
      <c r="G2342" s="5" t="str">
        <f>IFERROR(__xludf.DUMMYFUNCTION("GOOGLETRANSLATE(D2342,""en"",""es"")"),"tonto")</f>
        <v>tonto</v>
      </c>
      <c r="H2342" s="4" t="s">
        <v>7419</v>
      </c>
      <c r="I2342" s="4" t="s">
        <v>7416</v>
      </c>
      <c r="J2342" s="4" t="s">
        <v>7417</v>
      </c>
      <c r="K2342" s="4" t="s">
        <v>7418</v>
      </c>
      <c r="L2342" s="4" t="s">
        <v>7413</v>
      </c>
      <c r="M2342" s="4" t="s">
        <v>7419</v>
      </c>
      <c r="N2342" s="4" t="s">
        <v>6509</v>
      </c>
      <c r="O2342" s="4" t="s">
        <v>6510</v>
      </c>
      <c r="P2342" s="4" t="s">
        <v>7420</v>
      </c>
      <c r="Q2342" s="4" t="s">
        <v>7597</v>
      </c>
      <c r="R2342" s="4" t="s">
        <v>7598</v>
      </c>
      <c r="S2342" s="4" t="s">
        <v>7599</v>
      </c>
      <c r="T2342" s="4" t="s">
        <v>7600</v>
      </c>
      <c r="U2342" s="4" t="s">
        <v>7601</v>
      </c>
      <c r="V2342" s="4" t="s">
        <v>7602</v>
      </c>
      <c r="W2342" s="4" t="s">
        <v>7603</v>
      </c>
      <c r="X2342" s="4" t="s">
        <v>7419</v>
      </c>
      <c r="Y2342" s="4" t="s">
        <v>7604</v>
      </c>
      <c r="Z2342" s="4" t="s">
        <v>7605</v>
      </c>
      <c r="AA2342" s="4" t="s">
        <v>7419</v>
      </c>
      <c r="AB2342" s="4" t="s">
        <v>7606</v>
      </c>
      <c r="AC2342" s="4" t="s">
        <v>7419</v>
      </c>
      <c r="AD2342" s="4" t="s">
        <v>7607</v>
      </c>
    </row>
    <row r="2343">
      <c r="A2343" s="4">
        <v>385.0</v>
      </c>
      <c r="B2343" s="4" t="s">
        <v>8005</v>
      </c>
      <c r="C2343" s="4"/>
      <c r="D2343" s="4" t="s">
        <v>1399</v>
      </c>
      <c r="E2343" s="4" t="s">
        <v>7608</v>
      </c>
      <c r="F2343" s="4" t="s">
        <v>1399</v>
      </c>
      <c r="G2343" s="5" t="str">
        <f>IFERROR(__xludf.DUMMYFUNCTION("GOOGLETRANSLATE(D2343,""en"",""es"")"),"simulador")</f>
        <v>simulador</v>
      </c>
    </row>
    <row r="2344">
      <c r="A2344" s="4">
        <v>386.0</v>
      </c>
      <c r="B2344" s="4" t="s">
        <v>8005</v>
      </c>
      <c r="C2344" s="4"/>
      <c r="D2344" s="4" t="s">
        <v>404</v>
      </c>
      <c r="E2344" s="4" t="s">
        <v>7609</v>
      </c>
      <c r="F2344" s="4" t="s">
        <v>404</v>
      </c>
      <c r="G2344" s="5" t="str">
        <f>IFERROR(__xludf.DUMMYFUNCTION("GOOGLETRANSLATE(D2344,""en"",""es"")"),"pecado")</f>
        <v>pecado</v>
      </c>
      <c r="H2344" s="4" t="s">
        <v>404</v>
      </c>
      <c r="I2344" s="4" t="s">
        <v>7610</v>
      </c>
      <c r="J2344" s="4" t="s">
        <v>7611</v>
      </c>
      <c r="K2344" s="4" t="s">
        <v>404</v>
      </c>
      <c r="L2344" s="4" t="s">
        <v>7612</v>
      </c>
      <c r="M2344" s="4" t="s">
        <v>4003</v>
      </c>
      <c r="N2344" s="4" t="s">
        <v>404</v>
      </c>
      <c r="O2344" s="4" t="s">
        <v>7613</v>
      </c>
      <c r="P2344" s="4" t="s">
        <v>404</v>
      </c>
      <c r="Q2344" s="4" t="s">
        <v>404</v>
      </c>
      <c r="R2344" s="4" t="s">
        <v>7614</v>
      </c>
      <c r="S2344" s="4" t="s">
        <v>404</v>
      </c>
      <c r="T2344" s="4" t="s">
        <v>7615</v>
      </c>
      <c r="U2344" s="4" t="s">
        <v>7616</v>
      </c>
      <c r="V2344" s="4" t="s">
        <v>7617</v>
      </c>
      <c r="W2344" s="4" t="s">
        <v>404</v>
      </c>
      <c r="X2344" s="4" t="s">
        <v>7618</v>
      </c>
      <c r="Y2344" s="4" t="s">
        <v>3240</v>
      </c>
      <c r="Z2344" s="4" t="s">
        <v>7619</v>
      </c>
    </row>
    <row r="2345">
      <c r="A2345" s="4">
        <v>387.0</v>
      </c>
      <c r="B2345" s="4" t="s">
        <v>8005</v>
      </c>
      <c r="C2345" s="4"/>
      <c r="D2345" s="4" t="s">
        <v>7620</v>
      </c>
      <c r="E2345" s="4" t="s">
        <v>6107</v>
      </c>
      <c r="F2345" s="4" t="s">
        <v>1712</v>
      </c>
      <c r="G2345" s="5" t="str">
        <f>IFERROR(__xludf.DUMMYFUNCTION("GOOGLETRANSLATE(D2345,""en"",""es"")"),"sinico")</f>
        <v>sinico</v>
      </c>
    </row>
    <row r="2346">
      <c r="A2346" s="4">
        <v>388.0</v>
      </c>
      <c r="B2346" s="4" t="s">
        <v>8005</v>
      </c>
      <c r="C2346" s="4"/>
      <c r="D2346" s="4" t="s">
        <v>7621</v>
      </c>
      <c r="E2346" s="4" t="s">
        <v>7622</v>
      </c>
      <c r="F2346" s="4" t="s">
        <v>7623</v>
      </c>
      <c r="G2346" s="5" t="str">
        <f>IFERROR(__xludf.DUMMYFUNCTION("GOOGLETRANSLATE(D2346,""en"",""es"")"),"sinítico")</f>
        <v>sinítico</v>
      </c>
      <c r="H2346" s="4" t="s">
        <v>7624</v>
      </c>
      <c r="I2346" s="4" t="s">
        <v>7625</v>
      </c>
      <c r="J2346" s="4" t="s">
        <v>7624</v>
      </c>
    </row>
    <row r="2347">
      <c r="A2347" s="4">
        <v>389.0</v>
      </c>
      <c r="B2347" s="4" t="s">
        <v>8005</v>
      </c>
      <c r="C2347" s="4"/>
      <c r="D2347" s="4" t="s">
        <v>7626</v>
      </c>
      <c r="E2347" s="4" t="s">
        <v>7627</v>
      </c>
      <c r="F2347" s="4" t="s">
        <v>7626</v>
      </c>
      <c r="G2347" s="5" t="str">
        <f>IFERROR(__xludf.DUMMYFUNCTION("GOOGLETRANSLATE(D2347,""en"",""es"")"),"sorbo")</f>
        <v>sorbo</v>
      </c>
      <c r="H2347" s="4" t="s">
        <v>7626</v>
      </c>
      <c r="I2347" s="4" t="s">
        <v>7626</v>
      </c>
    </row>
    <row r="2348">
      <c r="A2348" s="4">
        <v>390.0</v>
      </c>
      <c r="B2348" s="4" t="s">
        <v>8005</v>
      </c>
      <c r="C2348" s="4"/>
      <c r="D2348" s="4" t="s">
        <v>4004</v>
      </c>
      <c r="E2348" s="4" t="s">
        <v>6053</v>
      </c>
      <c r="F2348" s="4" t="s">
        <v>4004</v>
      </c>
      <c r="G2348" s="5" t="str">
        <f>IFERROR(__xludf.DUMMYFUNCTION("GOOGLETRANSLATE(D2348,""en"",""es"")"),"hermana")</f>
        <v>hermana</v>
      </c>
      <c r="H2348" s="4" t="s">
        <v>2285</v>
      </c>
      <c r="I2348" s="4" t="s">
        <v>4004</v>
      </c>
      <c r="J2348" s="4" t="s">
        <v>3976</v>
      </c>
      <c r="K2348" s="4" t="s">
        <v>3977</v>
      </c>
      <c r="L2348" s="4" t="s">
        <v>3978</v>
      </c>
      <c r="M2348" s="4" t="s">
        <v>7528</v>
      </c>
      <c r="N2348" s="4" t="s">
        <v>7529</v>
      </c>
      <c r="O2348" s="4" t="s">
        <v>7530</v>
      </c>
      <c r="P2348" s="4" t="s">
        <v>7531</v>
      </c>
      <c r="Q2348" s="4" t="s">
        <v>7532</v>
      </c>
      <c r="R2348" s="4" t="s">
        <v>7533</v>
      </c>
      <c r="S2348" s="4" t="s">
        <v>7534</v>
      </c>
      <c r="T2348" s="4" t="s">
        <v>422</v>
      </c>
      <c r="U2348" s="4" t="s">
        <v>3975</v>
      </c>
      <c r="V2348" s="4" t="s">
        <v>401</v>
      </c>
    </row>
    <row r="2349">
      <c r="A2349" s="4">
        <v>391.0</v>
      </c>
      <c r="B2349" s="4" t="s">
        <v>8005</v>
      </c>
      <c r="C2349" s="4"/>
      <c r="D2349" s="4" t="s">
        <v>6067</v>
      </c>
      <c r="E2349" s="4" t="s">
        <v>6060</v>
      </c>
      <c r="F2349" s="4" t="s">
        <v>6061</v>
      </c>
      <c r="G2349" s="5" t="str">
        <f>IFERROR(__xludf.DUMMYFUNCTION("GOOGLETRANSLATE(D2349,""en"",""es"")"),"marica")</f>
        <v>marica</v>
      </c>
      <c r="H2349" s="4" t="s">
        <v>6067</v>
      </c>
      <c r="I2349" s="4" t="s">
        <v>7628</v>
      </c>
      <c r="J2349" s="4" t="s">
        <v>2487</v>
      </c>
      <c r="K2349" s="4" t="s">
        <v>7629</v>
      </c>
      <c r="L2349" s="4" t="s">
        <v>7630</v>
      </c>
      <c r="M2349" s="4" t="s">
        <v>6062</v>
      </c>
      <c r="N2349" s="4" t="s">
        <v>6063</v>
      </c>
      <c r="O2349" s="4" t="s">
        <v>6064</v>
      </c>
      <c r="P2349" s="4" t="s">
        <v>6059</v>
      </c>
      <c r="Q2349" s="4" t="s">
        <v>6065</v>
      </c>
      <c r="R2349" s="4" t="s">
        <v>6066</v>
      </c>
      <c r="S2349" s="4" t="s">
        <v>6067</v>
      </c>
    </row>
    <row r="2350">
      <c r="A2350" s="4">
        <v>392.0</v>
      </c>
      <c r="B2350" s="4" t="s">
        <v>8005</v>
      </c>
      <c r="C2350" s="4"/>
      <c r="D2350" s="4" t="s">
        <v>7631</v>
      </c>
      <c r="E2350" s="4" t="s">
        <v>7632</v>
      </c>
      <c r="F2350" s="4" t="s">
        <v>7631</v>
      </c>
      <c r="G2350" s="5" t="str">
        <f>IFERROR(__xludf.DUMMYFUNCTION("GOOGLETRANSLATE(D2350,""en"",""es"")"),"sith")</f>
        <v>sith</v>
      </c>
    </row>
    <row r="2351">
      <c r="A2351" s="4">
        <v>393.0</v>
      </c>
      <c r="B2351" s="4" t="s">
        <v>8005</v>
      </c>
      <c r="C2351" s="4"/>
      <c r="D2351" s="4" t="s">
        <v>7633</v>
      </c>
      <c r="E2351" s="4" t="s">
        <v>2038</v>
      </c>
      <c r="F2351" s="4" t="s">
        <v>2037</v>
      </c>
      <c r="G2351" s="5" t="str">
        <f>IFERROR(__xludf.DUMMYFUNCTION("GOOGLETRANSLATE(D2351,""en"",""es"")"),"hacia el cielo")</f>
        <v>hacia el cielo</v>
      </c>
    </row>
    <row r="2352">
      <c r="A2352" s="4">
        <v>394.0</v>
      </c>
      <c r="B2352" s="4" t="s">
        <v>8005</v>
      </c>
      <c r="C2352" s="4"/>
      <c r="D2352" s="4" t="s">
        <v>7633</v>
      </c>
      <c r="E2352" s="4" t="s">
        <v>7634</v>
      </c>
      <c r="F2352" s="4" t="s">
        <v>2037</v>
      </c>
      <c r="G2352" s="5" t="str">
        <f>IFERROR(__xludf.DUMMYFUNCTION("GOOGLETRANSLATE(D2352,""en"",""es"")"),"hacia el cielo")</f>
        <v>hacia el cielo</v>
      </c>
    </row>
    <row r="2353">
      <c r="A2353" s="4">
        <v>395.0</v>
      </c>
      <c r="B2353" s="4" t="s">
        <v>8005</v>
      </c>
      <c r="C2353" s="4"/>
      <c r="D2353" s="4" t="s">
        <v>7635</v>
      </c>
      <c r="E2353" s="4" t="s">
        <v>4109</v>
      </c>
      <c r="F2353" s="4" t="s">
        <v>415</v>
      </c>
      <c r="G2353" s="5" t="str">
        <f>IFERROR(__xludf.DUMMYFUNCTION("GOOGLETRANSLATE(D2353,""en"",""es"")"),"tan bien")</f>
        <v>tan bien</v>
      </c>
    </row>
    <row r="2354">
      <c r="A2354" s="4">
        <v>396.0</v>
      </c>
      <c r="B2354" s="4" t="s">
        <v>8005</v>
      </c>
      <c r="C2354" s="4"/>
      <c r="D2354" s="4" t="s">
        <v>7635</v>
      </c>
      <c r="E2354" s="4" t="s">
        <v>7636</v>
      </c>
      <c r="F2354" s="4" t="s">
        <v>415</v>
      </c>
      <c r="G2354" s="5" t="str">
        <f>IFERROR(__xludf.DUMMYFUNCTION("GOOGLETRANSLATE(D2354,""en"",""es"")"),"tan bien")</f>
        <v>tan bien</v>
      </c>
    </row>
    <row r="2355">
      <c r="A2355" s="4">
        <v>397.0</v>
      </c>
      <c r="B2355" s="4" t="s">
        <v>8005</v>
      </c>
      <c r="C2355" s="4"/>
      <c r="D2355" s="4" t="s">
        <v>7637</v>
      </c>
      <c r="E2355" s="4" t="s">
        <v>7638</v>
      </c>
      <c r="F2355" s="4" t="s">
        <v>7639</v>
      </c>
      <c r="G2355" s="5" t="str">
        <f>IFERROR(__xludf.DUMMYFUNCTION("GOOGLETRANSLATE(D2355,""en"",""es"")"),"holliniento")</f>
        <v>holliniento</v>
      </c>
      <c r="H2355" s="4" t="s">
        <v>7640</v>
      </c>
      <c r="I2355" s="4" t="s">
        <v>7641</v>
      </c>
      <c r="J2355" s="4" t="s">
        <v>7642</v>
      </c>
      <c r="K2355" s="4" t="s">
        <v>7643</v>
      </c>
      <c r="L2355" s="4" t="s">
        <v>7637</v>
      </c>
      <c r="M2355" s="4" t="s">
        <v>7637</v>
      </c>
    </row>
    <row r="2356">
      <c r="A2356" s="4">
        <v>398.0</v>
      </c>
      <c r="B2356" s="4" t="s">
        <v>8005</v>
      </c>
      <c r="C2356" s="4"/>
      <c r="D2356" s="4" t="s">
        <v>7644</v>
      </c>
      <c r="E2356" s="4" t="s">
        <v>7645</v>
      </c>
      <c r="F2356" s="4" t="s">
        <v>7646</v>
      </c>
      <c r="G2356" s="5" t="str">
        <f>IFERROR(__xludf.DUMMYFUNCTION("GOOGLETRANSLATE(D2356,""en"",""es"")"),"sotho")</f>
        <v>sotho</v>
      </c>
      <c r="H2356" s="4" t="s">
        <v>7647</v>
      </c>
      <c r="I2356" s="4" t="s">
        <v>7647</v>
      </c>
      <c r="J2356" s="4" t="s">
        <v>7647</v>
      </c>
    </row>
    <row r="2357">
      <c r="A2357" s="4">
        <v>399.0</v>
      </c>
      <c r="B2357" s="4" t="s">
        <v>8005</v>
      </c>
      <c r="C2357" s="4"/>
      <c r="D2357" s="4" t="s">
        <v>6915</v>
      </c>
      <c r="E2357" s="4" t="s">
        <v>4155</v>
      </c>
      <c r="F2357" s="4" t="s">
        <v>4156</v>
      </c>
      <c r="G2357" s="5" t="str">
        <f>IFERROR(__xludf.DUMMYFUNCTION("GOOGLETRANSLATE(D2357,""en"",""es"")"),"espeso")</f>
        <v>espeso</v>
      </c>
      <c r="H2357" s="4" t="s">
        <v>6915</v>
      </c>
      <c r="I2357" s="4" t="s">
        <v>6905</v>
      </c>
      <c r="J2357" s="4" t="s">
        <v>6906</v>
      </c>
      <c r="K2357" s="4" t="s">
        <v>6907</v>
      </c>
      <c r="L2357" s="4" t="s">
        <v>6908</v>
      </c>
      <c r="M2357" s="4" t="s">
        <v>6909</v>
      </c>
      <c r="N2357" s="4" t="s">
        <v>6910</v>
      </c>
      <c r="O2357" s="4" t="s">
        <v>6903</v>
      </c>
      <c r="P2357" s="4" t="s">
        <v>6911</v>
      </c>
      <c r="Q2357" s="4" t="s">
        <v>6912</v>
      </c>
      <c r="R2357" s="4" t="s">
        <v>6913</v>
      </c>
      <c r="S2357" s="4" t="s">
        <v>6914</v>
      </c>
      <c r="T2357" s="4" t="s">
        <v>6915</v>
      </c>
      <c r="U2357" s="4" t="s">
        <v>6916</v>
      </c>
    </row>
    <row r="2358">
      <c r="A2358" s="4">
        <v>400.0</v>
      </c>
      <c r="B2358" s="4" t="s">
        <v>8005</v>
      </c>
      <c r="C2358" s="4"/>
      <c r="D2358" s="4" t="s">
        <v>7648</v>
      </c>
      <c r="E2358" s="4" t="s">
        <v>7649</v>
      </c>
      <c r="F2358" s="4" t="s">
        <v>7650</v>
      </c>
      <c r="G2358" s="5" t="str">
        <f>IFERROR(__xludf.DUMMYFUNCTION("GOOGLETRANSLATE(D2358,""en"",""es"")"),"sunita")</f>
        <v>sunita</v>
      </c>
      <c r="H2358" s="4" t="s">
        <v>7651</v>
      </c>
      <c r="I2358" s="4" t="s">
        <v>7652</v>
      </c>
      <c r="J2358" s="4" t="s">
        <v>7653</v>
      </c>
      <c r="K2358" s="4" t="s">
        <v>7652</v>
      </c>
      <c r="L2358" s="4" t="s">
        <v>7654</v>
      </c>
    </row>
    <row r="2359">
      <c r="A2359" s="4">
        <v>401.0</v>
      </c>
      <c r="B2359" s="4" t="s">
        <v>8005</v>
      </c>
      <c r="C2359" s="4"/>
      <c r="D2359" s="4" t="s">
        <v>7655</v>
      </c>
      <c r="E2359" s="4" t="s">
        <v>7656</v>
      </c>
      <c r="F2359" s="4" t="s">
        <v>7650</v>
      </c>
      <c r="G2359" s="5" t="str">
        <f>IFERROR(__xludf.DUMMYFUNCTION("GOOGLETRANSLATE(D2359,""en"",""es"")"),"numeroso")</f>
        <v>numeroso</v>
      </c>
    </row>
    <row r="2360">
      <c r="A2360" s="4">
        <v>402.0</v>
      </c>
      <c r="B2360" s="4" t="s">
        <v>8005</v>
      </c>
      <c r="C2360" s="4"/>
      <c r="D2360" s="4" t="s">
        <v>7657</v>
      </c>
      <c r="E2360" s="4" t="s">
        <v>7658</v>
      </c>
      <c r="F2360" s="4" t="s">
        <v>7657</v>
      </c>
      <c r="G2360" s="5" t="str">
        <f>IFERROR(__xludf.DUMMYFUNCTION("GOOGLETRANSLATE(D2360,""en"",""es"")"),"Sushi")</f>
        <v>Sushi</v>
      </c>
      <c r="H2360" s="4" t="s">
        <v>7657</v>
      </c>
    </row>
    <row r="2361">
      <c r="A2361" s="4">
        <v>403.0</v>
      </c>
      <c r="B2361" s="4" t="s">
        <v>8005</v>
      </c>
      <c r="C2361" s="4"/>
      <c r="D2361" s="4" t="s">
        <v>7659</v>
      </c>
      <c r="E2361" s="4" t="s">
        <v>7660</v>
      </c>
      <c r="F2361" s="4" t="s">
        <v>7661</v>
      </c>
      <c r="G2361" s="5" t="str">
        <f>IFERROR(__xludf.DUMMYFUNCTION("GOOGLETRANSLATE(D2361,""en"",""es"")"),"síntesis")</f>
        <v>síntesis</v>
      </c>
    </row>
    <row r="2362">
      <c r="A2362" s="4">
        <v>404.0</v>
      </c>
      <c r="B2362" s="4" t="s">
        <v>8005</v>
      </c>
      <c r="C2362" s="4"/>
      <c r="D2362" s="4" t="s">
        <v>7662</v>
      </c>
      <c r="E2362" s="4" t="s">
        <v>7663</v>
      </c>
      <c r="F2362" s="4" t="s">
        <v>4856</v>
      </c>
      <c r="G2362" s="5" t="str">
        <f>IFERROR(__xludf.DUMMYFUNCTION("GOOGLETRANSLATE(D2362,""en"",""es"")"),"TAC")</f>
        <v>TAC</v>
      </c>
    </row>
    <row r="2363">
      <c r="A2363" s="4">
        <v>405.0</v>
      </c>
      <c r="B2363" s="4" t="s">
        <v>8005</v>
      </c>
      <c r="C2363" s="4"/>
      <c r="D2363" s="4" t="s">
        <v>7664</v>
      </c>
      <c r="E2363" s="4" t="s">
        <v>7663</v>
      </c>
      <c r="F2363" s="4" t="s">
        <v>4856</v>
      </c>
      <c r="G2363" s="5" t="str">
        <f>IFERROR(__xludf.DUMMYFUNCTION("GOOGLETRANSLATE(D2363,""en"",""es"")"),"tacón")</f>
        <v>tacón</v>
      </c>
      <c r="H2363" s="4" t="s">
        <v>7665</v>
      </c>
      <c r="I2363" s="4" t="s">
        <v>7664</v>
      </c>
    </row>
    <row r="2364">
      <c r="A2364" s="4">
        <v>406.0</v>
      </c>
      <c r="B2364" s="4" t="s">
        <v>8005</v>
      </c>
      <c r="C2364" s="4"/>
      <c r="D2364" s="4" t="s">
        <v>7666</v>
      </c>
      <c r="E2364" s="4" t="s">
        <v>7667</v>
      </c>
      <c r="F2364" s="4" t="s">
        <v>7668</v>
      </c>
      <c r="G2364" s="5" t="str">
        <f>IFERROR(__xludf.DUMMYFUNCTION("GOOGLETRANSLATE(D2364,""en"",""es"")"),"tácito")</f>
        <v>tácito</v>
      </c>
      <c r="H2364" s="4" t="s">
        <v>7669</v>
      </c>
      <c r="I2364" s="4" t="s">
        <v>7670</v>
      </c>
      <c r="J2364" s="4" t="s">
        <v>7671</v>
      </c>
    </row>
    <row r="2365">
      <c r="A2365" s="4">
        <v>407.0</v>
      </c>
      <c r="B2365" s="4" t="s">
        <v>8005</v>
      </c>
      <c r="C2365" s="4"/>
      <c r="D2365" s="4" t="s">
        <v>7672</v>
      </c>
      <c r="E2365" s="4" t="s">
        <v>7663</v>
      </c>
      <c r="F2365" s="4" t="s">
        <v>4856</v>
      </c>
      <c r="G2365" s="5" t="str">
        <f>IFERROR(__xludf.DUMMYFUNCTION("GOOGLETRANSLATE(D2365,""en"",""es"")"),"virar")</f>
        <v>virar</v>
      </c>
      <c r="H2365" s="4" t="s">
        <v>7672</v>
      </c>
      <c r="I2365" s="4" t="s">
        <v>7672</v>
      </c>
      <c r="J2365" s="4" t="s">
        <v>7673</v>
      </c>
      <c r="K2365" s="4" t="s">
        <v>7674</v>
      </c>
      <c r="L2365" s="4" t="s">
        <v>7672</v>
      </c>
      <c r="M2365" s="4" t="s">
        <v>2262</v>
      </c>
      <c r="N2365" s="4" t="s">
        <v>7672</v>
      </c>
      <c r="O2365" s="4" t="s">
        <v>7675</v>
      </c>
      <c r="P2365" s="4" t="s">
        <v>7676</v>
      </c>
      <c r="Q2365" s="4" t="s">
        <v>7677</v>
      </c>
      <c r="R2365" s="4" t="s">
        <v>7672</v>
      </c>
      <c r="S2365" s="4" t="s">
        <v>7678</v>
      </c>
      <c r="T2365" s="4" t="s">
        <v>7672</v>
      </c>
      <c r="U2365" s="4" t="s">
        <v>7672</v>
      </c>
      <c r="V2365" s="4" t="s">
        <v>7672</v>
      </c>
      <c r="W2365" s="4" t="s">
        <v>7679</v>
      </c>
      <c r="X2365" s="4" t="s">
        <v>7680</v>
      </c>
      <c r="Y2365" s="4" t="s">
        <v>3486</v>
      </c>
      <c r="Z2365" s="4" t="s">
        <v>7681</v>
      </c>
      <c r="AA2365" s="4" t="s">
        <v>7682</v>
      </c>
      <c r="AB2365" s="4" t="s">
        <v>7672</v>
      </c>
      <c r="AC2365" s="4" t="s">
        <v>7683</v>
      </c>
      <c r="AD2365" s="4" t="s">
        <v>7684</v>
      </c>
      <c r="AE2365" s="4" t="s">
        <v>7672</v>
      </c>
      <c r="AF2365" s="4" t="s">
        <v>7685</v>
      </c>
      <c r="AG2365" s="4" t="s">
        <v>7686</v>
      </c>
      <c r="AH2365" s="4" t="s">
        <v>7687</v>
      </c>
      <c r="AI2365" s="4" t="s">
        <v>7672</v>
      </c>
      <c r="AJ2365" s="4" t="s">
        <v>7688</v>
      </c>
      <c r="AK2365" s="4" t="s">
        <v>7689</v>
      </c>
      <c r="AL2365" s="4" t="s">
        <v>7672</v>
      </c>
      <c r="AM2365" s="4" t="s">
        <v>7690</v>
      </c>
      <c r="AN2365" s="4" t="s">
        <v>7691</v>
      </c>
      <c r="AO2365" s="4" t="s">
        <v>4431</v>
      </c>
      <c r="AP2365" s="4" t="s">
        <v>7692</v>
      </c>
    </row>
    <row r="2366">
      <c r="A2366" s="4">
        <v>408.0</v>
      </c>
      <c r="B2366" s="4" t="s">
        <v>8005</v>
      </c>
      <c r="C2366" s="4"/>
      <c r="D2366" s="4" t="s">
        <v>7693</v>
      </c>
      <c r="E2366" s="4" t="s">
        <v>7694</v>
      </c>
      <c r="F2366" s="4" t="s">
        <v>7695</v>
      </c>
      <c r="G2366" s="5" t="str">
        <f>IFERROR(__xludf.DUMMYFUNCTION("GOOGLETRANSLATE(D2366,""en"",""es"")"),"pegajoso")</f>
        <v>pegajoso</v>
      </c>
      <c r="H2366" s="4" t="s">
        <v>7693</v>
      </c>
      <c r="I2366" s="4" t="s">
        <v>7696</v>
      </c>
      <c r="J2366" s="4" t="s">
        <v>7697</v>
      </c>
      <c r="K2366" s="4" t="s">
        <v>347</v>
      </c>
      <c r="L2366" s="4" t="s">
        <v>7698</v>
      </c>
      <c r="M2366" s="4" t="s">
        <v>7699</v>
      </c>
      <c r="N2366" s="4" t="s">
        <v>7700</v>
      </c>
      <c r="O2366" s="4" t="s">
        <v>7701</v>
      </c>
      <c r="P2366" s="4" t="s">
        <v>7702</v>
      </c>
      <c r="Q2366" s="4" t="s">
        <v>7703</v>
      </c>
      <c r="R2366" s="4" t="s">
        <v>7693</v>
      </c>
      <c r="S2366" s="4" t="s">
        <v>7704</v>
      </c>
      <c r="T2366" s="4" t="s">
        <v>7705</v>
      </c>
      <c r="U2366" s="4" t="s">
        <v>7706</v>
      </c>
    </row>
    <row r="2367">
      <c r="A2367" s="4">
        <v>409.0</v>
      </c>
      <c r="B2367" s="4" t="s">
        <v>8005</v>
      </c>
      <c r="C2367" s="4"/>
      <c r="D2367" s="4" t="s">
        <v>4856</v>
      </c>
      <c r="E2367" s="4" t="s">
        <v>4857</v>
      </c>
      <c r="F2367" s="4" t="s">
        <v>4856</v>
      </c>
      <c r="G2367" s="5" t="str">
        <f>IFERROR(__xludf.DUMMYFUNCTION("GOOGLETRANSLATE(D2367,""en"",""es"")"),"hacer un consumo")</f>
        <v>hacer un consumo</v>
      </c>
    </row>
    <row r="2368">
      <c r="A2368" s="4">
        <v>410.0</v>
      </c>
      <c r="B2368" s="4" t="s">
        <v>8005</v>
      </c>
      <c r="C2368" s="4"/>
      <c r="D2368" s="4" t="s">
        <v>7707</v>
      </c>
      <c r="E2368" s="4" t="s">
        <v>7708</v>
      </c>
      <c r="F2368" s="4" t="s">
        <v>7709</v>
      </c>
      <c r="G2368" s="5" t="str">
        <f>IFERROR(__xludf.DUMMYFUNCTION("GOOGLETRANSLATE(D2368,""en"",""es"")"),"tallinn")</f>
        <v>tallinn</v>
      </c>
      <c r="H2368" s="4" t="s">
        <v>7710</v>
      </c>
      <c r="I2368" s="4" t="s">
        <v>7711</v>
      </c>
      <c r="J2368" s="4" t="s">
        <v>7712</v>
      </c>
    </row>
    <row r="2369">
      <c r="A2369" s="4">
        <v>411.0</v>
      </c>
      <c r="B2369" s="4" t="s">
        <v>8005</v>
      </c>
      <c r="C2369" s="4"/>
      <c r="D2369" s="4" t="s">
        <v>7713</v>
      </c>
      <c r="E2369" s="4" t="s">
        <v>7714</v>
      </c>
      <c r="F2369" s="4" t="s">
        <v>7715</v>
      </c>
      <c r="G2369" s="5" t="str">
        <f>IFERROR(__xludf.DUMMYFUNCTION("GOOGLETRANSLATE(D2369,""en"",""es"")"),"tallit")</f>
        <v>tallit</v>
      </c>
    </row>
    <row r="2370">
      <c r="A2370" s="4">
        <v>412.0</v>
      </c>
      <c r="B2370" s="4" t="s">
        <v>8005</v>
      </c>
      <c r="C2370" s="4"/>
      <c r="D2370" s="4" t="s">
        <v>4143</v>
      </c>
      <c r="E2370" s="4" t="s">
        <v>7716</v>
      </c>
      <c r="F2370" s="4" t="s">
        <v>7717</v>
      </c>
      <c r="G2370" s="5" t="str">
        <f>IFERROR(__xludf.DUMMYFUNCTION("GOOGLETRANSLATE(D2370,""en"",""es"")"),"cuenta")</f>
        <v>cuenta</v>
      </c>
      <c r="H2370" s="4" t="s">
        <v>646</v>
      </c>
      <c r="I2370" s="4" t="s">
        <v>4143</v>
      </c>
      <c r="J2370" s="4" t="s">
        <v>7718</v>
      </c>
      <c r="K2370" s="4" t="s">
        <v>4143</v>
      </c>
      <c r="L2370" s="4" t="s">
        <v>6690</v>
      </c>
      <c r="M2370" s="4" t="s">
        <v>7719</v>
      </c>
      <c r="N2370" s="4" t="s">
        <v>7720</v>
      </c>
      <c r="O2370" s="4" t="s">
        <v>7721</v>
      </c>
      <c r="P2370" s="4" t="s">
        <v>7718</v>
      </c>
      <c r="Q2370" s="4" t="s">
        <v>4143</v>
      </c>
      <c r="R2370" s="4" t="s">
        <v>7722</v>
      </c>
      <c r="S2370" s="4" t="s">
        <v>1266</v>
      </c>
      <c r="T2370" s="4" t="s">
        <v>7723</v>
      </c>
      <c r="U2370" s="4" t="s">
        <v>2075</v>
      </c>
      <c r="V2370" s="4" t="s">
        <v>7724</v>
      </c>
      <c r="W2370" s="4" t="s">
        <v>7725</v>
      </c>
      <c r="X2370" s="4" t="s">
        <v>4143</v>
      </c>
      <c r="Y2370" s="4" t="s">
        <v>7726</v>
      </c>
      <c r="Z2370" s="4" t="s">
        <v>7727</v>
      </c>
      <c r="AA2370" s="4" t="s">
        <v>856</v>
      </c>
      <c r="AB2370" s="4" t="s">
        <v>4143</v>
      </c>
      <c r="AC2370" s="4" t="s">
        <v>7236</v>
      </c>
      <c r="AD2370" s="4" t="s">
        <v>4143</v>
      </c>
      <c r="AE2370" s="4" t="s">
        <v>7728</v>
      </c>
      <c r="AF2370" s="4" t="s">
        <v>4125</v>
      </c>
      <c r="AG2370" s="4" t="s">
        <v>4138</v>
      </c>
      <c r="AH2370" s="4" t="s">
        <v>4139</v>
      </c>
      <c r="AI2370" s="4" t="s">
        <v>4123</v>
      </c>
      <c r="AJ2370" s="4" t="s">
        <v>4140</v>
      </c>
      <c r="AK2370" s="4" t="s">
        <v>4141</v>
      </c>
      <c r="AL2370" s="4" t="s">
        <v>4142</v>
      </c>
      <c r="AM2370" s="4" t="s">
        <v>4136</v>
      </c>
      <c r="AN2370" s="4" t="s">
        <v>4137</v>
      </c>
      <c r="AO2370" s="4" t="s">
        <v>4143</v>
      </c>
      <c r="AP2370" s="4" t="s">
        <v>4144</v>
      </c>
    </row>
    <row r="2371">
      <c r="A2371" s="4">
        <v>413.0</v>
      </c>
      <c r="B2371" s="4" t="s">
        <v>8005</v>
      </c>
      <c r="C2371" s="4"/>
      <c r="D2371" s="4" t="s">
        <v>7729</v>
      </c>
      <c r="E2371" s="4" t="s">
        <v>7730</v>
      </c>
      <c r="F2371" s="4" t="s">
        <v>7729</v>
      </c>
      <c r="G2371" s="5" t="str">
        <f>IFERROR(__xludf.DUMMYFUNCTION("GOOGLETRANSLATE(D2371,""en"",""es"")"),"tamil")</f>
        <v>tamil</v>
      </c>
      <c r="H2371" s="4" t="s">
        <v>7731</v>
      </c>
      <c r="I2371" s="4" t="s">
        <v>7731</v>
      </c>
      <c r="J2371" s="4" t="s">
        <v>7731</v>
      </c>
    </row>
    <row r="2372">
      <c r="A2372" s="4">
        <v>414.0</v>
      </c>
      <c r="B2372" s="4" t="s">
        <v>8005</v>
      </c>
      <c r="C2372" s="4"/>
      <c r="D2372" s="4" t="s">
        <v>7732</v>
      </c>
      <c r="E2372" s="4" t="s">
        <v>7733</v>
      </c>
      <c r="F2372" s="4" t="s">
        <v>7734</v>
      </c>
      <c r="G2372" s="5" t="str">
        <f>IFERROR(__xludf.DUMMYFUNCTION("GOOGLETRANSLATE(D2372,""en"",""es"")"),"tammy")</f>
        <v>tammy</v>
      </c>
      <c r="H2372" s="4" t="s">
        <v>7732</v>
      </c>
      <c r="I2372" s="4" t="s">
        <v>7735</v>
      </c>
      <c r="J2372" s="4" t="s">
        <v>7736</v>
      </c>
      <c r="K2372" s="4" t="s">
        <v>7732</v>
      </c>
    </row>
    <row r="2373">
      <c r="A2373" s="4">
        <v>415.0</v>
      </c>
      <c r="B2373" s="4" t="s">
        <v>8005</v>
      </c>
      <c r="C2373" s="4"/>
      <c r="D2373" s="4" t="s">
        <v>7732</v>
      </c>
      <c r="E2373" s="4" t="s">
        <v>7737</v>
      </c>
      <c r="F2373" s="4" t="s">
        <v>7734</v>
      </c>
      <c r="G2373" s="5" t="str">
        <f>IFERROR(__xludf.DUMMYFUNCTION("GOOGLETRANSLATE(D2373,""en"",""es"")"),"tammy")</f>
        <v>tammy</v>
      </c>
      <c r="H2373" s="4" t="s">
        <v>7732</v>
      </c>
      <c r="I2373" s="4" t="s">
        <v>7735</v>
      </c>
      <c r="J2373" s="4" t="s">
        <v>7736</v>
      </c>
      <c r="K2373" s="4" t="s">
        <v>7732</v>
      </c>
    </row>
    <row r="2374">
      <c r="A2374" s="4">
        <v>416.0</v>
      </c>
      <c r="B2374" s="4" t="s">
        <v>8005</v>
      </c>
      <c r="C2374" s="4"/>
      <c r="D2374" s="4" t="s">
        <v>4310</v>
      </c>
      <c r="E2374" s="4" t="s">
        <v>7738</v>
      </c>
      <c r="F2374" s="4" t="s">
        <v>4310</v>
      </c>
      <c r="G2374" s="5" t="str">
        <f>IFERROR(__xludf.DUMMYFUNCTION("GOOGLETRANSLATE(D2374,""en"",""es"")"),"broncearse")</f>
        <v>broncearse</v>
      </c>
      <c r="H2374" s="4" t="s">
        <v>4310</v>
      </c>
      <c r="I2374" s="4" t="s">
        <v>7739</v>
      </c>
      <c r="J2374" s="4" t="s">
        <v>7740</v>
      </c>
      <c r="K2374" s="4" t="s">
        <v>3504</v>
      </c>
      <c r="L2374" s="4" t="s">
        <v>4310</v>
      </c>
      <c r="M2374" s="4" t="s">
        <v>7741</v>
      </c>
      <c r="N2374" s="4" t="s">
        <v>7742</v>
      </c>
      <c r="O2374" s="4" t="s">
        <v>4310</v>
      </c>
      <c r="P2374" s="4" t="s">
        <v>4310</v>
      </c>
      <c r="Q2374" s="4" t="s">
        <v>4310</v>
      </c>
      <c r="R2374" s="4" t="s">
        <v>7743</v>
      </c>
      <c r="S2374" s="4" t="s">
        <v>4310</v>
      </c>
    </row>
    <row r="2375">
      <c r="A2375" s="4">
        <v>417.0</v>
      </c>
      <c r="B2375" s="4" t="s">
        <v>8005</v>
      </c>
      <c r="C2375" s="4"/>
      <c r="D2375" s="4" t="s">
        <v>4319</v>
      </c>
      <c r="E2375" s="4" t="s">
        <v>7750</v>
      </c>
      <c r="F2375" s="4" t="s">
        <v>7751</v>
      </c>
      <c r="G2375" s="5" t="str">
        <f>IFERROR(__xludf.DUMMYFUNCTION("GOOGLETRANSLATE(D2375,""en"",""es"")"),"tanino")</f>
        <v>tanino</v>
      </c>
      <c r="H2375" s="4" t="s">
        <v>4319</v>
      </c>
      <c r="I2375" s="4" t="s">
        <v>4320</v>
      </c>
    </row>
    <row r="2376">
      <c r="A2376" s="4">
        <v>418.0</v>
      </c>
      <c r="B2376" s="4" t="s">
        <v>8005</v>
      </c>
      <c r="C2376" s="4"/>
      <c r="D2376" s="4" t="s">
        <v>4321</v>
      </c>
      <c r="E2376" s="4" t="s">
        <v>7752</v>
      </c>
      <c r="F2376" s="4" t="s">
        <v>4321</v>
      </c>
      <c r="G2376" s="5" t="str">
        <f>IFERROR(__xludf.DUMMYFUNCTION("GOOGLETRANSLATE(D2376,""en"",""es"")"),"tocar")</f>
        <v>tocar</v>
      </c>
      <c r="H2376" s="4" t="s">
        <v>7753</v>
      </c>
      <c r="I2376" s="4" t="s">
        <v>6486</v>
      </c>
      <c r="J2376" s="4" t="s">
        <v>4321</v>
      </c>
      <c r="K2376" s="4" t="s">
        <v>6486</v>
      </c>
      <c r="L2376" s="4" t="s">
        <v>903</v>
      </c>
      <c r="M2376" s="4" t="s">
        <v>4321</v>
      </c>
      <c r="N2376" s="4" t="s">
        <v>7754</v>
      </c>
      <c r="O2376" s="4" t="s">
        <v>7755</v>
      </c>
      <c r="P2376" s="4" t="s">
        <v>4321</v>
      </c>
      <c r="Q2376" s="4" t="s">
        <v>7756</v>
      </c>
      <c r="R2376" s="4" t="s">
        <v>4321</v>
      </c>
      <c r="S2376" s="4" t="s">
        <v>4321</v>
      </c>
      <c r="T2376" s="4" t="s">
        <v>4321</v>
      </c>
      <c r="U2376" s="4" t="s">
        <v>7757</v>
      </c>
      <c r="V2376" s="4" t="s">
        <v>7758</v>
      </c>
      <c r="W2376" s="4" t="s">
        <v>4321</v>
      </c>
      <c r="X2376" s="4" t="s">
        <v>4321</v>
      </c>
      <c r="Y2376" s="4" t="s">
        <v>7753</v>
      </c>
      <c r="Z2376" s="4" t="s">
        <v>7759</v>
      </c>
      <c r="AA2376" s="4" t="s">
        <v>4321</v>
      </c>
      <c r="AB2376" s="4" t="s">
        <v>4321</v>
      </c>
      <c r="AC2376" s="4" t="s">
        <v>4321</v>
      </c>
      <c r="AD2376" s="4" t="s">
        <v>425</v>
      </c>
      <c r="AE2376" s="4" t="s">
        <v>7760</v>
      </c>
      <c r="AF2376" s="4" t="s">
        <v>4321</v>
      </c>
      <c r="AG2376" s="4" t="s">
        <v>7758</v>
      </c>
      <c r="AH2376" s="4" t="s">
        <v>4321</v>
      </c>
      <c r="AI2376" s="4" t="s">
        <v>7761</v>
      </c>
      <c r="AJ2376" s="4" t="s">
        <v>7762</v>
      </c>
      <c r="AK2376" s="4" t="s">
        <v>4321</v>
      </c>
      <c r="AL2376" s="4" t="s">
        <v>4321</v>
      </c>
      <c r="AM2376" s="4" t="s">
        <v>6486</v>
      </c>
      <c r="AN2376" s="4" t="s">
        <v>3462</v>
      </c>
      <c r="AO2376" s="4" t="s">
        <v>7763</v>
      </c>
      <c r="AP2376" s="4" t="s">
        <v>4321</v>
      </c>
      <c r="AQ2376" s="4" t="s">
        <v>7764</v>
      </c>
      <c r="AR2376" s="4" t="s">
        <v>4321</v>
      </c>
      <c r="AS2376" s="4" t="s">
        <v>4321</v>
      </c>
      <c r="AT2376" s="4" t="s">
        <v>4321</v>
      </c>
      <c r="AU2376" s="4" t="s">
        <v>6311</v>
      </c>
      <c r="AV2376" s="4" t="s">
        <v>7765</v>
      </c>
      <c r="AW2376" s="4" t="s">
        <v>4321</v>
      </c>
    </row>
    <row r="2377">
      <c r="A2377" s="4">
        <v>419.0</v>
      </c>
      <c r="B2377" s="4" t="s">
        <v>8005</v>
      </c>
      <c r="C2377" s="4"/>
      <c r="D2377" s="4" t="s">
        <v>7766</v>
      </c>
      <c r="E2377" s="4" t="s">
        <v>7767</v>
      </c>
      <c r="F2377" s="4" t="s">
        <v>7766</v>
      </c>
      <c r="G2377" s="5" t="str">
        <f>IFERROR(__xludf.DUMMYFUNCTION("GOOGLETRANSLATE(D2377,""en"",""es"")"),"tapas")</f>
        <v>tapas</v>
      </c>
      <c r="H2377" s="4" t="s">
        <v>4330</v>
      </c>
      <c r="I2377" s="4" t="s">
        <v>4336</v>
      </c>
      <c r="J2377" s="4" t="s">
        <v>4337</v>
      </c>
      <c r="K2377" s="4" t="s">
        <v>4338</v>
      </c>
      <c r="L2377" s="4" t="s">
        <v>4330</v>
      </c>
      <c r="M2377" s="4" t="s">
        <v>4337</v>
      </c>
    </row>
    <row r="2378">
      <c r="A2378" s="4">
        <v>420.0</v>
      </c>
      <c r="B2378" s="4" t="s">
        <v>8005</v>
      </c>
      <c r="C2378" s="4"/>
      <c r="D2378" s="4" t="s">
        <v>4351</v>
      </c>
      <c r="E2378" s="4" t="s">
        <v>7768</v>
      </c>
      <c r="F2378" s="4" t="s">
        <v>4351</v>
      </c>
      <c r="G2378" s="5" t="str">
        <f>IFERROR(__xludf.DUMMYFUNCTION("GOOGLETRANSLATE(D2378,""en"",""es"")"),"tapis")</f>
        <v>tapis</v>
      </c>
      <c r="H2378" s="4" t="s">
        <v>4352</v>
      </c>
      <c r="I2378" s="4" t="s">
        <v>4351</v>
      </c>
    </row>
    <row r="2379">
      <c r="A2379" s="4">
        <v>421.0</v>
      </c>
      <c r="B2379" s="4" t="s">
        <v>8005</v>
      </c>
      <c r="C2379" s="4"/>
      <c r="D2379" s="4" t="s">
        <v>7769</v>
      </c>
      <c r="E2379" s="4" t="s">
        <v>7770</v>
      </c>
      <c r="F2379" s="4" t="s">
        <v>7771</v>
      </c>
      <c r="G2379" s="5" t="str">
        <f>IFERROR(__xludf.DUMMYFUNCTION("GOOGLETRANSLATE(D2379,""en"",""es"")"),"apagado")</f>
        <v>apagado</v>
      </c>
    </row>
    <row r="2380">
      <c r="A2380" s="4">
        <v>422.0</v>
      </c>
      <c r="B2380" s="4" t="s">
        <v>8005</v>
      </c>
      <c r="C2380" s="4"/>
      <c r="D2380" s="4" t="s">
        <v>7772</v>
      </c>
      <c r="E2380" s="4" t="s">
        <v>7773</v>
      </c>
      <c r="F2380" s="4" t="s">
        <v>419</v>
      </c>
      <c r="G2380" s="5" t="str">
        <f>IFERROR(__xludf.DUMMYFUNCTION("GOOGLETRANSLATE(D2380,""en"",""es"")"),"borla")</f>
        <v>borla</v>
      </c>
      <c r="H2380" s="4" t="s">
        <v>7774</v>
      </c>
      <c r="I2380" s="4" t="s">
        <v>7775</v>
      </c>
      <c r="J2380" s="4" t="s">
        <v>7776</v>
      </c>
    </row>
    <row r="2381">
      <c r="A2381" s="4">
        <v>423.0</v>
      </c>
      <c r="B2381" s="4" t="s">
        <v>8005</v>
      </c>
      <c r="C2381" s="4"/>
      <c r="D2381" s="4" t="s">
        <v>7777</v>
      </c>
      <c r="E2381" s="4" t="s">
        <v>7773</v>
      </c>
      <c r="F2381" s="4" t="s">
        <v>419</v>
      </c>
      <c r="G2381" s="5" t="str">
        <f>IFERROR(__xludf.DUMMYFUNCTION("GOOGLETRANSLATE(D2381,""en"",""es"")"),"tasse")</f>
        <v>tasse</v>
      </c>
      <c r="H2381" s="4" t="s">
        <v>7778</v>
      </c>
      <c r="I2381" s="4" t="s">
        <v>7777</v>
      </c>
    </row>
    <row r="2382">
      <c r="A2382" s="4">
        <v>424.0</v>
      </c>
      <c r="B2382" s="4" t="s">
        <v>8005</v>
      </c>
      <c r="C2382" s="4"/>
      <c r="D2382" s="4" t="s">
        <v>7779</v>
      </c>
      <c r="E2382" s="4" t="s">
        <v>7780</v>
      </c>
      <c r="F2382" s="4" t="s">
        <v>7781</v>
      </c>
      <c r="G2382" s="5" t="str">
        <f>IFERROR(__xludf.DUMMYFUNCTION("GOOGLETRANSLATE(D2382,""en"",""es"")"),"establo")</f>
        <v>establo</v>
      </c>
    </row>
    <row r="2383">
      <c r="A2383" s="4">
        <v>425.0</v>
      </c>
      <c r="B2383" s="4" t="s">
        <v>8005</v>
      </c>
      <c r="C2383" s="4"/>
      <c r="D2383" s="4" t="s">
        <v>7704</v>
      </c>
      <c r="E2383" s="4" t="s">
        <v>7782</v>
      </c>
      <c r="F2383" s="4" t="s">
        <v>7783</v>
      </c>
      <c r="G2383" s="5" t="str">
        <f>IFERROR(__xludf.DUMMYFUNCTION("GOOGLETRANSLATE(D2383,""en"",""es"")"),"raído")</f>
        <v>raído</v>
      </c>
      <c r="H2383" s="4" t="s">
        <v>7784</v>
      </c>
      <c r="I2383" s="4" t="s">
        <v>7785</v>
      </c>
      <c r="J2383" s="4" t="s">
        <v>7786</v>
      </c>
      <c r="K2383" s="4" t="s">
        <v>7704</v>
      </c>
      <c r="L2383" s="4" t="s">
        <v>7696</v>
      </c>
      <c r="M2383" s="4" t="s">
        <v>7697</v>
      </c>
      <c r="N2383" s="4" t="s">
        <v>347</v>
      </c>
      <c r="O2383" s="4" t="s">
        <v>7698</v>
      </c>
      <c r="P2383" s="4" t="s">
        <v>7699</v>
      </c>
      <c r="Q2383" s="4" t="s">
        <v>7700</v>
      </c>
      <c r="R2383" s="4" t="s">
        <v>7701</v>
      </c>
      <c r="S2383" s="4" t="s">
        <v>7702</v>
      </c>
      <c r="T2383" s="4" t="s">
        <v>7703</v>
      </c>
      <c r="U2383" s="4" t="s">
        <v>7693</v>
      </c>
      <c r="V2383" s="4" t="s">
        <v>7704</v>
      </c>
      <c r="W2383" s="4" t="s">
        <v>7705</v>
      </c>
      <c r="X2383" s="4" t="s">
        <v>7706</v>
      </c>
    </row>
    <row r="2384">
      <c r="A2384" s="4">
        <v>426.0</v>
      </c>
      <c r="B2384" s="4" t="s">
        <v>8005</v>
      </c>
      <c r="C2384" s="4"/>
      <c r="D2384" s="4" t="s">
        <v>7787</v>
      </c>
      <c r="E2384" s="4" t="s">
        <v>7788</v>
      </c>
      <c r="F2384" s="4" t="s">
        <v>7789</v>
      </c>
      <c r="G2384" s="5" t="str">
        <f>IFERROR(__xludf.DUMMYFUNCTION("GOOGLETRANSLATE(D2384,""en"",""es"")"),"thack")</f>
        <v>thack</v>
      </c>
    </row>
    <row r="2385">
      <c r="A2385" s="4">
        <v>427.0</v>
      </c>
      <c r="B2385" s="4" t="s">
        <v>8005</v>
      </c>
      <c r="C2385" s="4"/>
      <c r="D2385" s="4" t="s">
        <v>7790</v>
      </c>
      <c r="E2385" s="4" t="s">
        <v>7791</v>
      </c>
      <c r="F2385" s="4" t="s">
        <v>7792</v>
      </c>
      <c r="G2385" s="5" t="str">
        <f>IFERROR(__xludf.DUMMYFUNCTION("GOOGLETRANSLATE(D2385,""en"",""es"")"),"thanakha")</f>
        <v>thanakha</v>
      </c>
    </row>
    <row r="2386">
      <c r="A2386" s="4">
        <v>428.0</v>
      </c>
      <c r="B2386" s="4" t="s">
        <v>8005</v>
      </c>
      <c r="C2386" s="4"/>
      <c r="D2386" s="4" t="s">
        <v>7793</v>
      </c>
      <c r="E2386" s="4" t="s">
        <v>7794</v>
      </c>
      <c r="F2386" s="4" t="s">
        <v>7795</v>
      </c>
      <c r="G2386" s="5" t="str">
        <f>IFERROR(__xludf.DUMMYFUNCTION("GOOGLETRANSLATE(D2386,""en"",""es"")"),"temático")</f>
        <v>temático</v>
      </c>
      <c r="H2386" s="4" t="s">
        <v>7793</v>
      </c>
      <c r="I2386" s="4" t="s">
        <v>7793</v>
      </c>
    </row>
    <row r="2387">
      <c r="A2387" s="4">
        <v>429.0</v>
      </c>
      <c r="B2387" s="4" t="s">
        <v>8005</v>
      </c>
      <c r="C2387" s="4"/>
      <c r="D2387" s="4" t="s">
        <v>7796</v>
      </c>
      <c r="E2387" s="4" t="s">
        <v>7797</v>
      </c>
      <c r="F2387" s="4" t="s">
        <v>7798</v>
      </c>
      <c r="G2387" s="5" t="str">
        <f>IFERROR(__xludf.DUMMYFUNCTION("GOOGLETRANSLATE(D2387,""en"",""es"")"),"grueso")</f>
        <v>grueso</v>
      </c>
      <c r="H2387" s="4" t="s">
        <v>7799</v>
      </c>
      <c r="I2387" s="4" t="s">
        <v>7796</v>
      </c>
      <c r="J2387" s="4" t="s">
        <v>7796</v>
      </c>
      <c r="K2387" s="4" t="s">
        <v>7796</v>
      </c>
      <c r="L2387" s="4" t="s">
        <v>7796</v>
      </c>
      <c r="M2387" s="4" t="s">
        <v>7800</v>
      </c>
      <c r="N2387" s="4" t="s">
        <v>7796</v>
      </c>
      <c r="O2387" s="4" t="s">
        <v>7047</v>
      </c>
      <c r="P2387" s="4" t="s">
        <v>7801</v>
      </c>
      <c r="Q2387" s="4" t="s">
        <v>7802</v>
      </c>
      <c r="R2387" s="4" t="s">
        <v>7796</v>
      </c>
      <c r="S2387" s="4" t="s">
        <v>7803</v>
      </c>
      <c r="T2387" s="4" t="s">
        <v>3223</v>
      </c>
      <c r="U2387" s="4" t="s">
        <v>7796</v>
      </c>
      <c r="V2387" s="4" t="s">
        <v>7796</v>
      </c>
      <c r="W2387" s="4" t="s">
        <v>7804</v>
      </c>
      <c r="X2387" s="4" t="s">
        <v>7065</v>
      </c>
      <c r="Y2387" s="4" t="s">
        <v>7805</v>
      </c>
      <c r="Z2387" s="4" t="s">
        <v>7796</v>
      </c>
      <c r="AA2387" s="4" t="s">
        <v>7806</v>
      </c>
      <c r="AB2387" s="4" t="s">
        <v>7807</v>
      </c>
      <c r="AC2387" s="4" t="s">
        <v>7808</v>
      </c>
      <c r="AD2387" s="4" t="s">
        <v>7809</v>
      </c>
      <c r="AE2387" s="4" t="s">
        <v>7810</v>
      </c>
      <c r="AF2387" s="4" t="s">
        <v>7811</v>
      </c>
      <c r="AG2387" s="4" t="s">
        <v>7796</v>
      </c>
      <c r="AH2387" s="4" t="s">
        <v>7812</v>
      </c>
      <c r="AI2387" s="4" t="s">
        <v>7813</v>
      </c>
      <c r="AJ2387" s="4" t="s">
        <v>7814</v>
      </c>
      <c r="AK2387" s="4" t="s">
        <v>7796</v>
      </c>
      <c r="AL2387" s="4" t="s">
        <v>7815</v>
      </c>
      <c r="AM2387" s="4" t="s">
        <v>7796</v>
      </c>
      <c r="AN2387" s="4" t="s">
        <v>7796</v>
      </c>
      <c r="AO2387" s="4" t="s">
        <v>7815</v>
      </c>
    </row>
    <row r="2388">
      <c r="A2388" s="4">
        <v>430.0</v>
      </c>
      <c r="B2388" s="4" t="s">
        <v>8005</v>
      </c>
      <c r="C2388" s="4"/>
      <c r="D2388" s="4" t="s">
        <v>7816</v>
      </c>
      <c r="E2388" s="4" t="s">
        <v>7817</v>
      </c>
      <c r="F2388" s="4" t="s">
        <v>7818</v>
      </c>
      <c r="G2388" s="5" t="str">
        <f>IFERROR(__xludf.DUMMYFUNCTION("GOOGLETRANSLATE(D2388,""en"",""es"")"),"thill")</f>
        <v>thill</v>
      </c>
      <c r="H2388" s="4" t="s">
        <v>7816</v>
      </c>
    </row>
    <row r="2389">
      <c r="A2389" s="4">
        <v>431.0</v>
      </c>
      <c r="B2389" s="4" t="s">
        <v>8005</v>
      </c>
      <c r="C2389" s="4"/>
      <c r="D2389" s="4" t="s">
        <v>7819</v>
      </c>
      <c r="E2389" s="4" t="s">
        <v>7820</v>
      </c>
      <c r="F2389" s="4" t="s">
        <v>7819</v>
      </c>
      <c r="G2389" s="5" t="str">
        <f>IFERROR(__xludf.DUMMYFUNCTION("GOOGLETRANSLATE(D2389,""en"",""es"")"),"delgada")</f>
        <v>delgada</v>
      </c>
      <c r="H2389" s="4" t="s">
        <v>7819</v>
      </c>
      <c r="I2389" s="4" t="s">
        <v>7819</v>
      </c>
      <c r="J2389" s="4" t="s">
        <v>7821</v>
      </c>
      <c r="K2389" s="4" t="s">
        <v>7819</v>
      </c>
      <c r="L2389" s="4" t="s">
        <v>7822</v>
      </c>
      <c r="M2389" s="4" t="s">
        <v>4289</v>
      </c>
      <c r="N2389" s="4" t="s">
        <v>1250</v>
      </c>
      <c r="O2389" s="4" t="s">
        <v>4289</v>
      </c>
      <c r="P2389" s="4" t="s">
        <v>7823</v>
      </c>
      <c r="Q2389" s="4" t="s">
        <v>7824</v>
      </c>
      <c r="R2389" s="4" t="s">
        <v>7825</v>
      </c>
      <c r="S2389" s="4" t="s">
        <v>7826</v>
      </c>
      <c r="T2389" s="4" t="s">
        <v>7819</v>
      </c>
      <c r="U2389" s="4" t="s">
        <v>7827</v>
      </c>
      <c r="V2389" s="4" t="s">
        <v>7819</v>
      </c>
      <c r="W2389" s="4" t="s">
        <v>7819</v>
      </c>
      <c r="X2389" s="4" t="s">
        <v>7828</v>
      </c>
      <c r="Y2389" s="4" t="s">
        <v>7829</v>
      </c>
      <c r="Z2389" s="4" t="s">
        <v>7819</v>
      </c>
      <c r="AA2389" s="4" t="s">
        <v>7830</v>
      </c>
      <c r="AB2389" s="4" t="s">
        <v>7819</v>
      </c>
      <c r="AC2389" s="4" t="s">
        <v>7819</v>
      </c>
      <c r="AD2389" s="4" t="s">
        <v>7819</v>
      </c>
      <c r="AE2389" s="4" t="s">
        <v>7819</v>
      </c>
      <c r="AF2389" s="4" t="s">
        <v>7831</v>
      </c>
      <c r="AG2389" s="4" t="s">
        <v>7832</v>
      </c>
      <c r="AH2389" s="4" t="s">
        <v>7833</v>
      </c>
      <c r="AI2389" s="4" t="s">
        <v>7834</v>
      </c>
      <c r="AJ2389" s="4" t="s">
        <v>7819</v>
      </c>
      <c r="AK2389" s="4" t="s">
        <v>7835</v>
      </c>
      <c r="AL2389" s="4" t="s">
        <v>7819</v>
      </c>
    </row>
    <row r="2390">
      <c r="A2390" s="4">
        <v>432.0</v>
      </c>
      <c r="B2390" s="4" t="s">
        <v>8005</v>
      </c>
      <c r="C2390" s="4"/>
      <c r="D2390" s="4" t="s">
        <v>4379</v>
      </c>
      <c r="E2390" s="4" t="s">
        <v>7836</v>
      </c>
      <c r="F2390" s="4" t="s">
        <v>438</v>
      </c>
      <c r="G2390" s="5" t="str">
        <f>IFERROR(__xludf.DUMMYFUNCTION("GOOGLETRANSLATE(D2390,""en"",""es"")"),"tic")</f>
        <v>tic</v>
      </c>
      <c r="H2390" s="4" t="s">
        <v>4379</v>
      </c>
    </row>
    <row r="2391">
      <c r="A2391" s="4">
        <v>433.0</v>
      </c>
      <c r="B2391" s="4" t="s">
        <v>8005</v>
      </c>
      <c r="C2391" s="4"/>
      <c r="D2391" s="4" t="s">
        <v>7837</v>
      </c>
      <c r="E2391" s="4" t="s">
        <v>7836</v>
      </c>
      <c r="F2391" s="4" t="s">
        <v>438</v>
      </c>
      <c r="G2391" s="5" t="str">
        <f>IFERROR(__xludf.DUMMYFUNCTION("GOOGLETRANSLATE(D2391,""en"",""es"")"),"garrapata")</f>
        <v>garrapata</v>
      </c>
      <c r="H2391" s="4" t="s">
        <v>7837</v>
      </c>
      <c r="I2391" s="4" t="s">
        <v>7838</v>
      </c>
      <c r="J2391" s="4" t="s">
        <v>7837</v>
      </c>
      <c r="K2391" s="4" t="s">
        <v>7839</v>
      </c>
      <c r="L2391" s="4" t="s">
        <v>2075</v>
      </c>
      <c r="M2391" s="4" t="s">
        <v>7837</v>
      </c>
      <c r="N2391" s="4" t="s">
        <v>7837</v>
      </c>
      <c r="O2391" s="4" t="s">
        <v>7840</v>
      </c>
      <c r="P2391" s="4" t="s">
        <v>7837</v>
      </c>
      <c r="Q2391" s="4" t="s">
        <v>7837</v>
      </c>
      <c r="R2391" s="4" t="s">
        <v>7841</v>
      </c>
      <c r="S2391" s="4" t="s">
        <v>7842</v>
      </c>
      <c r="T2391" s="4" t="s">
        <v>3493</v>
      </c>
      <c r="U2391" s="4" t="s">
        <v>7837</v>
      </c>
      <c r="V2391" s="4" t="s">
        <v>7843</v>
      </c>
      <c r="W2391" s="4" t="s">
        <v>2075</v>
      </c>
      <c r="X2391" s="4" t="s">
        <v>7844</v>
      </c>
      <c r="Y2391" s="4" t="s">
        <v>3008</v>
      </c>
      <c r="Z2391" s="4" t="s">
        <v>7845</v>
      </c>
      <c r="AA2391" s="4" t="s">
        <v>7846</v>
      </c>
      <c r="AB2391" s="4" t="s">
        <v>7837</v>
      </c>
    </row>
    <row r="2392">
      <c r="A2392" s="4">
        <v>434.0</v>
      </c>
      <c r="B2392" s="4" t="s">
        <v>8005</v>
      </c>
      <c r="C2392" s="4"/>
      <c r="D2392" s="4" t="s">
        <v>7847</v>
      </c>
      <c r="E2392" s="4" t="s">
        <v>7848</v>
      </c>
      <c r="F2392" s="4" t="s">
        <v>7847</v>
      </c>
      <c r="G2392" s="5" t="str">
        <f>IFERROR(__xludf.DUMMYFUNCTION("GOOGLETRANSLATE(D2392,""en"",""es"")"),"tiki")</f>
        <v>tiki</v>
      </c>
    </row>
    <row r="2393">
      <c r="A2393" s="4">
        <v>435.0</v>
      </c>
      <c r="B2393" s="4" t="s">
        <v>8005</v>
      </c>
      <c r="C2393" s="4"/>
      <c r="D2393" s="4" t="s">
        <v>7849</v>
      </c>
      <c r="E2393" s="4" t="s">
        <v>7850</v>
      </c>
      <c r="F2393" s="4" t="s">
        <v>7849</v>
      </c>
      <c r="G2393" s="5" t="str">
        <f>IFERROR(__xludf.DUMMYFUNCTION("GOOGLETRANSLATE(D2393,""en"",""es"")"),"til")</f>
        <v>til</v>
      </c>
    </row>
    <row r="2394">
      <c r="A2394" s="4">
        <v>436.0</v>
      </c>
      <c r="B2394" s="4" t="s">
        <v>8005</v>
      </c>
      <c r="C2394" s="4"/>
      <c r="D2394" s="4" t="s">
        <v>7851</v>
      </c>
      <c r="E2394" s="4" t="s">
        <v>7850</v>
      </c>
      <c r="F2394" s="4" t="s">
        <v>7849</v>
      </c>
      <c r="G2394" s="5" t="str">
        <f>IFERROR(__xludf.DUMMYFUNCTION("GOOGLETRANSLATE(D2394,""en"",""es"")"),"hasta")</f>
        <v>hasta</v>
      </c>
      <c r="H2394" s="4" t="s">
        <v>7851</v>
      </c>
      <c r="I2394" s="4" t="s">
        <v>7852</v>
      </c>
      <c r="J2394" s="4" t="s">
        <v>7853</v>
      </c>
      <c r="K2394" s="4" t="s">
        <v>7854</v>
      </c>
      <c r="L2394" s="4" t="s">
        <v>7851</v>
      </c>
      <c r="M2394" s="4" t="s">
        <v>7855</v>
      </c>
      <c r="N2394" s="4" t="s">
        <v>7856</v>
      </c>
      <c r="O2394" s="4" t="s">
        <v>7851</v>
      </c>
      <c r="P2394" s="4" t="s">
        <v>7851</v>
      </c>
    </row>
    <row r="2395">
      <c r="A2395" s="4">
        <v>437.0</v>
      </c>
      <c r="B2395" s="4" t="s">
        <v>8005</v>
      </c>
      <c r="C2395" s="4"/>
      <c r="D2395" s="4" t="s">
        <v>7857</v>
      </c>
      <c r="E2395" s="4" t="s">
        <v>7858</v>
      </c>
      <c r="F2395" s="4" t="s">
        <v>7859</v>
      </c>
      <c r="G2395" s="5" t="str">
        <f>IFERROR(__xludf.DUMMYFUNCTION("GOOGLETRANSLATE(D2395,""en"",""es"")"),"tillis")</f>
        <v>tillis</v>
      </c>
    </row>
    <row r="2396">
      <c r="A2396" s="4">
        <v>438.0</v>
      </c>
      <c r="B2396" s="4" t="s">
        <v>8005</v>
      </c>
      <c r="C2396" s="4"/>
      <c r="D2396" s="4" t="s">
        <v>7860</v>
      </c>
      <c r="E2396" s="4" t="s">
        <v>7861</v>
      </c>
      <c r="F2396" s="4" t="s">
        <v>7862</v>
      </c>
      <c r="G2396" s="5" t="str">
        <f>IFERROR(__xludf.DUMMYFUNCTION("GOOGLETRANSLATE(D2396,""en"",""es"")"),"tillado")</f>
        <v>tillado</v>
      </c>
    </row>
    <row r="2397">
      <c r="A2397" s="4">
        <v>439.0</v>
      </c>
      <c r="B2397" s="4" t="s">
        <v>8005</v>
      </c>
      <c r="C2397" s="4"/>
      <c r="D2397" s="4" t="s">
        <v>4381</v>
      </c>
      <c r="E2397" s="4" t="s">
        <v>7863</v>
      </c>
      <c r="F2397" s="4" t="s">
        <v>4381</v>
      </c>
      <c r="G2397" s="5" t="str">
        <f>IFERROR(__xludf.DUMMYFUNCTION("GOOGLETRANSLATE(D2397,""en"",""es"")"),"Tim")</f>
        <v>Tim</v>
      </c>
    </row>
    <row r="2398">
      <c r="A2398" s="4">
        <v>440.0</v>
      </c>
      <c r="B2398" s="4" t="s">
        <v>8005</v>
      </c>
      <c r="C2398" s="4"/>
      <c r="D2398" s="4" t="s">
        <v>7864</v>
      </c>
      <c r="E2398" s="4" t="s">
        <v>7865</v>
      </c>
      <c r="F2398" s="4" t="s">
        <v>5606</v>
      </c>
      <c r="G2398" s="5" t="str">
        <f>IFERROR(__xludf.DUMMYFUNCTION("GOOGLETRANSLATE(D2398,""en"",""es"")"),"timmy")</f>
        <v>timmy</v>
      </c>
    </row>
    <row r="2399">
      <c r="A2399" s="4">
        <v>441.0</v>
      </c>
      <c r="B2399" s="4" t="s">
        <v>8005</v>
      </c>
      <c r="C2399" s="4"/>
      <c r="D2399" s="4" t="s">
        <v>5944</v>
      </c>
      <c r="E2399" s="4" t="s">
        <v>7866</v>
      </c>
      <c r="F2399" s="4" t="s">
        <v>5944</v>
      </c>
      <c r="G2399" s="5" t="str">
        <f>IFERROR(__xludf.DUMMYFUNCTION("GOOGLETRANSLATE(D2399,""en"",""es"")"),"estaño")</f>
        <v>estaño</v>
      </c>
      <c r="H2399" s="4" t="s">
        <v>5944</v>
      </c>
      <c r="I2399" s="4" t="s">
        <v>7867</v>
      </c>
      <c r="J2399" s="4" t="s">
        <v>7868</v>
      </c>
      <c r="K2399" s="4" t="s">
        <v>5944</v>
      </c>
      <c r="L2399" s="4" t="s">
        <v>7869</v>
      </c>
      <c r="M2399" s="4" t="s">
        <v>7870</v>
      </c>
      <c r="N2399" s="4" t="s">
        <v>5944</v>
      </c>
      <c r="O2399" s="4" t="s">
        <v>1120</v>
      </c>
      <c r="P2399" s="4" t="s">
        <v>5944</v>
      </c>
      <c r="Q2399" s="4" t="s">
        <v>5945</v>
      </c>
      <c r="R2399" s="4" t="s">
        <v>5944</v>
      </c>
      <c r="S2399" s="4" t="s">
        <v>1120</v>
      </c>
      <c r="T2399" s="4" t="s">
        <v>5944</v>
      </c>
      <c r="U2399" s="4" t="s">
        <v>2996</v>
      </c>
      <c r="V2399" s="4" t="s">
        <v>5944</v>
      </c>
    </row>
    <row r="2400">
      <c r="A2400" s="4">
        <v>442.0</v>
      </c>
      <c r="B2400" s="4" t="s">
        <v>8005</v>
      </c>
      <c r="C2400" s="4"/>
      <c r="D2400" s="4" t="s">
        <v>7871</v>
      </c>
      <c r="E2400" s="4" t="s">
        <v>7872</v>
      </c>
      <c r="F2400" s="4" t="s">
        <v>5593</v>
      </c>
      <c r="G2400" s="5" t="str">
        <f>IFERROR(__xludf.DUMMYFUNCTION("GOOGLETRANSLATE(D2400,""en"",""es"")"),"cascado")</f>
        <v>cascado</v>
      </c>
      <c r="H2400" s="4" t="s">
        <v>7871</v>
      </c>
      <c r="I2400" s="4" t="s">
        <v>1147</v>
      </c>
      <c r="J2400" s="4" t="s">
        <v>7697</v>
      </c>
      <c r="K2400" s="4" t="s">
        <v>7873</v>
      </c>
      <c r="L2400" s="4" t="s">
        <v>7874</v>
      </c>
      <c r="M2400" s="4" t="s">
        <v>7875</v>
      </c>
      <c r="N2400" s="4" t="s">
        <v>7876</v>
      </c>
      <c r="O2400" s="4" t="s">
        <v>7877</v>
      </c>
      <c r="P2400" s="4" t="s">
        <v>7871</v>
      </c>
      <c r="Q2400" s="4" t="s">
        <v>7871</v>
      </c>
    </row>
    <row r="2401">
      <c r="A2401" s="4">
        <v>443.0</v>
      </c>
      <c r="B2401" s="4" t="s">
        <v>8005</v>
      </c>
      <c r="C2401" s="4"/>
      <c r="D2401" s="4" t="s">
        <v>425</v>
      </c>
      <c r="E2401" s="4" t="s">
        <v>7878</v>
      </c>
      <c r="F2401" s="4" t="s">
        <v>425</v>
      </c>
      <c r="G2401" s="5" t="str">
        <f>IFERROR(__xludf.DUMMYFUNCTION("GOOGLETRANSLATE(D2401,""en"",""es"")"),"propina")</f>
        <v>propina</v>
      </c>
      <c r="H2401" s="4" t="s">
        <v>425</v>
      </c>
      <c r="I2401" s="4" t="s">
        <v>7879</v>
      </c>
      <c r="J2401" s="4" t="s">
        <v>425</v>
      </c>
      <c r="K2401" s="4" t="s">
        <v>7880</v>
      </c>
      <c r="L2401" s="4" t="s">
        <v>7881</v>
      </c>
      <c r="M2401" s="4" t="s">
        <v>7882</v>
      </c>
      <c r="N2401" s="4" t="s">
        <v>7883</v>
      </c>
      <c r="O2401" s="4" t="s">
        <v>7884</v>
      </c>
      <c r="P2401" s="4" t="s">
        <v>425</v>
      </c>
      <c r="Q2401" s="4" t="s">
        <v>648</v>
      </c>
      <c r="R2401" s="4" t="s">
        <v>7885</v>
      </c>
      <c r="S2401" s="4" t="s">
        <v>7886</v>
      </c>
      <c r="T2401" s="4" t="s">
        <v>1801</v>
      </c>
      <c r="U2401" s="4" t="s">
        <v>7887</v>
      </c>
      <c r="V2401" s="4" t="s">
        <v>3705</v>
      </c>
      <c r="W2401" s="4" t="s">
        <v>425</v>
      </c>
      <c r="X2401" s="4" t="s">
        <v>1400</v>
      </c>
      <c r="Y2401" s="4" t="s">
        <v>1400</v>
      </c>
      <c r="Z2401" s="4" t="s">
        <v>1401</v>
      </c>
      <c r="AA2401" s="4" t="s">
        <v>1402</v>
      </c>
      <c r="AB2401" s="4" t="s">
        <v>1403</v>
      </c>
      <c r="AC2401" s="4" t="s">
        <v>425</v>
      </c>
      <c r="AD2401" s="4" t="s">
        <v>1404</v>
      </c>
      <c r="AE2401" s="4" t="s">
        <v>425</v>
      </c>
      <c r="AF2401" s="4" t="s">
        <v>425</v>
      </c>
      <c r="AG2401" s="4" t="s">
        <v>425</v>
      </c>
      <c r="AH2401" s="4" t="s">
        <v>1811</v>
      </c>
      <c r="AI2401" s="4" t="s">
        <v>7888</v>
      </c>
      <c r="AJ2401" s="4" t="s">
        <v>7889</v>
      </c>
      <c r="AK2401" s="4" t="s">
        <v>7890</v>
      </c>
      <c r="AL2401" s="4" t="s">
        <v>425</v>
      </c>
      <c r="AM2401" s="4" t="s">
        <v>7828</v>
      </c>
      <c r="AN2401" s="4" t="s">
        <v>7891</v>
      </c>
      <c r="AO2401" s="4" t="s">
        <v>425</v>
      </c>
      <c r="AP2401" s="4" t="s">
        <v>7892</v>
      </c>
      <c r="AQ2401" s="4" t="s">
        <v>7893</v>
      </c>
      <c r="AR2401" s="4" t="s">
        <v>7894</v>
      </c>
      <c r="AS2401" s="4" t="s">
        <v>425</v>
      </c>
      <c r="AT2401" s="4" t="s">
        <v>7895</v>
      </c>
      <c r="AU2401" s="4" t="s">
        <v>4321</v>
      </c>
      <c r="AV2401" s="4" t="s">
        <v>425</v>
      </c>
      <c r="AW2401" s="4" t="s">
        <v>7896</v>
      </c>
      <c r="AX2401" s="4" t="s">
        <v>425</v>
      </c>
      <c r="AY2401" s="4" t="s">
        <v>425</v>
      </c>
    </row>
    <row r="2402">
      <c r="A2402" s="4">
        <v>444.0</v>
      </c>
      <c r="B2402" s="4" t="s">
        <v>8005</v>
      </c>
      <c r="C2402" s="4"/>
      <c r="D2402" s="4" t="s">
        <v>7897</v>
      </c>
      <c r="E2402" s="4" t="s">
        <v>7898</v>
      </c>
      <c r="F2402" s="4" t="s">
        <v>7899</v>
      </c>
      <c r="G2402" s="5" t="str">
        <f>IFERROR(__xludf.DUMMYFUNCTION("GOOGLETRANSLATE(D2402,""en"",""es"")"),"tejido")</f>
        <v>tejido</v>
      </c>
      <c r="H2402" s="4" t="s">
        <v>7897</v>
      </c>
      <c r="I2402" s="4" t="s">
        <v>7897</v>
      </c>
      <c r="J2402" s="4" t="s">
        <v>7900</v>
      </c>
      <c r="K2402" s="4" t="s">
        <v>7901</v>
      </c>
      <c r="L2402" s="4" t="s">
        <v>7897</v>
      </c>
    </row>
    <row r="2403">
      <c r="A2403" s="4">
        <v>445.0</v>
      </c>
      <c r="B2403" s="4" t="s">
        <v>8005</v>
      </c>
      <c r="C2403" s="4"/>
      <c r="D2403" s="4" t="s">
        <v>7902</v>
      </c>
      <c r="E2403" s="4" t="s">
        <v>7903</v>
      </c>
      <c r="F2403" s="4" t="s">
        <v>4490</v>
      </c>
      <c r="G2403" s="5" t="str">
        <f>IFERROR(__xludf.DUMMYFUNCTION("GOOGLETRANSLATE(D2403,""en"",""es"")"),"titty")</f>
        <v>titty</v>
      </c>
      <c r="H2403" s="4" t="s">
        <v>7904</v>
      </c>
      <c r="I2403" s="4" t="s">
        <v>4759</v>
      </c>
      <c r="J2403" s="4" t="s">
        <v>7905</v>
      </c>
      <c r="K2403" s="4" t="s">
        <v>3240</v>
      </c>
      <c r="L2403" s="4" t="s">
        <v>7097</v>
      </c>
      <c r="M2403" s="4" t="s">
        <v>7902</v>
      </c>
    </row>
    <row r="2404">
      <c r="A2404" s="4">
        <v>446.0</v>
      </c>
      <c r="B2404" s="4" t="s">
        <v>8005</v>
      </c>
      <c r="C2404" s="4"/>
      <c r="D2404" s="4" t="s">
        <v>7906</v>
      </c>
      <c r="E2404" s="4" t="s">
        <v>7907</v>
      </c>
      <c r="F2404" s="4" t="s">
        <v>456</v>
      </c>
      <c r="G2404" s="5" t="str">
        <f>IFERROR(__xludf.DUMMYFUNCTION("GOOGLETRANSLATE(D2404,""en"",""es"")"),"tomó")</f>
        <v>tomó</v>
      </c>
      <c r="H2404" s="4" t="s">
        <v>887</v>
      </c>
      <c r="I2404" s="4" t="s">
        <v>887</v>
      </c>
      <c r="J2404" s="4" t="s">
        <v>3082</v>
      </c>
      <c r="K2404" s="4" t="s">
        <v>7908</v>
      </c>
      <c r="L2404" s="4" t="s">
        <v>648</v>
      </c>
      <c r="M2404" s="4" t="s">
        <v>887</v>
      </c>
      <c r="N2404" s="4" t="s">
        <v>7909</v>
      </c>
      <c r="O2404" s="4" t="s">
        <v>7910</v>
      </c>
      <c r="P2404" s="4" t="s">
        <v>3413</v>
      </c>
      <c r="Q2404" s="4" t="s">
        <v>887</v>
      </c>
      <c r="R2404" s="4" t="s">
        <v>7911</v>
      </c>
      <c r="S2404" s="4" t="s">
        <v>883</v>
      </c>
      <c r="T2404" s="4" t="s">
        <v>884</v>
      </c>
      <c r="U2404" s="4" t="s">
        <v>885</v>
      </c>
      <c r="V2404" s="4" t="s">
        <v>886</v>
      </c>
      <c r="W2404" s="4" t="s">
        <v>887</v>
      </c>
      <c r="X2404" s="4" t="s">
        <v>887</v>
      </c>
      <c r="Y2404" s="4" t="s">
        <v>7912</v>
      </c>
      <c r="Z2404" s="4" t="s">
        <v>7913</v>
      </c>
      <c r="AA2404" s="4" t="s">
        <v>1500</v>
      </c>
      <c r="AB2404" s="4" t="s">
        <v>887</v>
      </c>
      <c r="AC2404" s="4" t="s">
        <v>887</v>
      </c>
      <c r="AD2404" s="4" t="s">
        <v>887</v>
      </c>
      <c r="AE2404" s="4" t="s">
        <v>7914</v>
      </c>
      <c r="AF2404" s="4" t="s">
        <v>887</v>
      </c>
      <c r="AG2404" s="4" t="s">
        <v>7915</v>
      </c>
      <c r="AH2404" s="4" t="s">
        <v>7916</v>
      </c>
      <c r="AI2404" s="4" t="s">
        <v>7917</v>
      </c>
      <c r="AJ2404" s="4" t="s">
        <v>887</v>
      </c>
      <c r="AK2404" s="4" t="s">
        <v>311</v>
      </c>
      <c r="AL2404" s="4" t="s">
        <v>3086</v>
      </c>
      <c r="AM2404" s="4" t="s">
        <v>887</v>
      </c>
      <c r="AN2404" s="4" t="s">
        <v>3082</v>
      </c>
      <c r="AO2404" s="4" t="s">
        <v>7918</v>
      </c>
      <c r="AP2404" s="4" t="s">
        <v>887</v>
      </c>
      <c r="AQ2404" s="4" t="s">
        <v>1737</v>
      </c>
      <c r="AR2404" s="4" t="s">
        <v>7919</v>
      </c>
      <c r="AS2404" s="4" t="s">
        <v>7920</v>
      </c>
      <c r="AT2404" s="4" t="s">
        <v>7921</v>
      </c>
      <c r="AU2404" s="4" t="s">
        <v>7922</v>
      </c>
      <c r="AV2404" s="4" t="s">
        <v>7923</v>
      </c>
      <c r="AW2404" s="4" t="s">
        <v>7924</v>
      </c>
      <c r="AX2404" s="4" t="s">
        <v>887</v>
      </c>
      <c r="AY2404" s="4" t="s">
        <v>7925</v>
      </c>
      <c r="AZ2404" s="4" t="s">
        <v>7926</v>
      </c>
      <c r="BA2404" s="4" t="s">
        <v>7927</v>
      </c>
      <c r="BB2404" s="4" t="s">
        <v>887</v>
      </c>
      <c r="BC2404" s="4" t="s">
        <v>1240</v>
      </c>
      <c r="BD2404" s="4" t="s">
        <v>4430</v>
      </c>
      <c r="BE2404" s="4" t="s">
        <v>887</v>
      </c>
      <c r="BF2404" s="4" t="s">
        <v>538</v>
      </c>
      <c r="BG2404" s="4" t="s">
        <v>887</v>
      </c>
      <c r="BH2404" s="4" t="s">
        <v>7928</v>
      </c>
      <c r="BI2404" s="4" t="s">
        <v>7929</v>
      </c>
      <c r="BJ2404" s="4" t="s">
        <v>7930</v>
      </c>
      <c r="BK2404" s="4" t="s">
        <v>879</v>
      </c>
      <c r="BL2404" s="4" t="s">
        <v>486</v>
      </c>
      <c r="BM2404" s="4" t="s">
        <v>887</v>
      </c>
      <c r="BN2404" s="4" t="s">
        <v>311</v>
      </c>
      <c r="BO2404" s="4" t="s">
        <v>887</v>
      </c>
      <c r="BP2404" s="4" t="s">
        <v>7931</v>
      </c>
      <c r="BQ2404" s="4" t="s">
        <v>887</v>
      </c>
      <c r="BR2404" s="4" t="s">
        <v>7917</v>
      </c>
      <c r="BS2404" s="4" t="s">
        <v>887</v>
      </c>
      <c r="BT2404" s="4" t="s">
        <v>883</v>
      </c>
      <c r="BU2404" s="4" t="s">
        <v>887</v>
      </c>
      <c r="BV2404" s="4" t="s">
        <v>903</v>
      </c>
      <c r="BW2404" s="4" t="s">
        <v>7932</v>
      </c>
      <c r="BX2404" s="4" t="s">
        <v>7917</v>
      </c>
      <c r="BY2404" s="4" t="s">
        <v>7933</v>
      </c>
      <c r="BZ2404" s="4" t="s">
        <v>887</v>
      </c>
      <c r="CA2404" s="4" t="s">
        <v>886</v>
      </c>
      <c r="CB2404" s="4" t="s">
        <v>887</v>
      </c>
      <c r="CC2404" s="4" t="s">
        <v>7934</v>
      </c>
      <c r="CD2404" s="4" t="s">
        <v>1074</v>
      </c>
      <c r="CE2404" s="4" t="s">
        <v>7912</v>
      </c>
      <c r="CF2404" s="4" t="s">
        <v>887</v>
      </c>
      <c r="CG2404" s="4" t="s">
        <v>7935</v>
      </c>
      <c r="CH2404" s="4" t="s">
        <v>887</v>
      </c>
      <c r="CI2404" s="4" t="s">
        <v>7936</v>
      </c>
      <c r="CJ2404" s="4" t="s">
        <v>887</v>
      </c>
      <c r="CK2404" s="4" t="s">
        <v>3000</v>
      </c>
      <c r="CL2404" s="4" t="s">
        <v>7937</v>
      </c>
      <c r="CM2404" s="4" t="s">
        <v>887</v>
      </c>
      <c r="CN2404" s="4" t="s">
        <v>7938</v>
      </c>
      <c r="CO2404" s="4" t="s">
        <v>7939</v>
      </c>
      <c r="CP2404" s="4" t="s">
        <v>7909</v>
      </c>
      <c r="CQ2404" s="4" t="s">
        <v>887</v>
      </c>
      <c r="CR2404" s="4" t="s">
        <v>7048</v>
      </c>
      <c r="CS2404" s="4" t="s">
        <v>2543</v>
      </c>
      <c r="CT2404" s="4" t="s">
        <v>887</v>
      </c>
      <c r="CU2404" s="4" t="s">
        <v>7940</v>
      </c>
      <c r="CV2404" s="4" t="s">
        <v>7941</v>
      </c>
      <c r="CW2404" s="4" t="s">
        <v>3084</v>
      </c>
      <c r="CX2404" s="4" t="s">
        <v>7942</v>
      </c>
      <c r="CY2404" s="4" t="s">
        <v>3081</v>
      </c>
      <c r="CZ2404" s="4" t="s">
        <v>887</v>
      </c>
      <c r="DA2404" s="4" t="s">
        <v>7943</v>
      </c>
      <c r="DB2404" s="4" t="s">
        <v>7944</v>
      </c>
      <c r="DC2404" s="4" t="s">
        <v>887</v>
      </c>
      <c r="DD2404" s="4" t="s">
        <v>887</v>
      </c>
      <c r="DE2404" s="4" t="s">
        <v>887</v>
      </c>
      <c r="DF2404" s="4" t="s">
        <v>887</v>
      </c>
      <c r="DG2404" s="4" t="s">
        <v>311</v>
      </c>
      <c r="DH2404" s="4" t="s">
        <v>7935</v>
      </c>
      <c r="DI2404" s="4" t="s">
        <v>887</v>
      </c>
      <c r="DJ2404" s="4" t="s">
        <v>7917</v>
      </c>
      <c r="DK2404" s="4" t="s">
        <v>887</v>
      </c>
      <c r="DL2404" s="4" t="s">
        <v>2074</v>
      </c>
      <c r="DM2404" s="4" t="s">
        <v>887</v>
      </c>
      <c r="DN2404" s="4" t="s">
        <v>313</v>
      </c>
      <c r="DO2404" s="4" t="s">
        <v>887</v>
      </c>
      <c r="DP2404" s="4" t="s">
        <v>7337</v>
      </c>
      <c r="DQ2404" s="4" t="s">
        <v>887</v>
      </c>
      <c r="DR2404" s="4" t="s">
        <v>887</v>
      </c>
      <c r="DS2404" s="4" t="s">
        <v>7945</v>
      </c>
      <c r="DT2404" s="4" t="s">
        <v>887</v>
      </c>
      <c r="DU2404" s="4" t="s">
        <v>7946</v>
      </c>
    </row>
    <row r="2405">
      <c r="A2405" s="4">
        <v>447.0</v>
      </c>
      <c r="B2405" s="4" t="s">
        <v>8005</v>
      </c>
      <c r="C2405" s="4"/>
      <c r="D2405" s="4" t="s">
        <v>7947</v>
      </c>
      <c r="E2405" s="4" t="s">
        <v>7948</v>
      </c>
      <c r="F2405" s="4" t="s">
        <v>7949</v>
      </c>
      <c r="G2405" s="5" t="str">
        <f>IFERROR(__xludf.DUMMYFUNCTION("GOOGLETRANSLATE(D2405,""en"",""es"")"),"touloulou")</f>
        <v>touloulou</v>
      </c>
    </row>
    <row r="2406">
      <c r="A2406" s="4">
        <v>448.0</v>
      </c>
      <c r="B2406" s="4" t="s">
        <v>8005</v>
      </c>
      <c r="C2406" s="4"/>
      <c r="D2406" s="4" t="s">
        <v>7950</v>
      </c>
      <c r="E2406" s="4" t="s">
        <v>400</v>
      </c>
      <c r="F2406" s="4" t="s">
        <v>401</v>
      </c>
      <c r="G2406" s="5" t="str">
        <f>IFERROR(__xludf.DUMMYFUNCTION("GOOGLETRANSLATE(D2406,""en"",""es"")"),"TSE")</f>
        <v>TSE</v>
      </c>
    </row>
    <row r="2407">
      <c r="A2407" s="4">
        <v>449.0</v>
      </c>
      <c r="B2407" s="4" t="s">
        <v>8005</v>
      </c>
      <c r="C2407" s="4"/>
      <c r="D2407" s="4" t="s">
        <v>7951</v>
      </c>
      <c r="E2407" s="4" t="s">
        <v>7952</v>
      </c>
      <c r="F2407" s="4" t="s">
        <v>7951</v>
      </c>
      <c r="G2407" s="5" t="str">
        <f>IFERROR(__xludf.DUMMYFUNCTION("GOOGLETRANSLATE(D2407,""en"",""es"")"),"tonel")</f>
        <v>tonel</v>
      </c>
      <c r="H2407" s="4" t="s">
        <v>7951</v>
      </c>
    </row>
    <row r="2408">
      <c r="A2408" s="4">
        <v>450.0</v>
      </c>
      <c r="B2408" s="4" t="s">
        <v>8005</v>
      </c>
      <c r="C2408" s="4"/>
      <c r="D2408" s="4" t="s">
        <v>1622</v>
      </c>
      <c r="E2408" s="4" t="s">
        <v>7953</v>
      </c>
      <c r="F2408" s="4" t="s">
        <v>1622</v>
      </c>
      <c r="G2408" s="5" t="str">
        <f>IFERROR(__xludf.DUMMYFUNCTION("GOOGLETRANSLATE(D2408,""en"",""es"")"),"tosh")</f>
        <v>tosh</v>
      </c>
      <c r="H2408" s="4" t="s">
        <v>1602</v>
      </c>
      <c r="I2408" s="4" t="s">
        <v>1603</v>
      </c>
      <c r="J2408" s="4" t="s">
        <v>1604</v>
      </c>
      <c r="K2408" s="4" t="s">
        <v>1605</v>
      </c>
      <c r="L2408" s="4" t="s">
        <v>1606</v>
      </c>
      <c r="M2408" s="4" t="s">
        <v>1147</v>
      </c>
      <c r="N2408" s="4" t="s">
        <v>1607</v>
      </c>
      <c r="O2408" s="4" t="s">
        <v>1120</v>
      </c>
      <c r="P2408" s="4" t="s">
        <v>1608</v>
      </c>
      <c r="Q2408" s="4" t="s">
        <v>1609</v>
      </c>
      <c r="R2408" s="4" t="s">
        <v>1610</v>
      </c>
      <c r="S2408" s="4" t="s">
        <v>1611</v>
      </c>
      <c r="T2408" s="4" t="s">
        <v>1612</v>
      </c>
      <c r="U2408" s="4" t="s">
        <v>1613</v>
      </c>
      <c r="V2408" s="4" t="s">
        <v>1614</v>
      </c>
      <c r="W2408" s="4" t="s">
        <v>1615</v>
      </c>
      <c r="X2408" s="4" t="s">
        <v>1616</v>
      </c>
      <c r="Y2408" s="4" t="s">
        <v>1617</v>
      </c>
      <c r="Z2408" s="4" t="s">
        <v>1618</v>
      </c>
      <c r="AA2408" s="4" t="s">
        <v>1619</v>
      </c>
      <c r="AB2408" s="4" t="s">
        <v>1620</v>
      </c>
      <c r="AC2408" s="4" t="s">
        <v>1621</v>
      </c>
      <c r="AD2408" s="4" t="s">
        <v>1622</v>
      </c>
      <c r="AE2408" s="4" t="s">
        <v>1623</v>
      </c>
      <c r="AF2408" s="4" t="s">
        <v>1624</v>
      </c>
      <c r="AG2408" s="4" t="s">
        <v>1625</v>
      </c>
      <c r="AH2408" s="4" t="s">
        <v>1626</v>
      </c>
      <c r="AI2408" s="4" t="s">
        <v>1627</v>
      </c>
    </row>
    <row r="2409">
      <c r="A2409" s="4">
        <v>451.0</v>
      </c>
      <c r="B2409" s="4" t="s">
        <v>8005</v>
      </c>
      <c r="C2409" s="4"/>
      <c r="D2409" s="4" t="s">
        <v>7954</v>
      </c>
      <c r="E2409" s="4" t="s">
        <v>7955</v>
      </c>
      <c r="F2409" s="4" t="s">
        <v>7956</v>
      </c>
      <c r="G2409" s="5" t="str">
        <f>IFERROR(__xludf.DUMMYFUNCTION("GOOGLETRANSLATE(D2409,""en"",""es"")"),"tushie")</f>
        <v>tushie</v>
      </c>
    </row>
    <row r="2410">
      <c r="A2410" s="4">
        <v>452.0</v>
      </c>
      <c r="B2410" s="4" t="s">
        <v>8005</v>
      </c>
      <c r="C2410" s="4"/>
      <c r="D2410" s="4" t="s">
        <v>4579</v>
      </c>
      <c r="E2410" s="4" t="s">
        <v>4578</v>
      </c>
      <c r="F2410" s="4" t="s">
        <v>4579</v>
      </c>
      <c r="G2410" s="5" t="str">
        <f>IFERROR(__xludf.DUMMYFUNCTION("GOOGLETRANSLATE(D2410,""en"",""es"")"),"tutú")</f>
        <v>tutú</v>
      </c>
      <c r="H2410" s="4" t="s">
        <v>7957</v>
      </c>
      <c r="I2410" s="4" t="s">
        <v>7958</v>
      </c>
      <c r="J2410" s="4" t="s">
        <v>4580</v>
      </c>
      <c r="K2410" s="4" t="s">
        <v>4579</v>
      </c>
    </row>
    <row r="2411">
      <c r="A2411" s="4">
        <v>453.0</v>
      </c>
      <c r="B2411" s="4" t="s">
        <v>8005</v>
      </c>
      <c r="C2411" s="4"/>
      <c r="D2411" s="4" t="s">
        <v>7959</v>
      </c>
      <c r="E2411" s="4" t="s">
        <v>7960</v>
      </c>
      <c r="F2411" s="4" t="s">
        <v>4559</v>
      </c>
      <c r="G2411" s="5" t="str">
        <f>IFERROR(__xludf.DUMMYFUNCTION("GOOGLETRANSLATE(D2411,""en"",""es"")"),"twp")</f>
        <v>twp</v>
      </c>
    </row>
    <row r="2412">
      <c r="A2412" s="4">
        <v>454.0</v>
      </c>
      <c r="B2412" s="4" t="s">
        <v>8005</v>
      </c>
      <c r="C2412" s="4"/>
      <c r="D2412" s="4" t="s">
        <v>7961</v>
      </c>
      <c r="E2412" s="4" t="s">
        <v>7962</v>
      </c>
      <c r="F2412" s="4" t="s">
        <v>7963</v>
      </c>
      <c r="G2412" s="5" t="str">
        <f>IFERROR(__xludf.DUMMYFUNCTION("GOOGLETRANSLATE(D2412,""en"",""es"")"),"UConn")</f>
        <v>UConn</v>
      </c>
    </row>
    <row r="2413">
      <c r="A2413" s="4">
        <v>455.0</v>
      </c>
      <c r="B2413" s="4" t="s">
        <v>8005</v>
      </c>
      <c r="C2413" s="4"/>
      <c r="D2413" s="4" t="s">
        <v>7964</v>
      </c>
      <c r="E2413" s="4" t="s">
        <v>6181</v>
      </c>
      <c r="F2413" s="4" t="s">
        <v>6182</v>
      </c>
      <c r="G2413" s="5" t="str">
        <f>IFERROR(__xludf.DUMMYFUNCTION("GOOGLETRANSLATE(D2413,""en"",""es"")"),"xe")</f>
        <v>xe</v>
      </c>
      <c r="H2413" s="4" t="s">
        <v>7965</v>
      </c>
      <c r="I2413" s="4" t="s">
        <v>7966</v>
      </c>
      <c r="J2413" s="4" t="s">
        <v>7967</v>
      </c>
    </row>
    <row r="2414">
      <c r="A2414" s="4">
        <v>456.0</v>
      </c>
      <c r="B2414" s="4" t="s">
        <v>8005</v>
      </c>
      <c r="C2414" s="4"/>
      <c r="D2414" s="4" t="s">
        <v>2011</v>
      </c>
      <c r="E2414" s="4" t="s">
        <v>7968</v>
      </c>
      <c r="F2414" s="4" t="s">
        <v>2011</v>
      </c>
      <c r="G2414" s="5" t="str">
        <f>IFERROR(__xludf.DUMMYFUNCTION("GOOGLETRANSLATE(D2414,""en"",""es"")"),"ya")</f>
        <v>ya</v>
      </c>
    </row>
    <row r="2415">
      <c r="A2415" s="4">
        <v>457.0</v>
      </c>
      <c r="B2415" s="4" t="s">
        <v>8005</v>
      </c>
      <c r="C2415" s="4"/>
      <c r="D2415" s="4" t="s">
        <v>7969</v>
      </c>
      <c r="E2415" s="4" t="s">
        <v>1870</v>
      </c>
      <c r="F2415" s="4" t="s">
        <v>1871</v>
      </c>
      <c r="G2415" s="5" t="str">
        <f>IFERROR(__xludf.DUMMYFUNCTION("GOOGLETRANSLATE(D2415,""en"",""es"")"),"quemar")</f>
        <v>quemar</v>
      </c>
      <c r="H2415" s="4" t="s">
        <v>1871</v>
      </c>
      <c r="I2415" s="4" t="s">
        <v>7969</v>
      </c>
      <c r="J2415" s="4" t="s">
        <v>7970</v>
      </c>
      <c r="K2415" s="4" t="s">
        <v>7971</v>
      </c>
      <c r="L2415" s="4" t="s">
        <v>7972</v>
      </c>
      <c r="M2415" s="4" t="s">
        <v>7969</v>
      </c>
      <c r="N2415" s="4" t="s">
        <v>7973</v>
      </c>
      <c r="O2415" s="4" t="s">
        <v>7974</v>
      </c>
      <c r="P2415" s="4" t="s">
        <v>7975</v>
      </c>
      <c r="Q2415" s="4" t="s">
        <v>7976</v>
      </c>
    </row>
    <row r="2416">
      <c r="A2416" s="4">
        <v>458.0</v>
      </c>
      <c r="B2416" s="4" t="s">
        <v>8005</v>
      </c>
      <c r="C2416" s="4"/>
      <c r="D2416" s="4" t="s">
        <v>7969</v>
      </c>
      <c r="E2416" s="4" t="s">
        <v>7977</v>
      </c>
      <c r="F2416" s="4" t="s">
        <v>1871</v>
      </c>
      <c r="G2416" s="5" t="str">
        <f>IFERROR(__xludf.DUMMYFUNCTION("GOOGLETRANSLATE(D2416,""en"",""es"")"),"quemar")</f>
        <v>quemar</v>
      </c>
      <c r="H2416" s="4" t="s">
        <v>1871</v>
      </c>
      <c r="I2416" s="4" t="s">
        <v>7969</v>
      </c>
      <c r="J2416" s="4" t="s">
        <v>7970</v>
      </c>
      <c r="K2416" s="4" t="s">
        <v>7971</v>
      </c>
      <c r="L2416" s="4" t="s">
        <v>7972</v>
      </c>
      <c r="M2416" s="4" t="s">
        <v>7969</v>
      </c>
      <c r="N2416" s="4" t="s">
        <v>7973</v>
      </c>
      <c r="O2416" s="4" t="s">
        <v>7974</v>
      </c>
      <c r="P2416" s="4" t="s">
        <v>7975</v>
      </c>
      <c r="Q2416" s="4" t="s">
        <v>7976</v>
      </c>
    </row>
    <row r="2417">
      <c r="A2417" s="4">
        <v>459.0</v>
      </c>
      <c r="B2417" s="4" t="s">
        <v>8005</v>
      </c>
      <c r="C2417" s="4"/>
      <c r="D2417" s="4" t="s">
        <v>1871</v>
      </c>
      <c r="E2417" s="4" t="s">
        <v>7977</v>
      </c>
      <c r="F2417" s="4" t="s">
        <v>1871</v>
      </c>
      <c r="G2417" s="5" t="str">
        <f>IFERROR(__xludf.DUMMYFUNCTION("GOOGLETRANSLATE(D2417,""en"",""es"")"),"yak")</f>
        <v>yak</v>
      </c>
      <c r="H2417" s="4" t="s">
        <v>1871</v>
      </c>
      <c r="I2417" s="4" t="s">
        <v>7969</v>
      </c>
      <c r="J2417" s="4" t="s">
        <v>7970</v>
      </c>
      <c r="K2417" s="4" t="s">
        <v>7971</v>
      </c>
      <c r="L2417" s="4" t="s">
        <v>7972</v>
      </c>
      <c r="M2417" s="4" t="s">
        <v>1871</v>
      </c>
      <c r="N2417" s="4" t="s">
        <v>1872</v>
      </c>
      <c r="O2417" s="4" t="s">
        <v>1871</v>
      </c>
      <c r="P2417" s="4" t="s">
        <v>7978</v>
      </c>
    </row>
    <row r="2418">
      <c r="A2418" s="4">
        <v>460.0</v>
      </c>
      <c r="B2418" s="4" t="s">
        <v>8005</v>
      </c>
      <c r="C2418" s="4"/>
      <c r="D2418" s="4" t="s">
        <v>7979</v>
      </c>
      <c r="E2418" s="4" t="s">
        <v>7980</v>
      </c>
      <c r="F2418" s="4" t="s">
        <v>7979</v>
      </c>
      <c r="G2418" s="5" t="str">
        <f>IFERROR(__xludf.DUMMYFUNCTION("GOOGLETRANSLATE(D2418,""en"",""es"")"),"yakima")</f>
        <v>yakima</v>
      </c>
      <c r="H2418" s="4" t="s">
        <v>7981</v>
      </c>
    </row>
    <row r="2419">
      <c r="A2419" s="4">
        <v>461.0</v>
      </c>
      <c r="B2419" s="4" t="s">
        <v>8005</v>
      </c>
      <c r="C2419" s="4"/>
      <c r="D2419" s="4" t="s">
        <v>7982</v>
      </c>
      <c r="E2419" s="4" t="s">
        <v>7983</v>
      </c>
      <c r="F2419" s="4" t="s">
        <v>7984</v>
      </c>
      <c r="G2419" s="5" t="str">
        <f>IFERROR(__xludf.DUMMYFUNCTION("GOOGLETRANSLATE(D2419,""en"",""es"")"),"yakky")</f>
        <v>yakky</v>
      </c>
    </row>
    <row r="2420">
      <c r="A2420" s="4">
        <v>462.0</v>
      </c>
      <c r="B2420" s="4" t="s">
        <v>8005</v>
      </c>
      <c r="C2420" s="4"/>
      <c r="D2420" s="4" t="s">
        <v>3056</v>
      </c>
      <c r="E2420" s="4" t="s">
        <v>7985</v>
      </c>
      <c r="F2420" s="4" t="s">
        <v>3056</v>
      </c>
      <c r="G2420" s="5" t="str">
        <f>IFERROR(__xludf.DUMMYFUNCTION("GOOGLETRANSLATE(D2420,""en"",""es"")"),"batata")</f>
        <v>batata</v>
      </c>
      <c r="H2420" s="4" t="s">
        <v>3056</v>
      </c>
      <c r="I2420" s="4" t="s">
        <v>3056</v>
      </c>
      <c r="J2420" s="4" t="s">
        <v>7986</v>
      </c>
      <c r="K2420" s="4" t="s">
        <v>3056</v>
      </c>
      <c r="L2420" s="4" t="s">
        <v>3056</v>
      </c>
    </row>
    <row r="2421">
      <c r="A2421" s="4">
        <v>463.0</v>
      </c>
      <c r="B2421" s="4" t="s">
        <v>8005</v>
      </c>
      <c r="C2421" s="4"/>
      <c r="D2421" s="4" t="s">
        <v>6388</v>
      </c>
      <c r="E2421" s="4" t="s">
        <v>6387</v>
      </c>
      <c r="F2421" s="4" t="s">
        <v>6388</v>
      </c>
      <c r="G2421" s="5" t="str">
        <f>IFERROR(__xludf.DUMMYFUNCTION("GOOGLETRANSLATE(D2421,""en"",""es"")"),"yan")</f>
        <v>yan</v>
      </c>
    </row>
    <row r="2422">
      <c r="A2422" s="4">
        <v>464.0</v>
      </c>
      <c r="B2422" s="4" t="s">
        <v>8005</v>
      </c>
      <c r="C2422" s="4"/>
      <c r="D2422" s="4" t="s">
        <v>7987</v>
      </c>
      <c r="E2422" s="4" t="s">
        <v>7988</v>
      </c>
      <c r="F2422" s="4" t="s">
        <v>7987</v>
      </c>
      <c r="G2422" s="5" t="str">
        <f>IFERROR(__xludf.DUMMYFUNCTION("GOOGLETRANSLATE(D2422,""en"",""es"")"),"ladrar")</f>
        <v>ladrar</v>
      </c>
      <c r="H2422" s="4" t="s">
        <v>7219</v>
      </c>
      <c r="I2422" s="4" t="s">
        <v>7989</v>
      </c>
      <c r="J2422" s="4" t="s">
        <v>7990</v>
      </c>
      <c r="K2422" s="4" t="s">
        <v>7991</v>
      </c>
      <c r="L2422" s="4" t="s">
        <v>7987</v>
      </c>
      <c r="M2422" s="4" t="s">
        <v>2514</v>
      </c>
      <c r="N2422" s="4" t="s">
        <v>7992</v>
      </c>
      <c r="O2422" s="4" t="s">
        <v>7993</v>
      </c>
      <c r="P2422" s="4" t="s">
        <v>7987</v>
      </c>
    </row>
    <row r="2423">
      <c r="A2423" s="4">
        <v>465.0</v>
      </c>
      <c r="B2423" s="4" t="s">
        <v>8005</v>
      </c>
      <c r="C2423" s="4"/>
      <c r="D2423" s="4" t="s">
        <v>7994</v>
      </c>
      <c r="E2423" s="4" t="s">
        <v>7988</v>
      </c>
      <c r="F2423" s="4" t="s">
        <v>7987</v>
      </c>
      <c r="G2423" s="5" t="str">
        <f>IFERROR(__xludf.DUMMYFUNCTION("GOOGLETRANSLATE(D2423,""en"",""es"")"),"yapp")</f>
        <v>yapp</v>
      </c>
    </row>
    <row r="2424">
      <c r="A2424" s="4">
        <v>466.0</v>
      </c>
      <c r="B2424" s="4" t="s">
        <v>8005</v>
      </c>
      <c r="C2424" s="4"/>
      <c r="D2424" s="4" t="s">
        <v>7995</v>
      </c>
      <c r="E2424" s="4" t="s">
        <v>7996</v>
      </c>
      <c r="F2424" s="4" t="s">
        <v>7997</v>
      </c>
      <c r="G2424" s="5" t="str">
        <f>IFERROR(__xludf.DUMMYFUNCTION("GOOGLETRANSLATE(D2424,""en"",""es"")"),"yee")</f>
        <v>yee</v>
      </c>
    </row>
    <row r="2425">
      <c r="A2425" s="4">
        <v>467.0</v>
      </c>
      <c r="B2425" s="4" t="s">
        <v>8005</v>
      </c>
      <c r="C2425" s="4"/>
      <c r="D2425" s="4" t="s">
        <v>7998</v>
      </c>
      <c r="E2425" s="4" t="s">
        <v>7999</v>
      </c>
      <c r="F2425" s="4" t="s">
        <v>7998</v>
      </c>
      <c r="G2425" s="5" t="str">
        <f>IFERROR(__xludf.DUMMYFUNCTION("GOOGLETRANSLATE(D2425,""en"",""es"")"),"yin")</f>
        <v>yin</v>
      </c>
      <c r="H2425" s="4" t="s">
        <v>7998</v>
      </c>
    </row>
    <row r="2426">
      <c r="A2426" s="4">
        <v>468.0</v>
      </c>
      <c r="B2426" s="4" t="s">
        <v>8005</v>
      </c>
      <c r="C2426" s="4"/>
      <c r="D2426" s="4" t="s">
        <v>7993</v>
      </c>
      <c r="E2426" s="4" t="s">
        <v>8000</v>
      </c>
      <c r="F2426" s="4" t="s">
        <v>7993</v>
      </c>
      <c r="G2426" s="5" t="str">
        <f>IFERROR(__xludf.DUMMYFUNCTION("GOOGLETRANSLATE(D2426,""en"",""es"")"),"cárcel")</f>
        <v>cárcel</v>
      </c>
      <c r="H2426" s="4" t="s">
        <v>7993</v>
      </c>
      <c r="I2426" s="4" t="s">
        <v>7992</v>
      </c>
      <c r="J2426" s="4" t="s">
        <v>8001</v>
      </c>
      <c r="K2426" s="4" t="s">
        <v>7992</v>
      </c>
      <c r="L2426" s="4" t="s">
        <v>7993</v>
      </c>
      <c r="M2426" s="4" t="s">
        <v>7987</v>
      </c>
    </row>
    <row r="2427">
      <c r="A2427" s="4">
        <v>469.0</v>
      </c>
      <c r="B2427" s="4" t="s">
        <v>8005</v>
      </c>
      <c r="C2427" s="4"/>
      <c r="D2427" s="4" t="s">
        <v>8002</v>
      </c>
      <c r="E2427" s="4" t="s">
        <v>289</v>
      </c>
      <c r="F2427" s="4" t="s">
        <v>290</v>
      </c>
      <c r="G2427" s="5" t="str">
        <f>IFERROR(__xludf.DUMMYFUNCTION("GOOGLETRANSLATE(D2427,""en"",""es"")"),"tú")</f>
        <v>tú</v>
      </c>
    </row>
    <row r="2428">
      <c r="A2428" s="4">
        <v>470.0</v>
      </c>
      <c r="B2428" s="4" t="s">
        <v>8005</v>
      </c>
      <c r="C2428" s="4"/>
      <c r="D2428" s="4" t="s">
        <v>8003</v>
      </c>
      <c r="E2428" s="4" t="s">
        <v>5877</v>
      </c>
      <c r="F2428" s="4" t="s">
        <v>5876</v>
      </c>
      <c r="G2428" s="5" t="str">
        <f>IFERROR(__xludf.DUMMYFUNCTION("GOOGLETRANSLATE(D2428,""en"",""es"")"),"Æ")</f>
        <v>Æ</v>
      </c>
    </row>
    <row r="2429">
      <c r="A2429" s="4">
        <v>471.0</v>
      </c>
      <c r="B2429" s="4" t="s">
        <v>8005</v>
      </c>
      <c r="C2429" s="4"/>
      <c r="D2429" s="4" t="s">
        <v>8004</v>
      </c>
      <c r="E2429" s="4" t="s">
        <v>5877</v>
      </c>
      <c r="F2429" s="4" t="s">
        <v>5876</v>
      </c>
      <c r="G2429" s="5" t="str">
        <f>IFERROR(__xludf.DUMMYFUNCTION("GOOGLETRANSLATE(D2429,""en"",""es"")"),"Æsc")</f>
        <v>Æsc</v>
      </c>
    </row>
    <row r="2430">
      <c r="A2430" s="4">
        <v>1.0</v>
      </c>
      <c r="B2430" s="4" t="s">
        <v>8006</v>
      </c>
      <c r="C2430" s="4"/>
      <c r="D2430" s="4" t="s">
        <v>592</v>
      </c>
      <c r="E2430" s="4" t="s">
        <v>591</v>
      </c>
      <c r="F2430" s="4" t="s">
        <v>592</v>
      </c>
      <c r="G2430" s="5" t="str">
        <f>IFERROR(__xludf.DUMMYFUNCTION("GOOGLETRANSLATE(D2430,""en"",""es"")"),"soy")</f>
        <v>soy</v>
      </c>
      <c r="H2430" s="4" t="s">
        <v>8007</v>
      </c>
      <c r="I2430" s="4" t="s">
        <v>8008</v>
      </c>
      <c r="J2430" s="4" t="s">
        <v>8009</v>
      </c>
      <c r="K2430" s="4" t="s">
        <v>8010</v>
      </c>
      <c r="L2430" s="4" t="s">
        <v>8011</v>
      </c>
      <c r="M2430" s="4" t="s">
        <v>8012</v>
      </c>
      <c r="N2430" s="4" t="s">
        <v>8013</v>
      </c>
      <c r="O2430" s="4" t="s">
        <v>8014</v>
      </c>
      <c r="P2430" s="4" t="s">
        <v>8013</v>
      </c>
      <c r="Q2430" s="4" t="s">
        <v>3426</v>
      </c>
      <c r="R2430" s="4" t="s">
        <v>3426</v>
      </c>
      <c r="S2430" s="4" t="s">
        <v>3426</v>
      </c>
      <c r="T2430" s="4" t="s">
        <v>8015</v>
      </c>
      <c r="U2430" s="4" t="s">
        <v>3426</v>
      </c>
      <c r="V2430" s="4" t="s">
        <v>3426</v>
      </c>
      <c r="W2430" s="4" t="s">
        <v>1256</v>
      </c>
      <c r="X2430" s="4" t="s">
        <v>3426</v>
      </c>
      <c r="Y2430" s="4" t="s">
        <v>2999</v>
      </c>
      <c r="Z2430" s="4" t="s">
        <v>6770</v>
      </c>
      <c r="AA2430" s="4" t="s">
        <v>2472</v>
      </c>
      <c r="AB2430" s="4" t="s">
        <v>8016</v>
      </c>
      <c r="AC2430" s="4" t="s">
        <v>3426</v>
      </c>
      <c r="AD2430" s="4" t="s">
        <v>3426</v>
      </c>
      <c r="AE2430" s="4" t="s">
        <v>8017</v>
      </c>
      <c r="AF2430" s="4" t="s">
        <v>8018</v>
      </c>
      <c r="AG2430" s="4" t="s">
        <v>3426</v>
      </c>
      <c r="AH2430" s="4" t="s">
        <v>8019</v>
      </c>
      <c r="AI2430" s="4" t="s">
        <v>3426</v>
      </c>
      <c r="AJ2430" s="4" t="s">
        <v>3426</v>
      </c>
      <c r="AK2430" s="4" t="s">
        <v>3089</v>
      </c>
      <c r="AL2430" s="4" t="s">
        <v>3426</v>
      </c>
      <c r="AM2430" s="4" t="s">
        <v>5609</v>
      </c>
      <c r="AN2430" s="4" t="s">
        <v>3426</v>
      </c>
    </row>
    <row r="2431">
      <c r="A2431" s="4">
        <v>2.0</v>
      </c>
      <c r="B2431" s="4" t="s">
        <v>8006</v>
      </c>
      <c r="C2431" s="4"/>
      <c r="D2431" s="4" t="s">
        <v>592</v>
      </c>
      <c r="E2431" s="4" t="s">
        <v>8020</v>
      </c>
      <c r="F2431" s="4" t="s">
        <v>592</v>
      </c>
      <c r="G2431" s="5" t="str">
        <f>IFERROR(__xludf.DUMMYFUNCTION("GOOGLETRANSLATE(D2431,""en"",""es"")"),"soy")</f>
        <v>soy</v>
      </c>
      <c r="H2431" s="4" t="s">
        <v>8007</v>
      </c>
      <c r="I2431" s="4" t="s">
        <v>8008</v>
      </c>
      <c r="J2431" s="4" t="s">
        <v>8009</v>
      </c>
      <c r="K2431" s="4" t="s">
        <v>8010</v>
      </c>
      <c r="L2431" s="4" t="s">
        <v>8011</v>
      </c>
      <c r="M2431" s="4" t="s">
        <v>8012</v>
      </c>
      <c r="N2431" s="4" t="s">
        <v>8013</v>
      </c>
      <c r="O2431" s="4" t="s">
        <v>8014</v>
      </c>
      <c r="P2431" s="4" t="s">
        <v>8013</v>
      </c>
      <c r="Q2431" s="4" t="s">
        <v>3426</v>
      </c>
      <c r="R2431" s="4" t="s">
        <v>3426</v>
      </c>
      <c r="S2431" s="4" t="s">
        <v>3426</v>
      </c>
      <c r="T2431" s="4" t="s">
        <v>8015</v>
      </c>
      <c r="U2431" s="4" t="s">
        <v>3426</v>
      </c>
      <c r="V2431" s="4" t="s">
        <v>3426</v>
      </c>
      <c r="W2431" s="4" t="s">
        <v>1256</v>
      </c>
      <c r="X2431" s="4" t="s">
        <v>3426</v>
      </c>
      <c r="Y2431" s="4" t="s">
        <v>2999</v>
      </c>
      <c r="Z2431" s="4" t="s">
        <v>6770</v>
      </c>
      <c r="AA2431" s="4" t="s">
        <v>2472</v>
      </c>
      <c r="AB2431" s="4" t="s">
        <v>8016</v>
      </c>
      <c r="AC2431" s="4" t="s">
        <v>3426</v>
      </c>
      <c r="AD2431" s="4" t="s">
        <v>3426</v>
      </c>
      <c r="AE2431" s="4" t="s">
        <v>8017</v>
      </c>
      <c r="AF2431" s="4" t="s">
        <v>8018</v>
      </c>
      <c r="AG2431" s="4" t="s">
        <v>3426</v>
      </c>
      <c r="AH2431" s="4" t="s">
        <v>8019</v>
      </c>
      <c r="AI2431" s="4" t="s">
        <v>3426</v>
      </c>
      <c r="AJ2431" s="4" t="s">
        <v>3426</v>
      </c>
      <c r="AK2431" s="4" t="s">
        <v>3089</v>
      </c>
      <c r="AL2431" s="4" t="s">
        <v>3426</v>
      </c>
      <c r="AM2431" s="4" t="s">
        <v>5609</v>
      </c>
      <c r="AN2431" s="4" t="s">
        <v>3426</v>
      </c>
    </row>
    <row r="2432">
      <c r="A2432" s="4">
        <v>3.0</v>
      </c>
      <c r="B2432" s="4" t="s">
        <v>8006</v>
      </c>
      <c r="C2432" s="4"/>
      <c r="D2432" s="4" t="s">
        <v>5913</v>
      </c>
      <c r="E2432" s="4" t="s">
        <v>8021</v>
      </c>
      <c r="F2432" s="4" t="s">
        <v>8022</v>
      </c>
      <c r="G2432" s="5" t="str">
        <f>IFERROR(__xludf.DUMMYFUNCTION("GOOGLETRANSLATE(D2432,""en"",""es"")"),"ático")</f>
        <v>ático</v>
      </c>
      <c r="H2432" s="4" t="s">
        <v>1473</v>
      </c>
      <c r="I2432" s="4" t="s">
        <v>5913</v>
      </c>
      <c r="J2432" s="4" t="s">
        <v>5915</v>
      </c>
      <c r="K2432" s="4" t="s">
        <v>4770</v>
      </c>
      <c r="L2432" s="4" t="s">
        <v>4771</v>
      </c>
      <c r="M2432" s="4" t="s">
        <v>4772</v>
      </c>
      <c r="N2432" s="4" t="s">
        <v>4773</v>
      </c>
      <c r="O2432" s="4" t="s">
        <v>5913</v>
      </c>
      <c r="P2432" s="4" t="s">
        <v>5916</v>
      </c>
      <c r="Q2432" s="4" t="s">
        <v>5917</v>
      </c>
      <c r="R2432" s="4" t="s">
        <v>5918</v>
      </c>
      <c r="S2432" s="4" t="s">
        <v>5919</v>
      </c>
      <c r="T2432" s="4" t="s">
        <v>5920</v>
      </c>
      <c r="U2432" s="4" t="s">
        <v>5913</v>
      </c>
      <c r="V2432" s="4" t="s">
        <v>4770</v>
      </c>
    </row>
    <row r="2433">
      <c r="A2433" s="4">
        <v>4.0</v>
      </c>
      <c r="B2433" s="4" t="s">
        <v>8006</v>
      </c>
      <c r="C2433" s="4"/>
      <c r="D2433" s="4" t="s">
        <v>1037</v>
      </c>
      <c r="E2433" s="4" t="s">
        <v>6007</v>
      </c>
      <c r="F2433" s="4" t="s">
        <v>1039</v>
      </c>
      <c r="G2433" s="5" t="str">
        <f>IFERROR(__xludf.DUMMYFUNCTION("GOOGLETRANSLATE(D2433,""en"",""es"")"),"leva")</f>
        <v>leva</v>
      </c>
      <c r="H2433" s="4" t="s">
        <v>8023</v>
      </c>
      <c r="I2433" s="4" t="s">
        <v>8024</v>
      </c>
      <c r="J2433" s="4" t="s">
        <v>8025</v>
      </c>
      <c r="K2433" s="4" t="s">
        <v>1037</v>
      </c>
    </row>
    <row r="2434">
      <c r="A2434" s="4">
        <v>5.0</v>
      </c>
      <c r="B2434" s="4" t="s">
        <v>8006</v>
      </c>
      <c r="C2434" s="4"/>
      <c r="D2434" s="4" t="s">
        <v>5924</v>
      </c>
      <c r="E2434" s="4" t="s">
        <v>8026</v>
      </c>
      <c r="F2434" s="4" t="s">
        <v>5924</v>
      </c>
      <c r="G2434" s="5" t="str">
        <f>IFERROR(__xludf.DUMMYFUNCTION("GOOGLETRANSLATE(D2434,""en"",""es"")"),"kash")</f>
        <v>kash</v>
      </c>
    </row>
    <row r="2435">
      <c r="A2435" s="4">
        <v>6.0</v>
      </c>
      <c r="B2435" s="4" t="s">
        <v>8006</v>
      </c>
      <c r="C2435" s="4"/>
      <c r="D2435" s="4" t="s">
        <v>6771</v>
      </c>
      <c r="E2435" s="4" t="s">
        <v>8027</v>
      </c>
      <c r="F2435" s="4" t="s">
        <v>6771</v>
      </c>
      <c r="G2435" s="5" t="str">
        <f>IFERROR(__xludf.DUMMYFUNCTION("GOOGLETRANSLATE(D2435,""en"",""es"")"),"mezcla")</f>
        <v>mezcla</v>
      </c>
      <c r="H2435" s="4" t="s">
        <v>6771</v>
      </c>
      <c r="I2435" s="4" t="s">
        <v>6771</v>
      </c>
      <c r="J2435" s="4" t="s">
        <v>6773</v>
      </c>
      <c r="K2435" s="4" t="s">
        <v>6774</v>
      </c>
      <c r="L2435" s="4" t="s">
        <v>6775</v>
      </c>
      <c r="M2435" s="4" t="s">
        <v>6771</v>
      </c>
      <c r="N2435" s="4" t="s">
        <v>6776</v>
      </c>
      <c r="O2435" s="4" t="s">
        <v>6777</v>
      </c>
      <c r="P2435" s="4" t="s">
        <v>6778</v>
      </c>
      <c r="Q2435" s="4" t="s">
        <v>6779</v>
      </c>
      <c r="R2435" s="4" t="s">
        <v>6780</v>
      </c>
      <c r="S2435" s="4" t="s">
        <v>6781</v>
      </c>
      <c r="T2435" s="4" t="s">
        <v>6782</v>
      </c>
      <c r="U2435" s="4" t="s">
        <v>6783</v>
      </c>
      <c r="V2435" s="4" t="s">
        <v>6784</v>
      </c>
      <c r="W2435" s="4" t="s">
        <v>6771</v>
      </c>
      <c r="X2435" s="4" t="s">
        <v>6785</v>
      </c>
      <c r="Y2435" s="4" t="s">
        <v>6771</v>
      </c>
      <c r="Z2435" s="4" t="s">
        <v>6786</v>
      </c>
      <c r="AA2435" s="4" t="s">
        <v>6787</v>
      </c>
      <c r="AB2435" s="4" t="s">
        <v>6788</v>
      </c>
    </row>
    <row r="2436">
      <c r="A2436" s="4">
        <v>7.0</v>
      </c>
      <c r="B2436" s="4" t="s">
        <v>8006</v>
      </c>
      <c r="C2436" s="4"/>
      <c r="D2436" s="4" t="s">
        <v>8028</v>
      </c>
      <c r="E2436" s="4" t="s">
        <v>8029</v>
      </c>
      <c r="F2436" s="4" t="s">
        <v>8030</v>
      </c>
      <c r="G2436" s="5" t="str">
        <f>IFERROR(__xludf.DUMMYFUNCTION("GOOGLETRANSLATE(D2436,""en"",""es"")"),"espesor")</f>
        <v>espesor</v>
      </c>
    </row>
    <row r="2437">
      <c r="A2437" s="4">
        <v>8.0</v>
      </c>
      <c r="B2437" s="4" t="s">
        <v>8006</v>
      </c>
      <c r="C2437" s="4"/>
      <c r="D2437" s="4" t="s">
        <v>8031</v>
      </c>
      <c r="E2437" s="4" t="s">
        <v>8032</v>
      </c>
      <c r="F2437" s="4" t="s">
        <v>8033</v>
      </c>
      <c r="G2437" s="5" t="str">
        <f>IFERROR(__xludf.DUMMYFUNCTION("GOOGLETRANSLATE(D2437,""en"",""es"")"),"puaj")</f>
        <v>puaj</v>
      </c>
    </row>
    <row r="2438">
      <c r="A2438" s="4">
        <v>9.0</v>
      </c>
      <c r="B2438" s="4" t="s">
        <v>8006</v>
      </c>
      <c r="C2438" s="4"/>
      <c r="D2438" s="4" t="s">
        <v>8031</v>
      </c>
      <c r="E2438" s="4" t="s">
        <v>8034</v>
      </c>
      <c r="F2438" s="4" t="s">
        <v>8033</v>
      </c>
      <c r="G2438" s="5" t="str">
        <f>IFERROR(__xludf.DUMMYFUNCTION("GOOGLETRANSLATE(D2438,""en"",""es"")"),"puaj")</f>
        <v>puaj</v>
      </c>
    </row>
    <row r="2439">
      <c r="A2439" s="4">
        <v>1.0</v>
      </c>
      <c r="B2439" s="4" t="s">
        <v>8035</v>
      </c>
      <c r="C2439" s="4"/>
      <c r="D2439" s="6" t="s">
        <v>5758</v>
      </c>
      <c r="E2439" s="4" t="s">
        <v>5759</v>
      </c>
      <c r="F2439" s="4" t="s">
        <v>304</v>
      </c>
      <c r="G2439" s="5" t="str">
        <f>IFERROR(__xludf.DUMMYFUNCTION("GOOGLETRANSLATE(D2439,""en"",""es"")"),"Em")</f>
        <v>Em</v>
      </c>
    </row>
    <row r="2440">
      <c r="A2440" s="4">
        <v>2.0</v>
      </c>
      <c r="B2440" s="4" t="s">
        <v>8035</v>
      </c>
      <c r="C2440" s="4"/>
      <c r="D2440" s="4" t="s">
        <v>5760</v>
      </c>
      <c r="E2440" s="4" t="s">
        <v>5761</v>
      </c>
      <c r="F2440" s="4" t="s">
        <v>1776</v>
      </c>
      <c r="G2440" s="5" t="str">
        <f>IFERROR(__xludf.DUMMYFUNCTION("GOOGLETRANSLATE(D2440,""en"",""es"")"),"aach")</f>
        <v>aach</v>
      </c>
    </row>
    <row r="2441">
      <c r="A2441" s="4">
        <v>3.0</v>
      </c>
      <c r="B2441" s="4" t="s">
        <v>8035</v>
      </c>
      <c r="C2441" s="4"/>
      <c r="D2441" s="4" t="s">
        <v>5762</v>
      </c>
      <c r="E2441" s="4" t="s">
        <v>5763</v>
      </c>
      <c r="F2441" s="4" t="s">
        <v>4910</v>
      </c>
      <c r="G2441" s="5" t="str">
        <f>IFERROR(__xludf.DUMMYFUNCTION("GOOGLETRANSLATE(D2441,""en"",""es"")"),"aacu")</f>
        <v>aacu</v>
      </c>
    </row>
    <row r="2442">
      <c r="A2442" s="4">
        <v>4.0</v>
      </c>
      <c r="B2442" s="4" t="s">
        <v>8035</v>
      </c>
      <c r="C2442" s="4"/>
      <c r="D2442" s="4" t="s">
        <v>8036</v>
      </c>
      <c r="E2442" s="4" t="s">
        <v>8037</v>
      </c>
      <c r="F2442" s="4" t="s">
        <v>592</v>
      </c>
      <c r="G2442" s="5" t="str">
        <f>IFERROR(__xludf.DUMMYFUNCTION("GOOGLETRANSLATE(D2442,""en"",""es"")"),"aam")</f>
        <v>aam</v>
      </c>
    </row>
    <row r="2443">
      <c r="A2443" s="4">
        <v>5.0</v>
      </c>
      <c r="B2443" s="4" t="s">
        <v>8035</v>
      </c>
      <c r="C2443" s="4"/>
      <c r="D2443" s="4" t="s">
        <v>5764</v>
      </c>
      <c r="E2443" s="4" t="s">
        <v>5765</v>
      </c>
      <c r="F2443" s="4" t="s">
        <v>5766</v>
      </c>
      <c r="G2443" s="5" t="str">
        <f>IFERROR(__xludf.DUMMYFUNCTION("GOOGLETRANSLATE(D2443,""en"",""es"")"),"acetal")</f>
        <v>acetal</v>
      </c>
      <c r="H2443" s="4" t="s">
        <v>5764</v>
      </c>
    </row>
    <row r="2444">
      <c r="A2444" s="4">
        <v>6.0</v>
      </c>
      <c r="B2444" s="4" t="s">
        <v>8035</v>
      </c>
      <c r="C2444" s="4"/>
      <c r="D2444" s="4" t="s">
        <v>5767</v>
      </c>
      <c r="E2444" s="4" t="s">
        <v>5761</v>
      </c>
      <c r="F2444" s="4" t="s">
        <v>1776</v>
      </c>
      <c r="G2444" s="5" t="str">
        <f>IFERROR(__xludf.DUMMYFUNCTION("GOOGLETRANSLATE(D2444,""en"",""es"")"),"ack")</f>
        <v>ack</v>
      </c>
    </row>
    <row r="2445">
      <c r="A2445" s="4">
        <v>7.0</v>
      </c>
      <c r="B2445" s="4" t="s">
        <v>8035</v>
      </c>
      <c r="C2445" s="4"/>
      <c r="D2445" s="4" t="s">
        <v>8038</v>
      </c>
      <c r="E2445" s="4" t="s">
        <v>8039</v>
      </c>
      <c r="F2445" s="4" t="s">
        <v>816</v>
      </c>
      <c r="G2445" s="5" t="str">
        <f>IFERROR(__xludf.DUMMYFUNCTION("GOOGLETRANSLATE(D2445,""en"",""es"")"),"adquirir")</f>
        <v>adquirir</v>
      </c>
    </row>
    <row r="2446">
      <c r="A2446" s="4">
        <v>8.0</v>
      </c>
      <c r="B2446" s="4" t="s">
        <v>8035</v>
      </c>
      <c r="C2446" s="4"/>
      <c r="D2446" s="4" t="s">
        <v>5768</v>
      </c>
      <c r="E2446" s="4" t="s">
        <v>5769</v>
      </c>
      <c r="F2446" s="4" t="s">
        <v>5770</v>
      </c>
      <c r="G2446" s="5" t="str">
        <f>IFERROR(__xludf.DUMMYFUNCTION("GOOGLETRANSLATE(D2446,""en"",""es"")"),"acilo")</f>
        <v>acilo</v>
      </c>
      <c r="H2446" s="4" t="s">
        <v>5768</v>
      </c>
      <c r="I2446" s="4" t="s">
        <v>5771</v>
      </c>
    </row>
    <row r="2447">
      <c r="A2447" s="4">
        <v>9.0</v>
      </c>
      <c r="B2447" s="4" t="s">
        <v>8035</v>
      </c>
      <c r="C2447" s="4"/>
      <c r="D2447" s="4" t="s">
        <v>5777</v>
      </c>
      <c r="E2447" s="4" t="s">
        <v>5778</v>
      </c>
      <c r="F2447" s="4" t="s">
        <v>5777</v>
      </c>
      <c r="G2447" s="5" t="str">
        <f>IFERROR(__xludf.DUMMYFUNCTION("GOOGLETRANSLATE(D2447,""en"",""es"")"),"ahi")</f>
        <v>ahi</v>
      </c>
    </row>
    <row r="2448">
      <c r="A2448" s="4">
        <v>10.0</v>
      </c>
      <c r="B2448" s="4" t="s">
        <v>8035</v>
      </c>
      <c r="C2448" s="4"/>
      <c r="D2448" s="4" t="s">
        <v>5779</v>
      </c>
      <c r="E2448" s="4" t="s">
        <v>5761</v>
      </c>
      <c r="F2448" s="4" t="s">
        <v>1776</v>
      </c>
      <c r="G2448" s="5" t="str">
        <f>IFERROR(__xludf.DUMMYFUNCTION("GOOGLETRANSLATE(D2448,""en"",""es"")"),"akh")</f>
        <v>akh</v>
      </c>
    </row>
    <row r="2449">
      <c r="A2449" s="4">
        <v>11.0</v>
      </c>
      <c r="B2449" s="4" t="s">
        <v>8035</v>
      </c>
      <c r="C2449" s="4"/>
      <c r="D2449" s="4" t="s">
        <v>5780</v>
      </c>
      <c r="E2449" s="4" t="s">
        <v>5781</v>
      </c>
      <c r="F2449" s="4" t="s">
        <v>816</v>
      </c>
      <c r="G2449" s="5" t="str">
        <f>IFERROR(__xludf.DUMMYFUNCTION("GOOGLETRANSLATE(D2449,""en"",""es"")"),"akhi")</f>
        <v>akhi</v>
      </c>
    </row>
    <row r="2450">
      <c r="A2450" s="4">
        <v>12.0</v>
      </c>
      <c r="B2450" s="4" t="s">
        <v>8035</v>
      </c>
      <c r="C2450" s="4"/>
      <c r="D2450" s="4" t="s">
        <v>506</v>
      </c>
      <c r="E2450" s="4" t="s">
        <v>5782</v>
      </c>
      <c r="F2450" s="4" t="s">
        <v>506</v>
      </c>
      <c r="G2450" s="5" t="str">
        <f>IFERROR(__xludf.DUMMYFUNCTION("GOOGLETRANSLATE(D2450,""en"",""es"")"),"Alabama")</f>
        <v>Alabama</v>
      </c>
      <c r="H2450" s="4" t="s">
        <v>556</v>
      </c>
      <c r="I2450" s="4" t="s">
        <v>557</v>
      </c>
      <c r="J2450" s="4" t="s">
        <v>558</v>
      </c>
      <c r="K2450" s="4" t="s">
        <v>559</v>
      </c>
      <c r="L2450" s="4" t="s">
        <v>5783</v>
      </c>
      <c r="M2450" s="4" t="s">
        <v>5784</v>
      </c>
      <c r="N2450" s="4" t="s">
        <v>5785</v>
      </c>
      <c r="O2450" s="4" t="s">
        <v>5786</v>
      </c>
    </row>
    <row r="2451">
      <c r="A2451" s="4">
        <v>13.0</v>
      </c>
      <c r="B2451" s="4" t="s">
        <v>8035</v>
      </c>
      <c r="C2451" s="4"/>
      <c r="D2451" s="4" t="s">
        <v>5787</v>
      </c>
      <c r="E2451" s="4" t="s">
        <v>5788</v>
      </c>
      <c r="F2451" s="4" t="s">
        <v>5789</v>
      </c>
      <c r="G2451" s="5" t="str">
        <f>IFERROR(__xludf.DUMMYFUNCTION("GOOGLETRANSLATE(D2451,""en"",""es"")"),"alec")</f>
        <v>alec</v>
      </c>
    </row>
    <row r="2452">
      <c r="A2452" s="4">
        <v>14.0</v>
      </c>
      <c r="B2452" s="4" t="s">
        <v>8035</v>
      </c>
      <c r="C2452" s="4"/>
      <c r="D2452" s="4" t="s">
        <v>5790</v>
      </c>
      <c r="E2452" s="4" t="s">
        <v>5791</v>
      </c>
      <c r="F2452" s="4" t="s">
        <v>5792</v>
      </c>
      <c r="G2452" s="5" t="str">
        <f>IFERROR(__xludf.DUMMYFUNCTION("GOOGLETRANSLATE(D2452,""en"",""es"")"),"alemánico")</f>
        <v>alemánico</v>
      </c>
    </row>
    <row r="2453">
      <c r="A2453" s="4">
        <v>15.0</v>
      </c>
      <c r="B2453" s="4" t="s">
        <v>8035</v>
      </c>
      <c r="C2453" s="4"/>
      <c r="D2453" s="4" t="s">
        <v>5793</v>
      </c>
      <c r="E2453" s="4" t="s">
        <v>5794</v>
      </c>
      <c r="F2453" s="4" t="s">
        <v>5793</v>
      </c>
      <c r="G2453" s="5" t="str">
        <f>IFERROR(__xludf.DUMMYFUNCTION("GOOGLETRANSLATE(D2453,""en"",""es"")"),"ali")</f>
        <v>ali</v>
      </c>
      <c r="H2453" s="4" t="s">
        <v>5795</v>
      </c>
      <c r="I2453" s="4" t="s">
        <v>5796</v>
      </c>
      <c r="J2453" s="4" t="s">
        <v>5797</v>
      </c>
      <c r="K2453" s="4" t="s">
        <v>5798</v>
      </c>
      <c r="L2453" s="4" t="s">
        <v>5795</v>
      </c>
    </row>
    <row r="2454">
      <c r="A2454" s="4">
        <v>16.0</v>
      </c>
      <c r="B2454" s="4" t="s">
        <v>8035</v>
      </c>
      <c r="C2454" s="4"/>
      <c r="D2454" s="4" t="s">
        <v>5802</v>
      </c>
      <c r="E2454" s="4" t="s">
        <v>5794</v>
      </c>
      <c r="F2454" s="4" t="s">
        <v>5793</v>
      </c>
      <c r="G2454" s="5" t="str">
        <f>IFERROR(__xludf.DUMMYFUNCTION("GOOGLETRANSLATE(D2454,""en"",""es"")"),"callejón")</f>
        <v>callejón</v>
      </c>
      <c r="H2454" s="4" t="s">
        <v>5802</v>
      </c>
      <c r="I2454" s="4" t="s">
        <v>5803</v>
      </c>
      <c r="J2454" s="4" t="s">
        <v>5804</v>
      </c>
      <c r="K2454" s="4" t="s">
        <v>5805</v>
      </c>
      <c r="L2454" s="4" t="s">
        <v>5802</v>
      </c>
      <c r="M2454" s="4" t="s">
        <v>5806</v>
      </c>
    </row>
    <row r="2455">
      <c r="A2455" s="4">
        <v>17.0</v>
      </c>
      <c r="B2455" s="4" t="s">
        <v>8035</v>
      </c>
      <c r="C2455" s="4"/>
      <c r="D2455" s="4" t="s">
        <v>5816</v>
      </c>
      <c r="E2455" s="4" t="s">
        <v>5794</v>
      </c>
      <c r="F2455" s="4" t="s">
        <v>5793</v>
      </c>
      <c r="G2455" s="5" t="str">
        <f>IFERROR(__xludf.DUMMYFUNCTION("GOOGLETRANSLATE(D2455,""en"",""es"")"),"aliado")</f>
        <v>aliado</v>
      </c>
      <c r="H2455" s="4" t="s">
        <v>5816</v>
      </c>
      <c r="I2455" s="4" t="s">
        <v>5816</v>
      </c>
      <c r="J2455" s="4" t="s">
        <v>602</v>
      </c>
      <c r="K2455" s="4" t="s">
        <v>5816</v>
      </c>
    </row>
    <row r="2456">
      <c r="A2456" s="4">
        <v>18.0</v>
      </c>
      <c r="B2456" s="4" t="s">
        <v>8035</v>
      </c>
      <c r="C2456" s="4"/>
      <c r="D2456" s="4" t="s">
        <v>5817</v>
      </c>
      <c r="E2456" s="4" t="s">
        <v>5818</v>
      </c>
      <c r="F2456" s="4" t="s">
        <v>5819</v>
      </c>
      <c r="G2456" s="5" t="str">
        <f>IFERROR(__xludf.DUMMYFUNCTION("GOOGLETRANSLATE(D2456,""en"",""es"")"),"alílico")</f>
        <v>alílico</v>
      </c>
      <c r="H2456" s="4" t="s">
        <v>5817</v>
      </c>
      <c r="I2456" s="4" t="s">
        <v>5820</v>
      </c>
      <c r="J2456" s="4" t="s">
        <v>5821</v>
      </c>
    </row>
    <row r="2457">
      <c r="A2457" s="4">
        <v>19.0</v>
      </c>
      <c r="B2457" s="4" t="s">
        <v>8035</v>
      </c>
      <c r="C2457" s="4"/>
      <c r="D2457" s="4" t="s">
        <v>8040</v>
      </c>
      <c r="E2457" s="4" t="s">
        <v>8041</v>
      </c>
      <c r="F2457" s="4" t="s">
        <v>8040</v>
      </c>
      <c r="G2457" s="5" t="str">
        <f>IFERROR(__xludf.DUMMYFUNCTION("GOOGLETRANSLATE(D2457,""en"",""es"")"),"amati")</f>
        <v>amati</v>
      </c>
      <c r="H2457" s="4" t="s">
        <v>8042</v>
      </c>
      <c r="I2457" s="4" t="s">
        <v>8043</v>
      </c>
      <c r="J2457" s="4" t="s">
        <v>8044</v>
      </c>
      <c r="K2457" s="4" t="s">
        <v>8042</v>
      </c>
    </row>
    <row r="2458">
      <c r="A2458" s="4">
        <v>20.0</v>
      </c>
      <c r="B2458" s="4" t="s">
        <v>8035</v>
      </c>
      <c r="C2458" s="4"/>
      <c r="D2458" s="4" t="s">
        <v>5823</v>
      </c>
      <c r="E2458" s="4" t="s">
        <v>5824</v>
      </c>
      <c r="F2458" s="4" t="s">
        <v>5823</v>
      </c>
      <c r="G2458" s="5" t="str">
        <f>IFERROR(__xludf.DUMMYFUNCTION("GOOGLETRANSLATE(D2458,""en"",""es"")"),"amish")</f>
        <v>amish</v>
      </c>
      <c r="H2458" s="4" t="s">
        <v>5825</v>
      </c>
    </row>
    <row r="2459">
      <c r="A2459" s="4">
        <v>21.0</v>
      </c>
      <c r="B2459" s="4" t="s">
        <v>8035</v>
      </c>
      <c r="C2459" s="4"/>
      <c r="D2459" s="4" t="s">
        <v>8045</v>
      </c>
      <c r="E2459" s="4" t="s">
        <v>8046</v>
      </c>
      <c r="F2459" s="4" t="s">
        <v>8047</v>
      </c>
      <c r="G2459" s="5" t="str">
        <f>IFERROR(__xludf.DUMMYFUNCTION("GOOGLETRANSLATE(D2459,""en"",""es"")"),"amistad")</f>
        <v>amistad</v>
      </c>
      <c r="H2459" s="4" t="s">
        <v>8045</v>
      </c>
      <c r="I2459" s="4" t="s">
        <v>8048</v>
      </c>
      <c r="J2459" s="4" t="s">
        <v>8045</v>
      </c>
    </row>
    <row r="2460">
      <c r="A2460" s="4">
        <v>22.0</v>
      </c>
      <c r="B2460" s="4" t="s">
        <v>8035</v>
      </c>
      <c r="C2460" s="4"/>
      <c r="D2460" s="4" t="s">
        <v>594</v>
      </c>
      <c r="E2460" s="4" t="s">
        <v>5829</v>
      </c>
      <c r="F2460" s="4" t="s">
        <v>594</v>
      </c>
      <c r="G2460" s="5" t="str">
        <f>IFERROR(__xludf.DUMMYFUNCTION("GOOGLETRANSLATE(D2460,""en"",""es"")"),"un")</f>
        <v>un</v>
      </c>
      <c r="H2460" s="4" t="s">
        <v>5830</v>
      </c>
      <c r="I2460" s="4" t="s">
        <v>5831</v>
      </c>
    </row>
    <row r="2461">
      <c r="A2461" s="4">
        <v>23.0</v>
      </c>
      <c r="B2461" s="4" t="s">
        <v>8035</v>
      </c>
      <c r="C2461" s="4"/>
      <c r="D2461" s="4" t="s">
        <v>5832</v>
      </c>
      <c r="E2461" s="4" t="s">
        <v>5829</v>
      </c>
      <c r="F2461" s="4" t="s">
        <v>594</v>
      </c>
      <c r="G2461" s="5" t="str">
        <f>IFERROR(__xludf.DUMMYFUNCTION("GOOGLETRANSLATE(D2461,""en"",""es"")"),"un'")</f>
        <v>un'</v>
      </c>
    </row>
    <row r="2462">
      <c r="A2462" s="4">
        <v>24.0</v>
      </c>
      <c r="B2462" s="4" t="s">
        <v>8035</v>
      </c>
      <c r="C2462" s="4"/>
      <c r="D2462" s="4" t="s">
        <v>5833</v>
      </c>
      <c r="E2462" s="4" t="s">
        <v>5834</v>
      </c>
      <c r="F2462" s="4" t="s">
        <v>5835</v>
      </c>
      <c r="G2462" s="5" t="str">
        <f>IFERROR(__xludf.DUMMYFUNCTION("GOOGLETRANSLATE(D2462,""en"",""es"")"),"animático")</f>
        <v>animático</v>
      </c>
    </row>
    <row r="2463">
      <c r="A2463" s="4">
        <v>25.0</v>
      </c>
      <c r="B2463" s="4" t="s">
        <v>8035</v>
      </c>
      <c r="C2463" s="4"/>
      <c r="D2463" s="4" t="s">
        <v>5836</v>
      </c>
      <c r="E2463" s="4" t="s">
        <v>5837</v>
      </c>
      <c r="F2463" s="4" t="s">
        <v>5836</v>
      </c>
      <c r="G2463" s="5" t="str">
        <f>IFERROR(__xludf.DUMMYFUNCTION("GOOGLETRANSLATE(D2463,""en"",""es"")"),"animu")</f>
        <v>animu</v>
      </c>
    </row>
    <row r="2464">
      <c r="A2464" s="4">
        <v>26.0</v>
      </c>
      <c r="B2464" s="4" t="s">
        <v>8035</v>
      </c>
      <c r="C2464" s="4"/>
      <c r="D2464" s="4" t="s">
        <v>748</v>
      </c>
      <c r="E2464" s="4" t="s">
        <v>8049</v>
      </c>
      <c r="F2464" s="4" t="s">
        <v>747</v>
      </c>
      <c r="G2464" s="5" t="str">
        <f>IFERROR(__xludf.DUMMYFUNCTION("GOOGLETRANSLATE(D2464,""en"",""es"")"),"anís")</f>
        <v>anís</v>
      </c>
      <c r="H2464" s="4" t="s">
        <v>748</v>
      </c>
      <c r="I2464" s="4" t="s">
        <v>753</v>
      </c>
      <c r="J2464" s="4" t="s">
        <v>754</v>
      </c>
      <c r="K2464" s="4" t="s">
        <v>748</v>
      </c>
      <c r="L2464" s="4" t="s">
        <v>749</v>
      </c>
      <c r="M2464" s="4" t="s">
        <v>750</v>
      </c>
    </row>
    <row r="2465">
      <c r="A2465" s="4">
        <v>27.0</v>
      </c>
      <c r="B2465" s="4" t="s">
        <v>8035</v>
      </c>
      <c r="C2465" s="4"/>
      <c r="D2465" s="4" t="s">
        <v>748</v>
      </c>
      <c r="E2465" s="4" t="s">
        <v>5838</v>
      </c>
      <c r="F2465" s="4" t="s">
        <v>747</v>
      </c>
      <c r="G2465" s="5" t="str">
        <f>IFERROR(__xludf.DUMMYFUNCTION("GOOGLETRANSLATE(D2465,""en"",""es"")"),"anís")</f>
        <v>anís</v>
      </c>
      <c r="H2465" s="4" t="s">
        <v>748</v>
      </c>
      <c r="I2465" s="4" t="s">
        <v>753</v>
      </c>
      <c r="J2465" s="4" t="s">
        <v>754</v>
      </c>
      <c r="K2465" s="4" t="s">
        <v>748</v>
      </c>
      <c r="L2465" s="4" t="s">
        <v>749</v>
      </c>
      <c r="M2465" s="4" t="s">
        <v>750</v>
      </c>
    </row>
    <row r="2466">
      <c r="A2466" s="4">
        <v>28.0</v>
      </c>
      <c r="B2466" s="4" t="s">
        <v>8035</v>
      </c>
      <c r="C2466" s="4"/>
      <c r="D2466" s="4" t="s">
        <v>5839</v>
      </c>
      <c r="E2466" s="4" t="s">
        <v>5829</v>
      </c>
      <c r="F2466" s="4" t="s">
        <v>594</v>
      </c>
      <c r="G2466" s="5" t="str">
        <f>IFERROR(__xludf.DUMMYFUNCTION("GOOGLETRANSLATE(D2466,""en"",""es"")"),"Ana")</f>
        <v>Ana</v>
      </c>
    </row>
    <row r="2467">
      <c r="A2467" s="4">
        <v>29.0</v>
      </c>
      <c r="B2467" s="4" t="s">
        <v>8035</v>
      </c>
      <c r="C2467" s="4"/>
      <c r="D2467" s="4" t="s">
        <v>5840</v>
      </c>
      <c r="E2467" s="4" t="s">
        <v>5829</v>
      </c>
      <c r="F2467" s="4" t="s">
        <v>594</v>
      </c>
      <c r="G2467" s="5" t="str">
        <f>IFERROR(__xludf.DUMMYFUNCTION("GOOGLETRANSLATE(D2467,""en"",""es"")"),"Ana")</f>
        <v>Ana</v>
      </c>
      <c r="H2467" s="4" t="s">
        <v>5841</v>
      </c>
    </row>
    <row r="2468">
      <c r="A2468" s="4">
        <v>30.0</v>
      </c>
      <c r="B2468" s="4" t="s">
        <v>8035</v>
      </c>
      <c r="C2468" s="4"/>
      <c r="D2468" s="4" t="s">
        <v>8050</v>
      </c>
      <c r="E2468" s="4" t="s">
        <v>5845</v>
      </c>
      <c r="F2468" s="4" t="s">
        <v>744</v>
      </c>
      <c r="G2468" s="5" t="str">
        <f>IFERROR(__xludf.DUMMYFUNCTION("GOOGLETRANSLATE(D2468,""en"",""es"")"),"Annie")</f>
        <v>Annie</v>
      </c>
    </row>
    <row r="2469">
      <c r="A2469" s="4">
        <v>31.0</v>
      </c>
      <c r="B2469" s="4" t="s">
        <v>8035</v>
      </c>
      <c r="C2469" s="4"/>
      <c r="D2469" s="4" t="s">
        <v>5842</v>
      </c>
      <c r="E2469" s="4" t="s">
        <v>5843</v>
      </c>
      <c r="F2469" s="4" t="s">
        <v>5844</v>
      </c>
      <c r="G2469" s="5" t="str">
        <f>IFERROR(__xludf.DUMMYFUNCTION("GOOGLETRANSLATE(D2469,""en"",""es"")"),"anular")</f>
        <v>anular</v>
      </c>
    </row>
    <row r="2470">
      <c r="A2470" s="4">
        <v>32.0</v>
      </c>
      <c r="B2470" s="4" t="s">
        <v>8035</v>
      </c>
      <c r="C2470" s="4"/>
      <c r="D2470" s="4" t="s">
        <v>733</v>
      </c>
      <c r="E2470" s="4" t="s">
        <v>6367</v>
      </c>
      <c r="F2470" s="4" t="s">
        <v>6368</v>
      </c>
      <c r="G2470" s="5" t="str">
        <f>IFERROR(__xludf.DUMMYFUNCTION("GOOGLETRANSLATE(D2470,""en"",""es"")"),"ningún")</f>
        <v>ningún</v>
      </c>
      <c r="H2470" s="4" t="s">
        <v>733</v>
      </c>
      <c r="I2470" s="4" t="s">
        <v>5846</v>
      </c>
      <c r="J2470" s="4" t="s">
        <v>5847</v>
      </c>
      <c r="K2470" s="4" t="s">
        <v>733</v>
      </c>
    </row>
    <row r="2471">
      <c r="A2471" s="4">
        <v>33.0</v>
      </c>
      <c r="B2471" s="4" t="s">
        <v>8035</v>
      </c>
      <c r="C2471" s="4"/>
      <c r="D2471" s="4" t="s">
        <v>784</v>
      </c>
      <c r="E2471" s="4" t="s">
        <v>5848</v>
      </c>
      <c r="F2471" s="4" t="s">
        <v>475</v>
      </c>
      <c r="G2471" s="5" t="str">
        <f>IFERROR(__xludf.DUMMYFUNCTION("GOOGLETRANSLATE(D2471,""en"",""es"")"),"aplicación")</f>
        <v>aplicación</v>
      </c>
    </row>
    <row r="2472">
      <c r="A2472" s="4">
        <v>34.0</v>
      </c>
      <c r="B2472" s="4" t="s">
        <v>8035</v>
      </c>
      <c r="C2472" s="4"/>
      <c r="D2472" s="4" t="s">
        <v>5849</v>
      </c>
      <c r="E2472" s="4" t="s">
        <v>5850</v>
      </c>
      <c r="F2472" s="4" t="s">
        <v>757</v>
      </c>
      <c r="G2472" s="5" t="str">
        <f>IFERROR(__xludf.DUMMYFUNCTION("GOOGLETRANSLATE(D2472,""en"",""es"")"),"colocar")</f>
        <v>colocar</v>
      </c>
    </row>
    <row r="2473">
      <c r="A2473" s="4">
        <v>35.0</v>
      </c>
      <c r="B2473" s="4" t="s">
        <v>8035</v>
      </c>
      <c r="C2473" s="4"/>
      <c r="D2473" s="4" t="s">
        <v>295</v>
      </c>
      <c r="E2473" s="4" t="s">
        <v>5851</v>
      </c>
      <c r="F2473" s="4" t="s">
        <v>295</v>
      </c>
      <c r="G2473" s="5" t="str">
        <f>IFERROR(__xludf.DUMMYFUNCTION("GOOGLETRANSLATE(D2473,""en"",""es"")"),"como")</f>
        <v>como</v>
      </c>
      <c r="H2473" s="4" t="s">
        <v>5852</v>
      </c>
      <c r="I2473" s="4" t="s">
        <v>5853</v>
      </c>
      <c r="J2473" s="4" t="s">
        <v>5854</v>
      </c>
      <c r="K2473" s="4" t="s">
        <v>5855</v>
      </c>
      <c r="L2473" s="4" t="s">
        <v>5856</v>
      </c>
      <c r="M2473" s="4" t="s">
        <v>5857</v>
      </c>
      <c r="N2473" s="4" t="s">
        <v>5858</v>
      </c>
      <c r="O2473" s="4" t="s">
        <v>5859</v>
      </c>
      <c r="P2473" s="4" t="s">
        <v>5860</v>
      </c>
      <c r="Q2473" s="4" t="s">
        <v>5861</v>
      </c>
      <c r="R2473" s="4" t="s">
        <v>5862</v>
      </c>
      <c r="S2473" s="4" t="s">
        <v>5863</v>
      </c>
      <c r="T2473" s="4" t="s">
        <v>5860</v>
      </c>
      <c r="U2473" s="4" t="s">
        <v>5864</v>
      </c>
      <c r="V2473" s="4" t="s">
        <v>5860</v>
      </c>
      <c r="W2473" s="4" t="s">
        <v>5865</v>
      </c>
      <c r="X2473" s="4" t="s">
        <v>5860</v>
      </c>
      <c r="Y2473" s="4" t="s">
        <v>5866</v>
      </c>
      <c r="Z2473" s="4" t="s">
        <v>5867</v>
      </c>
      <c r="AA2473" s="4" t="s">
        <v>5860</v>
      </c>
      <c r="AB2473" s="4" t="s">
        <v>5860</v>
      </c>
      <c r="AC2473" s="4" t="s">
        <v>5868</v>
      </c>
      <c r="AD2473" s="4" t="s">
        <v>5860</v>
      </c>
      <c r="AE2473" s="4" t="s">
        <v>5869</v>
      </c>
      <c r="AF2473" s="4" t="s">
        <v>5870</v>
      </c>
      <c r="AG2473" s="4" t="s">
        <v>5871</v>
      </c>
      <c r="AH2473" s="4" t="s">
        <v>295</v>
      </c>
      <c r="AI2473" s="4" t="s">
        <v>5872</v>
      </c>
    </row>
    <row r="2474">
      <c r="A2474" s="4">
        <v>36.0</v>
      </c>
      <c r="B2474" s="4" t="s">
        <v>8035</v>
      </c>
      <c r="C2474" s="4"/>
      <c r="D2474" s="4" t="s">
        <v>5873</v>
      </c>
      <c r="E2474" s="4" t="s">
        <v>5874</v>
      </c>
      <c r="F2474" s="4" t="s">
        <v>5875</v>
      </c>
      <c r="G2474" s="5" t="str">
        <f>IFERROR(__xludf.DUMMYFUNCTION("GOOGLETRANSLATE(D2474,""en"",""es"")"),"Asenath")</f>
        <v>Asenath</v>
      </c>
    </row>
    <row r="2475">
      <c r="A2475" s="4">
        <v>37.0</v>
      </c>
      <c r="B2475" s="4" t="s">
        <v>8035</v>
      </c>
      <c r="C2475" s="4"/>
      <c r="D2475" s="4" t="s">
        <v>5876</v>
      </c>
      <c r="E2475" s="4" t="s">
        <v>5877</v>
      </c>
      <c r="F2475" s="4" t="s">
        <v>5876</v>
      </c>
      <c r="G2475" s="5" t="str">
        <f>IFERROR(__xludf.DUMMYFUNCTION("GOOGLETRANSLATE(D2475,""en"",""es"")"),"ceniza")</f>
        <v>ceniza</v>
      </c>
      <c r="H2475" s="4" t="s">
        <v>5876</v>
      </c>
      <c r="I2475" s="4" t="s">
        <v>5876</v>
      </c>
      <c r="J2475" s="4" t="s">
        <v>5878</v>
      </c>
      <c r="K2475" s="4" t="s">
        <v>5876</v>
      </c>
      <c r="L2475" s="4" t="s">
        <v>5876</v>
      </c>
    </row>
    <row r="2476">
      <c r="A2476" s="4">
        <v>38.0</v>
      </c>
      <c r="B2476" s="4" t="s">
        <v>8035</v>
      </c>
      <c r="C2476" s="4"/>
      <c r="D2476" s="4" t="s">
        <v>5879</v>
      </c>
      <c r="E2476" s="4" t="s">
        <v>5880</v>
      </c>
      <c r="F2476" s="4" t="s">
        <v>5881</v>
      </c>
      <c r="G2476" s="5" t="str">
        <f>IFERROR(__xludf.DUMMYFUNCTION("GOOGLETRANSLATE(D2476,""en"",""es"")"),"pálido")</f>
        <v>pálido</v>
      </c>
      <c r="H2476" s="4" t="s">
        <v>5879</v>
      </c>
      <c r="I2476" s="4" t="s">
        <v>5882</v>
      </c>
      <c r="J2476" s="4" t="s">
        <v>5883</v>
      </c>
      <c r="K2476" s="4" t="s">
        <v>5884</v>
      </c>
      <c r="L2476" s="4" t="s">
        <v>5885</v>
      </c>
      <c r="M2476" s="4" t="s">
        <v>5879</v>
      </c>
    </row>
    <row r="2477">
      <c r="A2477" s="4">
        <v>39.0</v>
      </c>
      <c r="B2477" s="4" t="s">
        <v>8035</v>
      </c>
      <c r="C2477" s="4"/>
      <c r="D2477" s="4" t="s">
        <v>5886</v>
      </c>
      <c r="E2477" s="4" t="s">
        <v>5887</v>
      </c>
      <c r="F2477" s="4" t="s">
        <v>5888</v>
      </c>
      <c r="G2477" s="5" t="str">
        <f>IFERROR(__xludf.DUMMYFUNCTION("GOOGLETRANSLATE(D2477,""en"",""es"")"),"ceniciento")</f>
        <v>ceniciento</v>
      </c>
      <c r="H2477" s="4" t="s">
        <v>5889</v>
      </c>
      <c r="I2477" s="4" t="s">
        <v>5890</v>
      </c>
      <c r="J2477" s="4" t="s">
        <v>5886</v>
      </c>
    </row>
    <row r="2478">
      <c r="A2478" s="4">
        <v>40.0</v>
      </c>
      <c r="B2478" s="4" t="s">
        <v>8035</v>
      </c>
      <c r="C2478" s="4"/>
      <c r="D2478" s="4" t="s">
        <v>1627</v>
      </c>
      <c r="E2478" s="4" t="s">
        <v>5851</v>
      </c>
      <c r="F2478" s="4" t="s">
        <v>295</v>
      </c>
      <c r="G2478" s="5" t="str">
        <f>IFERROR(__xludf.DUMMYFUNCTION("GOOGLETRANSLATE(D2478,""en"",""es"")"),"culo")</f>
        <v>culo</v>
      </c>
      <c r="H2478" s="4" t="s">
        <v>1602</v>
      </c>
      <c r="I2478" s="4" t="s">
        <v>1603</v>
      </c>
      <c r="J2478" s="4" t="s">
        <v>1604</v>
      </c>
      <c r="K2478" s="4" t="s">
        <v>1605</v>
      </c>
      <c r="L2478" s="4" t="s">
        <v>1606</v>
      </c>
      <c r="M2478" s="4" t="s">
        <v>1147</v>
      </c>
      <c r="N2478" s="4" t="s">
        <v>1607</v>
      </c>
      <c r="O2478" s="4" t="s">
        <v>1120</v>
      </c>
      <c r="P2478" s="4" t="s">
        <v>1608</v>
      </c>
      <c r="Q2478" s="4" t="s">
        <v>1609</v>
      </c>
      <c r="R2478" s="4" t="s">
        <v>1610</v>
      </c>
      <c r="S2478" s="4" t="s">
        <v>1611</v>
      </c>
      <c r="T2478" s="4" t="s">
        <v>1612</v>
      </c>
      <c r="U2478" s="4" t="s">
        <v>1613</v>
      </c>
      <c r="V2478" s="4" t="s">
        <v>1614</v>
      </c>
      <c r="W2478" s="4" t="s">
        <v>1615</v>
      </c>
      <c r="X2478" s="4" t="s">
        <v>1616</v>
      </c>
      <c r="Y2478" s="4" t="s">
        <v>1617</v>
      </c>
      <c r="Z2478" s="4" t="s">
        <v>1618</v>
      </c>
      <c r="AA2478" s="4" t="s">
        <v>1619</v>
      </c>
      <c r="AB2478" s="4" t="s">
        <v>1620</v>
      </c>
      <c r="AC2478" s="4" t="s">
        <v>1621</v>
      </c>
      <c r="AD2478" s="4" t="s">
        <v>1622</v>
      </c>
      <c r="AE2478" s="4" t="s">
        <v>1623</v>
      </c>
      <c r="AF2478" s="4" t="s">
        <v>1624</v>
      </c>
      <c r="AG2478" s="4" t="s">
        <v>1625</v>
      </c>
      <c r="AH2478" s="4" t="s">
        <v>1626</v>
      </c>
      <c r="AI2478" s="4" t="s">
        <v>1627</v>
      </c>
      <c r="AJ2478" s="4" t="s">
        <v>1627</v>
      </c>
      <c r="AK2478" s="4" t="s">
        <v>1627</v>
      </c>
      <c r="AL2478" s="4" t="s">
        <v>5891</v>
      </c>
      <c r="AM2478" s="4" t="s">
        <v>5892</v>
      </c>
      <c r="AN2478" s="4" t="s">
        <v>5893</v>
      </c>
      <c r="AO2478" s="4" t="s">
        <v>5894</v>
      </c>
      <c r="AP2478" s="4" t="s">
        <v>1627</v>
      </c>
      <c r="AQ2478" s="4" t="s">
        <v>5895</v>
      </c>
      <c r="AR2478" s="4" t="s">
        <v>5896</v>
      </c>
      <c r="AS2478" s="4" t="s">
        <v>5897</v>
      </c>
      <c r="AT2478" s="4" t="s">
        <v>5898</v>
      </c>
      <c r="AU2478" s="4" t="s">
        <v>5899</v>
      </c>
      <c r="AV2478" s="4" t="s">
        <v>5900</v>
      </c>
      <c r="AW2478" s="4" t="s">
        <v>5901</v>
      </c>
      <c r="AX2478" s="4" t="s">
        <v>5852</v>
      </c>
      <c r="AY2478" s="4" t="s">
        <v>5853</v>
      </c>
      <c r="AZ2478" s="4" t="s">
        <v>5854</v>
      </c>
      <c r="BA2478" s="4" t="s">
        <v>5855</v>
      </c>
      <c r="BB2478" s="4" t="s">
        <v>5856</v>
      </c>
      <c r="BC2478" s="4" t="s">
        <v>5857</v>
      </c>
    </row>
    <row r="2479">
      <c r="A2479" s="4">
        <v>41.0</v>
      </c>
      <c r="B2479" s="4" t="s">
        <v>8035</v>
      </c>
      <c r="C2479" s="4"/>
      <c r="D2479" s="4" t="s">
        <v>5902</v>
      </c>
      <c r="E2479" s="4" t="s">
        <v>5903</v>
      </c>
      <c r="F2479" s="4" t="s">
        <v>5904</v>
      </c>
      <c r="G2479" s="5" t="str">
        <f>IFERROR(__xludf.DUMMYFUNCTION("GOOGLETRANSLATE(D2479,""en"",""es"")"),"asalto")</f>
        <v>asalto</v>
      </c>
      <c r="H2479" s="4" t="s">
        <v>5905</v>
      </c>
    </row>
    <row r="2480">
      <c r="A2480" s="4">
        <v>42.0</v>
      </c>
      <c r="B2480" s="4" t="s">
        <v>8035</v>
      </c>
      <c r="C2480" s="4"/>
      <c r="D2480" s="4" t="s">
        <v>5906</v>
      </c>
      <c r="E2480" s="4" t="s">
        <v>5851</v>
      </c>
      <c r="F2480" s="4" t="s">
        <v>295</v>
      </c>
      <c r="G2480" s="5" t="str">
        <f>IFERROR(__xludf.DUMMYFUNCTION("GOOGLETRANSLATE(D2480,""en"",""es"")"),"ASSE")</f>
        <v>ASSE</v>
      </c>
    </row>
    <row r="2481">
      <c r="A2481" s="4">
        <v>43.0</v>
      </c>
      <c r="B2481" s="4" t="s">
        <v>8035</v>
      </c>
      <c r="C2481" s="4"/>
      <c r="D2481" s="4" t="s">
        <v>5907</v>
      </c>
      <c r="E2481" s="4" t="s">
        <v>5908</v>
      </c>
      <c r="F2481" s="4" t="s">
        <v>5909</v>
      </c>
      <c r="G2481" s="5" t="str">
        <f>IFERROR(__xludf.DUMMYFUNCTION("GOOGLETRANSLATE(D2481,""en"",""es"")"),"atormentar")</f>
        <v>atormentar</v>
      </c>
    </row>
    <row r="2482">
      <c r="A2482" s="4">
        <v>44.0</v>
      </c>
      <c r="B2482" s="4" t="s">
        <v>8035</v>
      </c>
      <c r="C2482" s="4"/>
      <c r="D2482" s="4" t="s">
        <v>5910</v>
      </c>
      <c r="E2482" s="4" t="s">
        <v>5911</v>
      </c>
      <c r="F2482" s="4" t="s">
        <v>5912</v>
      </c>
      <c r="G2482" s="5" t="str">
        <f>IFERROR(__xludf.DUMMYFUNCTION("GOOGLETRANSLATE(D2482,""en"",""es"")"),"atimy")</f>
        <v>atimy</v>
      </c>
    </row>
    <row r="2483">
      <c r="A2483" s="4">
        <v>45.0</v>
      </c>
      <c r="B2483" s="4" t="s">
        <v>8035</v>
      </c>
      <c r="C2483" s="4"/>
      <c r="D2483" s="4" t="s">
        <v>8051</v>
      </c>
      <c r="E2483" s="4" t="s">
        <v>8052</v>
      </c>
      <c r="F2483" s="4" t="s">
        <v>8053</v>
      </c>
      <c r="G2483" s="5" t="str">
        <f>IFERROR(__xludf.DUMMYFUNCTION("GOOGLETRANSLATE(D2483,""en"",""es"")"),"atolón")</f>
        <v>atolón</v>
      </c>
      <c r="H2483" s="4" t="s">
        <v>8051</v>
      </c>
    </row>
    <row r="2484">
      <c r="A2484" s="4">
        <v>46.0</v>
      </c>
      <c r="B2484" s="4" t="s">
        <v>8035</v>
      </c>
      <c r="C2484" s="4"/>
      <c r="D2484" s="4" t="s">
        <v>8054</v>
      </c>
      <c r="E2484" s="4" t="s">
        <v>8055</v>
      </c>
      <c r="F2484" s="4" t="s">
        <v>8056</v>
      </c>
      <c r="G2484" s="5" t="str">
        <f>IFERROR(__xludf.DUMMYFUNCTION("GOOGLETRANSLATE(D2484,""en"",""es"")"),"ATTAP")</f>
        <v>ATTAP</v>
      </c>
    </row>
    <row r="2485">
      <c r="A2485" s="4">
        <v>47.0</v>
      </c>
      <c r="B2485" s="4" t="s">
        <v>8035</v>
      </c>
      <c r="C2485" s="4"/>
      <c r="D2485" s="4" t="s">
        <v>5913</v>
      </c>
      <c r="E2485" s="4" t="s">
        <v>5914</v>
      </c>
      <c r="F2485" s="4" t="s">
        <v>4769</v>
      </c>
      <c r="G2485" s="5" t="str">
        <f>IFERROR(__xludf.DUMMYFUNCTION("GOOGLETRANSLATE(D2485,""en"",""es"")"),"ático")</f>
        <v>ático</v>
      </c>
      <c r="H2485" s="4" t="s">
        <v>1473</v>
      </c>
      <c r="I2485" s="4" t="s">
        <v>5913</v>
      </c>
      <c r="J2485" s="4" t="s">
        <v>5915</v>
      </c>
      <c r="K2485" s="4" t="s">
        <v>4770</v>
      </c>
      <c r="L2485" s="4" t="s">
        <v>4771</v>
      </c>
      <c r="M2485" s="4" t="s">
        <v>4772</v>
      </c>
      <c r="N2485" s="4" t="s">
        <v>4773</v>
      </c>
      <c r="O2485" s="4" t="s">
        <v>5913</v>
      </c>
      <c r="P2485" s="4" t="s">
        <v>5916</v>
      </c>
      <c r="Q2485" s="4" t="s">
        <v>5917</v>
      </c>
      <c r="R2485" s="4" t="s">
        <v>5918</v>
      </c>
      <c r="S2485" s="4" t="s">
        <v>5919</v>
      </c>
      <c r="T2485" s="4" t="s">
        <v>5920</v>
      </c>
      <c r="U2485" s="4" t="s">
        <v>5913</v>
      </c>
      <c r="V2485" s="4" t="s">
        <v>4770</v>
      </c>
    </row>
    <row r="2486">
      <c r="A2486" s="4">
        <v>48.0</v>
      </c>
      <c r="B2486" s="4" t="s">
        <v>8035</v>
      </c>
      <c r="C2486" s="4"/>
      <c r="D2486" s="4" t="s">
        <v>8057</v>
      </c>
      <c r="E2486" s="4" t="s">
        <v>8058</v>
      </c>
      <c r="F2486" s="4" t="s">
        <v>502</v>
      </c>
      <c r="G2486" s="5" t="str">
        <f>IFERROR(__xludf.DUMMYFUNCTION("GOOGLETRANSLATE(D2486,""en"",""es"")"),"australiano")</f>
        <v>australiano</v>
      </c>
      <c r="H2486" s="4" t="s">
        <v>8059</v>
      </c>
      <c r="I2486" s="4" t="s">
        <v>8060</v>
      </c>
    </row>
    <row r="2487">
      <c r="A2487" s="4">
        <v>49.0</v>
      </c>
      <c r="B2487" s="4" t="s">
        <v>8035</v>
      </c>
      <c r="C2487" s="4"/>
      <c r="D2487" s="4" t="s">
        <v>8061</v>
      </c>
      <c r="E2487" s="4" t="s">
        <v>8062</v>
      </c>
      <c r="F2487" s="4" t="s">
        <v>8063</v>
      </c>
      <c r="G2487" s="5" t="str">
        <f>IFERROR(__xludf.DUMMYFUNCTION("GOOGLETRANSLATE(D2487,""en"",""es"")"),"autón")</f>
        <v>autón</v>
      </c>
    </row>
    <row r="2488">
      <c r="A2488" s="4">
        <v>50.0</v>
      </c>
      <c r="B2488" s="4" t="s">
        <v>8035</v>
      </c>
      <c r="C2488" s="4"/>
      <c r="D2488" s="4" t="s">
        <v>5921</v>
      </c>
      <c r="E2488" s="4" t="s">
        <v>5922</v>
      </c>
      <c r="F2488" s="4" t="s">
        <v>5921</v>
      </c>
      <c r="G2488" s="5" t="str">
        <f>IFERROR(__xludf.DUMMYFUNCTION("GOOGLETRANSLATE(D2488,""en"",""es"")"),"ayin")</f>
        <v>ayin</v>
      </c>
      <c r="H2488" s="4" t="s">
        <v>5921</v>
      </c>
    </row>
    <row r="2489">
      <c r="A2489" s="4">
        <v>51.0</v>
      </c>
      <c r="B2489" s="4" t="s">
        <v>8035</v>
      </c>
      <c r="C2489" s="4"/>
      <c r="D2489" s="4" t="s">
        <v>496</v>
      </c>
      <c r="E2489" s="4" t="s">
        <v>5923</v>
      </c>
      <c r="F2489" s="4" t="s">
        <v>5924</v>
      </c>
      <c r="G2489" s="5" t="str">
        <f>IFERROR(__xludf.DUMMYFUNCTION("GOOGLETRANSLATE(D2489,""en"",""es"")"),"cache")</f>
        <v>cache</v>
      </c>
      <c r="H2489" s="4" t="s">
        <v>496</v>
      </c>
      <c r="I2489" s="4" t="s">
        <v>494</v>
      </c>
      <c r="J2489" s="4" t="s">
        <v>496</v>
      </c>
      <c r="K2489" s="4" t="s">
        <v>495</v>
      </c>
      <c r="L2489" s="4" t="s">
        <v>496</v>
      </c>
      <c r="M2489" s="4" t="s">
        <v>5925</v>
      </c>
      <c r="N2489" s="4" t="s">
        <v>494</v>
      </c>
      <c r="O2489" s="4" t="s">
        <v>495</v>
      </c>
      <c r="P2489" s="4" t="s">
        <v>496</v>
      </c>
      <c r="Q2489" s="4" t="s">
        <v>497</v>
      </c>
      <c r="R2489" s="4" t="s">
        <v>498</v>
      </c>
      <c r="S2489" s="4" t="s">
        <v>499</v>
      </c>
    </row>
    <row r="2490">
      <c r="A2490" s="4">
        <v>52.0</v>
      </c>
      <c r="B2490" s="4" t="s">
        <v>8035</v>
      </c>
      <c r="C2490" s="4"/>
      <c r="D2490" s="4" t="s">
        <v>5926</v>
      </c>
      <c r="E2490" s="4" t="s">
        <v>5927</v>
      </c>
      <c r="F2490" s="4" t="s">
        <v>319</v>
      </c>
      <c r="G2490" s="5" t="str">
        <f>IFERROR(__xludf.DUMMYFUNCTION("GOOGLETRANSLATE(D2490,""en"",""es"")"),"caca")</f>
        <v>caca</v>
      </c>
    </row>
    <row r="2491">
      <c r="A2491" s="4">
        <v>53.0</v>
      </c>
      <c r="B2491" s="4" t="s">
        <v>8035</v>
      </c>
      <c r="C2491" s="4"/>
      <c r="D2491" s="4" t="s">
        <v>5928</v>
      </c>
      <c r="E2491" s="4" t="s">
        <v>5929</v>
      </c>
      <c r="F2491" s="4" t="s">
        <v>1122</v>
      </c>
      <c r="G2491" s="5" t="str">
        <f>IFERROR(__xludf.DUMMYFUNCTION("GOOGLETRANSLATE(D2491,""en"",""es"")"),"caen")</f>
        <v>caen</v>
      </c>
    </row>
    <row r="2492">
      <c r="A2492" s="4">
        <v>54.0</v>
      </c>
      <c r="B2492" s="4" t="s">
        <v>8035</v>
      </c>
      <c r="C2492" s="4"/>
      <c r="D2492" s="4" t="s">
        <v>973</v>
      </c>
      <c r="E2492" s="4" t="s">
        <v>5930</v>
      </c>
      <c r="F2492" s="4" t="s">
        <v>975</v>
      </c>
      <c r="G2492" s="5" t="str">
        <f>IFERROR(__xludf.DUMMYFUNCTION("GOOGLETRANSLATE(D2492,""en"",""es"")"),"California")</f>
        <v>California</v>
      </c>
    </row>
    <row r="2493">
      <c r="A2493" s="4">
        <v>55.0</v>
      </c>
      <c r="B2493" s="4" t="s">
        <v>8035</v>
      </c>
      <c r="C2493" s="4"/>
      <c r="D2493" s="4" t="s">
        <v>5931</v>
      </c>
      <c r="E2493" s="4" t="s">
        <v>5932</v>
      </c>
      <c r="F2493" s="4" t="s">
        <v>5148</v>
      </c>
      <c r="G2493" s="5" t="str">
        <f>IFERROR(__xludf.DUMMYFUNCTION("GOOGLETRANSLATE(D2493,""en"",""es"")"),"cali")</f>
        <v>cali</v>
      </c>
      <c r="H2493" s="4" t="s">
        <v>5933</v>
      </c>
    </row>
    <row r="2494">
      <c r="A2494" s="4">
        <v>56.0</v>
      </c>
      <c r="B2494" s="4" t="s">
        <v>8035</v>
      </c>
      <c r="C2494" s="4"/>
      <c r="D2494" s="4" t="s">
        <v>5934</v>
      </c>
      <c r="E2494" s="4" t="s">
        <v>5935</v>
      </c>
      <c r="F2494" s="4" t="s">
        <v>5936</v>
      </c>
      <c r="G2494" s="5" t="str">
        <f>IFERROR(__xludf.DUMMYFUNCTION("GOOGLETRANSLATE(D2494,""en"",""es"")"),"calipas")</f>
        <v>calipas</v>
      </c>
    </row>
    <row r="2495">
      <c r="A2495" s="4">
        <v>57.0</v>
      </c>
      <c r="B2495" s="4" t="s">
        <v>8035</v>
      </c>
      <c r="C2495" s="4"/>
      <c r="D2495" s="4" t="s">
        <v>1009</v>
      </c>
      <c r="E2495" s="4" t="s">
        <v>8064</v>
      </c>
      <c r="F2495" s="4" t="s">
        <v>975</v>
      </c>
      <c r="G2495" s="5" t="str">
        <f>IFERROR(__xludf.DUMMYFUNCTION("GOOGLETRANSLATE(D2495,""en"",""es"")"),"llamar")</f>
        <v>llamar</v>
      </c>
      <c r="H2495" s="4" t="s">
        <v>1009</v>
      </c>
      <c r="I2495" s="4" t="s">
        <v>8065</v>
      </c>
      <c r="J2495" s="4" t="s">
        <v>8066</v>
      </c>
      <c r="K2495" s="4" t="s">
        <v>8067</v>
      </c>
      <c r="L2495" s="4" t="s">
        <v>8068</v>
      </c>
      <c r="M2495" s="4" t="s">
        <v>8069</v>
      </c>
      <c r="N2495" s="4" t="s">
        <v>1009</v>
      </c>
      <c r="O2495" s="4" t="s">
        <v>8070</v>
      </c>
      <c r="P2495" s="4" t="s">
        <v>8071</v>
      </c>
      <c r="Q2495" s="4" t="s">
        <v>8072</v>
      </c>
      <c r="R2495" s="4" t="s">
        <v>1009</v>
      </c>
      <c r="S2495" s="4" t="s">
        <v>7935</v>
      </c>
      <c r="T2495" s="4" t="s">
        <v>8073</v>
      </c>
      <c r="U2495" s="4" t="s">
        <v>1009</v>
      </c>
      <c r="V2495" s="4" t="s">
        <v>8074</v>
      </c>
      <c r="W2495" s="4" t="s">
        <v>1183</v>
      </c>
      <c r="X2495" s="4" t="s">
        <v>1009</v>
      </c>
      <c r="Y2495" s="4" t="s">
        <v>8075</v>
      </c>
      <c r="Z2495" s="4" t="s">
        <v>1009</v>
      </c>
      <c r="AA2495" s="4" t="s">
        <v>1009</v>
      </c>
      <c r="AB2495" s="4" t="s">
        <v>1009</v>
      </c>
      <c r="AC2495" s="4" t="s">
        <v>1009</v>
      </c>
      <c r="AD2495" s="4" t="s">
        <v>1009</v>
      </c>
      <c r="AE2495" s="4" t="s">
        <v>1009</v>
      </c>
      <c r="AF2495" s="4" t="s">
        <v>8076</v>
      </c>
      <c r="AG2495" s="4" t="s">
        <v>1009</v>
      </c>
      <c r="AH2495" s="4" t="s">
        <v>1438</v>
      </c>
      <c r="AI2495" s="4" t="s">
        <v>1009</v>
      </c>
      <c r="AJ2495" s="4" t="s">
        <v>1009</v>
      </c>
      <c r="AK2495" s="4" t="s">
        <v>1009</v>
      </c>
      <c r="AL2495" s="4" t="s">
        <v>8077</v>
      </c>
      <c r="AM2495" s="4" t="s">
        <v>8078</v>
      </c>
      <c r="AN2495" s="4" t="s">
        <v>8079</v>
      </c>
      <c r="AO2495" s="4" t="s">
        <v>4080</v>
      </c>
      <c r="AP2495" s="4" t="s">
        <v>8071</v>
      </c>
      <c r="AQ2495" s="4" t="s">
        <v>8080</v>
      </c>
      <c r="AR2495" s="4" t="s">
        <v>8068</v>
      </c>
      <c r="AS2495" s="4" t="s">
        <v>1009</v>
      </c>
      <c r="AT2495" s="4" t="s">
        <v>8070</v>
      </c>
      <c r="AU2495" s="4" t="s">
        <v>8081</v>
      </c>
      <c r="AV2495" s="4" t="s">
        <v>8082</v>
      </c>
      <c r="AW2495" s="4" t="s">
        <v>8083</v>
      </c>
      <c r="AX2495" s="4" t="s">
        <v>8084</v>
      </c>
      <c r="AY2495" s="4" t="s">
        <v>1009</v>
      </c>
      <c r="AZ2495" s="4" t="s">
        <v>8085</v>
      </c>
      <c r="BA2495" s="4" t="s">
        <v>8086</v>
      </c>
      <c r="BB2495" s="4" t="s">
        <v>8087</v>
      </c>
      <c r="BC2495" s="4" t="s">
        <v>1009</v>
      </c>
      <c r="BD2495" s="4" t="s">
        <v>1009</v>
      </c>
      <c r="BE2495" s="4" t="s">
        <v>1009</v>
      </c>
      <c r="BF2495" s="4" t="s">
        <v>1009</v>
      </c>
      <c r="BG2495" s="4" t="s">
        <v>1009</v>
      </c>
      <c r="BH2495" s="4" t="s">
        <v>1009</v>
      </c>
      <c r="BI2495" s="4" t="s">
        <v>8088</v>
      </c>
      <c r="BJ2495" s="4" t="s">
        <v>1009</v>
      </c>
      <c r="BK2495" s="4" t="s">
        <v>1009</v>
      </c>
      <c r="BL2495" s="4" t="s">
        <v>1009</v>
      </c>
      <c r="BM2495" s="4" t="s">
        <v>8087</v>
      </c>
      <c r="BN2495" s="4" t="s">
        <v>8089</v>
      </c>
      <c r="BO2495" s="4" t="s">
        <v>1009</v>
      </c>
      <c r="BP2495" s="4" t="s">
        <v>1009</v>
      </c>
      <c r="BQ2495" s="4" t="s">
        <v>8090</v>
      </c>
      <c r="BR2495" s="4" t="s">
        <v>1009</v>
      </c>
      <c r="BS2495" s="4" t="s">
        <v>8091</v>
      </c>
      <c r="BT2495" s="4" t="s">
        <v>8092</v>
      </c>
      <c r="BU2495" s="4" t="s">
        <v>8093</v>
      </c>
      <c r="BV2495" s="4" t="s">
        <v>1009</v>
      </c>
      <c r="BW2495" s="4" t="s">
        <v>8094</v>
      </c>
      <c r="BX2495" s="4" t="s">
        <v>8095</v>
      </c>
      <c r="BY2495" s="4" t="s">
        <v>8096</v>
      </c>
      <c r="BZ2495" s="4" t="s">
        <v>1009</v>
      </c>
      <c r="CA2495" s="4" t="s">
        <v>1009</v>
      </c>
      <c r="CB2495" s="4" t="s">
        <v>1009</v>
      </c>
      <c r="CC2495" s="4" t="s">
        <v>1009</v>
      </c>
      <c r="CD2495" s="4" t="s">
        <v>1009</v>
      </c>
      <c r="CE2495" s="4" t="s">
        <v>1009</v>
      </c>
      <c r="CF2495" s="4" t="s">
        <v>1009</v>
      </c>
      <c r="CG2495" s="4" t="s">
        <v>1009</v>
      </c>
      <c r="CH2495" s="4" t="s">
        <v>1009</v>
      </c>
      <c r="CI2495" s="4" t="s">
        <v>1009</v>
      </c>
    </row>
    <row r="2496">
      <c r="A2496" s="4">
        <v>58.0</v>
      </c>
      <c r="B2496" s="4" t="s">
        <v>8035</v>
      </c>
      <c r="C2496" s="4"/>
      <c r="D2496" s="4" t="s">
        <v>5937</v>
      </c>
      <c r="E2496" s="4" t="s">
        <v>5935</v>
      </c>
      <c r="F2496" s="4" t="s">
        <v>5936</v>
      </c>
      <c r="G2496" s="5" t="str">
        <f>IFERROR(__xludf.DUMMYFUNCTION("GOOGLETRANSLATE(D2496,""en"",""es"")"),"callipash")</f>
        <v>callipash</v>
      </c>
    </row>
    <row r="2497">
      <c r="A2497" s="4">
        <v>59.0</v>
      </c>
      <c r="B2497" s="4" t="s">
        <v>8035</v>
      </c>
      <c r="C2497" s="4"/>
      <c r="D2497" s="4" t="s">
        <v>8097</v>
      </c>
      <c r="E2497" s="4" t="s">
        <v>8098</v>
      </c>
      <c r="F2497" s="4" t="s">
        <v>1039</v>
      </c>
      <c r="G2497" s="5" t="str">
        <f>IFERROR(__xludf.DUMMYFUNCTION("GOOGLETRANSLATE(D2497,""en"",""es"")"),"calma")</f>
        <v>calma</v>
      </c>
      <c r="H2497" s="4" t="s">
        <v>8099</v>
      </c>
      <c r="I2497" s="4" t="s">
        <v>8097</v>
      </c>
      <c r="J2497" s="4" t="s">
        <v>8100</v>
      </c>
      <c r="K2497" s="4" t="s">
        <v>8101</v>
      </c>
      <c r="L2497" s="4" t="s">
        <v>8102</v>
      </c>
      <c r="M2497" s="4" t="s">
        <v>8097</v>
      </c>
      <c r="N2497" s="4" t="s">
        <v>8097</v>
      </c>
      <c r="O2497" s="4" t="s">
        <v>8103</v>
      </c>
      <c r="P2497" s="4" t="s">
        <v>439</v>
      </c>
      <c r="Q2497" s="4" t="s">
        <v>8104</v>
      </c>
      <c r="R2497" s="4" t="s">
        <v>8105</v>
      </c>
      <c r="S2497" s="4" t="s">
        <v>8106</v>
      </c>
      <c r="T2497" s="4" t="s">
        <v>1026</v>
      </c>
      <c r="U2497" s="4" t="s">
        <v>8107</v>
      </c>
      <c r="V2497" s="4" t="s">
        <v>6319</v>
      </c>
      <c r="W2497" s="4" t="s">
        <v>8108</v>
      </c>
      <c r="X2497" s="4" t="s">
        <v>8097</v>
      </c>
      <c r="Y2497" s="4" t="s">
        <v>8109</v>
      </c>
      <c r="Z2497" s="4" t="s">
        <v>8097</v>
      </c>
      <c r="AA2497" s="4" t="s">
        <v>8103</v>
      </c>
      <c r="AB2497" s="4" t="s">
        <v>8110</v>
      </c>
      <c r="AC2497" s="4" t="s">
        <v>8111</v>
      </c>
      <c r="AD2497" s="4" t="s">
        <v>8112</v>
      </c>
      <c r="AE2497" s="4" t="s">
        <v>8113</v>
      </c>
      <c r="AF2497" s="4" t="s">
        <v>8114</v>
      </c>
      <c r="AG2497" s="4" t="s">
        <v>8115</v>
      </c>
      <c r="AH2497" s="4" t="s">
        <v>8097</v>
      </c>
      <c r="AI2497" s="4" t="s">
        <v>8104</v>
      </c>
      <c r="AJ2497" s="4" t="s">
        <v>8105</v>
      </c>
      <c r="AK2497" s="4" t="s">
        <v>8106</v>
      </c>
      <c r="AL2497" s="4" t="s">
        <v>8097</v>
      </c>
      <c r="AM2497" s="4" t="s">
        <v>8116</v>
      </c>
      <c r="AN2497" s="4" t="s">
        <v>8117</v>
      </c>
      <c r="AO2497" s="4" t="s">
        <v>8118</v>
      </c>
      <c r="AP2497" s="4" t="s">
        <v>8097</v>
      </c>
    </row>
    <row r="2498">
      <c r="A2498" s="4">
        <v>60.0</v>
      </c>
      <c r="B2498" s="4" t="s">
        <v>8035</v>
      </c>
      <c r="C2498" s="4"/>
      <c r="D2498" s="4" t="s">
        <v>5940</v>
      </c>
      <c r="E2498" s="4" t="s">
        <v>5941</v>
      </c>
      <c r="F2498" s="4" t="s">
        <v>5942</v>
      </c>
      <c r="G2498" s="5" t="str">
        <f>IFERROR(__xludf.DUMMYFUNCTION("GOOGLETRANSLATE(D2498,""en"",""es"")"),"camis")</f>
        <v>camis</v>
      </c>
    </row>
    <row r="2499">
      <c r="A2499" s="4">
        <v>61.0</v>
      </c>
      <c r="B2499" s="4" t="s">
        <v>8035</v>
      </c>
      <c r="C2499" s="4"/>
      <c r="D2499" s="4" t="s">
        <v>1120</v>
      </c>
      <c r="E2499" s="4" t="s">
        <v>5943</v>
      </c>
      <c r="F2499" s="4" t="s">
        <v>1122</v>
      </c>
      <c r="G2499" s="5" t="str">
        <f>IFERROR(__xludf.DUMMYFUNCTION("GOOGLETRANSLATE(D2499,""en"",""es"")"),"pueden")</f>
        <v>pueden</v>
      </c>
      <c r="H2499" s="4" t="s">
        <v>1120</v>
      </c>
      <c r="I2499" s="4" t="s">
        <v>5944</v>
      </c>
      <c r="J2499" s="4" t="s">
        <v>5945</v>
      </c>
      <c r="K2499" s="4" t="s">
        <v>1120</v>
      </c>
      <c r="L2499" s="4" t="s">
        <v>5946</v>
      </c>
      <c r="M2499" s="4" t="s">
        <v>1120</v>
      </c>
      <c r="N2499" s="4" t="s">
        <v>5947</v>
      </c>
      <c r="O2499" s="4" t="s">
        <v>1602</v>
      </c>
      <c r="P2499" s="4" t="s">
        <v>1603</v>
      </c>
      <c r="Q2499" s="4" t="s">
        <v>1604</v>
      </c>
      <c r="R2499" s="4" t="s">
        <v>1605</v>
      </c>
      <c r="S2499" s="4" t="s">
        <v>1606</v>
      </c>
      <c r="T2499" s="4" t="s">
        <v>1147</v>
      </c>
      <c r="U2499" s="4" t="s">
        <v>1607</v>
      </c>
      <c r="V2499" s="4" t="s">
        <v>1120</v>
      </c>
      <c r="W2499" s="4" t="s">
        <v>1608</v>
      </c>
      <c r="X2499" s="4" t="s">
        <v>1609</v>
      </c>
      <c r="Y2499" s="4" t="s">
        <v>1610</v>
      </c>
      <c r="Z2499" s="4" t="s">
        <v>1611</v>
      </c>
      <c r="AA2499" s="4" t="s">
        <v>1612</v>
      </c>
      <c r="AB2499" s="4" t="s">
        <v>1613</v>
      </c>
      <c r="AC2499" s="4" t="s">
        <v>1614</v>
      </c>
      <c r="AD2499" s="4" t="s">
        <v>1615</v>
      </c>
      <c r="AE2499" s="4" t="s">
        <v>1616</v>
      </c>
      <c r="AF2499" s="4" t="s">
        <v>1617</v>
      </c>
      <c r="AG2499" s="4" t="s">
        <v>1618</v>
      </c>
      <c r="AH2499" s="4" t="s">
        <v>1619</v>
      </c>
      <c r="AI2499" s="4" t="s">
        <v>1620</v>
      </c>
      <c r="AJ2499" s="4" t="s">
        <v>1621</v>
      </c>
      <c r="AK2499" s="4" t="s">
        <v>1622</v>
      </c>
      <c r="AL2499" s="4" t="s">
        <v>1623</v>
      </c>
      <c r="AM2499" s="4" t="s">
        <v>1624</v>
      </c>
      <c r="AN2499" s="4" t="s">
        <v>1625</v>
      </c>
      <c r="AO2499" s="4" t="s">
        <v>1626</v>
      </c>
      <c r="AP2499" s="4" t="s">
        <v>1627</v>
      </c>
      <c r="AQ2499" s="4" t="s">
        <v>5948</v>
      </c>
      <c r="AR2499" s="4" t="s">
        <v>1120</v>
      </c>
      <c r="AS2499" s="4" t="s">
        <v>5949</v>
      </c>
      <c r="AT2499" s="4" t="s">
        <v>5950</v>
      </c>
      <c r="AU2499" s="4" t="s">
        <v>1752</v>
      </c>
      <c r="AV2499" s="4" t="s">
        <v>5951</v>
      </c>
      <c r="AW2499" s="4" t="s">
        <v>5952</v>
      </c>
      <c r="AX2499" s="4" t="s">
        <v>5953</v>
      </c>
      <c r="AY2499" s="4" t="s">
        <v>5948</v>
      </c>
      <c r="AZ2499" s="4" t="s">
        <v>5954</v>
      </c>
      <c r="BA2499" s="4" t="s">
        <v>5955</v>
      </c>
      <c r="BB2499" s="4" t="s">
        <v>1120</v>
      </c>
      <c r="BC2499" s="4" t="s">
        <v>5956</v>
      </c>
      <c r="BD2499" s="4" t="s">
        <v>5957</v>
      </c>
      <c r="BE2499" s="4" t="s">
        <v>5958</v>
      </c>
      <c r="BF2499" s="4" t="s">
        <v>1120</v>
      </c>
      <c r="BG2499" s="4" t="s">
        <v>5944</v>
      </c>
      <c r="BH2499" s="4" t="s">
        <v>2996</v>
      </c>
      <c r="BI2499" s="4" t="s">
        <v>5959</v>
      </c>
      <c r="BJ2499" s="4" t="s">
        <v>907</v>
      </c>
      <c r="BK2499" s="4" t="s">
        <v>5960</v>
      </c>
      <c r="BL2499" s="4" t="s">
        <v>1120</v>
      </c>
      <c r="BM2499" s="4" t="s">
        <v>5961</v>
      </c>
      <c r="BN2499" s="4" t="s">
        <v>5962</v>
      </c>
      <c r="BO2499" s="4" t="s">
        <v>5963</v>
      </c>
      <c r="BP2499" s="4" t="s">
        <v>1785</v>
      </c>
      <c r="BQ2499" s="4" t="s">
        <v>5964</v>
      </c>
      <c r="BR2499" s="4" t="s">
        <v>5965</v>
      </c>
      <c r="BS2499" s="4" t="s">
        <v>952</v>
      </c>
    </row>
    <row r="2500">
      <c r="A2500" s="4">
        <v>62.0</v>
      </c>
      <c r="B2500" s="4" t="s">
        <v>8035</v>
      </c>
      <c r="C2500" s="4"/>
      <c r="D2500" s="4" t="s">
        <v>5966</v>
      </c>
      <c r="E2500" s="4" t="s">
        <v>5943</v>
      </c>
      <c r="F2500" s="4" t="s">
        <v>1122</v>
      </c>
      <c r="G2500" s="5" t="str">
        <f>IFERROR(__xludf.DUMMYFUNCTION("GOOGLETRANSLATE(D2500,""en"",""es"")"),"Cannes")</f>
        <v>Cannes</v>
      </c>
      <c r="H2500" s="4" t="s">
        <v>5967</v>
      </c>
    </row>
    <row r="2501">
      <c r="A2501" s="4">
        <v>63.0</v>
      </c>
      <c r="B2501" s="4" t="s">
        <v>8035</v>
      </c>
      <c r="C2501" s="4"/>
      <c r="D2501" s="4" t="s">
        <v>5968</v>
      </c>
      <c r="E2501" s="4" t="s">
        <v>5969</v>
      </c>
      <c r="F2501" s="4" t="s">
        <v>1207</v>
      </c>
      <c r="G2501" s="5" t="str">
        <f>IFERROR(__xludf.DUMMYFUNCTION("GOOGLETRANSLATE(D2501,""en"",""es"")"),"astuto")</f>
        <v>astuto</v>
      </c>
      <c r="H2501" s="4" t="s">
        <v>5970</v>
      </c>
      <c r="I2501" s="4" t="s">
        <v>5971</v>
      </c>
      <c r="J2501" s="4" t="s">
        <v>5968</v>
      </c>
      <c r="K2501" s="4" t="s">
        <v>5972</v>
      </c>
    </row>
    <row r="2502">
      <c r="A2502" s="4">
        <v>64.0</v>
      </c>
      <c r="B2502" s="4" t="s">
        <v>8035</v>
      </c>
      <c r="C2502" s="4"/>
      <c r="D2502" s="4" t="s">
        <v>1208</v>
      </c>
      <c r="E2502" s="4" t="s">
        <v>5973</v>
      </c>
      <c r="F2502" s="4" t="s">
        <v>322</v>
      </c>
      <c r="G2502" s="5" t="str">
        <f>IFERROR(__xludf.DUMMYFUNCTION("GOOGLETRANSLATE(D2502,""en"",""es"")"),"gorra")</f>
        <v>gorra</v>
      </c>
      <c r="H2502" s="4" t="s">
        <v>1208</v>
      </c>
      <c r="I2502" s="4" t="s">
        <v>1208</v>
      </c>
      <c r="J2502" s="4" t="s">
        <v>5974</v>
      </c>
      <c r="K2502" s="4" t="s">
        <v>5975</v>
      </c>
      <c r="L2502" s="4" t="s">
        <v>1208</v>
      </c>
      <c r="M2502" s="4" t="s">
        <v>1208</v>
      </c>
      <c r="N2502" s="4" t="s">
        <v>1208</v>
      </c>
      <c r="O2502" s="4" t="s">
        <v>5976</v>
      </c>
      <c r="P2502" s="4" t="s">
        <v>5977</v>
      </c>
      <c r="Q2502" s="4" t="s">
        <v>1208</v>
      </c>
      <c r="R2502" s="4" t="s">
        <v>5978</v>
      </c>
      <c r="S2502" s="4" t="s">
        <v>5979</v>
      </c>
      <c r="T2502" s="4" t="s">
        <v>1208</v>
      </c>
      <c r="U2502" s="4" t="s">
        <v>1401</v>
      </c>
      <c r="V2502" s="4" t="s">
        <v>5980</v>
      </c>
      <c r="W2502" s="4" t="s">
        <v>5981</v>
      </c>
      <c r="X2502" s="4" t="s">
        <v>5982</v>
      </c>
      <c r="Y2502" s="4" t="s">
        <v>1208</v>
      </c>
      <c r="Z2502" s="4" t="s">
        <v>1274</v>
      </c>
      <c r="AA2502" s="4" t="s">
        <v>5983</v>
      </c>
      <c r="AB2502" s="4" t="s">
        <v>1208</v>
      </c>
      <c r="AC2502" s="4" t="s">
        <v>1208</v>
      </c>
      <c r="AD2502" s="4" t="s">
        <v>1402</v>
      </c>
      <c r="AE2502" s="4" t="s">
        <v>1208</v>
      </c>
    </row>
    <row r="2503">
      <c r="A2503" s="4">
        <v>65.0</v>
      </c>
      <c r="B2503" s="4" t="s">
        <v>8035</v>
      </c>
      <c r="C2503" s="4"/>
      <c r="D2503" s="4" t="s">
        <v>5984</v>
      </c>
      <c r="E2503" s="4" t="s">
        <v>5985</v>
      </c>
      <c r="F2503" s="4" t="s">
        <v>5986</v>
      </c>
      <c r="G2503" s="5" t="str">
        <f>IFERROR(__xludf.DUMMYFUNCTION("GOOGLETRANSLATE(D2503,""en"",""es"")"),"capitán")</f>
        <v>capitán</v>
      </c>
    </row>
    <row r="2504">
      <c r="A2504" s="4">
        <v>66.0</v>
      </c>
      <c r="B2504" s="4" t="s">
        <v>8035</v>
      </c>
      <c r="C2504" s="4"/>
      <c r="D2504" s="4" t="s">
        <v>5987</v>
      </c>
      <c r="E2504" s="4" t="s">
        <v>5988</v>
      </c>
      <c r="F2504" s="4" t="s">
        <v>5638</v>
      </c>
      <c r="G2504" s="5" t="str">
        <f>IFERROR(__xludf.DUMMYFUNCTION("GOOGLETRANSLATE(D2504,""en"",""es"")"),"pez")</f>
        <v>pez</v>
      </c>
    </row>
    <row r="2505">
      <c r="A2505" s="4">
        <v>67.0</v>
      </c>
      <c r="B2505" s="4" t="s">
        <v>8035</v>
      </c>
      <c r="C2505" s="4"/>
      <c r="D2505" s="4" t="s">
        <v>5989</v>
      </c>
      <c r="E2505" s="4" t="s">
        <v>5923</v>
      </c>
      <c r="F2505" s="4" t="s">
        <v>5924</v>
      </c>
      <c r="G2505" s="5" t="str">
        <f>IFERROR(__xludf.DUMMYFUNCTION("GOOGLETRANSLATE(D2505,""en"",""es"")"),"dinero")</f>
        <v>dinero</v>
      </c>
      <c r="H2505" s="4" t="s">
        <v>5989</v>
      </c>
      <c r="I2505" s="4" t="s">
        <v>5990</v>
      </c>
      <c r="J2505" s="4" t="s">
        <v>5991</v>
      </c>
      <c r="K2505" s="4" t="s">
        <v>5989</v>
      </c>
      <c r="L2505" s="4" t="s">
        <v>5992</v>
      </c>
      <c r="M2505" s="4" t="s">
        <v>5993</v>
      </c>
      <c r="N2505" s="4" t="s">
        <v>5994</v>
      </c>
      <c r="O2505" s="4" t="s">
        <v>5995</v>
      </c>
      <c r="P2505" s="4" t="s">
        <v>5989</v>
      </c>
      <c r="Q2505" s="4" t="s">
        <v>5996</v>
      </c>
    </row>
    <row r="2506">
      <c r="A2506" s="4">
        <v>68.0</v>
      </c>
      <c r="B2506" s="4" t="s">
        <v>8035</v>
      </c>
      <c r="C2506" s="4"/>
      <c r="D2506" s="4" t="s">
        <v>8119</v>
      </c>
      <c r="E2506" s="4" t="s">
        <v>8120</v>
      </c>
      <c r="F2506" s="4" t="s">
        <v>8121</v>
      </c>
      <c r="G2506" s="5" t="str">
        <f>IFERROR(__xludf.DUMMYFUNCTION("GOOGLETRANSLATE(D2506,""en"",""es"")"),"castaño")</f>
        <v>castaño</v>
      </c>
      <c r="H2506" s="4" t="s">
        <v>8122</v>
      </c>
      <c r="I2506" s="4" t="s">
        <v>8119</v>
      </c>
      <c r="J2506" s="4" t="s">
        <v>8123</v>
      </c>
      <c r="K2506" s="4" t="s">
        <v>8124</v>
      </c>
      <c r="L2506" s="4" t="s">
        <v>8125</v>
      </c>
      <c r="M2506" s="4" t="s">
        <v>8126</v>
      </c>
      <c r="N2506" s="4" t="s">
        <v>8127</v>
      </c>
      <c r="O2506" s="4" t="s">
        <v>8128</v>
      </c>
    </row>
    <row r="2507">
      <c r="A2507" s="4">
        <v>69.0</v>
      </c>
      <c r="B2507" s="4" t="s">
        <v>8035</v>
      </c>
      <c r="C2507" s="4"/>
      <c r="D2507" s="4" t="s">
        <v>5997</v>
      </c>
      <c r="E2507" s="4" t="s">
        <v>5998</v>
      </c>
      <c r="F2507" s="4" t="s">
        <v>5999</v>
      </c>
      <c r="G2507" s="5" t="str">
        <f>IFERROR(__xludf.DUMMYFUNCTION("GOOGLETRANSLATE(D2507,""en"",""es"")"),"cath")</f>
        <v>cath</v>
      </c>
    </row>
    <row r="2508">
      <c r="A2508" s="4">
        <v>70.0</v>
      </c>
      <c r="B2508" s="4" t="s">
        <v>8035</v>
      </c>
      <c r="C2508" s="4"/>
      <c r="D2508" s="4" t="s">
        <v>6000</v>
      </c>
      <c r="E2508" s="4" t="s">
        <v>6001</v>
      </c>
      <c r="F2508" s="4" t="s">
        <v>6002</v>
      </c>
      <c r="G2508" s="5" t="str">
        <f>IFERROR(__xludf.DUMMYFUNCTION("GOOGLETRANSLATE(D2508,""en"",""es"")"),"cathy")</f>
        <v>cathy</v>
      </c>
    </row>
    <row r="2509">
      <c r="A2509" s="4">
        <v>71.0</v>
      </c>
      <c r="B2509" s="4" t="s">
        <v>8035</v>
      </c>
      <c r="C2509" s="4"/>
      <c r="D2509" s="4" t="s">
        <v>8129</v>
      </c>
      <c r="E2509" s="4" t="s">
        <v>8130</v>
      </c>
      <c r="F2509" s="4" t="s">
        <v>8131</v>
      </c>
      <c r="G2509" s="5" t="str">
        <f>IFERROR(__xludf.DUMMYFUNCTION("GOOGLETRANSLATE(D2509,""en"",""es"")"),"malicioso")</f>
        <v>malicioso</v>
      </c>
      <c r="H2509" s="4" t="s">
        <v>8129</v>
      </c>
      <c r="I2509" s="4" t="s">
        <v>8132</v>
      </c>
      <c r="J2509" s="4" t="s">
        <v>8133</v>
      </c>
      <c r="K2509" s="4" t="s">
        <v>8129</v>
      </c>
      <c r="L2509" s="4" t="s">
        <v>8134</v>
      </c>
    </row>
    <row r="2510">
      <c r="A2510" s="4">
        <v>72.0</v>
      </c>
      <c r="B2510" s="4" t="s">
        <v>8035</v>
      </c>
      <c r="C2510" s="4"/>
      <c r="D2510" s="4" t="s">
        <v>8135</v>
      </c>
      <c r="E2510" s="4" t="s">
        <v>8136</v>
      </c>
      <c r="F2510" s="4" t="s">
        <v>8137</v>
      </c>
      <c r="G2510" s="5" t="str">
        <f>IFERROR(__xludf.DUMMYFUNCTION("GOOGLETRANSLATE(D2510,""en"",""es"")"),"Ceilán")</f>
        <v>Ceilán</v>
      </c>
      <c r="H2510" s="4" t="s">
        <v>8138</v>
      </c>
      <c r="I2510" s="4" t="s">
        <v>8139</v>
      </c>
      <c r="J2510" s="4" t="s">
        <v>8140</v>
      </c>
      <c r="K2510" s="4" t="s">
        <v>8138</v>
      </c>
    </row>
    <row r="2511">
      <c r="A2511" s="4">
        <v>73.0</v>
      </c>
      <c r="B2511" s="4" t="s">
        <v>8035</v>
      </c>
      <c r="C2511" s="4"/>
      <c r="D2511" s="4" t="s">
        <v>6003</v>
      </c>
      <c r="E2511" s="4" t="s">
        <v>6004</v>
      </c>
      <c r="F2511" s="4" t="s">
        <v>6005</v>
      </c>
      <c r="G2511" s="5" t="str">
        <f>IFERROR(__xludf.DUMMYFUNCTION("GOOGLETRANSLATE(D2511,""en"",""es"")"),"challis")</f>
        <v>challis</v>
      </c>
      <c r="H2511" s="4" t="s">
        <v>6003</v>
      </c>
    </row>
    <row r="2512">
      <c r="A2512" s="4">
        <v>74.0</v>
      </c>
      <c r="B2512" s="4" t="s">
        <v>8035</v>
      </c>
      <c r="C2512" s="4"/>
      <c r="D2512" s="4" t="s">
        <v>6006</v>
      </c>
      <c r="E2512" s="4" t="s">
        <v>6007</v>
      </c>
      <c r="F2512" s="4" t="s">
        <v>1039</v>
      </c>
      <c r="G2512" s="5" t="str">
        <f>IFERROR(__xludf.DUMMYFUNCTION("GOOGLETRANSLATE(D2512,""en"",""es"")"),"cham")</f>
        <v>cham</v>
      </c>
    </row>
    <row r="2513">
      <c r="A2513" s="4">
        <v>75.0</v>
      </c>
      <c r="B2513" s="4" t="s">
        <v>8035</v>
      </c>
      <c r="C2513" s="4"/>
      <c r="D2513" s="4" t="s">
        <v>6010</v>
      </c>
      <c r="E2513" s="4" t="s">
        <v>6011</v>
      </c>
      <c r="F2513" s="4" t="s">
        <v>6012</v>
      </c>
      <c r="G2513" s="5" t="str">
        <f>IFERROR(__xludf.DUMMYFUNCTION("GOOGLETRANSLATE(D2513,""en"",""es"")"),"chapé")</f>
        <v>chapé</v>
      </c>
    </row>
    <row r="2514">
      <c r="A2514" s="4">
        <v>76.0</v>
      </c>
      <c r="B2514" s="4" t="s">
        <v>8035</v>
      </c>
      <c r="C2514" s="4"/>
      <c r="D2514" s="4" t="s">
        <v>6013</v>
      </c>
      <c r="E2514" s="4" t="s">
        <v>6014</v>
      </c>
      <c r="F2514" s="4" t="s">
        <v>6015</v>
      </c>
      <c r="G2514" s="5" t="str">
        <f>IFERROR(__xludf.DUMMYFUNCTION("GOOGLETRANSLATE(D2514,""en"",""es"")"),"chasse")</f>
        <v>chasse</v>
      </c>
      <c r="H2514" s="4" t="s">
        <v>6013</v>
      </c>
      <c r="I2514" s="4" t="s">
        <v>6016</v>
      </c>
      <c r="J2514" s="4" t="s">
        <v>6013</v>
      </c>
      <c r="K2514" s="4" t="s">
        <v>6016</v>
      </c>
    </row>
    <row r="2515">
      <c r="A2515" s="4">
        <v>77.0</v>
      </c>
      <c r="B2515" s="4" t="s">
        <v>8035</v>
      </c>
      <c r="C2515" s="4"/>
      <c r="D2515" s="4" t="s">
        <v>6017</v>
      </c>
      <c r="E2515" s="4" t="s">
        <v>6018</v>
      </c>
      <c r="F2515" s="4" t="s">
        <v>6019</v>
      </c>
      <c r="G2515" s="5" t="str">
        <f>IFERROR(__xludf.DUMMYFUNCTION("GOOGLETRANSLATE(D2515,""en"",""es"")"),"chasis")</f>
        <v>chasis</v>
      </c>
      <c r="H2515" s="4" t="s">
        <v>6020</v>
      </c>
      <c r="I2515" s="4" t="s">
        <v>6021</v>
      </c>
      <c r="J2515" s="4" t="s">
        <v>6022</v>
      </c>
      <c r="K2515" s="4" t="s">
        <v>6023</v>
      </c>
      <c r="L2515" s="4" t="s">
        <v>6024</v>
      </c>
      <c r="M2515" s="4" t="s">
        <v>4861</v>
      </c>
      <c r="N2515" s="4" t="s">
        <v>6025</v>
      </c>
      <c r="O2515" s="4" t="s">
        <v>6026</v>
      </c>
      <c r="P2515" s="4" t="s">
        <v>6027</v>
      </c>
      <c r="Q2515" s="4" t="s">
        <v>6028</v>
      </c>
      <c r="R2515" s="4" t="s">
        <v>6017</v>
      </c>
      <c r="S2515" s="4" t="s">
        <v>6029</v>
      </c>
      <c r="T2515" s="4" t="s">
        <v>1679</v>
      </c>
      <c r="U2515" s="4" t="s">
        <v>6030</v>
      </c>
      <c r="V2515" s="4" t="s">
        <v>6017</v>
      </c>
      <c r="W2515" s="4" t="s">
        <v>6017</v>
      </c>
    </row>
    <row r="2516">
      <c r="A2516" s="4">
        <v>78.0</v>
      </c>
      <c r="B2516" s="4" t="s">
        <v>8035</v>
      </c>
      <c r="C2516" s="4"/>
      <c r="D2516" s="4" t="s">
        <v>6034</v>
      </c>
      <c r="E2516" s="4" t="s">
        <v>4687</v>
      </c>
      <c r="F2516" s="4" t="s">
        <v>287</v>
      </c>
      <c r="G2516" s="5" t="str">
        <f>IFERROR(__xludf.DUMMYFUNCTION("GOOGLETRANSLATE(D2516,""en"",""es"")"),"elegante")</f>
        <v>elegante</v>
      </c>
      <c r="H2516" s="4" t="s">
        <v>6034</v>
      </c>
      <c r="I2516" s="4" t="s">
        <v>6035</v>
      </c>
      <c r="J2516" s="4" t="s">
        <v>6031</v>
      </c>
      <c r="K2516" s="4" t="s">
        <v>6036</v>
      </c>
      <c r="L2516" s="4" t="s">
        <v>6037</v>
      </c>
      <c r="M2516" s="4" t="s">
        <v>6038</v>
      </c>
      <c r="N2516" s="4" t="s">
        <v>6039</v>
      </c>
      <c r="O2516" s="4" t="s">
        <v>6040</v>
      </c>
      <c r="P2516" s="4" t="s">
        <v>6034</v>
      </c>
      <c r="Q2516" s="4" t="s">
        <v>3502</v>
      </c>
      <c r="R2516" s="4" t="s">
        <v>8141</v>
      </c>
    </row>
    <row r="2517">
      <c r="A2517" s="4">
        <v>79.0</v>
      </c>
      <c r="B2517" s="4" t="s">
        <v>8035</v>
      </c>
      <c r="C2517" s="4"/>
      <c r="D2517" s="4" t="s">
        <v>6031</v>
      </c>
      <c r="E2517" s="4" t="s">
        <v>6032</v>
      </c>
      <c r="F2517" s="4" t="s">
        <v>6033</v>
      </c>
      <c r="G2517" s="5" t="str">
        <f>IFERROR(__xludf.DUMMYFUNCTION("GOOGLETRANSLATE(D2517,""en"",""es"")"),"chichi")</f>
        <v>chichi</v>
      </c>
      <c r="H2517" s="4" t="s">
        <v>6031</v>
      </c>
      <c r="I2517" s="4" t="s">
        <v>6034</v>
      </c>
      <c r="J2517" s="4" t="s">
        <v>6035</v>
      </c>
      <c r="K2517" s="4" t="s">
        <v>6031</v>
      </c>
      <c r="L2517" s="4" t="s">
        <v>6036</v>
      </c>
      <c r="M2517" s="4" t="s">
        <v>6037</v>
      </c>
      <c r="N2517" s="4" t="s">
        <v>6038</v>
      </c>
      <c r="O2517" s="4" t="s">
        <v>6039</v>
      </c>
      <c r="P2517" s="4" t="s">
        <v>6040</v>
      </c>
      <c r="Q2517" s="4" t="s">
        <v>6031</v>
      </c>
    </row>
    <row r="2518">
      <c r="A2518" s="4">
        <v>80.0</v>
      </c>
      <c r="B2518" s="4" t="s">
        <v>8035</v>
      </c>
      <c r="C2518" s="4"/>
      <c r="D2518" s="4" t="s">
        <v>6041</v>
      </c>
      <c r="E2518" s="4" t="s">
        <v>6042</v>
      </c>
      <c r="F2518" s="4" t="s">
        <v>6043</v>
      </c>
      <c r="G2518" s="5" t="str">
        <f>IFERROR(__xludf.DUMMYFUNCTION("GOOGLETRANSLATE(D2518,""en"",""es"")"),"chinook")</f>
        <v>chinook</v>
      </c>
      <c r="H2518" s="4" t="s">
        <v>6041</v>
      </c>
      <c r="I2518" s="4" t="s">
        <v>6044</v>
      </c>
      <c r="J2518" s="4" t="s">
        <v>6045</v>
      </c>
      <c r="K2518" s="4" t="s">
        <v>6046</v>
      </c>
      <c r="L2518" s="4" t="s">
        <v>6047</v>
      </c>
      <c r="M2518" s="4" t="s">
        <v>6041</v>
      </c>
      <c r="N2518" s="4" t="s">
        <v>6048</v>
      </c>
      <c r="O2518" s="4" t="s">
        <v>6049</v>
      </c>
      <c r="P2518" s="4" t="s">
        <v>6046</v>
      </c>
      <c r="Q2518" s="4" t="s">
        <v>6041</v>
      </c>
      <c r="R2518" s="4" t="s">
        <v>6047</v>
      </c>
      <c r="S2518" s="4" t="s">
        <v>6048</v>
      </c>
      <c r="T2518" s="4" t="s">
        <v>6050</v>
      </c>
      <c r="U2518" s="4" t="s">
        <v>6051</v>
      </c>
    </row>
    <row r="2519">
      <c r="A2519" s="4">
        <v>81.0</v>
      </c>
      <c r="B2519" s="4" t="s">
        <v>8035</v>
      </c>
      <c r="C2519" s="4"/>
      <c r="D2519" s="4" t="s">
        <v>8142</v>
      </c>
      <c r="E2519" s="4" t="s">
        <v>8143</v>
      </c>
      <c r="F2519" s="4" t="s">
        <v>8144</v>
      </c>
      <c r="G2519" s="5" t="str">
        <f>IFERROR(__xludf.DUMMYFUNCTION("GOOGLETRANSLATE(D2519,""en"",""es"")"),"choupique")</f>
        <v>choupique</v>
      </c>
    </row>
    <row r="2520">
      <c r="A2520" s="4">
        <v>82.0</v>
      </c>
      <c r="B2520" s="4" t="s">
        <v>8035</v>
      </c>
      <c r="C2520" s="4"/>
      <c r="D2520" s="4" t="s">
        <v>8145</v>
      </c>
      <c r="E2520" s="4" t="s">
        <v>8146</v>
      </c>
      <c r="F2520" s="4" t="s">
        <v>8147</v>
      </c>
      <c r="G2520" s="5" t="str">
        <f>IFERROR(__xludf.DUMMYFUNCTION("GOOGLETRANSLATE(D2520,""en"",""es"")"),"cthónico")</f>
        <v>cthónico</v>
      </c>
      <c r="H2520" s="4" t="s">
        <v>8148</v>
      </c>
      <c r="I2520" s="4" t="s">
        <v>8145</v>
      </c>
      <c r="J2520" s="4" t="s">
        <v>8149</v>
      </c>
    </row>
    <row r="2521">
      <c r="A2521" s="4">
        <v>83.0</v>
      </c>
      <c r="B2521" s="4" t="s">
        <v>8035</v>
      </c>
      <c r="C2521" s="4"/>
      <c r="D2521" s="4" t="s">
        <v>8150</v>
      </c>
      <c r="E2521" s="4" t="s">
        <v>8151</v>
      </c>
      <c r="F2521" s="4" t="s">
        <v>8152</v>
      </c>
      <c r="G2521" s="5" t="str">
        <f>IFERROR(__xludf.DUMMYFUNCTION("GOOGLETRANSLATE(D2521,""en"",""es"")"),"canela")</f>
        <v>canela</v>
      </c>
      <c r="H2521" s="4" t="s">
        <v>8150</v>
      </c>
      <c r="I2521" s="4" t="s">
        <v>8153</v>
      </c>
      <c r="J2521" s="4" t="s">
        <v>8150</v>
      </c>
      <c r="K2521" s="4" t="s">
        <v>8154</v>
      </c>
      <c r="L2521" s="4" t="s">
        <v>8155</v>
      </c>
      <c r="M2521" s="4" t="s">
        <v>8156</v>
      </c>
      <c r="N2521" s="4" t="s">
        <v>8150</v>
      </c>
    </row>
    <row r="2522">
      <c r="A2522" s="4">
        <v>84.0</v>
      </c>
      <c r="B2522" s="4" t="s">
        <v>8035</v>
      </c>
      <c r="C2522" s="4"/>
      <c r="D2522" s="4" t="s">
        <v>6052</v>
      </c>
      <c r="E2522" s="4" t="s">
        <v>6053</v>
      </c>
      <c r="F2522" s="4" t="s">
        <v>4004</v>
      </c>
      <c r="G2522" s="5" t="str">
        <f>IFERROR(__xludf.DUMMYFUNCTION("GOOGLETRANSLATE(D2522,""en"",""es"")"),"cis")</f>
        <v>cis</v>
      </c>
      <c r="H2522" s="4" t="s">
        <v>6054</v>
      </c>
      <c r="I2522" s="4" t="s">
        <v>6055</v>
      </c>
      <c r="J2522" s="4" t="s">
        <v>6056</v>
      </c>
      <c r="K2522" s="4" t="s">
        <v>6057</v>
      </c>
    </row>
    <row r="2523">
      <c r="A2523" s="4">
        <v>85.0</v>
      </c>
      <c r="B2523" s="4" t="s">
        <v>8035</v>
      </c>
      <c r="C2523" s="4"/>
      <c r="D2523" s="4" t="s">
        <v>6058</v>
      </c>
      <c r="E2523" s="4" t="s">
        <v>6053</v>
      </c>
      <c r="F2523" s="4" t="s">
        <v>4004</v>
      </c>
      <c r="G2523" s="5" t="str">
        <f>IFERROR(__xludf.DUMMYFUNCTION("GOOGLETRANSLATE(D2523,""en"",""es"")"),"lata")</f>
        <v>lata</v>
      </c>
      <c r="H2523" s="4" t="s">
        <v>6054</v>
      </c>
      <c r="I2523" s="4" t="s">
        <v>6055</v>
      </c>
    </row>
    <row r="2524">
      <c r="A2524" s="4">
        <v>86.0</v>
      </c>
      <c r="B2524" s="4" t="s">
        <v>8035</v>
      </c>
      <c r="C2524" s="4"/>
      <c r="D2524" s="4" t="s">
        <v>6059</v>
      </c>
      <c r="E2524" s="4" t="s">
        <v>6060</v>
      </c>
      <c r="F2524" s="4" t="s">
        <v>6061</v>
      </c>
      <c r="G2524" s="5" t="str">
        <f>IFERROR(__xludf.DUMMYFUNCTION("GOOGLETRANSLATE(D2524,""en"",""es"")"),"mariquita")</f>
        <v>mariquita</v>
      </c>
      <c r="H2524" s="4" t="s">
        <v>6062</v>
      </c>
      <c r="I2524" s="4" t="s">
        <v>6063</v>
      </c>
      <c r="J2524" s="4" t="s">
        <v>6064</v>
      </c>
      <c r="K2524" s="4" t="s">
        <v>6059</v>
      </c>
      <c r="L2524" s="4" t="s">
        <v>6065</v>
      </c>
      <c r="M2524" s="4" t="s">
        <v>6066</v>
      </c>
      <c r="N2524" s="4" t="s">
        <v>6067</v>
      </c>
    </row>
    <row r="2525">
      <c r="A2525" s="4">
        <v>87.0</v>
      </c>
      <c r="B2525" s="4" t="s">
        <v>8035</v>
      </c>
      <c r="C2525" s="4"/>
      <c r="D2525" s="4" t="s">
        <v>6068</v>
      </c>
      <c r="E2525" s="4" t="s">
        <v>6069</v>
      </c>
      <c r="F2525" s="4" t="s">
        <v>4019</v>
      </c>
      <c r="G2525" s="5" t="str">
        <f>IFERROR(__xludf.DUMMYFUNCTION("GOOGLETRANSLATE(D2525,""en"",""es"")"),"ciudad")</f>
        <v>ciudad</v>
      </c>
      <c r="H2525" s="4" t="s">
        <v>6068</v>
      </c>
      <c r="I2525" s="4" t="s">
        <v>6070</v>
      </c>
      <c r="J2525" s="4" t="s">
        <v>6071</v>
      </c>
      <c r="K2525" s="4" t="s">
        <v>6068</v>
      </c>
      <c r="L2525" s="4" t="s">
        <v>6068</v>
      </c>
      <c r="M2525" s="4" t="s">
        <v>6070</v>
      </c>
    </row>
    <row r="2526">
      <c r="A2526" s="4">
        <v>88.0</v>
      </c>
      <c r="B2526" s="4" t="s">
        <v>8035</v>
      </c>
      <c r="C2526" s="4"/>
      <c r="D2526" s="4" t="s">
        <v>6068</v>
      </c>
      <c r="E2526" s="4" t="s">
        <v>8157</v>
      </c>
      <c r="F2526" s="4" t="s">
        <v>1420</v>
      </c>
      <c r="G2526" s="5" t="str">
        <f>IFERROR(__xludf.DUMMYFUNCTION("GOOGLETRANSLATE(D2526,""en"",""es"")"),"ciudad")</f>
        <v>ciudad</v>
      </c>
      <c r="H2526" s="4" t="s">
        <v>6068</v>
      </c>
      <c r="I2526" s="4" t="s">
        <v>6070</v>
      </c>
      <c r="J2526" s="4" t="s">
        <v>6071</v>
      </c>
      <c r="K2526" s="4" t="s">
        <v>6068</v>
      </c>
      <c r="L2526" s="4" t="s">
        <v>6068</v>
      </c>
      <c r="M2526" s="4" t="s">
        <v>6070</v>
      </c>
    </row>
    <row r="2527">
      <c r="A2527" s="4">
        <v>89.0</v>
      </c>
      <c r="B2527" s="4" t="s">
        <v>8035</v>
      </c>
      <c r="C2527" s="4"/>
      <c r="D2527" s="4" t="s">
        <v>3596</v>
      </c>
      <c r="E2527" s="4" t="s">
        <v>8158</v>
      </c>
      <c r="F2527" s="4" t="s">
        <v>319</v>
      </c>
      <c r="G2527" s="5" t="str">
        <f>IFERROR(__xludf.DUMMYFUNCTION("GOOGLETRANSLATE(D2527,""en"",""es"")"),"polla")</f>
        <v>polla</v>
      </c>
      <c r="H2527" s="4" t="s">
        <v>3596</v>
      </c>
      <c r="I2527" s="4" t="s">
        <v>3497</v>
      </c>
      <c r="J2527" s="4" t="s">
        <v>3597</v>
      </c>
      <c r="K2527" s="4" t="s">
        <v>3598</v>
      </c>
      <c r="L2527" s="4" t="s">
        <v>3599</v>
      </c>
      <c r="M2527" s="4" t="s">
        <v>3600</v>
      </c>
      <c r="N2527" s="4" t="s">
        <v>3601</v>
      </c>
      <c r="O2527" s="4" t="s">
        <v>3602</v>
      </c>
      <c r="P2527" s="4" t="s">
        <v>8159</v>
      </c>
      <c r="Q2527" s="4" t="s">
        <v>3596</v>
      </c>
      <c r="R2527" s="4" t="s">
        <v>8160</v>
      </c>
      <c r="S2527" s="4" t="s">
        <v>8161</v>
      </c>
      <c r="T2527" s="4" t="s">
        <v>3596</v>
      </c>
      <c r="U2527" s="4" t="s">
        <v>3596</v>
      </c>
      <c r="V2527" s="4" t="s">
        <v>8162</v>
      </c>
      <c r="W2527" s="4" t="s">
        <v>3596</v>
      </c>
      <c r="X2527" s="4" t="s">
        <v>3596</v>
      </c>
      <c r="Y2527" s="4" t="s">
        <v>3596</v>
      </c>
      <c r="Z2527" s="4" t="s">
        <v>8163</v>
      </c>
      <c r="AA2527" s="4" t="s">
        <v>8164</v>
      </c>
      <c r="AB2527" s="4" t="s">
        <v>8165</v>
      </c>
      <c r="AC2527" s="4" t="s">
        <v>8166</v>
      </c>
      <c r="AD2527" s="4" t="s">
        <v>8167</v>
      </c>
      <c r="AE2527" s="4" t="s">
        <v>6016</v>
      </c>
      <c r="AF2527" s="4" t="s">
        <v>3596</v>
      </c>
    </row>
    <row r="2528">
      <c r="A2528" s="4">
        <v>90.0</v>
      </c>
      <c r="B2528" s="4" t="s">
        <v>8035</v>
      </c>
      <c r="C2528" s="4"/>
      <c r="D2528" s="4" t="s">
        <v>8168</v>
      </c>
      <c r="E2528" s="4" t="s">
        <v>8169</v>
      </c>
      <c r="F2528" s="4" t="s">
        <v>1297</v>
      </c>
      <c r="G2528" s="5" t="str">
        <f>IFERROR(__xludf.DUMMYFUNCTION("GOOGLETRANSLATE(D2528,""en"",""es"")"),"engreído")</f>
        <v>engreído</v>
      </c>
      <c r="H2528" s="4" t="s">
        <v>8168</v>
      </c>
    </row>
    <row r="2529">
      <c r="A2529" s="4">
        <v>91.0</v>
      </c>
      <c r="B2529" s="4" t="s">
        <v>8035</v>
      </c>
      <c r="C2529" s="4"/>
      <c r="D2529" s="4" t="s">
        <v>8170</v>
      </c>
      <c r="E2529" s="4" t="s">
        <v>8171</v>
      </c>
      <c r="F2529" s="4" t="s">
        <v>8172</v>
      </c>
      <c r="G2529" s="5" t="str">
        <f>IFERROR(__xludf.DUMMYFUNCTION("GOOGLETRANSLATE(D2529,""en"",""es"")"),"colin")</f>
        <v>colin</v>
      </c>
    </row>
    <row r="2530">
      <c r="A2530" s="4">
        <v>92.0</v>
      </c>
      <c r="B2530" s="4" t="s">
        <v>8035</v>
      </c>
      <c r="C2530" s="4"/>
      <c r="D2530" s="4" t="s">
        <v>8173</v>
      </c>
      <c r="E2530" s="4" t="s">
        <v>8174</v>
      </c>
      <c r="F2530" s="4" t="s">
        <v>8172</v>
      </c>
      <c r="G2530" s="5" t="str">
        <f>IFERROR(__xludf.DUMMYFUNCTION("GOOGLETRANSLATE(D2530,""en"",""es"")"),"muchacha")</f>
        <v>muchacha</v>
      </c>
      <c r="H2530" s="4" t="s">
        <v>8173</v>
      </c>
    </row>
    <row r="2531">
      <c r="A2531" s="4">
        <v>93.0</v>
      </c>
      <c r="B2531" s="4" t="s">
        <v>8035</v>
      </c>
      <c r="C2531" s="4"/>
      <c r="D2531" s="4" t="s">
        <v>8175</v>
      </c>
      <c r="E2531" s="4" t="s">
        <v>8176</v>
      </c>
      <c r="F2531" s="4" t="s">
        <v>8177</v>
      </c>
      <c r="G2531" s="5" t="str">
        <f>IFERROR(__xludf.DUMMYFUNCTION("GOOGLETRANSLATE(D2531,""en"",""es"")"),"cómic")</f>
        <v>cómic</v>
      </c>
      <c r="H2531" s="4" t="s">
        <v>8178</v>
      </c>
      <c r="I2531" s="4" t="s">
        <v>8175</v>
      </c>
      <c r="J2531" s="4" t="s">
        <v>8179</v>
      </c>
      <c r="K2531" s="4" t="s">
        <v>8175</v>
      </c>
      <c r="L2531" s="4" t="s">
        <v>8180</v>
      </c>
      <c r="M2531" s="4" t="s">
        <v>8181</v>
      </c>
      <c r="N2531" s="4" t="s">
        <v>8182</v>
      </c>
      <c r="O2531" s="4" t="s">
        <v>8183</v>
      </c>
      <c r="P2531" s="4" t="s">
        <v>8184</v>
      </c>
      <c r="Q2531" s="4" t="s">
        <v>8175</v>
      </c>
    </row>
    <row r="2532">
      <c r="A2532" s="4">
        <v>94.0</v>
      </c>
      <c r="B2532" s="4" t="s">
        <v>8035</v>
      </c>
      <c r="C2532" s="4"/>
      <c r="D2532" s="4" t="s">
        <v>8185</v>
      </c>
      <c r="E2532" s="4" t="s">
        <v>5929</v>
      </c>
      <c r="F2532" s="4" t="s">
        <v>1122</v>
      </c>
      <c r="G2532" s="5" t="str">
        <f>IFERROR(__xludf.DUMMYFUNCTION("GOOGLETRANSLATE(D2532,""en"",""es"")"),"estafa")</f>
        <v>estafa</v>
      </c>
      <c r="H2532" s="4" t="s">
        <v>8185</v>
      </c>
      <c r="I2532" s="4" t="s">
        <v>8186</v>
      </c>
      <c r="J2532" s="4" t="s">
        <v>8185</v>
      </c>
      <c r="K2532" s="4" t="s">
        <v>8187</v>
      </c>
      <c r="L2532" s="4" t="s">
        <v>8188</v>
      </c>
      <c r="M2532" s="4" t="s">
        <v>8189</v>
      </c>
      <c r="N2532" s="4" t="s">
        <v>8190</v>
      </c>
      <c r="O2532" s="4" t="s">
        <v>8191</v>
      </c>
      <c r="P2532" s="4" t="s">
        <v>8192</v>
      </c>
      <c r="Q2532" s="4" t="s">
        <v>8193</v>
      </c>
      <c r="R2532" s="4" t="s">
        <v>8185</v>
      </c>
      <c r="S2532" s="4" t="s">
        <v>8194</v>
      </c>
      <c r="T2532" s="4" t="s">
        <v>8195</v>
      </c>
      <c r="U2532" s="4" t="s">
        <v>8196</v>
      </c>
      <c r="V2532" s="4" t="s">
        <v>8197</v>
      </c>
      <c r="W2532" s="4" t="s">
        <v>8198</v>
      </c>
      <c r="X2532" s="4" t="s">
        <v>3482</v>
      </c>
      <c r="Y2532" s="4" t="s">
        <v>8199</v>
      </c>
      <c r="Z2532" s="4" t="s">
        <v>8200</v>
      </c>
      <c r="AA2532" s="4" t="s">
        <v>8201</v>
      </c>
      <c r="AB2532" s="4" t="s">
        <v>8202</v>
      </c>
      <c r="AC2532" s="4" t="s">
        <v>1977</v>
      </c>
      <c r="AD2532" s="4" t="s">
        <v>6308</v>
      </c>
      <c r="AE2532" s="4" t="s">
        <v>8203</v>
      </c>
      <c r="AF2532" s="4" t="s">
        <v>8190</v>
      </c>
      <c r="AG2532" s="4" t="s">
        <v>8204</v>
      </c>
      <c r="AH2532" s="4" t="s">
        <v>8205</v>
      </c>
      <c r="AI2532" s="4" t="s">
        <v>8206</v>
      </c>
      <c r="AJ2532" s="4" t="s">
        <v>8197</v>
      </c>
      <c r="AK2532" s="4" t="s">
        <v>8207</v>
      </c>
      <c r="AL2532" s="4" t="s">
        <v>8208</v>
      </c>
      <c r="AM2532" s="4" t="s">
        <v>8209</v>
      </c>
      <c r="AN2532" s="4" t="s">
        <v>8185</v>
      </c>
      <c r="AO2532" s="4" t="s">
        <v>8210</v>
      </c>
      <c r="AP2532" s="4" t="s">
        <v>8211</v>
      </c>
      <c r="AQ2532" s="4" t="s">
        <v>8185</v>
      </c>
      <c r="AR2532" s="4" t="s">
        <v>7934</v>
      </c>
      <c r="AS2532" s="4" t="s">
        <v>8185</v>
      </c>
    </row>
    <row r="2533">
      <c r="A2533" s="4">
        <v>95.0</v>
      </c>
      <c r="B2533" s="4" t="s">
        <v>8035</v>
      </c>
      <c r="C2533" s="4"/>
      <c r="D2533" s="4" t="s">
        <v>8212</v>
      </c>
      <c r="E2533" s="4" t="s">
        <v>8213</v>
      </c>
      <c r="F2533" s="4" t="s">
        <v>8214</v>
      </c>
      <c r="G2533" s="5" t="str">
        <f>IFERROR(__xludf.DUMMYFUNCTION("GOOGLETRANSLATE(D2533,""en"",""es"")"),"cónico")</f>
        <v>cónico</v>
      </c>
      <c r="H2533" s="4" t="s">
        <v>8215</v>
      </c>
      <c r="I2533" s="4" t="s">
        <v>8212</v>
      </c>
      <c r="J2533" s="4" t="s">
        <v>8212</v>
      </c>
      <c r="K2533" s="4" t="s">
        <v>8216</v>
      </c>
      <c r="L2533" s="4" t="s">
        <v>8217</v>
      </c>
      <c r="M2533" s="4" t="s">
        <v>8218</v>
      </c>
    </row>
    <row r="2534">
      <c r="A2534" s="4">
        <v>96.0</v>
      </c>
      <c r="B2534" s="4" t="s">
        <v>8035</v>
      </c>
      <c r="C2534" s="4"/>
      <c r="D2534" s="4" t="s">
        <v>8219</v>
      </c>
      <c r="E2534" s="4" t="s">
        <v>5929</v>
      </c>
      <c r="F2534" s="4" t="s">
        <v>1122</v>
      </c>
      <c r="G2534" s="5" t="str">
        <f>IFERROR(__xludf.DUMMYFUNCTION("GOOGLETRANSLATE(D2534,""en"",""es"")"),"conn.")</f>
        <v>conn.</v>
      </c>
      <c r="H2534" s="4" t="s">
        <v>8219</v>
      </c>
    </row>
    <row r="2535">
      <c r="A2535" s="4">
        <v>97.0</v>
      </c>
      <c r="B2535" s="4" t="s">
        <v>8035</v>
      </c>
      <c r="C2535" s="4"/>
      <c r="D2535" s="4" t="s">
        <v>8220</v>
      </c>
      <c r="E2535" s="4" t="s">
        <v>1581</v>
      </c>
      <c r="F2535" s="4" t="s">
        <v>1582</v>
      </c>
      <c r="G2535" s="5" t="str">
        <f>IFERROR(__xludf.DUMMYFUNCTION("GOOGLETRANSLATE(D2535,""en"",""es"")"),"arrullo")</f>
        <v>arrullo</v>
      </c>
      <c r="H2535" s="4" t="s">
        <v>8220</v>
      </c>
      <c r="I2535" s="4" t="s">
        <v>8220</v>
      </c>
      <c r="J2535" s="4" t="s">
        <v>8220</v>
      </c>
    </row>
    <row r="2536">
      <c r="A2536" s="4">
        <v>98.0</v>
      </c>
      <c r="B2536" s="4" t="s">
        <v>8035</v>
      </c>
      <c r="C2536" s="4"/>
      <c r="D2536" s="4" t="s">
        <v>6072</v>
      </c>
      <c r="E2536" s="4" t="s">
        <v>6073</v>
      </c>
      <c r="F2536" s="4" t="s">
        <v>1588</v>
      </c>
      <c r="G2536" s="5" t="str">
        <f>IFERROR(__xludf.DUMMYFUNCTION("GOOGLETRANSLATE(D2536,""en"",""es"")"),"cocinero")</f>
        <v>cocinero</v>
      </c>
      <c r="H2536" s="4" t="s">
        <v>6072</v>
      </c>
      <c r="I2536" s="4" t="s">
        <v>6074</v>
      </c>
      <c r="J2536" s="4" t="s">
        <v>6075</v>
      </c>
      <c r="K2536" s="4" t="s">
        <v>6076</v>
      </c>
      <c r="L2536" s="4" t="s">
        <v>6077</v>
      </c>
      <c r="M2536" s="4" t="s">
        <v>6072</v>
      </c>
      <c r="N2536" s="4" t="s">
        <v>6072</v>
      </c>
      <c r="O2536" s="4" t="s">
        <v>6078</v>
      </c>
      <c r="P2536" s="4" t="s">
        <v>6079</v>
      </c>
      <c r="Q2536" s="4" t="s">
        <v>3000</v>
      </c>
      <c r="R2536" s="4" t="s">
        <v>6080</v>
      </c>
      <c r="S2536" s="4" t="s">
        <v>6072</v>
      </c>
      <c r="T2536" s="4" t="s">
        <v>6081</v>
      </c>
      <c r="U2536" s="4" t="s">
        <v>2424</v>
      </c>
      <c r="V2536" s="4" t="s">
        <v>6082</v>
      </c>
      <c r="W2536" s="4" t="s">
        <v>6083</v>
      </c>
      <c r="X2536" s="4" t="s">
        <v>6072</v>
      </c>
      <c r="Y2536" s="4" t="s">
        <v>6084</v>
      </c>
      <c r="Z2536" s="4" t="s">
        <v>6085</v>
      </c>
      <c r="AA2536" s="4" t="s">
        <v>6072</v>
      </c>
    </row>
    <row r="2537">
      <c r="A2537" s="4">
        <v>99.0</v>
      </c>
      <c r="B2537" s="4" t="s">
        <v>8035</v>
      </c>
      <c r="C2537" s="4"/>
      <c r="D2537" s="4" t="s">
        <v>1554</v>
      </c>
      <c r="E2537" s="4" t="s">
        <v>6086</v>
      </c>
      <c r="F2537" s="4" t="s">
        <v>1556</v>
      </c>
      <c r="G2537" s="5" t="str">
        <f>IFERROR(__xludf.DUMMYFUNCTION("GOOGLETRANSLATE(D2537,""en"",""es"")"),"Galleta")</f>
        <v>Galleta</v>
      </c>
      <c r="H2537" s="4" t="s">
        <v>1554</v>
      </c>
      <c r="I2537" s="4" t="s">
        <v>6087</v>
      </c>
      <c r="J2537" s="4" t="s">
        <v>6088</v>
      </c>
      <c r="K2537" s="4" t="s">
        <v>1554</v>
      </c>
      <c r="L2537" s="4" t="s">
        <v>6087</v>
      </c>
      <c r="M2537" s="4" t="s">
        <v>1554</v>
      </c>
    </row>
    <row r="2538">
      <c r="A2538" s="4">
        <v>100.0</v>
      </c>
      <c r="B2538" s="4" t="s">
        <v>8035</v>
      </c>
      <c r="C2538" s="4"/>
      <c r="D2538" s="4" t="s">
        <v>6089</v>
      </c>
      <c r="E2538" s="4" t="s">
        <v>1479</v>
      </c>
      <c r="F2538" s="4" t="s">
        <v>1480</v>
      </c>
      <c r="G2538" s="5" t="str">
        <f>IFERROR(__xludf.DUMMYFUNCTION("GOOGLETRANSLATE(D2538,""en"",""es"")"),"cooley")</f>
        <v>cooley</v>
      </c>
    </row>
    <row r="2539">
      <c r="A2539" s="4">
        <v>101.0</v>
      </c>
      <c r="B2539" s="4" t="s">
        <v>8035</v>
      </c>
      <c r="C2539" s="4"/>
      <c r="D2539" s="4" t="s">
        <v>8221</v>
      </c>
      <c r="E2539" s="4" t="s">
        <v>8222</v>
      </c>
      <c r="F2539" s="4" t="s">
        <v>8223</v>
      </c>
      <c r="G2539" s="5" t="str">
        <f>IFERROR(__xludf.DUMMYFUNCTION("GOOGLETRANSLATE(D2539,""en"",""es"")"),"mapache")</f>
        <v>mapache</v>
      </c>
      <c r="H2539" s="4" t="s">
        <v>8221</v>
      </c>
      <c r="I2539" s="4" t="s">
        <v>8224</v>
      </c>
      <c r="J2539" s="4" t="s">
        <v>8225</v>
      </c>
      <c r="K2539" s="4" t="s">
        <v>8226</v>
      </c>
      <c r="L2539" s="4" t="s">
        <v>8221</v>
      </c>
      <c r="M2539" s="4" t="s">
        <v>8227</v>
      </c>
      <c r="N2539" s="4" t="s">
        <v>8228</v>
      </c>
      <c r="O2539" s="4" t="s">
        <v>8229</v>
      </c>
      <c r="P2539" s="4" t="s">
        <v>8230</v>
      </c>
      <c r="Q2539" s="4" t="s">
        <v>8221</v>
      </c>
      <c r="R2539" s="4" t="s">
        <v>8231</v>
      </c>
      <c r="S2539" s="4" t="s">
        <v>8232</v>
      </c>
    </row>
    <row r="2540">
      <c r="A2540" s="4">
        <v>102.0</v>
      </c>
      <c r="B2540" s="4" t="s">
        <v>8035</v>
      </c>
      <c r="C2540" s="4"/>
      <c r="D2540" s="4" t="s">
        <v>6296</v>
      </c>
      <c r="E2540" s="4" t="s">
        <v>8233</v>
      </c>
      <c r="F2540" s="4" t="s">
        <v>322</v>
      </c>
      <c r="G2540" s="5" t="str">
        <f>IFERROR(__xludf.DUMMYFUNCTION("GOOGLETRANSLATE(D2540,""en"",""es"")"),"policía")</f>
        <v>policía</v>
      </c>
      <c r="H2540" s="4" t="s">
        <v>8234</v>
      </c>
      <c r="I2540" s="4" t="s">
        <v>6296</v>
      </c>
      <c r="J2540" s="4" t="s">
        <v>8235</v>
      </c>
      <c r="K2540" s="4" t="s">
        <v>5355</v>
      </c>
      <c r="L2540" s="4" t="s">
        <v>5084</v>
      </c>
      <c r="M2540" s="4" t="s">
        <v>6278</v>
      </c>
      <c r="N2540" s="4" t="s">
        <v>6294</v>
      </c>
      <c r="O2540" s="4" t="s">
        <v>6295</v>
      </c>
      <c r="P2540" s="4" t="s">
        <v>6296</v>
      </c>
      <c r="Q2540" s="4" t="s">
        <v>6297</v>
      </c>
      <c r="R2540" s="4" t="s">
        <v>6298</v>
      </c>
      <c r="S2540" s="4" t="s">
        <v>1457</v>
      </c>
      <c r="T2540" s="4" t="s">
        <v>8236</v>
      </c>
      <c r="U2540" s="4" t="s">
        <v>8237</v>
      </c>
      <c r="V2540" s="4" t="s">
        <v>8238</v>
      </c>
      <c r="W2540" s="4" t="s">
        <v>2678</v>
      </c>
      <c r="X2540" s="4" t="s">
        <v>8239</v>
      </c>
      <c r="Y2540" s="4" t="s">
        <v>6296</v>
      </c>
    </row>
    <row r="2541">
      <c r="A2541" s="4">
        <v>103.0</v>
      </c>
      <c r="B2541" s="4" t="s">
        <v>8035</v>
      </c>
      <c r="C2541" s="4"/>
      <c r="D2541" s="4" t="s">
        <v>1910</v>
      </c>
      <c r="E2541" s="4" t="s">
        <v>8240</v>
      </c>
      <c r="F2541" s="4" t="s">
        <v>5638</v>
      </c>
      <c r="G2541" s="5" t="str">
        <f>IFERROR(__xludf.DUMMYFUNCTION("GOOGLETRANSLATE(D2541,""en"",""es"")"),"Copiar")</f>
        <v>Copiar</v>
      </c>
      <c r="H2541" s="4" t="s">
        <v>8241</v>
      </c>
      <c r="I2541" s="4" t="s">
        <v>1910</v>
      </c>
      <c r="J2541" s="4" t="s">
        <v>1910</v>
      </c>
      <c r="K2541" s="4" t="s">
        <v>1910</v>
      </c>
      <c r="L2541" s="4" t="s">
        <v>8242</v>
      </c>
      <c r="M2541" s="4" t="s">
        <v>1910</v>
      </c>
      <c r="N2541" s="4" t="s">
        <v>1910</v>
      </c>
      <c r="O2541" s="4" t="s">
        <v>1909</v>
      </c>
      <c r="P2541" s="4" t="s">
        <v>1910</v>
      </c>
      <c r="Q2541" s="4" t="s">
        <v>1911</v>
      </c>
      <c r="R2541" s="4" t="s">
        <v>8243</v>
      </c>
      <c r="S2541" s="4" t="s">
        <v>1910</v>
      </c>
      <c r="T2541" s="4" t="s">
        <v>1910</v>
      </c>
      <c r="U2541" s="4" t="s">
        <v>8244</v>
      </c>
    </row>
    <row r="2542">
      <c r="A2542" s="4">
        <v>104.0</v>
      </c>
      <c r="B2542" s="4" t="s">
        <v>8035</v>
      </c>
      <c r="C2542" s="4"/>
      <c r="D2542" s="4" t="s">
        <v>8245</v>
      </c>
      <c r="E2542" s="4" t="s">
        <v>8246</v>
      </c>
      <c r="F2542" s="4" t="s">
        <v>1336</v>
      </c>
      <c r="G2542" s="5" t="str">
        <f>IFERROR(__xludf.DUMMYFUNCTION("GOOGLETRANSLATE(D2542,""en"",""es"")"),"costilla")</f>
        <v>costilla</v>
      </c>
      <c r="H2542" s="4" t="s">
        <v>8247</v>
      </c>
      <c r="I2542" s="4" t="s">
        <v>8245</v>
      </c>
      <c r="J2542" s="4" t="s">
        <v>8245</v>
      </c>
      <c r="K2542" s="4" t="s">
        <v>8248</v>
      </c>
      <c r="L2542" s="4" t="s">
        <v>8249</v>
      </c>
      <c r="M2542" s="4" t="s">
        <v>8250</v>
      </c>
      <c r="N2542" s="4" t="s">
        <v>8251</v>
      </c>
      <c r="O2542" s="4" t="s">
        <v>8252</v>
      </c>
      <c r="P2542" s="4" t="s">
        <v>8253</v>
      </c>
      <c r="Q2542" s="4" t="s">
        <v>8254</v>
      </c>
      <c r="R2542" s="4" t="s">
        <v>8255</v>
      </c>
      <c r="S2542" s="4" t="s">
        <v>8256</v>
      </c>
      <c r="T2542" s="4" t="s">
        <v>8257</v>
      </c>
      <c r="U2542" s="4" t="s">
        <v>8253</v>
      </c>
      <c r="V2542" s="4" t="s">
        <v>8258</v>
      </c>
      <c r="W2542" s="4" t="s">
        <v>8259</v>
      </c>
      <c r="X2542" s="4" t="s">
        <v>8253</v>
      </c>
    </row>
    <row r="2543">
      <c r="A2543" s="4">
        <v>105.0</v>
      </c>
      <c r="B2543" s="4" t="s">
        <v>8035</v>
      </c>
      <c r="C2543" s="4"/>
      <c r="D2543" s="4" t="s">
        <v>8260</v>
      </c>
      <c r="E2543" s="4" t="s">
        <v>8261</v>
      </c>
      <c r="F2543" s="4" t="s">
        <v>8262</v>
      </c>
      <c r="G2543" s="5" t="str">
        <f>IFERROR(__xludf.DUMMYFUNCTION("GOOGLETRANSLATE(D2543,""en"",""es"")"),"cosaco")</f>
        <v>cosaco</v>
      </c>
      <c r="H2543" s="4" t="s">
        <v>8263</v>
      </c>
    </row>
    <row r="2544">
      <c r="A2544" s="4">
        <v>106.0</v>
      </c>
      <c r="B2544" s="4" t="s">
        <v>8035</v>
      </c>
      <c r="C2544" s="4"/>
      <c r="D2544" s="4" t="s">
        <v>8264</v>
      </c>
      <c r="E2544" s="4" t="s">
        <v>1479</v>
      </c>
      <c r="F2544" s="4" t="s">
        <v>1480</v>
      </c>
      <c r="G2544" s="5" t="str">
        <f>IFERROR(__xludf.DUMMYFUNCTION("GOOGLETRANSLATE(D2544,""en"",""es"")"),"corriente de lava")</f>
        <v>corriente de lava</v>
      </c>
    </row>
    <row r="2545">
      <c r="A2545" s="4">
        <v>107.0</v>
      </c>
      <c r="B2545" s="4" t="s">
        <v>8035</v>
      </c>
      <c r="C2545" s="4"/>
      <c r="D2545" s="4" t="s">
        <v>8265</v>
      </c>
      <c r="E2545" s="4" t="s">
        <v>8266</v>
      </c>
      <c r="F2545" s="4" t="s">
        <v>8267</v>
      </c>
      <c r="G2545" s="5" t="str">
        <f>IFERROR(__xludf.DUMMYFUNCTION("GOOGLETRANSLATE(D2545,""en"",""es"")"),"culombio")</f>
        <v>culombio</v>
      </c>
      <c r="H2545" s="4" t="s">
        <v>8265</v>
      </c>
      <c r="I2545" s="4" t="s">
        <v>8268</v>
      </c>
      <c r="J2545" s="4" t="s">
        <v>8269</v>
      </c>
      <c r="K2545" s="4" t="s">
        <v>8270</v>
      </c>
      <c r="L2545" s="4" t="s">
        <v>8271</v>
      </c>
    </row>
    <row r="2546">
      <c r="A2546" s="4">
        <v>108.0</v>
      </c>
      <c r="B2546" s="4" t="s">
        <v>8035</v>
      </c>
      <c r="C2546" s="4"/>
      <c r="D2546" s="4" t="s">
        <v>8272</v>
      </c>
      <c r="E2546" s="4" t="s">
        <v>1581</v>
      </c>
      <c r="F2546" s="4" t="s">
        <v>1582</v>
      </c>
      <c r="G2546" s="5" t="str">
        <f>IFERROR(__xludf.DUMMYFUNCTION("GOOGLETRANSLATE(D2546,""en"",""es"")"),"golpe")</f>
        <v>golpe</v>
      </c>
      <c r="H2546" s="4" t="s">
        <v>8273</v>
      </c>
      <c r="I2546" s="4" t="s">
        <v>8272</v>
      </c>
      <c r="J2546" s="4" t="s">
        <v>8274</v>
      </c>
      <c r="K2546" s="4" t="s">
        <v>8275</v>
      </c>
      <c r="L2546" s="4" t="s">
        <v>8272</v>
      </c>
    </row>
    <row r="2547">
      <c r="A2547" s="4">
        <v>109.0</v>
      </c>
      <c r="B2547" s="4" t="s">
        <v>8035</v>
      </c>
      <c r="C2547" s="4"/>
      <c r="D2547" s="4" t="s">
        <v>8276</v>
      </c>
      <c r="E2547" s="4" t="s">
        <v>8277</v>
      </c>
      <c r="F2547" s="4" t="s">
        <v>8278</v>
      </c>
      <c r="G2547" s="5" t="str">
        <f>IFERROR(__xludf.DUMMYFUNCTION("GOOGLETRANSLATE(D2547,""en"",""es"")"),"maleta")</f>
        <v>maleta</v>
      </c>
      <c r="H2547" s="4" t="s">
        <v>8276</v>
      </c>
    </row>
    <row r="2548">
      <c r="A2548" s="4">
        <v>110.0</v>
      </c>
      <c r="B2548" s="4" t="s">
        <v>8035</v>
      </c>
      <c r="C2548" s="4"/>
      <c r="D2548" s="4" t="s">
        <v>8279</v>
      </c>
      <c r="E2548" s="4" t="s">
        <v>8280</v>
      </c>
      <c r="F2548" s="4" t="s">
        <v>8281</v>
      </c>
      <c r="G2548" s="5" t="str">
        <f>IFERROR(__xludf.DUMMYFUNCTION("GOOGLETRANSLATE(D2548,""en"",""es"")"),"chavito")</f>
        <v>chavito</v>
      </c>
      <c r="H2548" s="4" t="s">
        <v>8279</v>
      </c>
    </row>
    <row r="2549">
      <c r="A2549" s="4">
        <v>111.0</v>
      </c>
      <c r="B2549" s="4" t="s">
        <v>8035</v>
      </c>
      <c r="C2549" s="4"/>
      <c r="D2549" s="4" t="s">
        <v>8282</v>
      </c>
      <c r="E2549" s="4" t="s">
        <v>8283</v>
      </c>
      <c r="F2549" s="4" t="s">
        <v>8284</v>
      </c>
      <c r="G2549" s="5" t="str">
        <f>IFERROR(__xludf.DUMMYFUNCTION("GOOGLETRANSLATE(D2549,""en"",""es"")"),"UPC")</f>
        <v>UPC</v>
      </c>
      <c r="H2549" s="4" t="s">
        <v>8285</v>
      </c>
      <c r="I2549" s="4" t="s">
        <v>8286</v>
      </c>
      <c r="J2549" s="4" t="s">
        <v>8287</v>
      </c>
      <c r="K2549" s="4" t="s">
        <v>8288</v>
      </c>
      <c r="L2549" s="4" t="s">
        <v>8289</v>
      </c>
      <c r="M2549" s="4" t="s">
        <v>8290</v>
      </c>
    </row>
    <row r="2550">
      <c r="A2550" s="4">
        <v>112.0</v>
      </c>
      <c r="B2550" s="4" t="s">
        <v>8035</v>
      </c>
      <c r="C2550" s="4"/>
      <c r="D2550" s="4" t="s">
        <v>6090</v>
      </c>
      <c r="E2550" s="4" t="s">
        <v>6091</v>
      </c>
      <c r="F2550" s="4" t="s">
        <v>6092</v>
      </c>
      <c r="G2550" s="5" t="str">
        <f>IFERROR(__xludf.DUMMYFUNCTION("GOOGLETRANSLATE(D2550,""en"",""es"")"),"semen")</f>
        <v>semen</v>
      </c>
      <c r="H2550" s="4" t="s">
        <v>6093</v>
      </c>
      <c r="I2550" s="4" t="s">
        <v>6094</v>
      </c>
      <c r="J2550" s="4" t="s">
        <v>6095</v>
      </c>
      <c r="K2550" s="4" t="s">
        <v>6096</v>
      </c>
      <c r="L2550" s="4" t="s">
        <v>6090</v>
      </c>
      <c r="M2550" s="4" t="s">
        <v>4146</v>
      </c>
    </row>
    <row r="2551">
      <c r="A2551" s="4">
        <v>113.0</v>
      </c>
      <c r="B2551" s="4" t="s">
        <v>8035</v>
      </c>
      <c r="C2551" s="4"/>
      <c r="D2551" s="4" t="s">
        <v>1521</v>
      </c>
      <c r="E2551" s="4" t="s">
        <v>8291</v>
      </c>
      <c r="F2551" s="4" t="s">
        <v>8292</v>
      </c>
      <c r="G2551" s="5" t="str">
        <f>IFERROR(__xludf.DUMMYFUNCTION("GOOGLETRANSLATE(D2551,""en"",""es"")"),"comino")</f>
        <v>comino</v>
      </c>
      <c r="H2551" s="4" t="s">
        <v>1521</v>
      </c>
      <c r="I2551" s="4" t="s">
        <v>1525</v>
      </c>
      <c r="J2551" s="4" t="s">
        <v>1521</v>
      </c>
      <c r="K2551" s="4" t="s">
        <v>1522</v>
      </c>
    </row>
    <row r="2552">
      <c r="A2552" s="4">
        <v>114.0</v>
      </c>
      <c r="B2552" s="4" t="s">
        <v>8035</v>
      </c>
      <c r="C2552" s="4"/>
      <c r="D2552" s="4" t="s">
        <v>1521</v>
      </c>
      <c r="E2552" s="4" t="s">
        <v>8293</v>
      </c>
      <c r="F2552" s="4" t="s">
        <v>8292</v>
      </c>
      <c r="G2552" s="5" t="str">
        <f>IFERROR(__xludf.DUMMYFUNCTION("GOOGLETRANSLATE(D2552,""en"",""es"")"),"comino")</f>
        <v>comino</v>
      </c>
      <c r="H2552" s="4" t="s">
        <v>1521</v>
      </c>
      <c r="I2552" s="4" t="s">
        <v>1525</v>
      </c>
      <c r="J2552" s="4" t="s">
        <v>1521</v>
      </c>
      <c r="K2552" s="4" t="s">
        <v>1522</v>
      </c>
    </row>
    <row r="2553">
      <c r="A2553" s="4">
        <v>115.0</v>
      </c>
      <c r="B2553" s="4" t="s">
        <v>8035</v>
      </c>
      <c r="C2553" s="4"/>
      <c r="D2553" s="4" t="s">
        <v>6097</v>
      </c>
      <c r="E2553" s="4" t="s">
        <v>6098</v>
      </c>
      <c r="F2553" s="4" t="s">
        <v>6099</v>
      </c>
      <c r="G2553" s="5" t="str">
        <f>IFERROR(__xludf.DUMMYFUNCTION("GOOGLETRANSLATE(D2553,""en"",""es"")"),"cusa")</f>
        <v>cusa</v>
      </c>
    </row>
    <row r="2554">
      <c r="A2554" s="4">
        <v>116.0</v>
      </c>
      <c r="B2554" s="4" t="s">
        <v>8035</v>
      </c>
      <c r="C2554" s="4"/>
      <c r="D2554" s="4" t="s">
        <v>6100</v>
      </c>
      <c r="E2554" s="4" t="s">
        <v>6101</v>
      </c>
      <c r="F2554" s="4" t="s">
        <v>1451</v>
      </c>
      <c r="G2554" s="5" t="str">
        <f>IFERROR(__xludf.DUMMYFUNCTION("GOOGLETRANSLATE(D2554,""en"",""es"")"),"fácil")</f>
        <v>fácil</v>
      </c>
      <c r="H2554" s="4" t="s">
        <v>6100</v>
      </c>
      <c r="I2554" s="4" t="s">
        <v>6102</v>
      </c>
      <c r="J2554" s="4" t="s">
        <v>6103</v>
      </c>
    </row>
    <row r="2555">
      <c r="A2555" s="4">
        <v>117.0</v>
      </c>
      <c r="B2555" s="4" t="s">
        <v>8035</v>
      </c>
      <c r="C2555" s="4"/>
      <c r="D2555" s="4" t="s">
        <v>6104</v>
      </c>
      <c r="E2555" s="4" t="s">
        <v>6091</v>
      </c>
      <c r="F2555" s="4" t="s">
        <v>6092</v>
      </c>
      <c r="G2555" s="5" t="str">
        <f>IFERROR(__xludf.DUMMYFUNCTION("GOOGLETRANSLATE(D2555,""en"",""es"")"),"CWM")</f>
        <v>CWM</v>
      </c>
      <c r="H2555" s="4" t="s">
        <v>6105</v>
      </c>
      <c r="I2555" s="4" t="s">
        <v>6106</v>
      </c>
      <c r="J2555" s="4" t="s">
        <v>6104</v>
      </c>
    </row>
    <row r="2556">
      <c r="A2556" s="4">
        <v>118.0</v>
      </c>
      <c r="B2556" s="4" t="s">
        <v>8035</v>
      </c>
      <c r="C2556" s="4"/>
      <c r="D2556" s="4" t="s">
        <v>1716</v>
      </c>
      <c r="E2556" s="4" t="s">
        <v>6107</v>
      </c>
      <c r="F2556" s="4" t="s">
        <v>1712</v>
      </c>
      <c r="G2556" s="5" t="str">
        <f>IFERROR(__xludf.DUMMYFUNCTION("GOOGLETRANSLATE(D2556,""en"",""es"")"),"cínico")</f>
        <v>cínico</v>
      </c>
      <c r="H2556" s="4" t="s">
        <v>1716</v>
      </c>
      <c r="I2556" s="4" t="s">
        <v>1717</v>
      </c>
      <c r="J2556" s="4" t="s">
        <v>6108</v>
      </c>
    </row>
    <row r="2557">
      <c r="A2557" s="4">
        <v>119.0</v>
      </c>
      <c r="B2557" s="4" t="s">
        <v>8035</v>
      </c>
      <c r="C2557" s="4"/>
      <c r="D2557" s="4" t="s">
        <v>8294</v>
      </c>
      <c r="E2557" s="4" t="s">
        <v>8295</v>
      </c>
      <c r="F2557" s="4" t="s">
        <v>6328</v>
      </c>
      <c r="G2557" s="5" t="str">
        <f>IFERROR(__xludf.DUMMYFUNCTION("GOOGLETRANSLATE(D2557,""en"",""es"")"),"eek")</f>
        <v>eek</v>
      </c>
    </row>
    <row r="2558">
      <c r="A2558" s="4">
        <v>120.0</v>
      </c>
      <c r="B2558" s="4" t="s">
        <v>8035</v>
      </c>
      <c r="C2558" s="4"/>
      <c r="D2558" s="4" t="s">
        <v>6109</v>
      </c>
      <c r="E2558" s="4" t="s">
        <v>6110</v>
      </c>
      <c r="F2558" s="4" t="s">
        <v>6111</v>
      </c>
      <c r="G2558" s="5" t="str">
        <f>IFERROR(__xludf.DUMMYFUNCTION("GOOGLETRANSLATE(D2558,""en"",""es"")"),"EEP")</f>
        <v>EEP</v>
      </c>
    </row>
    <row r="2559">
      <c r="A2559" s="4">
        <v>121.0</v>
      </c>
      <c r="B2559" s="4" t="s">
        <v>8035</v>
      </c>
      <c r="C2559" s="4"/>
      <c r="D2559" s="4" t="s">
        <v>8296</v>
      </c>
      <c r="E2559" s="4" t="s">
        <v>8295</v>
      </c>
      <c r="F2559" s="4" t="s">
        <v>6328</v>
      </c>
      <c r="G2559" s="5" t="str">
        <f>IFERROR(__xludf.DUMMYFUNCTION("GOOGLETRANSLATE(D2559,""en"",""es"")"),"suplir las deficiencias")</f>
        <v>suplir las deficiencias</v>
      </c>
    </row>
    <row r="2560">
      <c r="A2560" s="4">
        <v>122.0</v>
      </c>
      <c r="B2560" s="4" t="s">
        <v>8035</v>
      </c>
      <c r="C2560" s="4"/>
      <c r="D2560" s="4" t="s">
        <v>8297</v>
      </c>
      <c r="E2560" s="4" t="s">
        <v>8298</v>
      </c>
      <c r="F2560" s="4" t="s">
        <v>8299</v>
      </c>
      <c r="G2560" s="5" t="str">
        <f>IFERROR(__xludf.DUMMYFUNCTION("GOOGLETRANSLATE(D2560,""en"",""es"")"),"época")</f>
        <v>época</v>
      </c>
      <c r="H2560" s="4" t="s">
        <v>8300</v>
      </c>
      <c r="I2560" s="4" t="s">
        <v>8297</v>
      </c>
      <c r="J2560" s="4" t="s">
        <v>8297</v>
      </c>
      <c r="K2560" s="4" t="s">
        <v>8301</v>
      </c>
      <c r="L2560" s="4" t="s">
        <v>8297</v>
      </c>
    </row>
    <row r="2561">
      <c r="A2561" s="4">
        <v>123.0</v>
      </c>
      <c r="B2561" s="4" t="s">
        <v>8035</v>
      </c>
      <c r="C2561" s="4"/>
      <c r="D2561" s="4" t="s">
        <v>8302</v>
      </c>
      <c r="E2561" s="4" t="s">
        <v>8303</v>
      </c>
      <c r="F2561" s="4" t="s">
        <v>8304</v>
      </c>
      <c r="G2561" s="5" t="str">
        <f>IFERROR(__xludf.DUMMYFUNCTION("GOOGLETRANSLATE(D2561,""en"",""es"")"),"evitar")</f>
        <v>evitar</v>
      </c>
      <c r="H2561" s="4" t="s">
        <v>8305</v>
      </c>
      <c r="I2561" s="4" t="s">
        <v>8302</v>
      </c>
    </row>
    <row r="2562">
      <c r="A2562" s="4">
        <v>124.0</v>
      </c>
      <c r="B2562" s="4" t="s">
        <v>8035</v>
      </c>
      <c r="C2562" s="4"/>
      <c r="D2562" s="4" t="s">
        <v>8306</v>
      </c>
      <c r="E2562" s="4" t="s">
        <v>8307</v>
      </c>
      <c r="F2562" s="4" t="s">
        <v>8308</v>
      </c>
      <c r="G2562" s="5" t="str">
        <f>IFERROR(__xludf.DUMMYFUNCTION("GOOGLETRANSLATE(D2562,""en"",""es"")"),"eudoemónico")</f>
        <v>eudoemónico</v>
      </c>
      <c r="H2562" s="4" t="s">
        <v>8309</v>
      </c>
      <c r="I2562" s="4" t="s">
        <v>8306</v>
      </c>
    </row>
    <row r="2563">
      <c r="A2563" s="4">
        <v>125.0</v>
      </c>
      <c r="B2563" s="4" t="s">
        <v>8035</v>
      </c>
      <c r="C2563" s="4"/>
      <c r="D2563" s="4" t="s">
        <v>6112</v>
      </c>
      <c r="E2563" s="4" t="s">
        <v>6113</v>
      </c>
      <c r="F2563" s="4" t="s">
        <v>6114</v>
      </c>
      <c r="G2563" s="5" t="str">
        <f>IFERROR(__xludf.DUMMYFUNCTION("GOOGLETRANSLATE(D2563,""en"",""es"")"),"eunice")</f>
        <v>eunice</v>
      </c>
    </row>
    <row r="2564">
      <c r="A2564" s="4">
        <v>126.0</v>
      </c>
      <c r="B2564" s="4" t="s">
        <v>8035</v>
      </c>
      <c r="C2564" s="4"/>
      <c r="D2564" s="4" t="s">
        <v>6115</v>
      </c>
      <c r="E2564" s="4" t="s">
        <v>6116</v>
      </c>
      <c r="F2564" s="4" t="s">
        <v>6117</v>
      </c>
      <c r="G2564" s="5" t="str">
        <f>IFERROR(__xludf.DUMMYFUNCTION("GOOGLETRANSLATE(D2564,""en"",""es"")"),"expediente")</f>
        <v>expediente</v>
      </c>
    </row>
    <row r="2565">
      <c r="A2565" s="4">
        <v>127.0</v>
      </c>
      <c r="B2565" s="4" t="s">
        <v>8035</v>
      </c>
      <c r="C2565" s="4"/>
      <c r="D2565" s="4" t="s">
        <v>6118</v>
      </c>
      <c r="E2565" s="4" t="s">
        <v>6119</v>
      </c>
      <c r="F2565" s="4" t="s">
        <v>6120</v>
      </c>
      <c r="G2565" s="5" t="str">
        <f>IFERROR(__xludf.DUMMYFUNCTION("GOOGLETRANSLATE(D2565,""en"",""es"")"),"Eyak")</f>
        <v>Eyak</v>
      </c>
    </row>
    <row r="2566">
      <c r="A2566" s="4">
        <v>128.0</v>
      </c>
      <c r="B2566" s="4" t="s">
        <v>8035</v>
      </c>
      <c r="C2566" s="4"/>
      <c r="D2566" s="4" t="s">
        <v>6121</v>
      </c>
      <c r="E2566" s="4" t="s">
        <v>6122</v>
      </c>
      <c r="F2566" s="4" t="s">
        <v>383</v>
      </c>
      <c r="G2566" s="5" t="str">
        <f>IFERROR(__xludf.DUMMYFUNCTION("GOOGLETRANSLATE(D2566,""en"",""es"")"),"rechinar")</f>
        <v>rechinar</v>
      </c>
      <c r="H2566" s="4" t="s">
        <v>6121</v>
      </c>
    </row>
    <row r="2567">
      <c r="A2567" s="4">
        <v>129.0</v>
      </c>
      <c r="B2567" s="4" t="s">
        <v>8035</v>
      </c>
      <c r="C2567" s="4"/>
      <c r="D2567" s="4" t="s">
        <v>3492</v>
      </c>
      <c r="E2567" s="4" t="s">
        <v>6126</v>
      </c>
      <c r="F2567" s="4" t="s">
        <v>6127</v>
      </c>
      <c r="G2567" s="5" t="str">
        <f>IFERROR(__xludf.DUMMYFUNCTION("GOOGLETRANSLATE(D2567,""en"",""es"")"),"cortar a tajos")</f>
        <v>cortar a tajos</v>
      </c>
      <c r="H2567" s="4" t="s">
        <v>3492</v>
      </c>
      <c r="I2567" s="4" t="s">
        <v>6128</v>
      </c>
      <c r="J2567" s="4" t="s">
        <v>6129</v>
      </c>
      <c r="K2567" s="4" t="s">
        <v>6130</v>
      </c>
      <c r="L2567" s="4" t="s">
        <v>6131</v>
      </c>
      <c r="M2567" s="4" t="s">
        <v>6132</v>
      </c>
      <c r="N2567" s="4" t="s">
        <v>3492</v>
      </c>
      <c r="O2567" s="4" t="s">
        <v>3492</v>
      </c>
      <c r="P2567" s="4" t="s">
        <v>6133</v>
      </c>
      <c r="Q2567" s="4" t="s">
        <v>6134</v>
      </c>
      <c r="R2567" s="4" t="s">
        <v>3492</v>
      </c>
      <c r="S2567" s="4" t="s">
        <v>6135</v>
      </c>
      <c r="T2567" s="4" t="s">
        <v>3492</v>
      </c>
      <c r="U2567" s="4" t="s">
        <v>6136</v>
      </c>
      <c r="V2567" s="4" t="s">
        <v>6137</v>
      </c>
      <c r="W2567" s="4" t="s">
        <v>3492</v>
      </c>
      <c r="X2567" s="4" t="s">
        <v>6138</v>
      </c>
      <c r="Y2567" s="4" t="s">
        <v>6139</v>
      </c>
      <c r="Z2567" s="4" t="s">
        <v>4323</v>
      </c>
      <c r="AA2567" s="4" t="s">
        <v>3492</v>
      </c>
      <c r="AB2567" s="4" t="s">
        <v>3492</v>
      </c>
      <c r="AC2567" s="4" t="s">
        <v>3491</v>
      </c>
      <c r="AD2567" s="4" t="s">
        <v>3492</v>
      </c>
      <c r="AE2567" s="4" t="s">
        <v>3492</v>
      </c>
      <c r="AF2567" s="4" t="s">
        <v>1250</v>
      </c>
      <c r="AG2567" s="4" t="s">
        <v>3492</v>
      </c>
      <c r="AH2567" s="4" t="s">
        <v>3492</v>
      </c>
      <c r="AI2567" s="4" t="s">
        <v>3492</v>
      </c>
      <c r="AJ2567" s="4" t="s">
        <v>3492</v>
      </c>
      <c r="AK2567" s="4" t="s">
        <v>6140</v>
      </c>
      <c r="AL2567" s="4" t="s">
        <v>3492</v>
      </c>
      <c r="AM2567" s="4" t="s">
        <v>4288</v>
      </c>
      <c r="AN2567" s="4" t="s">
        <v>3492</v>
      </c>
      <c r="AO2567" s="4" t="s">
        <v>6141</v>
      </c>
    </row>
    <row r="2568">
      <c r="A2568" s="4">
        <v>130.0</v>
      </c>
      <c r="B2568" s="4" t="s">
        <v>8035</v>
      </c>
      <c r="C2568" s="4"/>
      <c r="D2568" s="4" t="s">
        <v>6142</v>
      </c>
      <c r="E2568" s="4" t="s">
        <v>4874</v>
      </c>
      <c r="F2568" s="4" t="s">
        <v>4812</v>
      </c>
      <c r="G2568" s="5" t="str">
        <f>IFERROR(__xludf.DUMMYFUNCTION("GOOGLETRANSLATE(D2568,""en"",""es"")"),"jajaja")</f>
        <v>jajaja</v>
      </c>
    </row>
    <row r="2569">
      <c r="A2569" s="4">
        <v>131.0</v>
      </c>
      <c r="B2569" s="4" t="s">
        <v>8035</v>
      </c>
      <c r="C2569" s="4"/>
      <c r="D2569" s="4" t="s">
        <v>8310</v>
      </c>
      <c r="E2569" s="4" t="s">
        <v>8311</v>
      </c>
      <c r="F2569" s="4" t="s">
        <v>1786</v>
      </c>
      <c r="G2569" s="5" t="str">
        <f>IFERROR(__xludf.DUMMYFUNCTION("GOOGLETRANSLATE(D2569,""en"",""es"")"),"Hahn")</f>
        <v>Hahn</v>
      </c>
      <c r="H2569" s="4" t="s">
        <v>8312</v>
      </c>
      <c r="I2569" s="4" t="s">
        <v>8313</v>
      </c>
    </row>
    <row r="2570">
      <c r="A2570" s="4">
        <v>132.0</v>
      </c>
      <c r="B2570" s="4" t="s">
        <v>8035</v>
      </c>
      <c r="C2570" s="4"/>
      <c r="D2570" s="4" t="s">
        <v>4814</v>
      </c>
      <c r="E2570" s="4" t="s">
        <v>6143</v>
      </c>
      <c r="F2570" s="4" t="s">
        <v>4814</v>
      </c>
      <c r="G2570" s="5" t="str">
        <f>IFERROR(__xludf.DUMMYFUNCTION("GOOGLETRANSLATE(D2570,""en"",""es"")"),"Hal")</f>
        <v>Hal</v>
      </c>
    </row>
    <row r="2571">
      <c r="A2571" s="4">
        <v>133.0</v>
      </c>
      <c r="B2571" s="4" t="s">
        <v>8035</v>
      </c>
      <c r="C2571" s="4"/>
      <c r="D2571" s="4" t="s">
        <v>6144</v>
      </c>
      <c r="E2571" s="4" t="s">
        <v>6145</v>
      </c>
      <c r="F2571" s="4" t="s">
        <v>6146</v>
      </c>
      <c r="G2571" s="5" t="str">
        <f>IFERROR(__xludf.DUMMYFUNCTION("GOOGLETRANSLATE(D2571,""en"",""es"")"),"halley")</f>
        <v>halley</v>
      </c>
      <c r="H2571" s="4" t="s">
        <v>6147</v>
      </c>
      <c r="I2571" s="4" t="s">
        <v>6148</v>
      </c>
      <c r="J2571" s="4" t="s">
        <v>6149</v>
      </c>
    </row>
    <row r="2572">
      <c r="A2572" s="4">
        <v>134.0</v>
      </c>
      <c r="B2572" s="4" t="s">
        <v>8035</v>
      </c>
      <c r="C2572" s="4"/>
      <c r="D2572" s="4" t="s">
        <v>6150</v>
      </c>
      <c r="E2572" s="4" t="s">
        <v>6145</v>
      </c>
      <c r="F2572" s="4" t="s">
        <v>6146</v>
      </c>
      <c r="G2572" s="5" t="str">
        <f>IFERROR(__xludf.DUMMYFUNCTION("GOOGLETRANSLATE(D2572,""en"",""es"")"),"Hally")</f>
        <v>Hally</v>
      </c>
    </row>
    <row r="2573">
      <c r="A2573" s="4">
        <v>135.0</v>
      </c>
      <c r="B2573" s="4" t="s">
        <v>8035</v>
      </c>
      <c r="C2573" s="4"/>
      <c r="D2573" s="4" t="s">
        <v>1778</v>
      </c>
      <c r="E2573" s="4" t="s">
        <v>6151</v>
      </c>
      <c r="F2573" s="4" t="s">
        <v>1778</v>
      </c>
      <c r="G2573" s="5" t="str">
        <f>IFERROR(__xludf.DUMMYFUNCTION("GOOGLETRANSLATE(D2573,""en"",""es"")"),"jamón")</f>
        <v>jamón</v>
      </c>
      <c r="H2573" s="4" t="s">
        <v>1778</v>
      </c>
      <c r="I2573" s="4" t="s">
        <v>6152</v>
      </c>
      <c r="J2573" s="4" t="s">
        <v>6153</v>
      </c>
      <c r="K2573" s="4" t="s">
        <v>6154</v>
      </c>
      <c r="L2573" s="4" t="s">
        <v>1778</v>
      </c>
      <c r="M2573" s="4" t="s">
        <v>1778</v>
      </c>
      <c r="N2573" s="4" t="s">
        <v>6155</v>
      </c>
      <c r="O2573" s="4" t="s">
        <v>6156</v>
      </c>
      <c r="P2573" s="4" t="s">
        <v>6157</v>
      </c>
      <c r="Q2573" s="4" t="s">
        <v>1778</v>
      </c>
      <c r="R2573" s="4" t="s">
        <v>6158</v>
      </c>
    </row>
    <row r="2574">
      <c r="A2574" s="4">
        <v>136.0</v>
      </c>
      <c r="B2574" s="4" t="s">
        <v>8035</v>
      </c>
      <c r="C2574" s="4"/>
      <c r="D2574" s="4" t="s">
        <v>1786</v>
      </c>
      <c r="E2574" s="4" t="s">
        <v>4876</v>
      </c>
      <c r="F2574" s="4" t="s">
        <v>1786</v>
      </c>
      <c r="G2574" s="5" t="str">
        <f>IFERROR(__xludf.DUMMYFUNCTION("GOOGLETRANSLATE(D2574,""en"",""es"")"),"Han")</f>
        <v>Han</v>
      </c>
      <c r="H2574" s="4" t="s">
        <v>6159</v>
      </c>
      <c r="I2574" s="4" t="s">
        <v>6160</v>
      </c>
    </row>
    <row r="2575">
      <c r="A2575" s="4">
        <v>137.0</v>
      </c>
      <c r="B2575" s="4" t="s">
        <v>8035</v>
      </c>
      <c r="C2575" s="4"/>
      <c r="D2575" s="4" t="s">
        <v>1786</v>
      </c>
      <c r="E2575" s="4" t="s">
        <v>8311</v>
      </c>
      <c r="F2575" s="4" t="s">
        <v>1786</v>
      </c>
      <c r="G2575" s="5" t="str">
        <f>IFERROR(__xludf.DUMMYFUNCTION("GOOGLETRANSLATE(D2575,""en"",""es"")"),"Han")</f>
        <v>Han</v>
      </c>
      <c r="H2575" s="4" t="s">
        <v>6159</v>
      </c>
      <c r="I2575" s="4" t="s">
        <v>6160</v>
      </c>
    </row>
    <row r="2576">
      <c r="A2576" s="4">
        <v>138.0</v>
      </c>
      <c r="B2576" s="4" t="s">
        <v>8035</v>
      </c>
      <c r="C2576" s="4"/>
      <c r="D2576" s="4" t="s">
        <v>3399</v>
      </c>
      <c r="E2576" s="4" t="s">
        <v>6161</v>
      </c>
      <c r="F2576" s="4" t="s">
        <v>3399</v>
      </c>
      <c r="G2576" s="5" t="str">
        <f>IFERROR(__xludf.DUMMYFUNCTION("GOOGLETRANSLATE(D2576,""en"",""es"")"),"tener suerte")</f>
        <v>tener suerte</v>
      </c>
      <c r="H2576" s="4" t="s">
        <v>3399</v>
      </c>
      <c r="I2576" s="4" t="s">
        <v>3398</v>
      </c>
      <c r="J2576" s="4" t="s">
        <v>3399</v>
      </c>
      <c r="K2576" s="4" t="s">
        <v>3400</v>
      </c>
      <c r="L2576" s="4" t="s">
        <v>3401</v>
      </c>
      <c r="M2576" s="4" t="s">
        <v>3402</v>
      </c>
      <c r="N2576" s="4" t="s">
        <v>647</v>
      </c>
      <c r="O2576" s="4" t="s">
        <v>3403</v>
      </c>
      <c r="P2576" s="4" t="s">
        <v>3404</v>
      </c>
      <c r="Q2576" s="4" t="s">
        <v>3405</v>
      </c>
    </row>
    <row r="2577">
      <c r="A2577" s="4">
        <v>139.0</v>
      </c>
      <c r="B2577" s="4" t="s">
        <v>8035</v>
      </c>
      <c r="C2577" s="4"/>
      <c r="D2577" s="4" t="s">
        <v>6162</v>
      </c>
      <c r="E2577" s="4" t="s">
        <v>6163</v>
      </c>
      <c r="F2577" s="4" t="s">
        <v>6164</v>
      </c>
      <c r="G2577" s="5" t="str">
        <f>IFERROR(__xludf.DUMMYFUNCTION("GOOGLETRANSLATE(D2577,""en"",""es"")"),"felicidad")</f>
        <v>felicidad</v>
      </c>
      <c r="H2577" s="4" t="s">
        <v>6162</v>
      </c>
      <c r="I2577" s="4" t="s">
        <v>6165</v>
      </c>
      <c r="J2577" s="4" t="s">
        <v>6162</v>
      </c>
    </row>
    <row r="2578">
      <c r="A2578" s="4">
        <v>140.0</v>
      </c>
      <c r="B2578" s="4" t="s">
        <v>8035</v>
      </c>
      <c r="C2578" s="4"/>
      <c r="D2578" s="4" t="s">
        <v>6166</v>
      </c>
      <c r="E2578" s="4" t="s">
        <v>6167</v>
      </c>
      <c r="F2578" s="4" t="s">
        <v>6168</v>
      </c>
      <c r="G2578" s="5" t="str">
        <f>IFERROR(__xludf.DUMMYFUNCTION("GOOGLETRANSLATE(D2578,""en"",""es"")"),"contento")</f>
        <v>contento</v>
      </c>
      <c r="H2578" s="4" t="s">
        <v>6166</v>
      </c>
      <c r="I2578" s="4" t="s">
        <v>6169</v>
      </c>
      <c r="J2578" s="4" t="s">
        <v>6166</v>
      </c>
      <c r="K2578" s="4" t="s">
        <v>6170</v>
      </c>
      <c r="L2578" s="4" t="s">
        <v>6166</v>
      </c>
      <c r="M2578" s="4" t="s">
        <v>6166</v>
      </c>
      <c r="N2578" s="4" t="s">
        <v>6171</v>
      </c>
    </row>
    <row r="2579">
      <c r="A2579" s="4">
        <v>141.0</v>
      </c>
      <c r="B2579" s="4" t="s">
        <v>8035</v>
      </c>
      <c r="C2579" s="4"/>
      <c r="D2579" s="4" t="s">
        <v>6172</v>
      </c>
      <c r="E2579" s="4" t="s">
        <v>6173</v>
      </c>
      <c r="F2579" s="4" t="s">
        <v>6172</v>
      </c>
      <c r="G2579" s="5" t="str">
        <f>IFERROR(__xludf.DUMMYFUNCTION("GOOGLETRANSLATE(D2579,""en"",""es"")"),"picadillo")</f>
        <v>picadillo</v>
      </c>
      <c r="H2579" s="4" t="s">
        <v>6172</v>
      </c>
      <c r="I2579" s="4" t="s">
        <v>6174</v>
      </c>
      <c r="J2579" s="4" t="s">
        <v>6175</v>
      </c>
      <c r="K2579" s="4" t="s">
        <v>6176</v>
      </c>
      <c r="L2579" s="4" t="s">
        <v>6172</v>
      </c>
      <c r="M2579" s="4" t="s">
        <v>6172</v>
      </c>
    </row>
    <row r="2580">
      <c r="A2580" s="4">
        <v>142.0</v>
      </c>
      <c r="B2580" s="4" t="s">
        <v>8035</v>
      </c>
      <c r="C2580" s="4"/>
      <c r="D2580" s="4" t="s">
        <v>6174</v>
      </c>
      <c r="E2580" s="4" t="s">
        <v>6177</v>
      </c>
      <c r="F2580" s="4" t="s">
        <v>6174</v>
      </c>
      <c r="G2580" s="5" t="str">
        <f>IFERROR(__xludf.DUMMYFUNCTION("GOOGLETRANSLATE(D2580,""en"",""es"")"),"hachís")</f>
        <v>hachís</v>
      </c>
      <c r="H2580" s="4" t="s">
        <v>6174</v>
      </c>
      <c r="I2580" s="4" t="s">
        <v>6175</v>
      </c>
      <c r="J2580" s="4" t="s">
        <v>6176</v>
      </c>
      <c r="K2580" s="4" t="s">
        <v>6172</v>
      </c>
    </row>
    <row r="2581">
      <c r="A2581" s="4">
        <v>143.0</v>
      </c>
      <c r="B2581" s="4" t="s">
        <v>8035</v>
      </c>
      <c r="C2581" s="4"/>
      <c r="D2581" s="4" t="s">
        <v>6178</v>
      </c>
      <c r="E2581" s="4" t="s">
        <v>6179</v>
      </c>
      <c r="F2581" s="4" t="s">
        <v>6178</v>
      </c>
      <c r="G2581" s="5" t="str">
        <f>IFERROR(__xludf.DUMMYFUNCTION("GOOGLETRANSLATE(D2581,""en"",""es"")"),"ha")</f>
        <v>ha</v>
      </c>
    </row>
    <row r="2582">
      <c r="A2582" s="4">
        <v>144.0</v>
      </c>
      <c r="B2582" s="4" t="s">
        <v>8035</v>
      </c>
      <c r="C2582" s="4"/>
      <c r="D2582" s="4" t="s">
        <v>6180</v>
      </c>
      <c r="E2582" s="4" t="s">
        <v>6181</v>
      </c>
      <c r="F2582" s="4" t="s">
        <v>6182</v>
      </c>
      <c r="G2582" s="5" t="str">
        <f>IFERROR(__xludf.DUMMYFUNCTION("GOOGLETRANSLATE(D2582,""en"",""es"")"),"él")</f>
        <v>él</v>
      </c>
      <c r="H2582" s="4" t="s">
        <v>6183</v>
      </c>
      <c r="I2582" s="4" t="s">
        <v>6184</v>
      </c>
      <c r="J2582" s="4" t="s">
        <v>6185</v>
      </c>
      <c r="K2582" s="4" t="s">
        <v>6180</v>
      </c>
    </row>
    <row r="2583">
      <c r="A2583" s="4">
        <v>145.0</v>
      </c>
      <c r="B2583" s="4" t="s">
        <v>8035</v>
      </c>
      <c r="C2583" s="4"/>
      <c r="D2583" s="4" t="s">
        <v>6186</v>
      </c>
      <c r="E2583" s="4" t="s">
        <v>6187</v>
      </c>
      <c r="F2583" s="4" t="s">
        <v>6188</v>
      </c>
      <c r="G2583" s="5" t="str">
        <f>IFERROR(__xludf.DUMMYFUNCTION("GOOGLETRANSLATE(D2583,""en"",""es"")"),"infierno")</f>
        <v>infierno</v>
      </c>
    </row>
    <row r="2584">
      <c r="A2584" s="4">
        <v>146.0</v>
      </c>
      <c r="B2584" s="4" t="s">
        <v>8035</v>
      </c>
      <c r="C2584" s="4"/>
      <c r="D2584" s="4" t="s">
        <v>6189</v>
      </c>
      <c r="E2584" s="4" t="s">
        <v>6190</v>
      </c>
      <c r="F2584" s="4" t="s">
        <v>6191</v>
      </c>
      <c r="G2584" s="5" t="str">
        <f>IFERROR(__xludf.DUMMYFUNCTION("GOOGLETRANSLATE(D2584,""en"",""es"")"),"dobladillo")</f>
        <v>dobladillo</v>
      </c>
      <c r="H2584" s="4" t="s">
        <v>6189</v>
      </c>
      <c r="I2584" s="4" t="s">
        <v>6189</v>
      </c>
      <c r="J2584" s="4" t="s">
        <v>6192</v>
      </c>
      <c r="K2584" s="4" t="s">
        <v>6189</v>
      </c>
      <c r="L2584" s="4" t="s">
        <v>6189</v>
      </c>
    </row>
    <row r="2585">
      <c r="A2585" s="4">
        <v>147.0</v>
      </c>
      <c r="B2585" s="4" t="s">
        <v>8035</v>
      </c>
      <c r="C2585" s="4"/>
      <c r="D2585" s="4" t="s">
        <v>6193</v>
      </c>
      <c r="E2585" s="4" t="s">
        <v>6194</v>
      </c>
      <c r="F2585" s="4" t="s">
        <v>6195</v>
      </c>
      <c r="G2585" s="5" t="str">
        <f>IFERROR(__xludf.DUMMYFUNCTION("GOOGLETRANSLATE(D2585,""en"",""es"")"),"hemítico")</f>
        <v>hemítico</v>
      </c>
      <c r="H2585" s="4" t="s">
        <v>6193</v>
      </c>
      <c r="I2585" s="4" t="s">
        <v>6196</v>
      </c>
      <c r="J2585" s="4" t="s">
        <v>6197</v>
      </c>
      <c r="K2585" s="4" t="s">
        <v>6198</v>
      </c>
    </row>
    <row r="2586">
      <c r="A2586" s="4">
        <v>148.0</v>
      </c>
      <c r="B2586" s="4" t="s">
        <v>8035</v>
      </c>
      <c r="C2586" s="4"/>
      <c r="D2586" s="4" t="s">
        <v>6199</v>
      </c>
      <c r="E2586" s="4" t="s">
        <v>6200</v>
      </c>
      <c r="F2586" s="4" t="s">
        <v>6201</v>
      </c>
      <c r="G2586" s="5" t="str">
        <f>IFERROR(__xludf.DUMMYFUNCTION("GOOGLETRANSLATE(D2586,""en"",""es"")"),"hemina")</f>
        <v>hemina</v>
      </c>
      <c r="H2586" s="4" t="s">
        <v>6199</v>
      </c>
      <c r="I2586" s="4" t="s">
        <v>6202</v>
      </c>
    </row>
    <row r="2587">
      <c r="A2587" s="4">
        <v>149.0</v>
      </c>
      <c r="B2587" s="4" t="s">
        <v>8035</v>
      </c>
      <c r="C2587" s="4"/>
      <c r="D2587" s="4" t="s">
        <v>6203</v>
      </c>
      <c r="E2587" s="4" t="s">
        <v>6204</v>
      </c>
      <c r="F2587" s="4" t="s">
        <v>6205</v>
      </c>
      <c r="G2587" s="5" t="str">
        <f>IFERROR(__xludf.DUMMYFUNCTION("GOOGLETRANSLATE(D2587,""en"",""es"")"),"hepático")</f>
        <v>hepático</v>
      </c>
      <c r="H2587" s="4" t="s">
        <v>6206</v>
      </c>
      <c r="I2587" s="4" t="s">
        <v>6203</v>
      </c>
      <c r="J2587" s="4" t="s">
        <v>6203</v>
      </c>
    </row>
    <row r="2588">
      <c r="A2588" s="4">
        <v>150.0</v>
      </c>
      <c r="B2588" s="4" t="s">
        <v>8035</v>
      </c>
      <c r="C2588" s="4"/>
      <c r="D2588" s="4" t="s">
        <v>8314</v>
      </c>
      <c r="E2588" s="4" t="s">
        <v>6208</v>
      </c>
      <c r="F2588" s="4" t="s">
        <v>6209</v>
      </c>
      <c r="G2588" s="5" t="str">
        <f>IFERROR(__xludf.DUMMYFUNCTION("GOOGLETRANSLATE(D2588,""en"",""es"")"),"HIC")</f>
        <v>HIC</v>
      </c>
    </row>
    <row r="2589">
      <c r="A2589" s="4">
        <v>151.0</v>
      </c>
      <c r="B2589" s="4" t="s">
        <v>8035</v>
      </c>
      <c r="C2589" s="4"/>
      <c r="D2589" s="4" t="s">
        <v>6207</v>
      </c>
      <c r="E2589" s="4" t="s">
        <v>6208</v>
      </c>
      <c r="F2589" s="4" t="s">
        <v>6209</v>
      </c>
      <c r="G2589" s="5" t="str">
        <f>IFERROR(__xludf.DUMMYFUNCTION("GOOGLETRANSLATE(D2589,""en"",""es"")"),"paleto")</f>
        <v>paleto</v>
      </c>
      <c r="H2589" s="4" t="s">
        <v>6210</v>
      </c>
      <c r="I2589" s="4" t="s">
        <v>6211</v>
      </c>
      <c r="J2589" s="4" t="s">
        <v>6207</v>
      </c>
      <c r="K2589" s="4" t="s">
        <v>6212</v>
      </c>
      <c r="L2589" s="4" t="s">
        <v>6213</v>
      </c>
      <c r="M2589" s="4" t="s">
        <v>6214</v>
      </c>
      <c r="N2589" s="4" t="s">
        <v>6215</v>
      </c>
      <c r="O2589" s="4" t="s">
        <v>6216</v>
      </c>
      <c r="P2589" s="4" t="s">
        <v>6207</v>
      </c>
      <c r="Q2589" s="4" t="s">
        <v>6217</v>
      </c>
      <c r="R2589" s="4" t="s">
        <v>6218</v>
      </c>
    </row>
    <row r="2590">
      <c r="A2590" s="4">
        <v>152.0</v>
      </c>
      <c r="B2590" s="4" t="s">
        <v>8035</v>
      </c>
      <c r="C2590" s="4"/>
      <c r="D2590" s="4" t="s">
        <v>4536</v>
      </c>
      <c r="E2590" s="4" t="s">
        <v>6187</v>
      </c>
      <c r="F2590" s="4" t="s">
        <v>6188</v>
      </c>
      <c r="G2590" s="5" t="str">
        <f>IFERROR(__xludf.DUMMYFUNCTION("GOOGLETRANSLATE(D2590,""en"",""es"")"),"Cerro")</f>
        <v>Cerro</v>
      </c>
      <c r="H2590" s="4" t="s">
        <v>4536</v>
      </c>
      <c r="I2590" s="4" t="s">
        <v>2824</v>
      </c>
      <c r="J2590" s="4" t="s">
        <v>4536</v>
      </c>
      <c r="K2590" s="4" t="s">
        <v>6225</v>
      </c>
      <c r="L2590" s="4" t="s">
        <v>6226</v>
      </c>
      <c r="M2590" s="4" t="s">
        <v>6227</v>
      </c>
      <c r="N2590" s="4" t="s">
        <v>6225</v>
      </c>
      <c r="O2590" s="4" t="s">
        <v>6228</v>
      </c>
      <c r="P2590" s="4" t="s">
        <v>6229</v>
      </c>
      <c r="Q2590" s="4" t="s">
        <v>2824</v>
      </c>
      <c r="R2590" s="4" t="s">
        <v>4536</v>
      </c>
      <c r="S2590" s="4" t="s">
        <v>6230</v>
      </c>
      <c r="T2590" s="4" t="s">
        <v>4536</v>
      </c>
    </row>
    <row r="2591">
      <c r="A2591" s="4">
        <v>153.0</v>
      </c>
      <c r="B2591" s="4" t="s">
        <v>8035</v>
      </c>
      <c r="C2591" s="4"/>
      <c r="D2591" s="4" t="s">
        <v>6231</v>
      </c>
      <c r="E2591" s="4" t="s">
        <v>6232</v>
      </c>
      <c r="F2591" s="4" t="s">
        <v>6233</v>
      </c>
      <c r="G2591" s="5" t="str">
        <f>IFERROR(__xludf.DUMMYFUNCTION("GOOGLETRANSLATE(D2591,""en"",""es"")"),"montañoso")</f>
        <v>montañoso</v>
      </c>
      <c r="H2591" s="4" t="s">
        <v>6234</v>
      </c>
      <c r="I2591" s="4" t="s">
        <v>6235</v>
      </c>
      <c r="J2591" s="4" t="s">
        <v>6231</v>
      </c>
      <c r="K2591" s="4" t="s">
        <v>6236</v>
      </c>
    </row>
    <row r="2592">
      <c r="A2592" s="4">
        <v>154.0</v>
      </c>
      <c r="B2592" s="4" t="s">
        <v>8035</v>
      </c>
      <c r="C2592" s="4"/>
      <c r="D2592" s="4" t="s">
        <v>6191</v>
      </c>
      <c r="E2592" s="4" t="s">
        <v>6190</v>
      </c>
      <c r="F2592" s="4" t="s">
        <v>6191</v>
      </c>
      <c r="G2592" s="5" t="str">
        <f>IFERROR(__xludf.DUMMYFUNCTION("GOOGLETRANSLATE(D2592,""en"",""es"")"),"a él")</f>
        <v>a él</v>
      </c>
    </row>
    <row r="2593">
      <c r="A2593" s="4">
        <v>155.0</v>
      </c>
      <c r="B2593" s="4" t="s">
        <v>8035</v>
      </c>
      <c r="C2593" s="4"/>
      <c r="D2593" s="4" t="s">
        <v>6237</v>
      </c>
      <c r="E2593" s="4" t="s">
        <v>6238</v>
      </c>
      <c r="F2593" s="4" t="s">
        <v>6239</v>
      </c>
      <c r="G2593" s="5" t="str">
        <f>IFERROR(__xludf.DUMMYFUNCTION("GOOGLETRANSLATE(D2593,""en"",""es"")"),"Hinny")</f>
        <v>Hinny</v>
      </c>
      <c r="H2593" s="4" t="s">
        <v>6237</v>
      </c>
    </row>
    <row r="2594">
      <c r="A2594" s="4">
        <v>156.0</v>
      </c>
      <c r="B2594" s="4" t="s">
        <v>8035</v>
      </c>
      <c r="C2594" s="4"/>
      <c r="D2594" s="4" t="s">
        <v>2377</v>
      </c>
      <c r="E2594" s="4" t="s">
        <v>6240</v>
      </c>
      <c r="F2594" s="4" t="s">
        <v>2377</v>
      </c>
      <c r="G2594" s="5" t="str">
        <f>IFERROR(__xludf.DUMMYFUNCTION("GOOGLETRANSLATE(D2594,""en"",""es"")"),"cadera")</f>
        <v>cadera</v>
      </c>
      <c r="H2594" s="4" t="s">
        <v>2377</v>
      </c>
      <c r="I2594" s="4" t="s">
        <v>6241</v>
      </c>
      <c r="J2594" s="4" t="s">
        <v>6242</v>
      </c>
      <c r="K2594" s="4" t="s">
        <v>6243</v>
      </c>
      <c r="L2594" s="4" t="s">
        <v>2377</v>
      </c>
      <c r="M2594" s="4" t="s">
        <v>2377</v>
      </c>
      <c r="N2594" s="4" t="s">
        <v>2378</v>
      </c>
      <c r="O2594" s="4" t="s">
        <v>2379</v>
      </c>
      <c r="P2594" s="4" t="s">
        <v>2380</v>
      </c>
      <c r="Q2594" s="4" t="s">
        <v>2377</v>
      </c>
      <c r="R2594" s="4" t="s">
        <v>2377</v>
      </c>
      <c r="S2594" s="4" t="s">
        <v>6244</v>
      </c>
      <c r="T2594" s="4" t="s">
        <v>6245</v>
      </c>
      <c r="U2594" s="4" t="s">
        <v>6246</v>
      </c>
      <c r="V2594" s="4" t="s">
        <v>2377</v>
      </c>
      <c r="W2594" s="4" t="s">
        <v>6247</v>
      </c>
    </row>
    <row r="2595">
      <c r="A2595" s="4">
        <v>157.0</v>
      </c>
      <c r="B2595" s="4" t="s">
        <v>8035</v>
      </c>
      <c r="C2595" s="4"/>
      <c r="D2595" s="4" t="s">
        <v>6248</v>
      </c>
      <c r="E2595" s="4" t="s">
        <v>6249</v>
      </c>
      <c r="F2595" s="4" t="s">
        <v>6250</v>
      </c>
      <c r="G2595" s="5" t="str">
        <f>IFERROR(__xludf.DUMMYFUNCTION("GOOGLETRANSLATE(D2595,""en"",""es"")"),"hippico")</f>
        <v>hippico</v>
      </c>
    </row>
    <row r="2596">
      <c r="A2596" s="4">
        <v>158.0</v>
      </c>
      <c r="B2596" s="4" t="s">
        <v>8035</v>
      </c>
      <c r="C2596" s="4"/>
      <c r="D2596" s="4" t="s">
        <v>6251</v>
      </c>
      <c r="E2596" s="4" t="s">
        <v>6252</v>
      </c>
      <c r="F2596" s="4" t="s">
        <v>6253</v>
      </c>
      <c r="G2596" s="5" t="str">
        <f>IFERROR(__xludf.DUMMYFUNCTION("GOOGLETRANSLATE(D2596,""en"",""es"")"),"hippie")</f>
        <v>hippie</v>
      </c>
      <c r="H2596" s="4" t="s">
        <v>6251</v>
      </c>
      <c r="I2596" s="4" t="s">
        <v>6254</v>
      </c>
      <c r="J2596" s="4" t="s">
        <v>6255</v>
      </c>
      <c r="K2596" s="4" t="s">
        <v>6256</v>
      </c>
    </row>
    <row r="2597">
      <c r="A2597" s="4">
        <v>159.0</v>
      </c>
      <c r="B2597" s="4" t="s">
        <v>8035</v>
      </c>
      <c r="C2597" s="4"/>
      <c r="D2597" s="4" t="s">
        <v>6254</v>
      </c>
      <c r="E2597" s="4" t="s">
        <v>6252</v>
      </c>
      <c r="F2597" s="4" t="s">
        <v>6253</v>
      </c>
      <c r="G2597" s="5" t="str">
        <f>IFERROR(__xludf.DUMMYFUNCTION("GOOGLETRANSLATE(D2597,""en"",""es"")"),"hippy")</f>
        <v>hippy</v>
      </c>
      <c r="H2597" s="4" t="s">
        <v>6251</v>
      </c>
      <c r="I2597" s="4" t="s">
        <v>6254</v>
      </c>
      <c r="J2597" s="4" t="s">
        <v>6255</v>
      </c>
      <c r="K2597" s="4" t="s">
        <v>6256</v>
      </c>
    </row>
    <row r="2598">
      <c r="A2598" s="4">
        <v>160.0</v>
      </c>
      <c r="B2598" s="4" t="s">
        <v>8035</v>
      </c>
      <c r="C2598" s="4"/>
      <c r="D2598" s="4" t="s">
        <v>6257</v>
      </c>
      <c r="E2598" s="4" t="s">
        <v>6258</v>
      </c>
      <c r="F2598" s="4" t="s">
        <v>6259</v>
      </c>
      <c r="G2598" s="5" t="str">
        <f>IFERROR(__xludf.DUMMYFUNCTION("GOOGLETRANSLATE(D2598,""en"",""es"")"),"silbido")</f>
        <v>silbido</v>
      </c>
      <c r="H2598" s="4" t="s">
        <v>6257</v>
      </c>
      <c r="I2598" s="4" t="s">
        <v>6260</v>
      </c>
      <c r="J2598" s="4" t="s">
        <v>6261</v>
      </c>
      <c r="K2598" s="4" t="s">
        <v>6262</v>
      </c>
      <c r="L2598" s="4" t="s">
        <v>6263</v>
      </c>
      <c r="M2598" s="4" t="s">
        <v>6264</v>
      </c>
      <c r="N2598" s="4" t="s">
        <v>6265</v>
      </c>
      <c r="O2598" s="4" t="s">
        <v>6266</v>
      </c>
      <c r="P2598" s="4" t="s">
        <v>6257</v>
      </c>
      <c r="Q2598" s="4" t="s">
        <v>6267</v>
      </c>
      <c r="R2598" s="4" t="s">
        <v>6268</v>
      </c>
      <c r="S2598" s="4" t="s">
        <v>6269</v>
      </c>
      <c r="T2598" s="4" t="s">
        <v>6270</v>
      </c>
      <c r="U2598" s="4" t="s">
        <v>5515</v>
      </c>
      <c r="V2598" s="4" t="s">
        <v>6257</v>
      </c>
      <c r="W2598" s="4" t="s">
        <v>6271</v>
      </c>
      <c r="X2598" s="4" t="s">
        <v>6272</v>
      </c>
      <c r="Y2598" s="4" t="s">
        <v>6273</v>
      </c>
      <c r="Z2598" s="4" t="s">
        <v>6257</v>
      </c>
      <c r="AA2598" s="4" t="s">
        <v>6274</v>
      </c>
      <c r="AB2598" s="4" t="s">
        <v>6257</v>
      </c>
      <c r="AC2598" s="4" t="s">
        <v>6272</v>
      </c>
      <c r="AD2598" s="4" t="s">
        <v>6271</v>
      </c>
      <c r="AE2598" s="4" t="s">
        <v>6273</v>
      </c>
      <c r="AF2598" s="4" t="s">
        <v>6264</v>
      </c>
      <c r="AG2598" s="4" t="s">
        <v>6257</v>
      </c>
    </row>
    <row r="2599">
      <c r="A2599" s="4">
        <v>161.0</v>
      </c>
      <c r="B2599" s="4" t="s">
        <v>8035</v>
      </c>
      <c r="C2599" s="4"/>
      <c r="D2599" s="4" t="s">
        <v>6275</v>
      </c>
      <c r="E2599" s="4" t="s">
        <v>6276</v>
      </c>
      <c r="F2599" s="4" t="s">
        <v>6277</v>
      </c>
      <c r="G2599" s="5" t="str">
        <f>IFERROR(__xludf.DUMMYFUNCTION("GOOGLETRANSLATE(D2599,""en"",""es"")"),"hiseño")</f>
        <v>hiseño</v>
      </c>
    </row>
    <row r="2600">
      <c r="A2600" s="4">
        <v>162.0</v>
      </c>
      <c r="B2600" s="4" t="s">
        <v>8035</v>
      </c>
      <c r="C2600" s="4"/>
      <c r="D2600" s="4" t="s">
        <v>8315</v>
      </c>
      <c r="E2600" s="4" t="s">
        <v>8316</v>
      </c>
      <c r="F2600" s="4" t="s">
        <v>6127</v>
      </c>
      <c r="G2600" s="5" t="str">
        <f>IFERROR(__xludf.DUMMYFUNCTION("GOOGLETRANSLATE(D2600,""en"",""es"")"),"corvejón")</f>
        <v>corvejón</v>
      </c>
      <c r="H2600" s="4" t="s">
        <v>8317</v>
      </c>
      <c r="I2600" s="4" t="s">
        <v>8318</v>
      </c>
      <c r="J2600" s="4" t="s">
        <v>8315</v>
      </c>
      <c r="K2600" s="4" t="s">
        <v>8315</v>
      </c>
      <c r="L2600" s="4" t="s">
        <v>8319</v>
      </c>
      <c r="M2600" s="4" t="s">
        <v>8320</v>
      </c>
      <c r="N2600" s="4" t="s">
        <v>579</v>
      </c>
      <c r="O2600" s="4" t="s">
        <v>8315</v>
      </c>
      <c r="P2600" s="4" t="s">
        <v>8315</v>
      </c>
    </row>
    <row r="2601">
      <c r="A2601" s="4">
        <v>163.0</v>
      </c>
      <c r="B2601" s="4" t="s">
        <v>8035</v>
      </c>
      <c r="C2601" s="4"/>
      <c r="D2601" s="4" t="s">
        <v>8321</v>
      </c>
      <c r="E2601" s="4" t="s">
        <v>8322</v>
      </c>
      <c r="F2601" s="4" t="s">
        <v>6146</v>
      </c>
      <c r="G2601" s="5" t="str">
        <f>IFERROR(__xludf.DUMMYFUNCTION("GOOGLETRANSLATE(D2601,""en"",""es"")"),"acebo")</f>
        <v>acebo</v>
      </c>
      <c r="H2601" s="4" t="s">
        <v>8321</v>
      </c>
      <c r="I2601" s="4" t="s">
        <v>8323</v>
      </c>
      <c r="J2601" s="4" t="s">
        <v>8324</v>
      </c>
      <c r="K2601" s="4" t="s">
        <v>8325</v>
      </c>
    </row>
    <row r="2602">
      <c r="A2602" s="4">
        <v>164.0</v>
      </c>
      <c r="B2602" s="4" t="s">
        <v>8035</v>
      </c>
      <c r="C2602" s="4"/>
      <c r="D2602" s="4" t="s">
        <v>8326</v>
      </c>
      <c r="E2602" s="4" t="s">
        <v>8327</v>
      </c>
      <c r="F2602" s="4" t="s">
        <v>8328</v>
      </c>
      <c r="G2602" s="5" t="str">
        <f>IFERROR(__xludf.DUMMYFUNCTION("GOOGLETRANSLATE(D2602,""en"",""es"")"),"malva loca")</f>
        <v>malva loca</v>
      </c>
      <c r="H2602" s="4" t="s">
        <v>8329</v>
      </c>
      <c r="I2602" s="4" t="s">
        <v>8330</v>
      </c>
      <c r="J2602" s="4" t="s">
        <v>8326</v>
      </c>
      <c r="K2602" s="4" t="s">
        <v>8326</v>
      </c>
    </row>
    <row r="2603">
      <c r="A2603" s="4">
        <v>165.0</v>
      </c>
      <c r="B2603" s="4" t="s">
        <v>8035</v>
      </c>
      <c r="C2603" s="4"/>
      <c r="D2603" s="4" t="s">
        <v>8331</v>
      </c>
      <c r="E2603" s="4" t="s">
        <v>8332</v>
      </c>
      <c r="F2603" s="4" t="s">
        <v>8333</v>
      </c>
      <c r="G2603" s="5" t="str">
        <f>IFERROR(__xludf.DUMMYFUNCTION("GOOGLETRANSLATE(D2603,""en"",""es"")"),"homenado")</f>
        <v>homenado</v>
      </c>
    </row>
    <row r="2604">
      <c r="A2604" s="4">
        <v>166.0</v>
      </c>
      <c r="B2604" s="4" t="s">
        <v>8035</v>
      </c>
      <c r="C2604" s="4"/>
      <c r="D2604" s="4" t="s">
        <v>8334</v>
      </c>
      <c r="E2604" s="4" t="s">
        <v>8335</v>
      </c>
      <c r="F2604" s="4" t="s">
        <v>8336</v>
      </c>
      <c r="G2604" s="5" t="str">
        <f>IFERROR(__xludf.DUMMYFUNCTION("GOOGLETRANSLATE(D2604,""en"",""es"")"),"homilía")</f>
        <v>homilía</v>
      </c>
      <c r="H2604" s="4" t="s">
        <v>8334</v>
      </c>
      <c r="I2604" s="4" t="s">
        <v>8337</v>
      </c>
    </row>
    <row r="2605">
      <c r="A2605" s="4">
        <v>167.0</v>
      </c>
      <c r="B2605" s="4" t="s">
        <v>8035</v>
      </c>
      <c r="C2605" s="4"/>
      <c r="D2605" s="4" t="s">
        <v>6278</v>
      </c>
      <c r="E2605" s="4" t="s">
        <v>6279</v>
      </c>
      <c r="F2605" s="4" t="s">
        <v>6280</v>
      </c>
      <c r="G2605" s="5" t="str">
        <f>IFERROR(__xludf.DUMMYFUNCTION("GOOGLETRANSLATE(D2605,""en"",""es"")"),"gancho")</f>
        <v>gancho</v>
      </c>
      <c r="H2605" s="4" t="s">
        <v>6278</v>
      </c>
      <c r="I2605" s="4" t="s">
        <v>6278</v>
      </c>
      <c r="J2605" s="4" t="s">
        <v>6281</v>
      </c>
      <c r="K2605" s="4" t="s">
        <v>3334</v>
      </c>
      <c r="L2605" s="4" t="s">
        <v>6282</v>
      </c>
      <c r="M2605" s="4" t="s">
        <v>6278</v>
      </c>
      <c r="N2605" s="4" t="s">
        <v>3336</v>
      </c>
      <c r="O2605" s="4" t="s">
        <v>6283</v>
      </c>
      <c r="P2605" s="4" t="s">
        <v>6278</v>
      </c>
      <c r="Q2605" s="4" t="s">
        <v>6284</v>
      </c>
      <c r="R2605" s="4" t="s">
        <v>6278</v>
      </c>
      <c r="S2605" s="4" t="s">
        <v>6278</v>
      </c>
      <c r="T2605" s="4" t="s">
        <v>3414</v>
      </c>
      <c r="U2605" s="4" t="s">
        <v>6285</v>
      </c>
      <c r="V2605" s="4" t="s">
        <v>6278</v>
      </c>
      <c r="W2605" s="4" t="s">
        <v>6286</v>
      </c>
      <c r="X2605" s="4" t="s">
        <v>6278</v>
      </c>
      <c r="Y2605" s="4" t="s">
        <v>6278</v>
      </c>
      <c r="Z2605" s="4" t="s">
        <v>6287</v>
      </c>
      <c r="AA2605" s="4" t="s">
        <v>579</v>
      </c>
      <c r="AB2605" s="4" t="s">
        <v>6288</v>
      </c>
      <c r="AC2605" s="4" t="s">
        <v>6289</v>
      </c>
      <c r="AD2605" s="4" t="s">
        <v>2110</v>
      </c>
      <c r="AE2605" s="4" t="s">
        <v>6290</v>
      </c>
      <c r="AF2605" s="4" t="s">
        <v>6291</v>
      </c>
      <c r="AG2605" s="4" t="s">
        <v>6292</v>
      </c>
      <c r="AH2605" s="4" t="s">
        <v>6278</v>
      </c>
      <c r="AI2605" s="4" t="s">
        <v>6293</v>
      </c>
      <c r="AJ2605" s="4" t="s">
        <v>6278</v>
      </c>
      <c r="AK2605" s="4" t="s">
        <v>6278</v>
      </c>
      <c r="AL2605" s="4" t="s">
        <v>6278</v>
      </c>
      <c r="AM2605" s="4" t="s">
        <v>6294</v>
      </c>
      <c r="AN2605" s="4" t="s">
        <v>6295</v>
      </c>
      <c r="AO2605" s="4" t="s">
        <v>6296</v>
      </c>
      <c r="AP2605" s="4" t="s">
        <v>6297</v>
      </c>
      <c r="AQ2605" s="4" t="s">
        <v>6298</v>
      </c>
      <c r="AR2605" s="4" t="s">
        <v>6299</v>
      </c>
      <c r="AS2605" s="4" t="s">
        <v>6300</v>
      </c>
      <c r="AT2605" s="4" t="s">
        <v>6301</v>
      </c>
      <c r="AU2605" s="4" t="s">
        <v>6302</v>
      </c>
      <c r="AV2605" s="4" t="s">
        <v>6303</v>
      </c>
      <c r="AW2605" s="4" t="s">
        <v>6304</v>
      </c>
      <c r="AX2605" s="4" t="s">
        <v>6305</v>
      </c>
      <c r="AY2605" s="4" t="s">
        <v>6278</v>
      </c>
      <c r="AZ2605" s="4" t="s">
        <v>6306</v>
      </c>
      <c r="BA2605" s="4" t="s">
        <v>6307</v>
      </c>
      <c r="BB2605" s="4" t="s">
        <v>6308</v>
      </c>
      <c r="BC2605" s="4" t="s">
        <v>1800</v>
      </c>
      <c r="BD2605" s="4" t="s">
        <v>6278</v>
      </c>
      <c r="BE2605" s="4" t="s">
        <v>6278</v>
      </c>
      <c r="BF2605" s="4" t="s">
        <v>6309</v>
      </c>
      <c r="BG2605" s="4" t="s">
        <v>6278</v>
      </c>
      <c r="BH2605" s="4" t="s">
        <v>6278</v>
      </c>
      <c r="BI2605" s="4" t="s">
        <v>6278</v>
      </c>
      <c r="BJ2605" s="4" t="s">
        <v>6310</v>
      </c>
      <c r="BK2605" s="4" t="s">
        <v>6278</v>
      </c>
      <c r="BL2605" s="4" t="s">
        <v>6311</v>
      </c>
      <c r="BM2605" s="4" t="s">
        <v>6312</v>
      </c>
    </row>
    <row r="2606">
      <c r="A2606" s="4">
        <v>168.0</v>
      </c>
      <c r="B2606" s="4" t="s">
        <v>8035</v>
      </c>
      <c r="C2606" s="4"/>
      <c r="D2606" s="4" t="s">
        <v>6313</v>
      </c>
      <c r="E2606" s="4" t="s">
        <v>6314</v>
      </c>
      <c r="F2606" s="4" t="s">
        <v>6315</v>
      </c>
      <c r="G2606" s="5" t="str">
        <f>IFERROR(__xludf.DUMMYFUNCTION("GOOGLETRANSLATE(D2606,""en"",""es"")"),"gancho")</f>
        <v>gancho</v>
      </c>
      <c r="H2606" s="4" t="s">
        <v>6316</v>
      </c>
      <c r="I2606" s="4" t="s">
        <v>6313</v>
      </c>
    </row>
    <row r="2607">
      <c r="A2607" s="4">
        <v>169.0</v>
      </c>
      <c r="B2607" s="4" t="s">
        <v>8035</v>
      </c>
      <c r="C2607" s="4"/>
      <c r="D2607" s="4" t="s">
        <v>8338</v>
      </c>
      <c r="E2607" s="4" t="s">
        <v>4882</v>
      </c>
      <c r="F2607" s="4" t="s">
        <v>1858</v>
      </c>
      <c r="G2607" s="5" t="str">
        <f>IFERROR(__xludf.DUMMYFUNCTION("GOOGLETRANSLATE(D2607,""en"",""es"")"),"choque")</f>
        <v>choque</v>
      </c>
    </row>
    <row r="2608">
      <c r="A2608" s="4">
        <v>170.0</v>
      </c>
      <c r="B2608" s="4" t="s">
        <v>8035</v>
      </c>
      <c r="C2608" s="4"/>
      <c r="D2608" s="4" t="s">
        <v>8339</v>
      </c>
      <c r="E2608" s="4" t="s">
        <v>8340</v>
      </c>
      <c r="F2608" s="4" t="s">
        <v>8341</v>
      </c>
      <c r="G2608" s="5" t="str">
        <f>IFERROR(__xludf.DUMMYFUNCTION("GOOGLETRANSLATE(D2608,""en"",""es"")"),"abubilla")</f>
        <v>abubilla</v>
      </c>
      <c r="H2608" s="4" t="s">
        <v>8339</v>
      </c>
      <c r="I2608" s="4" t="s">
        <v>8342</v>
      </c>
    </row>
    <row r="2609">
      <c r="A2609" s="4">
        <v>171.0</v>
      </c>
      <c r="B2609" s="4" t="s">
        <v>8035</v>
      </c>
      <c r="C2609" s="4"/>
      <c r="D2609" s="4" t="s">
        <v>3924</v>
      </c>
      <c r="E2609" s="4" t="s">
        <v>8343</v>
      </c>
      <c r="F2609" s="4" t="s">
        <v>3399</v>
      </c>
      <c r="G2609" s="5" t="str">
        <f>IFERROR(__xludf.DUMMYFUNCTION("GOOGLETRANSLATE(D2609,""en"",""es"")"),"saltar")</f>
        <v>saltar</v>
      </c>
      <c r="H2609" s="4" t="s">
        <v>3924</v>
      </c>
      <c r="I2609" s="4" t="s">
        <v>3924</v>
      </c>
      <c r="J2609" s="4" t="s">
        <v>8344</v>
      </c>
      <c r="K2609" s="4" t="s">
        <v>3924</v>
      </c>
      <c r="L2609" s="4" t="s">
        <v>8345</v>
      </c>
      <c r="M2609" s="4" t="s">
        <v>3924</v>
      </c>
      <c r="N2609" s="4" t="s">
        <v>8346</v>
      </c>
      <c r="O2609" s="4" t="s">
        <v>8347</v>
      </c>
      <c r="P2609" s="4" t="s">
        <v>3924</v>
      </c>
      <c r="Q2609" s="4" t="s">
        <v>3924</v>
      </c>
      <c r="R2609" s="4" t="s">
        <v>3924</v>
      </c>
      <c r="S2609" s="4" t="s">
        <v>3924</v>
      </c>
      <c r="T2609" s="4" t="s">
        <v>3924</v>
      </c>
    </row>
    <row r="2610">
      <c r="A2610" s="4">
        <v>172.0</v>
      </c>
      <c r="B2610" s="4" t="s">
        <v>8035</v>
      </c>
      <c r="C2610" s="4"/>
      <c r="D2610" s="4" t="s">
        <v>2590</v>
      </c>
      <c r="E2610" s="4" t="s">
        <v>289</v>
      </c>
      <c r="F2610" s="4" t="s">
        <v>290</v>
      </c>
      <c r="G2610" s="5" t="str">
        <f>IFERROR(__xludf.DUMMYFUNCTION("GOOGLETRANSLATE(D2610,""en"",""es"")"),"matiz")</f>
        <v>matiz</v>
      </c>
      <c r="H2610" s="4" t="s">
        <v>2590</v>
      </c>
      <c r="I2610" s="4" t="s">
        <v>2591</v>
      </c>
      <c r="J2610" s="4" t="s">
        <v>2590</v>
      </c>
      <c r="K2610" s="4" t="s">
        <v>580</v>
      </c>
      <c r="L2610" s="4" t="s">
        <v>2590</v>
      </c>
    </row>
    <row r="2611">
      <c r="A2611" s="4">
        <v>173.0</v>
      </c>
      <c r="B2611" s="4" t="s">
        <v>8035</v>
      </c>
      <c r="C2611" s="4"/>
      <c r="D2611" s="4" t="s">
        <v>1017</v>
      </c>
      <c r="E2611" s="4" t="s">
        <v>6317</v>
      </c>
      <c r="F2611" s="4" t="s">
        <v>1017</v>
      </c>
      <c r="G2611" s="5" t="str">
        <f>IFERROR(__xludf.DUMMYFUNCTION("GOOGLETRANSLATE(D2611,""en"",""es"")"),"Cállate")</f>
        <v>Cállate</v>
      </c>
      <c r="H2611" s="4" t="s">
        <v>1017</v>
      </c>
      <c r="I2611" s="4" t="s">
        <v>6318</v>
      </c>
      <c r="J2611" s="4" t="s">
        <v>6319</v>
      </c>
      <c r="K2611" s="4" t="s">
        <v>1017</v>
      </c>
      <c r="L2611" s="4" t="s">
        <v>1017</v>
      </c>
      <c r="M2611" s="4" t="s">
        <v>1026</v>
      </c>
      <c r="N2611" s="4" t="s">
        <v>443</v>
      </c>
      <c r="O2611" s="4" t="s">
        <v>6319</v>
      </c>
      <c r="P2611" s="4" t="s">
        <v>1021</v>
      </c>
      <c r="Q2611" s="4" t="s">
        <v>6320</v>
      </c>
      <c r="R2611" s="4" t="s">
        <v>1026</v>
      </c>
      <c r="S2611" s="4" t="s">
        <v>1017</v>
      </c>
      <c r="T2611" s="4" t="s">
        <v>439</v>
      </c>
      <c r="U2611" s="4" t="s">
        <v>1027</v>
      </c>
      <c r="V2611" s="4" t="s">
        <v>1028</v>
      </c>
      <c r="W2611" s="4" t="s">
        <v>1029</v>
      </c>
      <c r="X2611" s="4" t="s">
        <v>1017</v>
      </c>
      <c r="Y2611" s="4" t="s">
        <v>1017</v>
      </c>
    </row>
    <row r="2612">
      <c r="A2612" s="4">
        <v>174.0</v>
      </c>
      <c r="B2612" s="4" t="s">
        <v>8035</v>
      </c>
      <c r="C2612" s="4"/>
      <c r="D2612" s="4" t="s">
        <v>6321</v>
      </c>
      <c r="E2612" s="4" t="s">
        <v>6190</v>
      </c>
      <c r="F2612" s="4" t="s">
        <v>6191</v>
      </c>
      <c r="G2612" s="5" t="str">
        <f>IFERROR(__xludf.DUMMYFUNCTION("GOOGLETRANSLATE(D2612,""en"",""es"")"),"himno")</f>
        <v>himno</v>
      </c>
      <c r="H2612" s="4" t="s">
        <v>6321</v>
      </c>
      <c r="I2612" s="4" t="s">
        <v>6322</v>
      </c>
      <c r="J2612" s="4" t="s">
        <v>6321</v>
      </c>
      <c r="K2612" s="4" t="s">
        <v>6321</v>
      </c>
    </row>
    <row r="2613">
      <c r="A2613" s="4">
        <v>175.0</v>
      </c>
      <c r="B2613" s="4" t="s">
        <v>8035</v>
      </c>
      <c r="C2613" s="4"/>
      <c r="D2613" s="4" t="s">
        <v>6323</v>
      </c>
      <c r="E2613" s="4" t="s">
        <v>6240</v>
      </c>
      <c r="F2613" s="4" t="s">
        <v>2377</v>
      </c>
      <c r="G2613" s="5" t="str">
        <f>IFERROR(__xludf.DUMMYFUNCTION("GOOGLETRANSLATE(D2613,""en"",""es"")"),"exagerado")</f>
        <v>exagerado</v>
      </c>
    </row>
    <row r="2614">
      <c r="A2614" s="4">
        <v>176.0</v>
      </c>
      <c r="B2614" s="4" t="s">
        <v>8035</v>
      </c>
      <c r="C2614" s="4"/>
      <c r="D2614" s="4" t="s">
        <v>6324</v>
      </c>
      <c r="E2614" s="4" t="s">
        <v>507</v>
      </c>
      <c r="F2614" s="4" t="s">
        <v>506</v>
      </c>
      <c r="G2614" s="5" t="str">
        <f>IFERROR(__xludf.DUMMYFUNCTION("GOOGLETRANSLATE(D2614,""en"",""es"")"),"voy a")</f>
        <v>voy a</v>
      </c>
    </row>
    <row r="2615">
      <c r="A2615" s="4">
        <v>177.0</v>
      </c>
      <c r="B2615" s="4" t="s">
        <v>8035</v>
      </c>
      <c r="C2615" s="4"/>
      <c r="D2615" s="4" t="s">
        <v>6325</v>
      </c>
      <c r="E2615" s="4" t="s">
        <v>4823</v>
      </c>
      <c r="F2615" s="4" t="s">
        <v>4824</v>
      </c>
      <c r="G2615" s="5" t="str">
        <f>IFERROR(__xludf.DUMMYFUNCTION("GOOGLETRANSLATE(D2615,""en"",""es"")"),"en")</f>
        <v>en</v>
      </c>
    </row>
    <row r="2616">
      <c r="A2616" s="4">
        <v>178.0</v>
      </c>
      <c r="B2616" s="4" t="s">
        <v>8035</v>
      </c>
      <c r="C2616" s="4"/>
      <c r="D2616" s="4" t="s">
        <v>6326</v>
      </c>
      <c r="E2616" s="4" t="s">
        <v>6327</v>
      </c>
      <c r="F2616" s="4" t="s">
        <v>6328</v>
      </c>
      <c r="G2616" s="5" t="str">
        <f>IFERROR(__xludf.DUMMYFUNCTION("GOOGLETRANSLATE(D2616,""en"",""es"")"),"ICH")</f>
        <v>ICH</v>
      </c>
    </row>
    <row r="2617">
      <c r="A2617" s="4">
        <v>179.0</v>
      </c>
      <c r="B2617" s="4" t="s">
        <v>8035</v>
      </c>
      <c r="C2617" s="4"/>
      <c r="D2617" s="4" t="s">
        <v>6329</v>
      </c>
      <c r="E2617" s="4" t="s">
        <v>6327</v>
      </c>
      <c r="F2617" s="4" t="s">
        <v>6328</v>
      </c>
      <c r="G2617" s="5" t="str">
        <f>IFERROR(__xludf.DUMMYFUNCTION("GOOGLETRANSLATE(D2617,""en"",""es"")"),"hurgir")</f>
        <v>hurgir</v>
      </c>
    </row>
    <row r="2618">
      <c r="A2618" s="4">
        <v>180.0</v>
      </c>
      <c r="B2618" s="4" t="s">
        <v>8035</v>
      </c>
      <c r="C2618" s="4"/>
      <c r="D2618" s="4" t="s">
        <v>6330</v>
      </c>
      <c r="E2618" s="4" t="s">
        <v>6331</v>
      </c>
      <c r="F2618" s="4" t="s">
        <v>6332</v>
      </c>
      <c r="G2618" s="5" t="str">
        <f>IFERROR(__xludf.DUMMYFUNCTION("GOOGLETRANSLATE(D2618,""en"",""es"")"),"espeluznante")</f>
        <v>espeluznante</v>
      </c>
      <c r="H2618" s="4" t="s">
        <v>6330</v>
      </c>
      <c r="I2618" s="4" t="s">
        <v>6333</v>
      </c>
      <c r="J2618" s="4" t="s">
        <v>6334</v>
      </c>
      <c r="K2618" s="4" t="s">
        <v>6335</v>
      </c>
      <c r="L2618" s="4" t="s">
        <v>6336</v>
      </c>
      <c r="M2618" s="4" t="s">
        <v>6337</v>
      </c>
      <c r="N2618" s="4" t="s">
        <v>6338</v>
      </c>
      <c r="O2618" s="4" t="s">
        <v>6339</v>
      </c>
      <c r="P2618" s="4" t="s">
        <v>6330</v>
      </c>
    </row>
    <row r="2619">
      <c r="A2619" s="4">
        <v>181.0</v>
      </c>
      <c r="B2619" s="4" t="s">
        <v>8035</v>
      </c>
      <c r="C2619" s="4"/>
      <c r="D2619" s="4" t="s">
        <v>2345</v>
      </c>
      <c r="E2619" s="4" t="s">
        <v>6340</v>
      </c>
      <c r="F2619" s="4" t="s">
        <v>6341</v>
      </c>
      <c r="G2619" s="5" t="str">
        <f>IFERROR(__xludf.DUMMYFUNCTION("GOOGLETRANSLATE(D2619,""en"",""es"")"),"enfermo")</f>
        <v>enfermo</v>
      </c>
      <c r="H2619" s="4" t="s">
        <v>2343</v>
      </c>
      <c r="I2619" s="4" t="s">
        <v>2344</v>
      </c>
      <c r="J2619" s="4" t="s">
        <v>2345</v>
      </c>
      <c r="K2619" s="4" t="s">
        <v>2345</v>
      </c>
      <c r="L2619" s="4" t="s">
        <v>4402</v>
      </c>
      <c r="M2619" s="4" t="s">
        <v>2345</v>
      </c>
      <c r="N2619" s="4" t="s">
        <v>2345</v>
      </c>
      <c r="O2619" s="4" t="s">
        <v>2345</v>
      </c>
      <c r="P2619" s="4" t="s">
        <v>2345</v>
      </c>
      <c r="Q2619" s="4" t="s">
        <v>6342</v>
      </c>
      <c r="R2619" s="4" t="s">
        <v>6343</v>
      </c>
      <c r="S2619" s="4" t="s">
        <v>2345</v>
      </c>
      <c r="T2619" s="4" t="s">
        <v>6344</v>
      </c>
      <c r="U2619" s="4" t="s">
        <v>6345</v>
      </c>
      <c r="V2619" s="4" t="s">
        <v>2345</v>
      </c>
      <c r="W2619" s="4" t="s">
        <v>6344</v>
      </c>
      <c r="X2619" s="4" t="s">
        <v>2345</v>
      </c>
    </row>
    <row r="2620">
      <c r="A2620" s="4">
        <v>182.0</v>
      </c>
      <c r="B2620" s="4" t="s">
        <v>8035</v>
      </c>
      <c r="C2620" s="4"/>
      <c r="D2620" s="4" t="s">
        <v>8348</v>
      </c>
      <c r="E2620" s="4" t="s">
        <v>8349</v>
      </c>
      <c r="F2620" s="4" t="s">
        <v>8350</v>
      </c>
      <c r="G2620" s="5" t="str">
        <f>IFERROR(__xludf.DUMMYFUNCTION("GOOGLETRANSLATE(D2620,""en"",""es"")"),"ily")</f>
        <v>ily</v>
      </c>
    </row>
    <row r="2621">
      <c r="A2621" s="4">
        <v>183.0</v>
      </c>
      <c r="B2621" s="4" t="s">
        <v>8035</v>
      </c>
      <c r="C2621" s="4"/>
      <c r="D2621" s="4" t="s">
        <v>8351</v>
      </c>
      <c r="E2621" s="4" t="s">
        <v>8352</v>
      </c>
      <c r="F2621" s="4" t="s">
        <v>8351</v>
      </c>
      <c r="G2621" s="5" t="str">
        <f>IFERROR(__xludf.DUMMYFUNCTION("GOOGLETRANSLATE(D2621,""en"",""es"")"),"imani")</f>
        <v>imani</v>
      </c>
    </row>
    <row r="2622">
      <c r="A2622" s="4">
        <v>184.0</v>
      </c>
      <c r="B2622" s="4" t="s">
        <v>8035</v>
      </c>
      <c r="C2622" s="4"/>
      <c r="D2622" s="4" t="s">
        <v>4824</v>
      </c>
      <c r="E2622" s="4" t="s">
        <v>4823</v>
      </c>
      <c r="F2622" s="4" t="s">
        <v>4824</v>
      </c>
      <c r="G2622" s="5" t="str">
        <f>IFERROR(__xludf.DUMMYFUNCTION("GOOGLETRANSLATE(D2622,""en"",""es"")"),"en")</f>
        <v>en</v>
      </c>
      <c r="H2622" s="4" t="s">
        <v>6346</v>
      </c>
      <c r="I2622" s="4" t="s">
        <v>4824</v>
      </c>
      <c r="J2622" s="4" t="s">
        <v>6347</v>
      </c>
      <c r="K2622" s="4" t="s">
        <v>6348</v>
      </c>
      <c r="L2622" s="4" t="s">
        <v>6349</v>
      </c>
      <c r="M2622" s="4" t="s">
        <v>6350</v>
      </c>
      <c r="N2622" s="4" t="s">
        <v>6351</v>
      </c>
      <c r="O2622" s="4" t="s">
        <v>6352</v>
      </c>
      <c r="P2622" s="4" t="s">
        <v>4824</v>
      </c>
      <c r="Q2622" s="4" t="s">
        <v>4824</v>
      </c>
      <c r="R2622" s="4" t="s">
        <v>4824</v>
      </c>
      <c r="S2622" s="4" t="s">
        <v>4824</v>
      </c>
      <c r="T2622" s="4" t="s">
        <v>6353</v>
      </c>
      <c r="U2622" s="4" t="s">
        <v>6354</v>
      </c>
    </row>
    <row r="2623">
      <c r="A2623" s="4">
        <v>185.0</v>
      </c>
      <c r="B2623" s="4" t="s">
        <v>8035</v>
      </c>
      <c r="C2623" s="4"/>
      <c r="D2623" s="4" t="s">
        <v>6355</v>
      </c>
      <c r="E2623" s="4" t="s">
        <v>6356</v>
      </c>
      <c r="F2623" s="4" t="s">
        <v>6357</v>
      </c>
      <c r="G2623" s="5" t="str">
        <f>IFERROR(__xludf.DUMMYFUNCTION("GOOGLETRANSLATE(D2623,""en"",""es"")"),"inanidad")</f>
        <v>inanidad</v>
      </c>
      <c r="H2623" s="4" t="s">
        <v>6355</v>
      </c>
      <c r="I2623" s="4" t="s">
        <v>6358</v>
      </c>
      <c r="J2623" s="4" t="s">
        <v>6359</v>
      </c>
      <c r="K2623" s="4" t="s">
        <v>6360</v>
      </c>
      <c r="L2623" s="4" t="s">
        <v>6361</v>
      </c>
    </row>
    <row r="2624">
      <c r="A2624" s="4">
        <v>186.0</v>
      </c>
      <c r="B2624" s="4" t="s">
        <v>8035</v>
      </c>
      <c r="C2624" s="4"/>
      <c r="D2624" s="4" t="s">
        <v>4822</v>
      </c>
      <c r="E2624" s="4" t="s">
        <v>4823</v>
      </c>
      <c r="F2624" s="4" t="s">
        <v>4824</v>
      </c>
      <c r="G2624" s="5" t="str">
        <f>IFERROR(__xludf.DUMMYFUNCTION("GOOGLETRANSLATE(D2624,""en"",""es"")"),"Posada")</f>
        <v>Posada</v>
      </c>
      <c r="H2624" s="4" t="s">
        <v>6362</v>
      </c>
      <c r="I2624" s="4" t="s">
        <v>6363</v>
      </c>
      <c r="J2624" s="4" t="s">
        <v>4822</v>
      </c>
      <c r="K2624" s="4" t="s">
        <v>6364</v>
      </c>
      <c r="L2624" s="4" t="s">
        <v>6365</v>
      </c>
    </row>
    <row r="2625">
      <c r="A2625" s="4">
        <v>187.0</v>
      </c>
      <c r="B2625" s="4" t="s">
        <v>8035</v>
      </c>
      <c r="C2625" s="4"/>
      <c r="D2625" s="4" t="s">
        <v>6366</v>
      </c>
      <c r="E2625" s="4" t="s">
        <v>6367</v>
      </c>
      <c r="F2625" s="4" t="s">
        <v>6368</v>
      </c>
      <c r="G2625" s="5" t="str">
        <f>IFERROR(__xludf.DUMMYFUNCTION("GOOGLETRANSLATE(D2625,""en"",""es"")"),"innie")</f>
        <v>innie</v>
      </c>
    </row>
    <row r="2626">
      <c r="A2626" s="4">
        <v>188.0</v>
      </c>
      <c r="B2626" s="4" t="s">
        <v>8035</v>
      </c>
      <c r="C2626" s="4"/>
      <c r="D2626" s="4" t="s">
        <v>6369</v>
      </c>
      <c r="E2626" s="4" t="s">
        <v>6370</v>
      </c>
      <c r="F2626" s="4" t="s">
        <v>6371</v>
      </c>
      <c r="G2626" s="5" t="str">
        <f>IFERROR(__xludf.DUMMYFUNCTION("GOOGLETRANSLATE(D2626,""en"",""es"")"),"ipecac")</f>
        <v>ipecac</v>
      </c>
      <c r="H2626" s="4" t="s">
        <v>6369</v>
      </c>
    </row>
    <row r="2627">
      <c r="A2627" s="4">
        <v>189.0</v>
      </c>
      <c r="B2627" s="4" t="s">
        <v>8035</v>
      </c>
      <c r="C2627" s="4"/>
      <c r="D2627" s="4" t="s">
        <v>2007</v>
      </c>
      <c r="E2627" s="4" t="s">
        <v>6372</v>
      </c>
      <c r="F2627" s="4" t="s">
        <v>2007</v>
      </c>
      <c r="G2627" s="5" t="str">
        <f>IFERROR(__xludf.DUMMYFUNCTION("GOOGLETRANSLATE(D2627,""en"",""es"")"),"ish")</f>
        <v>ish</v>
      </c>
    </row>
    <row r="2628">
      <c r="A2628" s="4">
        <v>190.0</v>
      </c>
      <c r="B2628" s="4" t="s">
        <v>8035</v>
      </c>
      <c r="C2628" s="4"/>
      <c r="D2628" s="4" t="s">
        <v>6373</v>
      </c>
      <c r="E2628" s="4" t="s">
        <v>6378</v>
      </c>
      <c r="F2628" s="4" t="s">
        <v>6375</v>
      </c>
      <c r="G2628" s="5" t="str">
        <f>IFERROR(__xludf.DUMMYFUNCTION("GOOGLETRANSLATE(D2628,""en"",""es"")"),"itálico")</f>
        <v>itálico</v>
      </c>
      <c r="H2628" s="4" t="s">
        <v>6373</v>
      </c>
      <c r="I2628" s="4" t="s">
        <v>6376</v>
      </c>
      <c r="J2628" s="4" t="s">
        <v>6377</v>
      </c>
      <c r="K2628" s="4" t="s">
        <v>6373</v>
      </c>
      <c r="L2628" s="4" t="s">
        <v>6373</v>
      </c>
      <c r="M2628" s="4" t="s">
        <v>6376</v>
      </c>
    </row>
    <row r="2629">
      <c r="A2629" s="4">
        <v>191.0</v>
      </c>
      <c r="B2629" s="4" t="s">
        <v>8035</v>
      </c>
      <c r="C2629" s="4"/>
      <c r="D2629" s="4" t="s">
        <v>6379</v>
      </c>
      <c r="E2629" s="4" t="s">
        <v>6380</v>
      </c>
      <c r="F2629" s="4" t="s">
        <v>6379</v>
      </c>
      <c r="G2629" s="5" t="str">
        <f>IFERROR(__xludf.DUMMYFUNCTION("GOOGLETRANSLATE(D2629,""en"",""es"")"),"ortuquilizado")</f>
        <v>ortuquilizado</v>
      </c>
    </row>
    <row r="2630">
      <c r="A2630" s="4">
        <v>192.0</v>
      </c>
      <c r="B2630" s="4" t="s">
        <v>8035</v>
      </c>
      <c r="C2630" s="4"/>
      <c r="D2630" s="4" t="s">
        <v>6381</v>
      </c>
      <c r="E2630" s="4" t="s">
        <v>6382</v>
      </c>
      <c r="F2630" s="4" t="s">
        <v>6381</v>
      </c>
      <c r="G2630" s="5" t="str">
        <f>IFERROR(__xludf.DUMMYFUNCTION("GOOGLETRANSLATE(D2630,""en"",""es"")"),"con todo")</f>
        <v>con todo</v>
      </c>
    </row>
    <row r="2631">
      <c r="A2631" s="4">
        <v>193.0</v>
      </c>
      <c r="B2631" s="4" t="s">
        <v>8035</v>
      </c>
      <c r="C2631" s="4"/>
      <c r="D2631" s="4" t="s">
        <v>6383</v>
      </c>
      <c r="E2631" s="4" t="s">
        <v>6384</v>
      </c>
      <c r="F2631" s="4" t="s">
        <v>6385</v>
      </c>
      <c r="G2631" s="5" t="str">
        <f>IFERROR(__xludf.DUMMYFUNCTION("GOOGLETRANSLATE(D2631,""en"",""es"")"),"itty")</f>
        <v>itty</v>
      </c>
    </row>
    <row r="2632">
      <c r="A2632" s="4">
        <v>194.0</v>
      </c>
      <c r="B2632" s="4" t="s">
        <v>8035</v>
      </c>
      <c r="C2632" s="4"/>
      <c r="D2632" s="4" t="s">
        <v>6386</v>
      </c>
      <c r="E2632" s="4" t="s">
        <v>6387</v>
      </c>
      <c r="F2632" s="4" t="s">
        <v>6388</v>
      </c>
      <c r="G2632" s="5" t="str">
        <f>IFERROR(__xludf.DUMMYFUNCTION("GOOGLETRANSLATE(D2632,""en"",""es"")"),"ene")</f>
        <v>ene</v>
      </c>
      <c r="H2632" s="4" t="s">
        <v>6389</v>
      </c>
      <c r="I2632" s="4" t="s">
        <v>6390</v>
      </c>
    </row>
    <row r="2633">
      <c r="A2633" s="4">
        <v>195.0</v>
      </c>
      <c r="B2633" s="4" t="s">
        <v>8035</v>
      </c>
      <c r="C2633" s="4"/>
      <c r="D2633" s="4" t="s">
        <v>6386</v>
      </c>
      <c r="E2633" s="4" t="s">
        <v>6391</v>
      </c>
      <c r="F2633" s="4" t="s">
        <v>6388</v>
      </c>
      <c r="G2633" s="5" t="str">
        <f>IFERROR(__xludf.DUMMYFUNCTION("GOOGLETRANSLATE(D2633,""en"",""es"")"),"ene")</f>
        <v>ene</v>
      </c>
      <c r="H2633" s="4" t="s">
        <v>6389</v>
      </c>
      <c r="I2633" s="4" t="s">
        <v>6390</v>
      </c>
    </row>
    <row r="2634">
      <c r="A2634" s="4">
        <v>196.0</v>
      </c>
      <c r="B2634" s="4" t="s">
        <v>8035</v>
      </c>
      <c r="C2634" s="4"/>
      <c r="D2634" s="4" t="s">
        <v>1297</v>
      </c>
      <c r="E2634" s="4" t="s">
        <v>6395</v>
      </c>
      <c r="F2634" s="4" t="s">
        <v>1297</v>
      </c>
      <c r="G2634" s="5" t="str">
        <f>IFERROR(__xludf.DUMMYFUNCTION("GOOGLETRANSLATE(D2634,""en"",""es"")"),"kaki")</f>
        <v>kaki</v>
      </c>
      <c r="H2634" s="4" t="s">
        <v>6396</v>
      </c>
      <c r="I2634" s="4" t="s">
        <v>1297</v>
      </c>
      <c r="J2634" s="4" t="s">
        <v>6397</v>
      </c>
      <c r="K2634" s="4" t="s">
        <v>1297</v>
      </c>
      <c r="L2634" s="4" t="s">
        <v>6398</v>
      </c>
    </row>
    <row r="2635">
      <c r="A2635" s="4">
        <v>197.0</v>
      </c>
      <c r="B2635" s="4" t="s">
        <v>8035</v>
      </c>
      <c r="C2635" s="4"/>
      <c r="D2635" s="4" t="s">
        <v>6399</v>
      </c>
      <c r="E2635" s="4" t="s">
        <v>5969</v>
      </c>
      <c r="F2635" s="4" t="s">
        <v>1207</v>
      </c>
      <c r="G2635" s="5" t="str">
        <f>IFERROR(__xludf.DUMMYFUNCTION("GOOGLETRANSLATE(D2635,""en"",""es"")"),"kanny")</f>
        <v>kanny</v>
      </c>
    </row>
    <row r="2636">
      <c r="A2636" s="4">
        <v>198.0</v>
      </c>
      <c r="B2636" s="4" t="s">
        <v>8035</v>
      </c>
      <c r="C2636" s="4"/>
      <c r="D2636" s="4" t="s">
        <v>5924</v>
      </c>
      <c r="E2636" s="4" t="s">
        <v>5923</v>
      </c>
      <c r="F2636" s="4" t="s">
        <v>5924</v>
      </c>
      <c r="G2636" s="5" t="str">
        <f>IFERROR(__xludf.DUMMYFUNCTION("GOOGLETRANSLATE(D2636,""en"",""es"")"),"kash")</f>
        <v>kash</v>
      </c>
    </row>
    <row r="2637">
      <c r="A2637" s="4">
        <v>199.0</v>
      </c>
      <c r="B2637" s="4" t="s">
        <v>8035</v>
      </c>
      <c r="C2637" s="4"/>
      <c r="D2637" s="4" t="s">
        <v>8353</v>
      </c>
      <c r="E2637" s="4" t="s">
        <v>3816</v>
      </c>
      <c r="F2637" s="4" t="s">
        <v>3817</v>
      </c>
      <c r="G2637" s="5" t="str">
        <f>IFERROR(__xludf.DUMMYFUNCTION("GOOGLETRANSLATE(D2637,""en"",""es"")"),"entusiasta")</f>
        <v>entusiasta</v>
      </c>
      <c r="H2637" s="4" t="s">
        <v>8353</v>
      </c>
      <c r="I2637" s="4" t="s">
        <v>8354</v>
      </c>
      <c r="J2637" s="4" t="s">
        <v>8353</v>
      </c>
      <c r="K2637" s="4" t="s">
        <v>8355</v>
      </c>
      <c r="L2637" s="4" t="s">
        <v>8356</v>
      </c>
      <c r="M2637" s="4" t="s">
        <v>8357</v>
      </c>
      <c r="N2637" s="4" t="s">
        <v>8353</v>
      </c>
      <c r="O2637" s="4" t="s">
        <v>8358</v>
      </c>
      <c r="P2637" s="4" t="s">
        <v>8359</v>
      </c>
      <c r="Q2637" s="4" t="s">
        <v>8360</v>
      </c>
      <c r="R2637" s="4" t="s">
        <v>8361</v>
      </c>
      <c r="S2637" s="4" t="s">
        <v>8362</v>
      </c>
      <c r="T2637" s="4" t="s">
        <v>8363</v>
      </c>
      <c r="U2637" s="4" t="s">
        <v>8353</v>
      </c>
      <c r="V2637" s="4" t="s">
        <v>8364</v>
      </c>
      <c r="W2637" s="4" t="s">
        <v>8365</v>
      </c>
      <c r="X2637" s="4" t="s">
        <v>8366</v>
      </c>
      <c r="Y2637" s="4" t="s">
        <v>8367</v>
      </c>
      <c r="Z2637" s="4" t="s">
        <v>8368</v>
      </c>
      <c r="AA2637" s="4" t="s">
        <v>1277</v>
      </c>
      <c r="AB2637" s="4" t="s">
        <v>8369</v>
      </c>
      <c r="AC2637" s="4" t="s">
        <v>8353</v>
      </c>
      <c r="AD2637" s="4" t="s">
        <v>8370</v>
      </c>
      <c r="AE2637" s="4" t="s">
        <v>8371</v>
      </c>
      <c r="AF2637" s="4" t="s">
        <v>8372</v>
      </c>
      <c r="AG2637" s="4" t="s">
        <v>8373</v>
      </c>
      <c r="AH2637" s="4" t="s">
        <v>8374</v>
      </c>
      <c r="AI2637" s="4" t="s">
        <v>8375</v>
      </c>
      <c r="AJ2637" s="4" t="s">
        <v>8376</v>
      </c>
      <c r="AK2637" s="4" t="s">
        <v>4267</v>
      </c>
      <c r="AL2637" s="4" t="s">
        <v>8353</v>
      </c>
      <c r="AM2637" s="4" t="s">
        <v>8358</v>
      </c>
      <c r="AN2637" s="4" t="s">
        <v>8361</v>
      </c>
      <c r="AO2637" s="4" t="s">
        <v>8377</v>
      </c>
      <c r="AP2637" s="4" t="s">
        <v>8378</v>
      </c>
      <c r="AQ2637" s="4" t="s">
        <v>8379</v>
      </c>
      <c r="AR2637" s="4" t="s">
        <v>8353</v>
      </c>
    </row>
    <row r="2638">
      <c r="A2638" s="4">
        <v>200.0</v>
      </c>
      <c r="B2638" s="4" t="s">
        <v>8035</v>
      </c>
      <c r="C2638" s="4"/>
      <c r="D2638" s="4" t="s">
        <v>8380</v>
      </c>
      <c r="E2638" s="4" t="s">
        <v>2013</v>
      </c>
      <c r="F2638" s="4" t="s">
        <v>2014</v>
      </c>
      <c r="G2638" s="5" t="str">
        <f>IFERROR(__xludf.DUMMYFUNCTION("GOOGLETRANSLATE(D2638,""en"",""es"")"),"llave")</f>
        <v>llave</v>
      </c>
      <c r="H2638" s="4" t="s">
        <v>8380</v>
      </c>
      <c r="I2638" s="4" t="s">
        <v>8380</v>
      </c>
      <c r="J2638" s="4" t="s">
        <v>8380</v>
      </c>
      <c r="K2638" s="4" t="s">
        <v>8380</v>
      </c>
      <c r="L2638" s="4" t="s">
        <v>8381</v>
      </c>
      <c r="M2638" s="4" t="s">
        <v>8380</v>
      </c>
      <c r="N2638" s="4" t="s">
        <v>8382</v>
      </c>
      <c r="O2638" s="4" t="s">
        <v>8383</v>
      </c>
      <c r="P2638" s="4" t="s">
        <v>8380</v>
      </c>
      <c r="Q2638" s="4" t="s">
        <v>8384</v>
      </c>
      <c r="R2638" s="4" t="s">
        <v>8385</v>
      </c>
      <c r="S2638" s="4" t="s">
        <v>8380</v>
      </c>
      <c r="T2638" s="4" t="s">
        <v>8386</v>
      </c>
      <c r="U2638" s="4" t="s">
        <v>8387</v>
      </c>
      <c r="V2638" s="4" t="s">
        <v>8380</v>
      </c>
      <c r="W2638" s="4" t="s">
        <v>8388</v>
      </c>
      <c r="X2638" s="4" t="s">
        <v>8380</v>
      </c>
      <c r="Y2638" s="4" t="s">
        <v>8380</v>
      </c>
      <c r="Z2638" s="4" t="s">
        <v>8380</v>
      </c>
      <c r="AA2638" s="4" t="s">
        <v>8389</v>
      </c>
      <c r="AB2638" s="4" t="s">
        <v>8380</v>
      </c>
      <c r="AC2638" s="4" t="s">
        <v>8390</v>
      </c>
      <c r="AD2638" s="4" t="s">
        <v>8380</v>
      </c>
      <c r="AE2638" s="4" t="s">
        <v>8391</v>
      </c>
      <c r="AF2638" s="4" t="s">
        <v>8380</v>
      </c>
      <c r="AG2638" s="4" t="s">
        <v>8392</v>
      </c>
      <c r="AH2638" s="4" t="s">
        <v>8393</v>
      </c>
      <c r="AI2638" s="4" t="s">
        <v>8380</v>
      </c>
      <c r="AJ2638" s="4" t="s">
        <v>8394</v>
      </c>
      <c r="AK2638" s="4" t="s">
        <v>8395</v>
      </c>
      <c r="AL2638" s="4" t="s">
        <v>8396</v>
      </c>
      <c r="AM2638" s="4" t="s">
        <v>1438</v>
      </c>
      <c r="AN2638" s="4" t="s">
        <v>8380</v>
      </c>
      <c r="AO2638" s="4" t="s">
        <v>8380</v>
      </c>
      <c r="AP2638" s="4" t="s">
        <v>8380</v>
      </c>
      <c r="AQ2638" s="4" t="s">
        <v>8380</v>
      </c>
      <c r="AR2638" s="4" t="s">
        <v>8397</v>
      </c>
      <c r="AS2638" s="4" t="s">
        <v>8398</v>
      </c>
      <c r="AT2638" s="4" t="s">
        <v>8399</v>
      </c>
      <c r="AU2638" s="4" t="s">
        <v>8380</v>
      </c>
      <c r="AV2638" s="4" t="s">
        <v>8400</v>
      </c>
    </row>
    <row r="2639">
      <c r="A2639" s="4">
        <v>201.0</v>
      </c>
      <c r="B2639" s="4" t="s">
        <v>8035</v>
      </c>
      <c r="C2639" s="4"/>
      <c r="D2639" s="4" t="s">
        <v>1298</v>
      </c>
      <c r="E2639" s="4" t="s">
        <v>6395</v>
      </c>
      <c r="F2639" s="4" t="s">
        <v>1297</v>
      </c>
      <c r="G2639" s="5" t="str">
        <f>IFERROR(__xludf.DUMMYFUNCTION("GOOGLETRANSLATE(D2639,""en"",""es"")"),"caqui")</f>
        <v>caqui</v>
      </c>
      <c r="H2639" s="4" t="s">
        <v>1298</v>
      </c>
      <c r="I2639" s="4" t="s">
        <v>1298</v>
      </c>
    </row>
    <row r="2640">
      <c r="A2640" s="4">
        <v>202.0</v>
      </c>
      <c r="B2640" s="4" t="s">
        <v>8035</v>
      </c>
      <c r="C2640" s="4"/>
      <c r="D2640" s="4" t="s">
        <v>4744</v>
      </c>
      <c r="E2640" s="4" t="s">
        <v>6400</v>
      </c>
      <c r="F2640" s="4" t="s">
        <v>6401</v>
      </c>
      <c r="G2640" s="5" t="str">
        <f>IFERROR(__xludf.DUMMYFUNCTION("GOOGLETRANSLATE(D2640,""en"",""es"")"),"patada")</f>
        <v>patada</v>
      </c>
      <c r="H2640" s="4" t="s">
        <v>4744</v>
      </c>
      <c r="I2640" s="4" t="s">
        <v>6402</v>
      </c>
      <c r="J2640" s="4" t="s">
        <v>6403</v>
      </c>
      <c r="K2640" s="4" t="s">
        <v>6404</v>
      </c>
      <c r="L2640" s="4" t="s">
        <v>6402</v>
      </c>
      <c r="M2640" s="4" t="s">
        <v>917</v>
      </c>
      <c r="N2640" s="4" t="s">
        <v>6405</v>
      </c>
      <c r="O2640" s="4" t="s">
        <v>6406</v>
      </c>
      <c r="P2640" s="4" t="s">
        <v>6407</v>
      </c>
      <c r="Q2640" s="4" t="s">
        <v>4744</v>
      </c>
      <c r="R2640" s="4" t="s">
        <v>6408</v>
      </c>
      <c r="S2640" s="4" t="s">
        <v>4744</v>
      </c>
      <c r="T2640" s="4" t="s">
        <v>6409</v>
      </c>
      <c r="U2640" s="4" t="s">
        <v>4744</v>
      </c>
      <c r="V2640" s="4" t="s">
        <v>6410</v>
      </c>
      <c r="W2640" s="4" t="s">
        <v>6411</v>
      </c>
      <c r="X2640" s="4" t="s">
        <v>6412</v>
      </c>
      <c r="Y2640" s="4" t="s">
        <v>4744</v>
      </c>
      <c r="Z2640" s="4" t="s">
        <v>4744</v>
      </c>
      <c r="AA2640" s="4" t="s">
        <v>6403</v>
      </c>
      <c r="AB2640" s="4" t="s">
        <v>4744</v>
      </c>
      <c r="AC2640" s="4" t="s">
        <v>4744</v>
      </c>
      <c r="AD2640" s="4" t="s">
        <v>4744</v>
      </c>
      <c r="AE2640" s="4" t="s">
        <v>4744</v>
      </c>
      <c r="AF2640" s="4" t="s">
        <v>6413</v>
      </c>
      <c r="AG2640" s="4" t="s">
        <v>6408</v>
      </c>
      <c r="AH2640" s="4" t="s">
        <v>4744</v>
      </c>
      <c r="AI2640" s="4" t="s">
        <v>4744</v>
      </c>
      <c r="AJ2640" s="4" t="s">
        <v>3347</v>
      </c>
      <c r="AK2640" s="4" t="s">
        <v>4744</v>
      </c>
      <c r="AL2640" s="4" t="s">
        <v>6414</v>
      </c>
      <c r="AM2640" s="4" t="s">
        <v>4744</v>
      </c>
      <c r="AN2640" s="4" t="s">
        <v>6415</v>
      </c>
      <c r="AO2640" s="4" t="s">
        <v>6416</v>
      </c>
      <c r="AP2640" s="4" t="s">
        <v>6417</v>
      </c>
      <c r="AQ2640" s="4" t="s">
        <v>6418</v>
      </c>
    </row>
    <row r="2641">
      <c r="A2641" s="4">
        <v>203.0</v>
      </c>
      <c r="B2641" s="4" t="s">
        <v>8035</v>
      </c>
      <c r="C2641" s="4"/>
      <c r="D2641" s="4" t="s">
        <v>6513</v>
      </c>
      <c r="E2641" s="4" t="s">
        <v>8401</v>
      </c>
      <c r="F2641" s="4" t="s">
        <v>6513</v>
      </c>
      <c r="G2641" s="5" t="str">
        <f>IFERROR(__xludf.DUMMYFUNCTION("GOOGLETRANSLATE(D2641,""en"",""es"")"),"kilim")</f>
        <v>kilim</v>
      </c>
    </row>
    <row r="2642">
      <c r="A2642" s="4">
        <v>204.0</v>
      </c>
      <c r="B2642" s="4" t="s">
        <v>8035</v>
      </c>
      <c r="C2642" s="4"/>
      <c r="D2642" s="4" t="s">
        <v>6513</v>
      </c>
      <c r="E2642" s="4" t="s">
        <v>6512</v>
      </c>
      <c r="F2642" s="4" t="s">
        <v>6513</v>
      </c>
      <c r="G2642" s="5" t="str">
        <f>IFERROR(__xludf.DUMMYFUNCTION("GOOGLETRANSLATE(D2642,""en"",""es"")"),"kilim")</f>
        <v>kilim</v>
      </c>
    </row>
    <row r="2643">
      <c r="A2643" s="4">
        <v>205.0</v>
      </c>
      <c r="B2643" s="4" t="s">
        <v>8035</v>
      </c>
      <c r="C2643" s="4"/>
      <c r="D2643" s="4" t="s">
        <v>2570</v>
      </c>
      <c r="E2643" s="4" t="s">
        <v>6419</v>
      </c>
      <c r="F2643" s="4" t="s">
        <v>3801</v>
      </c>
      <c r="G2643" s="5" t="str">
        <f>IFERROR(__xludf.DUMMYFUNCTION("GOOGLETRANSLATE(D2643,""en"",""es"")"),"matar")</f>
        <v>matar</v>
      </c>
      <c r="H2643" s="4" t="s">
        <v>6420</v>
      </c>
      <c r="I2643" s="4" t="s">
        <v>2570</v>
      </c>
      <c r="J2643" s="4" t="s">
        <v>6421</v>
      </c>
      <c r="K2643" s="4" t="s">
        <v>2570</v>
      </c>
      <c r="L2643" s="4" t="s">
        <v>2570</v>
      </c>
      <c r="M2643" s="4" t="s">
        <v>2570</v>
      </c>
      <c r="N2643" s="4" t="s">
        <v>6422</v>
      </c>
      <c r="O2643" s="4" t="s">
        <v>4937</v>
      </c>
      <c r="P2643" s="4" t="s">
        <v>6423</v>
      </c>
      <c r="Q2643" s="4" t="s">
        <v>6424</v>
      </c>
      <c r="R2643" s="4" t="s">
        <v>2569</v>
      </c>
      <c r="S2643" s="4" t="s">
        <v>2570</v>
      </c>
      <c r="T2643" s="4" t="s">
        <v>2570</v>
      </c>
      <c r="U2643" s="4" t="s">
        <v>2570</v>
      </c>
      <c r="V2643" s="4" t="s">
        <v>2570</v>
      </c>
      <c r="W2643" s="4" t="s">
        <v>2570</v>
      </c>
      <c r="X2643" s="4" t="s">
        <v>2570</v>
      </c>
      <c r="Y2643" s="4" t="s">
        <v>2570</v>
      </c>
      <c r="Z2643" s="4" t="s">
        <v>2570</v>
      </c>
      <c r="AA2643" s="4" t="s">
        <v>6425</v>
      </c>
      <c r="AB2643" s="4" t="s">
        <v>3298</v>
      </c>
      <c r="AC2643" s="4" t="s">
        <v>6426</v>
      </c>
      <c r="AD2643" s="4" t="s">
        <v>6427</v>
      </c>
      <c r="AE2643" s="4" t="s">
        <v>6428</v>
      </c>
      <c r="AF2643" s="4" t="s">
        <v>3624</v>
      </c>
      <c r="AG2643" s="4" t="s">
        <v>6429</v>
      </c>
      <c r="AH2643" s="4" t="s">
        <v>2570</v>
      </c>
      <c r="AI2643" s="4" t="s">
        <v>2570</v>
      </c>
      <c r="AJ2643" s="4" t="s">
        <v>6430</v>
      </c>
      <c r="AK2643" s="4" t="s">
        <v>6431</v>
      </c>
      <c r="AL2643" s="4" t="s">
        <v>2570</v>
      </c>
      <c r="AM2643" s="4" t="s">
        <v>2570</v>
      </c>
      <c r="AN2643" s="4" t="s">
        <v>2570</v>
      </c>
    </row>
    <row r="2644">
      <c r="A2644" s="4">
        <v>206.0</v>
      </c>
      <c r="B2644" s="4" t="s">
        <v>8035</v>
      </c>
      <c r="C2644" s="4"/>
      <c r="D2644" s="4" t="s">
        <v>3814</v>
      </c>
      <c r="E2644" s="4" t="s">
        <v>6432</v>
      </c>
      <c r="F2644" s="4" t="s">
        <v>3814</v>
      </c>
      <c r="G2644" s="5" t="str">
        <f>IFERROR(__xludf.DUMMYFUNCTION("GOOGLETRANSLATE(D2644,""en"",""es"")"),"Kim")</f>
        <v>Kim</v>
      </c>
    </row>
    <row r="2645">
      <c r="A2645" s="4">
        <v>207.0</v>
      </c>
      <c r="B2645" s="4" t="s">
        <v>8035</v>
      </c>
      <c r="C2645" s="4"/>
      <c r="D2645" s="4" t="s">
        <v>6433</v>
      </c>
      <c r="E2645" s="4" t="s">
        <v>6434</v>
      </c>
      <c r="F2645" s="4" t="s">
        <v>6435</v>
      </c>
      <c r="G2645" s="5" t="str">
        <f>IFERROR(__xludf.DUMMYFUNCTION("GOOGLETRANSLATE(D2645,""en"",""es"")"),"kimmy")</f>
        <v>kimmy</v>
      </c>
    </row>
    <row r="2646">
      <c r="A2646" s="4">
        <v>208.0</v>
      </c>
      <c r="B2646" s="4" t="s">
        <v>8035</v>
      </c>
      <c r="C2646" s="4"/>
      <c r="D2646" s="4" t="s">
        <v>3817</v>
      </c>
      <c r="E2646" s="4" t="s">
        <v>6436</v>
      </c>
      <c r="F2646" s="4" t="s">
        <v>3817</v>
      </c>
      <c r="G2646" s="5" t="str">
        <f>IFERROR(__xludf.DUMMYFUNCTION("GOOGLETRANSLATE(D2646,""en"",""es"")"),"familiares")</f>
        <v>familiares</v>
      </c>
      <c r="H2646" s="4" t="s">
        <v>3817</v>
      </c>
      <c r="I2646" s="4" t="s">
        <v>6437</v>
      </c>
      <c r="J2646" s="4" t="s">
        <v>2128</v>
      </c>
      <c r="K2646" s="4" t="s">
        <v>3817</v>
      </c>
      <c r="L2646" s="4" t="s">
        <v>6438</v>
      </c>
      <c r="M2646" s="4" t="s">
        <v>6439</v>
      </c>
      <c r="N2646" s="4" t="s">
        <v>6440</v>
      </c>
      <c r="O2646" s="4" t="s">
        <v>6441</v>
      </c>
      <c r="P2646" s="4" t="s">
        <v>6442</v>
      </c>
      <c r="Q2646" s="4" t="s">
        <v>6443</v>
      </c>
      <c r="R2646" s="4" t="s">
        <v>6444</v>
      </c>
      <c r="S2646" s="4" t="s">
        <v>6445</v>
      </c>
      <c r="T2646" s="4" t="s">
        <v>6446</v>
      </c>
      <c r="U2646" s="4" t="s">
        <v>6447</v>
      </c>
      <c r="V2646" s="4" t="s">
        <v>6448</v>
      </c>
      <c r="W2646" s="4" t="s">
        <v>3817</v>
      </c>
    </row>
    <row r="2647">
      <c r="A2647" s="4">
        <v>209.0</v>
      </c>
      <c r="B2647" s="4" t="s">
        <v>8035</v>
      </c>
      <c r="C2647" s="4"/>
      <c r="D2647" s="4" t="s">
        <v>6452</v>
      </c>
      <c r="E2647" s="4" t="s">
        <v>6453</v>
      </c>
      <c r="F2647" s="4" t="s">
        <v>6454</v>
      </c>
      <c r="G2647" s="5" t="str">
        <f>IFERROR(__xludf.DUMMYFUNCTION("GOOGLETRANSLATE(D2647,""en"",""es"")"),"Kinney")</f>
        <v>Kinney</v>
      </c>
    </row>
    <row r="2648">
      <c r="A2648" s="4">
        <v>210.0</v>
      </c>
      <c r="B2648" s="4" t="s">
        <v>8035</v>
      </c>
      <c r="C2648" s="4"/>
      <c r="D2648" s="4" t="s">
        <v>6455</v>
      </c>
      <c r="E2648" s="4" t="s">
        <v>6456</v>
      </c>
      <c r="F2648" s="4" t="s">
        <v>6457</v>
      </c>
      <c r="G2648" s="5" t="str">
        <f>IFERROR(__xludf.DUMMYFUNCTION("GOOGLETRANSLATE(D2648,""en"",""es"")"),"kinnikinnick")</f>
        <v>kinnikinnick</v>
      </c>
    </row>
    <row r="2649">
      <c r="A2649" s="4">
        <v>211.0</v>
      </c>
      <c r="B2649" s="4" t="s">
        <v>8035</v>
      </c>
      <c r="C2649" s="4"/>
      <c r="D2649" s="4" t="s">
        <v>6458</v>
      </c>
      <c r="E2649" s="4" t="s">
        <v>6459</v>
      </c>
      <c r="F2649" s="4" t="s">
        <v>6458</v>
      </c>
      <c r="G2649" s="5" t="str">
        <f>IFERROR(__xludf.DUMMYFUNCTION("GOOGLETRANSLATE(D2649,""en"",""es"")"),"dormir")</f>
        <v>dormir</v>
      </c>
      <c r="H2649" s="4" t="s">
        <v>6458</v>
      </c>
      <c r="I2649" s="4" t="s">
        <v>6458</v>
      </c>
      <c r="J2649" s="4" t="s">
        <v>6458</v>
      </c>
      <c r="K2649" s="4" t="s">
        <v>6460</v>
      </c>
      <c r="L2649" s="4" t="s">
        <v>6461</v>
      </c>
      <c r="M2649" s="4" t="s">
        <v>6458</v>
      </c>
      <c r="N2649" s="4" t="s">
        <v>6462</v>
      </c>
      <c r="O2649" s="4" t="s">
        <v>6463</v>
      </c>
      <c r="P2649" s="4" t="s">
        <v>6464</v>
      </c>
    </row>
    <row r="2650">
      <c r="A2650" s="4">
        <v>212.0</v>
      </c>
      <c r="B2650" s="4" t="s">
        <v>8035</v>
      </c>
      <c r="C2650" s="4"/>
      <c r="D2650" s="4" t="s">
        <v>6465</v>
      </c>
      <c r="E2650" s="4" t="s">
        <v>6466</v>
      </c>
      <c r="F2650" s="4" t="s">
        <v>6465</v>
      </c>
      <c r="G2650" s="5" t="str">
        <f>IFERROR(__xludf.DUMMYFUNCTION("GOOGLETRANSLATE(D2650,""en"",""es"")"),"kish")</f>
        <v>kish</v>
      </c>
    </row>
    <row r="2651">
      <c r="A2651" s="4">
        <v>213.0</v>
      </c>
      <c r="B2651" s="4" t="s">
        <v>8035</v>
      </c>
      <c r="C2651" s="4"/>
      <c r="D2651" s="4" t="s">
        <v>6467</v>
      </c>
      <c r="E2651" s="4" t="s">
        <v>6468</v>
      </c>
      <c r="F2651" s="4" t="s">
        <v>6469</v>
      </c>
      <c r="G2651" s="5" t="str">
        <f>IFERROR(__xludf.DUMMYFUNCTION("GOOGLETRANSLATE(D2651,""en"",""es"")"),"Beso")</f>
        <v>Beso</v>
      </c>
      <c r="H2651" s="4" t="s">
        <v>6467</v>
      </c>
      <c r="I2651" s="4" t="s">
        <v>6470</v>
      </c>
      <c r="J2651" s="4" t="s">
        <v>6471</v>
      </c>
      <c r="K2651" s="4" t="s">
        <v>6467</v>
      </c>
      <c r="L2651" s="4" t="s">
        <v>6467</v>
      </c>
      <c r="M2651" s="4" t="s">
        <v>6472</v>
      </c>
      <c r="N2651" s="4" t="s">
        <v>6467</v>
      </c>
      <c r="O2651" s="4" t="s">
        <v>6473</v>
      </c>
      <c r="P2651" s="4" t="s">
        <v>6467</v>
      </c>
      <c r="Q2651" s="4" t="s">
        <v>6470</v>
      </c>
      <c r="R2651" s="4" t="s">
        <v>6474</v>
      </c>
      <c r="S2651" s="4" t="s">
        <v>6467</v>
      </c>
    </row>
    <row r="2652">
      <c r="A2652" s="4">
        <v>214.0</v>
      </c>
      <c r="B2652" s="4" t="s">
        <v>8035</v>
      </c>
      <c r="C2652" s="4"/>
      <c r="D2652" s="4" t="s">
        <v>6475</v>
      </c>
      <c r="E2652" s="4" t="s">
        <v>6476</v>
      </c>
      <c r="F2652" s="4" t="s">
        <v>6475</v>
      </c>
      <c r="G2652" s="5" t="str">
        <f>IFERROR(__xludf.DUMMYFUNCTION("GOOGLETRANSLATE(D2652,""en"",""es"")"),"kith")</f>
        <v>kith</v>
      </c>
      <c r="H2652" s="4" t="s">
        <v>6475</v>
      </c>
    </row>
    <row r="2653">
      <c r="A2653" s="4">
        <v>215.0</v>
      </c>
      <c r="B2653" s="4" t="s">
        <v>8035</v>
      </c>
      <c r="C2653" s="4"/>
      <c r="D2653" s="4" t="s">
        <v>2722</v>
      </c>
      <c r="E2653" s="4" t="s">
        <v>6477</v>
      </c>
      <c r="F2653" s="4" t="s">
        <v>6478</v>
      </c>
      <c r="G2653" s="5" t="str">
        <f>IFERROR(__xludf.DUMMYFUNCTION("GOOGLETRANSLATE(D2653,""en"",""es"")"),"gatito")</f>
        <v>gatito</v>
      </c>
      <c r="H2653" s="4" t="s">
        <v>6479</v>
      </c>
      <c r="I2653" s="4" t="s">
        <v>2722</v>
      </c>
      <c r="J2653" s="4" t="s">
        <v>1752</v>
      </c>
      <c r="K2653" s="4" t="s">
        <v>6480</v>
      </c>
      <c r="L2653" s="4" t="s">
        <v>2722</v>
      </c>
      <c r="M2653" s="4" t="s">
        <v>6481</v>
      </c>
      <c r="N2653" s="4" t="s">
        <v>2722</v>
      </c>
      <c r="O2653" s="4" t="s">
        <v>2722</v>
      </c>
      <c r="P2653" s="4" t="s">
        <v>2723</v>
      </c>
      <c r="Q2653" s="4" t="s">
        <v>2724</v>
      </c>
      <c r="R2653" s="4" t="s">
        <v>2725</v>
      </c>
      <c r="S2653" s="4" t="s">
        <v>2726</v>
      </c>
    </row>
    <row r="2654">
      <c r="A2654" s="4">
        <v>216.0</v>
      </c>
      <c r="B2654" s="4" t="s">
        <v>8035</v>
      </c>
      <c r="C2654" s="4"/>
      <c r="D2654" s="4" t="s">
        <v>2447</v>
      </c>
      <c r="E2654" s="4" t="s">
        <v>6482</v>
      </c>
      <c r="F2654" s="4" t="s">
        <v>6483</v>
      </c>
      <c r="G2654" s="5" t="str">
        <f>IFERROR(__xludf.DUMMYFUNCTION("GOOGLETRANSLATE(D2654,""en"",""es"")"),"maña")</f>
        <v>maña</v>
      </c>
      <c r="H2654" s="4" t="s">
        <v>2446</v>
      </c>
      <c r="I2654" s="4" t="s">
        <v>2447</v>
      </c>
      <c r="J2654" s="4" t="s">
        <v>2448</v>
      </c>
    </row>
    <row r="2655">
      <c r="A2655" s="4">
        <v>217.0</v>
      </c>
      <c r="B2655" s="4" t="s">
        <v>8035</v>
      </c>
      <c r="C2655" s="4"/>
      <c r="D2655" s="4" t="s">
        <v>6484</v>
      </c>
      <c r="E2655" s="4" t="s">
        <v>6485</v>
      </c>
      <c r="F2655" s="4" t="s">
        <v>2928</v>
      </c>
      <c r="G2655" s="5" t="str">
        <f>IFERROR(__xludf.DUMMYFUNCTION("GOOGLETRANSLATE(D2655,""en"",""es"")"),"mierda")</f>
        <v>mierda</v>
      </c>
      <c r="H2655" s="4" t="s">
        <v>6486</v>
      </c>
      <c r="I2655" s="4" t="s">
        <v>6484</v>
      </c>
      <c r="J2655" s="4" t="s">
        <v>2603</v>
      </c>
      <c r="K2655" s="4" t="s">
        <v>6484</v>
      </c>
      <c r="L2655" s="4" t="s">
        <v>944</v>
      </c>
      <c r="M2655" s="4" t="s">
        <v>6487</v>
      </c>
    </row>
    <row r="2656">
      <c r="A2656" s="4">
        <v>218.0</v>
      </c>
      <c r="B2656" s="4" t="s">
        <v>8035</v>
      </c>
      <c r="C2656" s="4"/>
      <c r="D2656" s="4" t="s">
        <v>8402</v>
      </c>
      <c r="E2656" s="4" t="s">
        <v>388</v>
      </c>
      <c r="F2656" s="4" t="s">
        <v>389</v>
      </c>
      <c r="G2656" s="5" t="str">
        <f>IFERROR(__xludf.DUMMYFUNCTION("GOOGLETRANSLATE(D2656,""en"",""es"")"),"rodilla")</f>
        <v>rodilla</v>
      </c>
      <c r="H2656" s="4" t="s">
        <v>8402</v>
      </c>
      <c r="I2656" s="4" t="s">
        <v>8403</v>
      </c>
      <c r="J2656" s="4" t="s">
        <v>8404</v>
      </c>
      <c r="K2656" s="4" t="s">
        <v>8405</v>
      </c>
      <c r="L2656" s="4" t="s">
        <v>8406</v>
      </c>
      <c r="M2656" s="4" t="s">
        <v>8407</v>
      </c>
      <c r="N2656" s="4" t="s">
        <v>8402</v>
      </c>
      <c r="O2656" s="4" t="s">
        <v>8402</v>
      </c>
    </row>
    <row r="2657">
      <c r="A2657" s="4">
        <v>219.0</v>
      </c>
      <c r="B2657" s="4" t="s">
        <v>8035</v>
      </c>
      <c r="C2657" s="4"/>
      <c r="D2657" s="4" t="s">
        <v>3462</v>
      </c>
      <c r="E2657" s="4" t="s">
        <v>8408</v>
      </c>
      <c r="F2657" s="4" t="s">
        <v>6483</v>
      </c>
      <c r="G2657" s="5" t="str">
        <f>IFERROR(__xludf.DUMMYFUNCTION("GOOGLETRANSLATE(D2657,""en"",""es"")"),"golpear")</f>
        <v>golpear</v>
      </c>
      <c r="H2657" s="4" t="s">
        <v>3462</v>
      </c>
      <c r="I2657" s="4" t="s">
        <v>3463</v>
      </c>
      <c r="J2657" s="4" t="s">
        <v>3462</v>
      </c>
      <c r="K2657" s="4" t="s">
        <v>8409</v>
      </c>
      <c r="L2657" s="4" t="s">
        <v>3462</v>
      </c>
      <c r="M2657" s="4" t="s">
        <v>8410</v>
      </c>
      <c r="N2657" s="4" t="s">
        <v>6404</v>
      </c>
      <c r="O2657" s="4" t="s">
        <v>8411</v>
      </c>
      <c r="P2657" s="4" t="s">
        <v>8412</v>
      </c>
      <c r="Q2657" s="4" t="s">
        <v>3462</v>
      </c>
      <c r="R2657" s="4" t="s">
        <v>3462</v>
      </c>
      <c r="S2657" s="4" t="s">
        <v>8412</v>
      </c>
      <c r="T2657" s="4" t="s">
        <v>6486</v>
      </c>
      <c r="U2657" s="4" t="s">
        <v>8413</v>
      </c>
      <c r="V2657" s="4" t="s">
        <v>8414</v>
      </c>
      <c r="W2657" s="4" t="s">
        <v>3462</v>
      </c>
      <c r="X2657" s="4" t="s">
        <v>8415</v>
      </c>
      <c r="Y2657" s="4" t="s">
        <v>3462</v>
      </c>
      <c r="Z2657" s="4" t="s">
        <v>8416</v>
      </c>
      <c r="AA2657" s="4" t="s">
        <v>3462</v>
      </c>
      <c r="AB2657" s="4" t="s">
        <v>4321</v>
      </c>
      <c r="AC2657" s="4" t="s">
        <v>6486</v>
      </c>
      <c r="AD2657" s="4" t="s">
        <v>3462</v>
      </c>
      <c r="AE2657" s="4" t="s">
        <v>7763</v>
      </c>
      <c r="AF2657" s="4" t="s">
        <v>7763</v>
      </c>
      <c r="AG2657" s="4" t="s">
        <v>8417</v>
      </c>
      <c r="AH2657" s="4" t="s">
        <v>3462</v>
      </c>
      <c r="AI2657" s="4" t="s">
        <v>3462</v>
      </c>
      <c r="AJ2657" s="4" t="s">
        <v>8418</v>
      </c>
      <c r="AK2657" s="4" t="s">
        <v>8419</v>
      </c>
      <c r="AL2657" s="4" t="s">
        <v>8420</v>
      </c>
    </row>
    <row r="2658">
      <c r="A2658" s="4">
        <v>220.0</v>
      </c>
      <c r="B2658" s="4" t="s">
        <v>8035</v>
      </c>
      <c r="C2658" s="4"/>
      <c r="D2658" s="4" t="s">
        <v>8421</v>
      </c>
      <c r="E2658" s="4" t="s">
        <v>8422</v>
      </c>
      <c r="F2658" s="4" t="s">
        <v>319</v>
      </c>
      <c r="G2658" s="5" t="str">
        <f>IFERROR(__xludf.DUMMYFUNCTION("GOOGLETRANSLATE(D2658,""en"",""es"")"),"koch")</f>
        <v>koch</v>
      </c>
      <c r="H2658" s="4" t="s">
        <v>8423</v>
      </c>
      <c r="I2658" s="4" t="s">
        <v>8424</v>
      </c>
    </row>
    <row r="2659">
      <c r="A2659" s="4">
        <v>221.0</v>
      </c>
      <c r="B2659" s="4" t="s">
        <v>8035</v>
      </c>
      <c r="C2659" s="4"/>
      <c r="D2659" s="4" t="s">
        <v>8421</v>
      </c>
      <c r="E2659" s="4" t="s">
        <v>6073</v>
      </c>
      <c r="F2659" s="4" t="s">
        <v>1588</v>
      </c>
      <c r="G2659" s="5" t="str">
        <f>IFERROR(__xludf.DUMMYFUNCTION("GOOGLETRANSLATE(D2659,""en"",""es"")"),"koch")</f>
        <v>koch</v>
      </c>
      <c r="H2659" s="4" t="s">
        <v>8423</v>
      </c>
      <c r="I2659" s="4" t="s">
        <v>8424</v>
      </c>
    </row>
    <row r="2660">
      <c r="A2660" s="4">
        <v>222.0</v>
      </c>
      <c r="B2660" s="4" t="s">
        <v>8035</v>
      </c>
      <c r="C2660" s="4"/>
      <c r="D2660" s="4" t="s">
        <v>6488</v>
      </c>
      <c r="E2660" s="4" t="s">
        <v>1555</v>
      </c>
      <c r="F2660" s="4" t="s">
        <v>1556</v>
      </c>
      <c r="G2660" s="5" t="str">
        <f>IFERROR(__xludf.DUMMYFUNCTION("GOOGLETRANSLATE(D2660,""en"",""es"")"),"gooky")</f>
        <v>gooky</v>
      </c>
      <c r="H2660" s="4" t="s">
        <v>6489</v>
      </c>
      <c r="I2660" s="4" t="s">
        <v>6490</v>
      </c>
      <c r="J2660" s="4" t="s">
        <v>6491</v>
      </c>
      <c r="K2660" s="4" t="s">
        <v>6492</v>
      </c>
      <c r="L2660" s="4" t="s">
        <v>6493</v>
      </c>
      <c r="M2660" s="4" t="s">
        <v>6494</v>
      </c>
      <c r="N2660" s="4" t="s">
        <v>6495</v>
      </c>
      <c r="O2660" s="4" t="s">
        <v>6496</v>
      </c>
      <c r="P2660" s="4" t="s">
        <v>6497</v>
      </c>
      <c r="Q2660" s="4" t="s">
        <v>6498</v>
      </c>
      <c r="R2660" s="4" t="s">
        <v>6499</v>
      </c>
      <c r="S2660" s="4" t="s">
        <v>6500</v>
      </c>
      <c r="T2660" s="4" t="s">
        <v>6488</v>
      </c>
      <c r="U2660" s="4" t="s">
        <v>6501</v>
      </c>
      <c r="V2660" s="4" t="s">
        <v>6502</v>
      </c>
      <c r="W2660" s="4" t="s">
        <v>6503</v>
      </c>
      <c r="X2660" s="4" t="s">
        <v>6504</v>
      </c>
      <c r="Y2660" s="4" t="s">
        <v>6505</v>
      </c>
      <c r="Z2660" s="4" t="s">
        <v>6506</v>
      </c>
      <c r="AA2660" s="4" t="s">
        <v>6507</v>
      </c>
      <c r="AB2660" s="4" t="s">
        <v>6508</v>
      </c>
      <c r="AC2660" s="4" t="s">
        <v>6509</v>
      </c>
      <c r="AD2660" s="4" t="s">
        <v>6510</v>
      </c>
    </row>
    <row r="2661">
      <c r="A2661" s="4">
        <v>223.0</v>
      </c>
      <c r="B2661" s="4" t="s">
        <v>8035</v>
      </c>
      <c r="C2661" s="4"/>
      <c r="D2661" s="4" t="s">
        <v>8425</v>
      </c>
      <c r="E2661" s="4" t="s">
        <v>8426</v>
      </c>
      <c r="F2661" s="4" t="s">
        <v>8425</v>
      </c>
      <c r="G2661" s="5" t="str">
        <f>IFERROR(__xludf.DUMMYFUNCTION("GOOGLETRANSLATE(D2661,""en"",""es"")"),"kulak")</f>
        <v>kulak</v>
      </c>
    </row>
    <row r="2662">
      <c r="A2662" s="4">
        <v>224.0</v>
      </c>
      <c r="B2662" s="4" t="s">
        <v>8035</v>
      </c>
      <c r="C2662" s="4"/>
      <c r="D2662" s="4" t="s">
        <v>6099</v>
      </c>
      <c r="E2662" s="4" t="s">
        <v>6098</v>
      </c>
      <c r="F2662" s="4" t="s">
        <v>6099</v>
      </c>
      <c r="G2662" s="5" t="str">
        <f>IFERROR(__xludf.DUMMYFUNCTION("GOOGLETRANSLATE(D2662,""en"",""es"")"),"kush")</f>
        <v>kush</v>
      </c>
    </row>
    <row r="2663">
      <c r="A2663" s="4">
        <v>225.0</v>
      </c>
      <c r="B2663" s="4" t="s">
        <v>8035</v>
      </c>
      <c r="C2663" s="4"/>
      <c r="D2663" s="4" t="s">
        <v>6511</v>
      </c>
      <c r="E2663" s="4" t="s">
        <v>6512</v>
      </c>
      <c r="F2663" s="4" t="s">
        <v>6513</v>
      </c>
      <c r="G2663" s="5" t="str">
        <f>IFERROR(__xludf.DUMMYFUNCTION("GOOGLETRANSLATE(D2663,""en"",""es"")"),"Kylym")</f>
        <v>Kylym</v>
      </c>
    </row>
    <row r="2664">
      <c r="A2664" s="4">
        <v>226.0</v>
      </c>
      <c r="B2664" s="4" t="s">
        <v>8035</v>
      </c>
      <c r="C2664" s="4"/>
      <c r="D2664" s="4" t="s">
        <v>6514</v>
      </c>
      <c r="E2664" s="4" t="s">
        <v>6515</v>
      </c>
      <c r="F2664" s="4" t="s">
        <v>4831</v>
      </c>
      <c r="G2664" s="5" t="str">
        <f>IFERROR(__xludf.DUMMYFUNCTION("GOOGLETRANSLATE(D2664,""en"",""es"")"),"laca")</f>
        <v>laca</v>
      </c>
      <c r="H2664" s="4" t="s">
        <v>6514</v>
      </c>
    </row>
    <row r="2665">
      <c r="A2665" s="4">
        <v>227.0</v>
      </c>
      <c r="B2665" s="4" t="s">
        <v>8035</v>
      </c>
      <c r="C2665" s="4"/>
      <c r="D2665" s="4" t="s">
        <v>6514</v>
      </c>
      <c r="E2665" s="4" t="s">
        <v>6516</v>
      </c>
      <c r="F2665" s="4" t="s">
        <v>6517</v>
      </c>
      <c r="G2665" s="5" t="str">
        <f>IFERROR(__xludf.DUMMYFUNCTION("GOOGLETRANSLATE(D2665,""en"",""es"")"),"laca")</f>
        <v>laca</v>
      </c>
      <c r="H2665" s="4" t="s">
        <v>6514</v>
      </c>
    </row>
    <row r="2666">
      <c r="A2666" s="4">
        <v>228.0</v>
      </c>
      <c r="B2666" s="4" t="s">
        <v>8035</v>
      </c>
      <c r="C2666" s="4"/>
      <c r="D2666" s="4" t="s">
        <v>6518</v>
      </c>
      <c r="E2666" s="4" t="s">
        <v>6519</v>
      </c>
      <c r="F2666" s="4" t="s">
        <v>6520</v>
      </c>
      <c r="G2666" s="5" t="str">
        <f>IFERROR(__xludf.DUMMYFUNCTION("GOOGLETRANSLATE(D2666,""en"",""es"")"),"lacera")</f>
        <v>lacera</v>
      </c>
    </row>
    <row r="2667">
      <c r="A2667" s="4">
        <v>229.0</v>
      </c>
      <c r="B2667" s="4" t="s">
        <v>8035</v>
      </c>
      <c r="C2667" s="4"/>
      <c r="D2667" s="4" t="s">
        <v>6521</v>
      </c>
      <c r="E2667" s="4" t="s">
        <v>6522</v>
      </c>
      <c r="F2667" s="4" t="s">
        <v>6523</v>
      </c>
      <c r="G2667" s="5" t="str">
        <f>IFERROR(__xludf.DUMMYFUNCTION("GOOGLETRANSLATE(D2667,""en"",""es"")"),"Lachesis")</f>
        <v>Lachesis</v>
      </c>
      <c r="H2667" s="4" t="s">
        <v>6524</v>
      </c>
    </row>
    <row r="2668">
      <c r="A2668" s="4">
        <v>230.0</v>
      </c>
      <c r="B2668" s="4" t="s">
        <v>8035</v>
      </c>
      <c r="C2668" s="4"/>
      <c r="D2668" s="4" t="s">
        <v>6526</v>
      </c>
      <c r="E2668" s="4" t="s">
        <v>6515</v>
      </c>
      <c r="F2668" s="4" t="s">
        <v>4831</v>
      </c>
      <c r="G2668" s="5" t="str">
        <f>IFERROR(__xludf.DUMMYFUNCTION("GOOGLETRANSLATE(D2668,""en"",""es"")"),"falta")</f>
        <v>falta</v>
      </c>
      <c r="H2668" s="4" t="s">
        <v>6526</v>
      </c>
      <c r="I2668" s="4" t="s">
        <v>6527</v>
      </c>
      <c r="J2668" s="4" t="s">
        <v>6528</v>
      </c>
      <c r="K2668" s="4" t="s">
        <v>2709</v>
      </c>
      <c r="L2668" s="4" t="s">
        <v>6526</v>
      </c>
    </row>
    <row r="2669">
      <c r="A2669" s="4">
        <v>231.0</v>
      </c>
      <c r="B2669" s="4" t="s">
        <v>8035</v>
      </c>
      <c r="C2669" s="4"/>
      <c r="D2669" s="4" t="s">
        <v>6529</v>
      </c>
      <c r="E2669" s="4" t="s">
        <v>6530</v>
      </c>
      <c r="F2669" s="4" t="s">
        <v>6531</v>
      </c>
      <c r="G2669" s="5" t="str">
        <f>IFERROR(__xludf.DUMMYFUNCTION("GOOGLETRANSLATE(D2669,""en"",""es"")"),"lacayo")</f>
        <v>lacayo</v>
      </c>
      <c r="H2669" s="4" t="s">
        <v>6529</v>
      </c>
      <c r="I2669" s="4" t="s">
        <v>6532</v>
      </c>
      <c r="J2669" s="4" t="s">
        <v>6533</v>
      </c>
      <c r="K2669" s="4" t="s">
        <v>6534</v>
      </c>
      <c r="L2669" s="4" t="s">
        <v>6535</v>
      </c>
      <c r="M2669" s="4" t="s">
        <v>6536</v>
      </c>
      <c r="N2669" s="4" t="s">
        <v>6529</v>
      </c>
      <c r="O2669" s="4" t="s">
        <v>6537</v>
      </c>
    </row>
    <row r="2670">
      <c r="A2670" s="4">
        <v>232.0</v>
      </c>
      <c r="B2670" s="4" t="s">
        <v>8035</v>
      </c>
      <c r="C2670" s="4"/>
      <c r="D2670" s="4" t="s">
        <v>2017</v>
      </c>
      <c r="E2670" s="4" t="s">
        <v>4888</v>
      </c>
      <c r="F2670" s="4" t="s">
        <v>2015</v>
      </c>
      <c r="G2670" s="5" t="str">
        <f>IFERROR(__xludf.DUMMYFUNCTION("GOOGLETRANSLATE(D2670,""en"",""es"")"),"llah")</f>
        <v>llah</v>
      </c>
      <c r="H2670" s="4" t="s">
        <v>2015</v>
      </c>
      <c r="I2670" s="4" t="s">
        <v>2017</v>
      </c>
    </row>
    <row r="2671">
      <c r="A2671" s="4">
        <v>233.0</v>
      </c>
      <c r="B2671" s="4" t="s">
        <v>8035</v>
      </c>
      <c r="C2671" s="4"/>
      <c r="D2671" s="4" t="s">
        <v>8427</v>
      </c>
      <c r="E2671" s="4" t="s">
        <v>6515</v>
      </c>
      <c r="F2671" s="4" t="s">
        <v>4831</v>
      </c>
      <c r="G2671" s="5" t="str">
        <f>IFERROR(__xludf.DUMMYFUNCTION("GOOGLETRANSLATE(D2671,""en"",""es"")"),"lakh")</f>
        <v>lakh</v>
      </c>
      <c r="H2671" s="4" t="s">
        <v>8428</v>
      </c>
      <c r="I2671" s="4">
        <v>100000.0</v>
      </c>
      <c r="J2671" s="4" t="s">
        <v>8427</v>
      </c>
    </row>
    <row r="2672">
      <c r="A2672" s="4">
        <v>234.0</v>
      </c>
      <c r="B2672" s="4" t="s">
        <v>8035</v>
      </c>
      <c r="C2672" s="4"/>
      <c r="D2672" s="4" t="s">
        <v>4836</v>
      </c>
      <c r="E2672" s="4" t="s">
        <v>6538</v>
      </c>
      <c r="F2672" s="4" t="s">
        <v>4836</v>
      </c>
      <c r="G2672" s="5" t="str">
        <f>IFERROR(__xludf.DUMMYFUNCTION("GOOGLETRANSLATE(D2672,""en"",""es"")"),"justicia")</f>
        <v>justicia</v>
      </c>
      <c r="H2672" s="4" t="s">
        <v>6539</v>
      </c>
      <c r="I2672" s="4" t="s">
        <v>4836</v>
      </c>
      <c r="J2672" s="4" t="s">
        <v>6540</v>
      </c>
      <c r="K2672" s="4" t="s">
        <v>646</v>
      </c>
      <c r="L2672" s="4" t="s">
        <v>6541</v>
      </c>
      <c r="M2672" s="4" t="s">
        <v>6542</v>
      </c>
      <c r="N2672" s="4" t="s">
        <v>4836</v>
      </c>
      <c r="O2672" s="4" t="s">
        <v>6543</v>
      </c>
      <c r="P2672" s="4" t="s">
        <v>6544</v>
      </c>
      <c r="Q2672" s="4" t="s">
        <v>6545</v>
      </c>
      <c r="R2672" s="4" t="s">
        <v>6546</v>
      </c>
      <c r="S2672" s="4" t="s">
        <v>6547</v>
      </c>
      <c r="T2672" s="4" t="s">
        <v>6548</v>
      </c>
      <c r="U2672" s="4" t="s">
        <v>6549</v>
      </c>
      <c r="V2672" s="4" t="s">
        <v>4306</v>
      </c>
      <c r="W2672" s="4" t="s">
        <v>6550</v>
      </c>
      <c r="X2672" s="4" t="s">
        <v>6551</v>
      </c>
      <c r="Y2672" s="4" t="s">
        <v>4836</v>
      </c>
      <c r="Z2672" s="4" t="s">
        <v>6552</v>
      </c>
    </row>
    <row r="2673">
      <c r="A2673" s="4">
        <v>235.0</v>
      </c>
      <c r="B2673" s="4" t="s">
        <v>8035</v>
      </c>
      <c r="C2673" s="4"/>
      <c r="D2673" s="4" t="s">
        <v>4678</v>
      </c>
      <c r="E2673" s="4" t="s">
        <v>6538</v>
      </c>
      <c r="F2673" s="4" t="s">
        <v>4836</v>
      </c>
      <c r="G2673" s="5" t="str">
        <f>IFERROR(__xludf.DUMMYFUNCTION("GOOGLETRANSLATE(D2673,""en"",""es"")"),"cordero")</f>
        <v>cordero</v>
      </c>
      <c r="H2673" s="4" t="s">
        <v>4678</v>
      </c>
      <c r="I2673" s="4" t="s">
        <v>6553</v>
      </c>
      <c r="J2673" s="4" t="s">
        <v>6554</v>
      </c>
      <c r="K2673" s="4" t="s">
        <v>6555</v>
      </c>
      <c r="L2673" s="4" t="s">
        <v>4678</v>
      </c>
      <c r="M2673" s="4" t="s">
        <v>4678</v>
      </c>
      <c r="N2673" s="4" t="s">
        <v>6556</v>
      </c>
      <c r="O2673" s="4" t="s">
        <v>4678</v>
      </c>
      <c r="P2673" s="4" t="s">
        <v>4678</v>
      </c>
    </row>
    <row r="2674">
      <c r="A2674" s="4">
        <v>236.0</v>
      </c>
      <c r="B2674" s="4" t="s">
        <v>8035</v>
      </c>
      <c r="C2674" s="4"/>
      <c r="D2674" s="4" t="s">
        <v>6557</v>
      </c>
      <c r="E2674" s="4" t="s">
        <v>6558</v>
      </c>
      <c r="F2674" s="4" t="s">
        <v>6557</v>
      </c>
      <c r="G2674" s="5" t="str">
        <f>IFERROR(__xludf.DUMMYFUNCTION("GOOGLETRANSLATE(D2674,""en"",""es"")"),"lan")</f>
        <v>lan</v>
      </c>
      <c r="H2674" s="4" t="s">
        <v>6559</v>
      </c>
      <c r="I2674" s="4" t="s">
        <v>6560</v>
      </c>
    </row>
    <row r="2675">
      <c r="A2675" s="4">
        <v>237.0</v>
      </c>
      <c r="B2675" s="4" t="s">
        <v>8035</v>
      </c>
      <c r="C2675" s="4"/>
      <c r="D2675" s="4" t="s">
        <v>4724</v>
      </c>
      <c r="E2675" s="4" t="s">
        <v>6561</v>
      </c>
      <c r="F2675" s="4" t="s">
        <v>4724</v>
      </c>
      <c r="G2675" s="5" t="str">
        <f>IFERROR(__xludf.DUMMYFUNCTION("GOOGLETRANSLATE(D2675,""en"",""es"")"),"vuelta")</f>
        <v>vuelta</v>
      </c>
      <c r="H2675" s="4" t="s">
        <v>4724</v>
      </c>
      <c r="I2675" s="4" t="s">
        <v>4724</v>
      </c>
      <c r="J2675" s="4" t="s">
        <v>4724</v>
      </c>
      <c r="K2675" s="4" t="s">
        <v>6562</v>
      </c>
      <c r="L2675" s="4" t="s">
        <v>4724</v>
      </c>
      <c r="M2675" s="4" t="s">
        <v>6563</v>
      </c>
      <c r="N2675" s="4" t="s">
        <v>4724</v>
      </c>
      <c r="O2675" s="4" t="s">
        <v>6564</v>
      </c>
      <c r="P2675" s="4" t="s">
        <v>6565</v>
      </c>
      <c r="Q2675" s="4" t="s">
        <v>6566</v>
      </c>
      <c r="R2675" s="4" t="s">
        <v>4724</v>
      </c>
      <c r="S2675" s="4" t="s">
        <v>4724</v>
      </c>
      <c r="T2675" s="4" t="s">
        <v>6566</v>
      </c>
      <c r="U2675" s="4" t="s">
        <v>4724</v>
      </c>
      <c r="V2675" s="4" t="s">
        <v>4724</v>
      </c>
      <c r="W2675" s="4" t="s">
        <v>4725</v>
      </c>
      <c r="X2675" s="4" t="s">
        <v>4726</v>
      </c>
      <c r="Y2675" s="4" t="s">
        <v>4727</v>
      </c>
      <c r="Z2675" s="4" t="s">
        <v>4724</v>
      </c>
      <c r="AA2675" s="4" t="s">
        <v>6567</v>
      </c>
      <c r="AB2675" s="4" t="s">
        <v>6566</v>
      </c>
      <c r="AC2675" s="4" t="s">
        <v>6568</v>
      </c>
      <c r="AD2675" s="4" t="s">
        <v>4724</v>
      </c>
      <c r="AE2675" s="4" t="s">
        <v>2800</v>
      </c>
    </row>
    <row r="2676">
      <c r="A2676" s="4">
        <v>238.0</v>
      </c>
      <c r="B2676" s="4" t="s">
        <v>8035</v>
      </c>
      <c r="C2676" s="4"/>
      <c r="D2676" s="4" t="s">
        <v>6569</v>
      </c>
      <c r="E2676" s="4" t="s">
        <v>6570</v>
      </c>
      <c r="F2676" s="4" t="s">
        <v>6569</v>
      </c>
      <c r="G2676" s="5" t="str">
        <f>IFERROR(__xludf.DUMMYFUNCTION("GOOGLETRANSLATE(D2676,""en"",""es"")"),"lapis")</f>
        <v>lapis</v>
      </c>
    </row>
    <row r="2677">
      <c r="A2677" s="4">
        <v>239.0</v>
      </c>
      <c r="B2677" s="4" t="s">
        <v>8035</v>
      </c>
      <c r="C2677" s="4"/>
      <c r="D2677" s="4" t="s">
        <v>6520</v>
      </c>
      <c r="E2677" s="4" t="s">
        <v>6519</v>
      </c>
      <c r="F2677" s="4" t="s">
        <v>6520</v>
      </c>
      <c r="G2677" s="5" t="str">
        <f>IFERROR(__xludf.DUMMYFUNCTION("GOOGLETRANSLATE(D2677,""en"",""es"")"),"latigazo")</f>
        <v>latigazo</v>
      </c>
      <c r="H2677" s="4" t="s">
        <v>6571</v>
      </c>
      <c r="I2677" s="4" t="s">
        <v>6520</v>
      </c>
      <c r="J2677" s="4" t="s">
        <v>6572</v>
      </c>
      <c r="K2677" s="4" t="s">
        <v>6520</v>
      </c>
      <c r="L2677" s="4" t="s">
        <v>6573</v>
      </c>
      <c r="M2677" s="4" t="s">
        <v>6574</v>
      </c>
      <c r="N2677" s="4" t="s">
        <v>6520</v>
      </c>
      <c r="O2677" s="4" t="s">
        <v>6575</v>
      </c>
      <c r="P2677" s="4" t="s">
        <v>6576</v>
      </c>
      <c r="Q2677" s="4" t="s">
        <v>6577</v>
      </c>
      <c r="R2677" s="4" t="s">
        <v>6574</v>
      </c>
      <c r="S2677" s="4" t="s">
        <v>6578</v>
      </c>
      <c r="T2677" s="4" t="s">
        <v>6520</v>
      </c>
      <c r="U2677" s="4" t="s">
        <v>4283</v>
      </c>
      <c r="V2677" s="4" t="s">
        <v>6579</v>
      </c>
      <c r="W2677" s="4" t="s">
        <v>6580</v>
      </c>
      <c r="X2677" s="4" t="s">
        <v>6520</v>
      </c>
      <c r="Y2677" s="4" t="s">
        <v>6574</v>
      </c>
      <c r="Z2677" s="4" t="s">
        <v>6520</v>
      </c>
      <c r="AA2677" s="4" t="s">
        <v>6520</v>
      </c>
    </row>
    <row r="2678">
      <c r="A2678" s="4">
        <v>240.0</v>
      </c>
      <c r="B2678" s="4" t="s">
        <v>8035</v>
      </c>
      <c r="C2678" s="4"/>
      <c r="D2678" s="4" t="s">
        <v>6581</v>
      </c>
      <c r="E2678" s="4" t="s">
        <v>6516</v>
      </c>
      <c r="F2678" s="4" t="s">
        <v>6517</v>
      </c>
      <c r="G2678" s="5" t="str">
        <f>IFERROR(__xludf.DUMMYFUNCTION("GOOGLETRANSLATE(D2678,""en"",""es"")"),"muchacha")</f>
        <v>muchacha</v>
      </c>
      <c r="H2678" s="4" t="s">
        <v>6581</v>
      </c>
      <c r="I2678" s="4" t="s">
        <v>6582</v>
      </c>
      <c r="J2678" s="4" t="s">
        <v>6583</v>
      </c>
      <c r="K2678" s="4" t="s">
        <v>6584</v>
      </c>
    </row>
    <row r="2679">
      <c r="A2679" s="4">
        <v>241.0</v>
      </c>
      <c r="B2679" s="4" t="s">
        <v>8035</v>
      </c>
      <c r="C2679" s="4"/>
      <c r="D2679" s="4" t="s">
        <v>6585</v>
      </c>
      <c r="E2679" s="4" t="s">
        <v>6586</v>
      </c>
      <c r="F2679" s="4" t="s">
        <v>2020</v>
      </c>
      <c r="G2679" s="5" t="str">
        <f>IFERROR(__xludf.DUMMYFUNCTION("GOOGLETRANSLATE(D2679,""en"",""es"")"),"lassi")</f>
        <v>lassi</v>
      </c>
    </row>
    <row r="2680">
      <c r="A2680" s="4">
        <v>242.0</v>
      </c>
      <c r="B2680" s="4" t="s">
        <v>8035</v>
      </c>
      <c r="C2680" s="4"/>
      <c r="D2680" s="4" t="s">
        <v>6582</v>
      </c>
      <c r="E2680" s="4" t="s">
        <v>6586</v>
      </c>
      <c r="F2680" s="4" t="s">
        <v>2020</v>
      </c>
      <c r="G2680" s="5" t="str">
        <f>IFERROR(__xludf.DUMMYFUNCTION("GOOGLETRANSLATE(D2680,""en"",""es"")"),"muchacha")</f>
        <v>muchacha</v>
      </c>
      <c r="H2680" s="4" t="s">
        <v>6581</v>
      </c>
      <c r="I2680" s="4" t="s">
        <v>6582</v>
      </c>
      <c r="J2680" s="4" t="s">
        <v>6583</v>
      </c>
      <c r="K2680" s="4" t="s">
        <v>6584</v>
      </c>
    </row>
    <row r="2681">
      <c r="A2681" s="4">
        <v>243.0</v>
      </c>
      <c r="B2681" s="4" t="s">
        <v>8035</v>
      </c>
      <c r="C2681" s="4"/>
      <c r="D2681" s="4" t="s">
        <v>2146</v>
      </c>
      <c r="E2681" s="4" t="s">
        <v>8429</v>
      </c>
      <c r="F2681" s="4" t="s">
        <v>8430</v>
      </c>
      <c r="G2681" s="5" t="str">
        <f>IFERROR(__xludf.DUMMYFUNCTION("GOOGLETRANSLATE(D2681,""en"",""es"")"),"lazo")</f>
        <v>lazo</v>
      </c>
      <c r="H2681" s="4" t="s">
        <v>8431</v>
      </c>
      <c r="I2681" s="4" t="s">
        <v>8432</v>
      </c>
      <c r="J2681" s="4" t="s">
        <v>8433</v>
      </c>
      <c r="K2681" s="4" t="s">
        <v>2146</v>
      </c>
      <c r="L2681" s="4" t="s">
        <v>2147</v>
      </c>
      <c r="M2681" s="4" t="s">
        <v>2148</v>
      </c>
      <c r="N2681" s="4" t="s">
        <v>2149</v>
      </c>
      <c r="O2681" s="4" t="s">
        <v>2146</v>
      </c>
      <c r="P2681" s="4" t="s">
        <v>8434</v>
      </c>
    </row>
    <row r="2682">
      <c r="A2682" s="4">
        <v>244.0</v>
      </c>
      <c r="B2682" s="4" t="s">
        <v>8035</v>
      </c>
      <c r="C2682" s="4"/>
      <c r="D2682" s="4" t="s">
        <v>8435</v>
      </c>
      <c r="E2682" s="4" t="s">
        <v>8436</v>
      </c>
      <c r="F2682" s="4" t="s">
        <v>6589</v>
      </c>
      <c r="G2682" s="5" t="str">
        <f>IFERROR(__xludf.DUMMYFUNCTION("GOOGLETRANSLATE(D2682,""en"",""es"")"),"latino")</f>
        <v>latino</v>
      </c>
      <c r="H2682" s="4" t="s">
        <v>8435</v>
      </c>
      <c r="I2682" s="4" t="s">
        <v>8437</v>
      </c>
      <c r="J2682" s="4" t="s">
        <v>8435</v>
      </c>
      <c r="K2682" s="4" t="s">
        <v>8438</v>
      </c>
    </row>
    <row r="2683">
      <c r="A2683" s="4">
        <v>245.0</v>
      </c>
      <c r="B2683" s="4" t="s">
        <v>8035</v>
      </c>
      <c r="C2683" s="4"/>
      <c r="D2683" s="4" t="s">
        <v>6587</v>
      </c>
      <c r="E2683" s="4" t="s">
        <v>6588</v>
      </c>
      <c r="F2683" s="4" t="s">
        <v>6587</v>
      </c>
      <c r="G2683" s="5" t="str">
        <f>IFERROR(__xludf.DUMMYFUNCTION("GOOGLETRANSLATE(D2683,""en"",""es"")"),"listón")</f>
        <v>listón</v>
      </c>
      <c r="H2683" s="4" t="s">
        <v>6587</v>
      </c>
    </row>
    <row r="2684">
      <c r="A2684" s="4">
        <v>246.0</v>
      </c>
      <c r="B2684" s="4" t="s">
        <v>8035</v>
      </c>
      <c r="C2684" s="4"/>
      <c r="D2684" s="4" t="s">
        <v>6592</v>
      </c>
      <c r="E2684" s="4" t="s">
        <v>6593</v>
      </c>
      <c r="F2684" s="4" t="s">
        <v>6594</v>
      </c>
      <c r="G2684" s="5" t="str">
        <f>IFERROR(__xludf.DUMMYFUNCTION("GOOGLETRANSLATE(D2684,""en"",""es"")"),"enrejado")</f>
        <v>enrejado</v>
      </c>
      <c r="H2684" s="4" t="s">
        <v>6592</v>
      </c>
      <c r="I2684" s="4" t="s">
        <v>6595</v>
      </c>
      <c r="J2684" s="4" t="s">
        <v>6592</v>
      </c>
      <c r="K2684" s="4" t="s">
        <v>6596</v>
      </c>
      <c r="L2684" s="4" t="s">
        <v>6592</v>
      </c>
      <c r="M2684" s="4" t="s">
        <v>6597</v>
      </c>
      <c r="N2684" s="4" t="s">
        <v>6598</v>
      </c>
    </row>
    <row r="2685">
      <c r="A2685" s="4">
        <v>247.0</v>
      </c>
      <c r="B2685" s="4" t="s">
        <v>8035</v>
      </c>
      <c r="C2685" s="4"/>
      <c r="D2685" s="4" t="s">
        <v>6566</v>
      </c>
      <c r="E2685" s="4" t="s">
        <v>6599</v>
      </c>
      <c r="F2685" s="4" t="s">
        <v>6600</v>
      </c>
      <c r="G2685" s="5" t="str">
        <f>IFERROR(__xludf.DUMMYFUNCTION("GOOGLETRANSLATE(D2685,""en"",""es"")"),"lamer")</f>
        <v>lamer</v>
      </c>
      <c r="H2685" s="4" t="s">
        <v>6601</v>
      </c>
      <c r="I2685" s="4" t="s">
        <v>6566</v>
      </c>
      <c r="J2685" s="4" t="s">
        <v>6566</v>
      </c>
      <c r="K2685" s="4" t="s">
        <v>4724</v>
      </c>
      <c r="L2685" s="4" t="s">
        <v>3498</v>
      </c>
      <c r="M2685" s="4" t="s">
        <v>6602</v>
      </c>
      <c r="N2685" s="4" t="s">
        <v>3489</v>
      </c>
      <c r="O2685" s="4" t="s">
        <v>6566</v>
      </c>
      <c r="P2685" s="4" t="s">
        <v>6603</v>
      </c>
      <c r="Q2685" s="4" t="s">
        <v>2170</v>
      </c>
      <c r="R2685" s="4" t="s">
        <v>2937</v>
      </c>
      <c r="S2685" s="4" t="s">
        <v>6604</v>
      </c>
      <c r="T2685" s="4" t="s">
        <v>6605</v>
      </c>
      <c r="U2685" s="4" t="s">
        <v>6606</v>
      </c>
      <c r="V2685" s="4" t="s">
        <v>6550</v>
      </c>
      <c r="W2685" s="4" t="s">
        <v>6566</v>
      </c>
      <c r="X2685" s="4" t="s">
        <v>6566</v>
      </c>
      <c r="Y2685" s="4" t="s">
        <v>4724</v>
      </c>
      <c r="Z2685" s="4" t="s">
        <v>6607</v>
      </c>
      <c r="AA2685" s="4" t="s">
        <v>6608</v>
      </c>
      <c r="AB2685" s="4" t="s">
        <v>6609</v>
      </c>
      <c r="AC2685" s="4" t="s">
        <v>6610</v>
      </c>
      <c r="AD2685" s="4" t="s">
        <v>6566</v>
      </c>
      <c r="AE2685" s="4" t="s">
        <v>6611</v>
      </c>
      <c r="AF2685" s="4" t="s">
        <v>4724</v>
      </c>
      <c r="AG2685" s="4" t="s">
        <v>6567</v>
      </c>
      <c r="AH2685" s="4" t="s">
        <v>6566</v>
      </c>
    </row>
    <row r="2686">
      <c r="A2686" s="4">
        <v>248.0</v>
      </c>
      <c r="B2686" s="4" t="s">
        <v>8035</v>
      </c>
      <c r="C2686" s="4"/>
      <c r="D2686" s="4" t="s">
        <v>6612</v>
      </c>
      <c r="E2686" s="4" t="s">
        <v>6613</v>
      </c>
      <c r="F2686" s="4" t="s">
        <v>6614</v>
      </c>
      <c r="G2686" s="5" t="str">
        <f>IFERROR(__xludf.DUMMYFUNCTION("GOOGLETRANSLATE(D2686,""en"",""es"")"),"lamer")</f>
        <v>lamer</v>
      </c>
    </row>
    <row r="2687">
      <c r="A2687" s="4">
        <v>249.0</v>
      </c>
      <c r="B2687" s="4" t="s">
        <v>8035</v>
      </c>
      <c r="C2687" s="4"/>
      <c r="D2687" s="4" t="s">
        <v>6615</v>
      </c>
      <c r="E2687" s="4" t="s">
        <v>6616</v>
      </c>
      <c r="F2687" s="4" t="s">
        <v>6615</v>
      </c>
      <c r="G2687" s="5" t="str">
        <f>IFERROR(__xludf.DUMMYFUNCTION("GOOGLETRANSLATE(D2687,""en"",""es"")"),"pequeño")</f>
        <v>pequeño</v>
      </c>
    </row>
    <row r="2688">
      <c r="A2688" s="4">
        <v>250.0</v>
      </c>
      <c r="B2688" s="4" t="s">
        <v>8035</v>
      </c>
      <c r="C2688" s="4"/>
      <c r="D2688" s="4" t="s">
        <v>6617</v>
      </c>
      <c r="E2688" s="4" t="s">
        <v>6616</v>
      </c>
      <c r="F2688" s="4" t="s">
        <v>6615</v>
      </c>
      <c r="G2688" s="5" t="str">
        <f>IFERROR(__xludf.DUMMYFUNCTION("GOOGLETRANSLATE(D2688,""en"",""es"")"),"lirio")</f>
        <v>lirio</v>
      </c>
    </row>
    <row r="2689">
      <c r="A2689" s="4">
        <v>251.0</v>
      </c>
      <c r="B2689" s="4" t="s">
        <v>8035</v>
      </c>
      <c r="C2689" s="4"/>
      <c r="D2689" s="4" t="s">
        <v>8439</v>
      </c>
      <c r="E2689" s="4" t="s">
        <v>8440</v>
      </c>
      <c r="F2689" s="4" t="s">
        <v>6615</v>
      </c>
      <c r="G2689" s="5" t="str">
        <f>IFERROR(__xludf.DUMMYFUNCTION("GOOGLETRANSLATE(D2689,""en"",""es"")"),"Lille")</f>
        <v>Lille</v>
      </c>
      <c r="H2689" s="4" t="s">
        <v>8441</v>
      </c>
    </row>
    <row r="2690">
      <c r="A2690" s="4">
        <v>252.0</v>
      </c>
      <c r="B2690" s="4" t="s">
        <v>8035</v>
      </c>
      <c r="C2690" s="4"/>
      <c r="D2690" s="4" t="s">
        <v>6618</v>
      </c>
      <c r="E2690" s="4" t="s">
        <v>6619</v>
      </c>
      <c r="F2690" s="4" t="s">
        <v>6620</v>
      </c>
      <c r="G2690" s="5" t="str">
        <f>IFERROR(__xludf.DUMMYFUNCTION("GOOGLETRANSLATE(D2690,""en"",""es"")"),"lirio")</f>
        <v>lirio</v>
      </c>
      <c r="H2690" s="4" t="s">
        <v>6618</v>
      </c>
    </row>
    <row r="2691">
      <c r="A2691" s="4">
        <v>253.0</v>
      </c>
      <c r="B2691" s="4" t="s">
        <v>8035</v>
      </c>
      <c r="C2691" s="4"/>
      <c r="D2691" s="4" t="s">
        <v>6621</v>
      </c>
      <c r="E2691" s="4" t="s">
        <v>6622</v>
      </c>
      <c r="F2691" s="4" t="s">
        <v>6623</v>
      </c>
      <c r="G2691" s="5" t="str">
        <f>IFERROR(__xludf.DUMMYFUNCTION("GOOGLETRANSLATE(D2691,""en"",""es"")"),"miembro")</f>
        <v>miembro</v>
      </c>
      <c r="H2691" s="4" t="s">
        <v>6621</v>
      </c>
      <c r="I2691" s="4" t="s">
        <v>6621</v>
      </c>
      <c r="J2691" s="4" t="s">
        <v>6624</v>
      </c>
      <c r="K2691" s="4" t="s">
        <v>6621</v>
      </c>
      <c r="L2691" s="4" t="s">
        <v>6621</v>
      </c>
      <c r="M2691" s="4" t="s">
        <v>6621</v>
      </c>
      <c r="N2691" s="4" t="s">
        <v>6625</v>
      </c>
      <c r="O2691" s="4" t="s">
        <v>6626</v>
      </c>
      <c r="P2691" s="4" t="s">
        <v>6621</v>
      </c>
    </row>
    <row r="2692">
      <c r="A2692" s="4">
        <v>254.0</v>
      </c>
      <c r="B2692" s="4" t="s">
        <v>8035</v>
      </c>
      <c r="C2692" s="4"/>
      <c r="D2692" s="4" t="s">
        <v>6627</v>
      </c>
      <c r="E2692" s="4" t="s">
        <v>6628</v>
      </c>
      <c r="F2692" s="4" t="s">
        <v>6629</v>
      </c>
      <c r="G2692" s="5" t="str">
        <f>IFERROR(__xludf.DUMMYFUNCTION("GOOGLETRANSLATE(D2692,""en"",""es"")"),"flojo")</f>
        <v>flojo</v>
      </c>
    </row>
    <row r="2693">
      <c r="A2693" s="4">
        <v>255.0</v>
      </c>
      <c r="B2693" s="4" t="s">
        <v>8035</v>
      </c>
      <c r="C2693" s="4"/>
      <c r="D2693" s="4" t="s">
        <v>6630</v>
      </c>
      <c r="E2693" s="4" t="s">
        <v>6622</v>
      </c>
      <c r="F2693" s="4" t="s">
        <v>6623</v>
      </c>
      <c r="G2693" s="5" t="str">
        <f>IFERROR(__xludf.DUMMYFUNCTION("GOOGLETRANSLATE(D2693,""en"",""es"")"),"manuscrito iluminado")</f>
        <v>manuscrito iluminado</v>
      </c>
      <c r="H2693" s="4" t="s">
        <v>6631</v>
      </c>
      <c r="I2693" s="4" t="s">
        <v>6630</v>
      </c>
      <c r="J2693" s="4" t="s">
        <v>6632</v>
      </c>
      <c r="K2693" s="4" t="s">
        <v>6633</v>
      </c>
      <c r="L2693" s="4" t="s">
        <v>6634</v>
      </c>
      <c r="M2693" s="4" t="s">
        <v>6630</v>
      </c>
    </row>
    <row r="2694">
      <c r="A2694" s="4">
        <v>256.0</v>
      </c>
      <c r="B2694" s="4" t="s">
        <v>8035</v>
      </c>
      <c r="C2694" s="4"/>
      <c r="D2694" s="4" t="s">
        <v>6635</v>
      </c>
      <c r="E2694" s="4" t="s">
        <v>6636</v>
      </c>
      <c r="F2694" s="4" t="s">
        <v>6635</v>
      </c>
      <c r="G2694" s="5" t="str">
        <f>IFERROR(__xludf.DUMMYFUNCTION("GOOGLETRANSLATE(D2694,""en"",""es"")"),"lin")</f>
        <v>lin</v>
      </c>
      <c r="H2694" s="4" t="s">
        <v>6637</v>
      </c>
      <c r="I2694" s="4" t="s">
        <v>6638</v>
      </c>
    </row>
    <row r="2695">
      <c r="A2695" s="4">
        <v>257.0</v>
      </c>
      <c r="B2695" s="4" t="s">
        <v>8035</v>
      </c>
      <c r="C2695" s="4"/>
      <c r="D2695" s="4" t="s">
        <v>6639</v>
      </c>
      <c r="E2695" s="4" t="s">
        <v>6640</v>
      </c>
      <c r="F2695" s="4" t="s">
        <v>6641</v>
      </c>
      <c r="G2695" s="5" t="str">
        <f>IFERROR(__xludf.DUMMYFUNCTION("GOOGLETRANSLATE(D2695,""en"",""es"")"),"lina")</f>
        <v>lina</v>
      </c>
      <c r="H2695" s="4" t="s">
        <v>6642</v>
      </c>
      <c r="I2695" s="4" t="s">
        <v>6639</v>
      </c>
    </row>
    <row r="2696">
      <c r="A2696" s="4">
        <v>258.0</v>
      </c>
      <c r="B2696" s="4" t="s">
        <v>8035</v>
      </c>
      <c r="C2696" s="4"/>
      <c r="D2696" s="4" t="s">
        <v>6643</v>
      </c>
      <c r="E2696" s="4" t="s">
        <v>6644</v>
      </c>
      <c r="F2696" s="4" t="s">
        <v>6645</v>
      </c>
      <c r="G2696" s="5" t="str">
        <f>IFERROR(__xludf.DUMMYFUNCTION("GOOGLETRANSLATE(D2696,""en"",""es"")"),"lino")</f>
        <v>lino</v>
      </c>
      <c r="H2696" s="4" t="s">
        <v>6643</v>
      </c>
      <c r="I2696" s="4" t="s">
        <v>6643</v>
      </c>
      <c r="J2696" s="4" t="s">
        <v>6646</v>
      </c>
      <c r="K2696" s="4" t="s">
        <v>6643</v>
      </c>
    </row>
    <row r="2697">
      <c r="A2697" s="4">
        <v>259.0</v>
      </c>
      <c r="B2697" s="4" t="s">
        <v>8035</v>
      </c>
      <c r="C2697" s="4"/>
      <c r="D2697" s="4" t="s">
        <v>6647</v>
      </c>
      <c r="E2697" s="4" t="s">
        <v>6648</v>
      </c>
      <c r="F2697" s="4" t="s">
        <v>5282</v>
      </c>
      <c r="G2697" s="5" t="str">
        <f>IFERROR(__xludf.DUMMYFUNCTION("GOOGLETRANSLATE(D2697,""en"",""es"")"),"linhay")</f>
        <v>linhay</v>
      </c>
    </row>
    <row r="2698">
      <c r="A2698" s="4">
        <v>260.0</v>
      </c>
      <c r="B2698" s="4" t="s">
        <v>8035</v>
      </c>
      <c r="C2698" s="4"/>
      <c r="D2698" s="4" t="s">
        <v>6649</v>
      </c>
      <c r="E2698" s="4" t="s">
        <v>6636</v>
      </c>
      <c r="F2698" s="4" t="s">
        <v>6635</v>
      </c>
      <c r="G2698" s="5" t="str">
        <f>IFERROR(__xludf.DUMMYFUNCTION("GOOGLETRANSLATE(D2698,""en"",""es"")"),"linn")</f>
        <v>linn</v>
      </c>
    </row>
    <row r="2699">
      <c r="A2699" s="4">
        <v>261.0</v>
      </c>
      <c r="B2699" s="4" t="s">
        <v>8035</v>
      </c>
      <c r="C2699" s="4"/>
      <c r="D2699" s="4" t="s">
        <v>6650</v>
      </c>
      <c r="E2699" s="4" t="s">
        <v>6651</v>
      </c>
      <c r="F2699" s="4" t="s">
        <v>6650</v>
      </c>
      <c r="G2699" s="5" t="str">
        <f>IFERROR(__xludf.DUMMYFUNCTION("GOOGLETRANSLATE(D2699,""en"",""es"")"),"labio")</f>
        <v>labio</v>
      </c>
      <c r="H2699" s="4" t="s">
        <v>6650</v>
      </c>
      <c r="I2699" s="4" t="s">
        <v>6650</v>
      </c>
      <c r="J2699" s="4" t="s">
        <v>6652</v>
      </c>
      <c r="K2699" s="4" t="s">
        <v>6653</v>
      </c>
      <c r="L2699" s="4" t="s">
        <v>6654</v>
      </c>
      <c r="M2699" s="4" t="s">
        <v>6655</v>
      </c>
      <c r="N2699" s="4" t="s">
        <v>6650</v>
      </c>
      <c r="O2699" s="4" t="s">
        <v>6656</v>
      </c>
      <c r="P2699" s="4" t="s">
        <v>6657</v>
      </c>
      <c r="Q2699" s="4" t="s">
        <v>6658</v>
      </c>
      <c r="R2699" s="4" t="s">
        <v>6650</v>
      </c>
      <c r="S2699" s="4" t="s">
        <v>6650</v>
      </c>
    </row>
    <row r="2700">
      <c r="A2700" s="4">
        <v>262.0</v>
      </c>
      <c r="B2700" s="4" t="s">
        <v>8035</v>
      </c>
      <c r="C2700" s="4"/>
      <c r="D2700" s="4" t="s">
        <v>6659</v>
      </c>
      <c r="E2700" s="4" t="s">
        <v>6660</v>
      </c>
      <c r="F2700" s="4" t="s">
        <v>6661</v>
      </c>
      <c r="G2700" s="5" t="str">
        <f>IFERROR(__xludf.DUMMYFUNCTION("GOOGLETRANSLATE(D2700,""en"",""es"")"),"lippy")</f>
        <v>lippy</v>
      </c>
    </row>
    <row r="2701">
      <c r="A2701" s="4">
        <v>263.0</v>
      </c>
      <c r="B2701" s="4" t="s">
        <v>8035</v>
      </c>
      <c r="C2701" s="4"/>
      <c r="D2701" s="4" t="s">
        <v>6662</v>
      </c>
      <c r="E2701" s="4" t="s">
        <v>6663</v>
      </c>
      <c r="F2701" s="4" t="s">
        <v>6662</v>
      </c>
      <c r="G2701" s="5" t="str">
        <f>IFERROR(__xludf.DUMMYFUNCTION("GOOGLETRANSLATE(D2701,""en"",""es"")"),"litas")</f>
        <v>litas</v>
      </c>
      <c r="H2701" s="4" t="s">
        <v>6662</v>
      </c>
    </row>
    <row r="2702">
      <c r="A2702" s="4">
        <v>264.0</v>
      </c>
      <c r="B2702" s="4" t="s">
        <v>8035</v>
      </c>
      <c r="C2702" s="4"/>
      <c r="D2702" s="4" t="s">
        <v>6666</v>
      </c>
      <c r="E2702" s="4" t="s">
        <v>6667</v>
      </c>
      <c r="F2702" s="4" t="s">
        <v>6668</v>
      </c>
      <c r="G2702" s="5" t="str">
        <f>IFERROR(__xludf.DUMMYFUNCTION("GOOGLETRANSLATE(D2702,""en"",""es"")"),"lítico")</f>
        <v>lítico</v>
      </c>
      <c r="H2702" s="4" t="s">
        <v>6666</v>
      </c>
      <c r="I2702" s="4" t="s">
        <v>6666</v>
      </c>
    </row>
    <row r="2703">
      <c r="A2703" s="4">
        <v>265.0</v>
      </c>
      <c r="B2703" s="4" t="s">
        <v>8035</v>
      </c>
      <c r="C2703" s="4"/>
      <c r="D2703" s="4" t="s">
        <v>8442</v>
      </c>
      <c r="E2703" s="4" t="s">
        <v>8443</v>
      </c>
      <c r="F2703" s="4" t="s">
        <v>4831</v>
      </c>
      <c r="G2703" s="5" t="str">
        <f>IFERROR(__xludf.DUMMYFUNCTION("GOOGLETRANSLATE(D2703,""en"",""es"")"),"lago")</f>
        <v>lago</v>
      </c>
      <c r="H2703" s="4" t="s">
        <v>8442</v>
      </c>
      <c r="I2703" s="4" t="s">
        <v>8442</v>
      </c>
    </row>
    <row r="2704">
      <c r="A2704" s="4">
        <v>266.0</v>
      </c>
      <c r="B2704" s="4" t="s">
        <v>8035</v>
      </c>
      <c r="C2704" s="4"/>
      <c r="D2704" s="4" t="s">
        <v>8442</v>
      </c>
      <c r="E2704" s="4" t="s">
        <v>8444</v>
      </c>
      <c r="F2704" s="4" t="s">
        <v>4831</v>
      </c>
      <c r="G2704" s="5" t="str">
        <f>IFERROR(__xludf.DUMMYFUNCTION("GOOGLETRANSLATE(D2704,""en"",""es"")"),"lago")</f>
        <v>lago</v>
      </c>
      <c r="H2704" s="4" t="s">
        <v>8442</v>
      </c>
      <c r="I2704" s="4" t="s">
        <v>8442</v>
      </c>
    </row>
    <row r="2705">
      <c r="A2705" s="4">
        <v>267.0</v>
      </c>
      <c r="B2705" s="4" t="s">
        <v>8035</v>
      </c>
      <c r="C2705" s="4"/>
      <c r="D2705" s="4" t="s">
        <v>3282</v>
      </c>
      <c r="E2705" s="4" t="s">
        <v>8443</v>
      </c>
      <c r="F2705" s="4" t="s">
        <v>4831</v>
      </c>
      <c r="G2705" s="5" t="str">
        <f>IFERROR(__xludf.DUMMYFUNCTION("GOOGLETRANSLATE(D2705,""en"",""es"")"),"cerrar")</f>
        <v>cerrar</v>
      </c>
      <c r="H2705" s="4" t="s">
        <v>3282</v>
      </c>
      <c r="I2705" s="4" t="s">
        <v>3282</v>
      </c>
      <c r="J2705" s="4" t="s">
        <v>8445</v>
      </c>
      <c r="K2705" s="4" t="s">
        <v>8446</v>
      </c>
      <c r="L2705" s="4" t="s">
        <v>8447</v>
      </c>
      <c r="M2705" s="4" t="s">
        <v>3282</v>
      </c>
      <c r="N2705" s="4" t="s">
        <v>3282</v>
      </c>
      <c r="O2705" s="4" t="s">
        <v>8448</v>
      </c>
      <c r="P2705" s="4" t="s">
        <v>3282</v>
      </c>
      <c r="Q2705" s="4" t="s">
        <v>8449</v>
      </c>
      <c r="R2705" s="4" t="s">
        <v>3282</v>
      </c>
      <c r="S2705" s="4" t="s">
        <v>3282</v>
      </c>
      <c r="T2705" s="4" t="s">
        <v>3081</v>
      </c>
      <c r="U2705" s="4" t="s">
        <v>4648</v>
      </c>
      <c r="V2705" s="4" t="s">
        <v>3282</v>
      </c>
      <c r="W2705" s="4" t="s">
        <v>3406</v>
      </c>
      <c r="X2705" s="4" t="s">
        <v>3282</v>
      </c>
      <c r="Y2705" s="4" t="s">
        <v>3282</v>
      </c>
      <c r="Z2705" s="4" t="s">
        <v>4647</v>
      </c>
      <c r="AA2705" s="4" t="s">
        <v>8450</v>
      </c>
      <c r="AB2705" s="4" t="s">
        <v>4647</v>
      </c>
      <c r="AC2705" s="4" t="s">
        <v>3282</v>
      </c>
      <c r="AD2705" s="4" t="s">
        <v>3282</v>
      </c>
      <c r="AE2705" s="4" t="s">
        <v>8451</v>
      </c>
      <c r="AF2705" s="4" t="s">
        <v>8452</v>
      </c>
      <c r="AG2705" s="4" t="s">
        <v>3282</v>
      </c>
      <c r="AH2705" s="4" t="s">
        <v>8453</v>
      </c>
      <c r="AI2705" s="4" t="s">
        <v>1021</v>
      </c>
      <c r="AJ2705" s="4" t="s">
        <v>8454</v>
      </c>
      <c r="AK2705" s="4" t="s">
        <v>8455</v>
      </c>
      <c r="AL2705" s="4" t="s">
        <v>3282</v>
      </c>
      <c r="AM2705" s="4" t="s">
        <v>3282</v>
      </c>
    </row>
    <row r="2706">
      <c r="A2706" s="4">
        <v>268.0</v>
      </c>
      <c r="B2706" s="4" t="s">
        <v>8035</v>
      </c>
      <c r="C2706" s="4"/>
      <c r="D2706" s="4" t="s">
        <v>8456</v>
      </c>
      <c r="E2706" s="4" t="s">
        <v>8443</v>
      </c>
      <c r="F2706" s="4" t="s">
        <v>4831</v>
      </c>
      <c r="G2706" s="5" t="str">
        <f>IFERROR(__xludf.DUMMYFUNCTION("GOOGLETRANSLATE(D2706,""en"",""es"")"),"Lockke")</f>
        <v>Lockke</v>
      </c>
      <c r="H2706" s="4" t="s">
        <v>8457</v>
      </c>
      <c r="I2706" s="4" t="s">
        <v>8458</v>
      </c>
    </row>
    <row r="2707">
      <c r="A2707" s="4">
        <v>269.0</v>
      </c>
      <c r="B2707" s="4" t="s">
        <v>8035</v>
      </c>
      <c r="C2707" s="4"/>
      <c r="D2707" s="4" t="s">
        <v>8459</v>
      </c>
      <c r="E2707" s="4" t="s">
        <v>8460</v>
      </c>
      <c r="F2707" s="4" t="s">
        <v>8461</v>
      </c>
      <c r="G2707" s="5" t="str">
        <f>IFERROR(__xludf.DUMMYFUNCTION("GOOGLETRANSLATE(D2707,""en"",""es"")"),"jajaja")</f>
        <v>jajaja</v>
      </c>
    </row>
    <row r="2708">
      <c r="A2708" s="4">
        <v>270.0</v>
      </c>
      <c r="B2708" s="4" t="s">
        <v>8035</v>
      </c>
      <c r="C2708" s="4"/>
      <c r="D2708" s="4" t="s">
        <v>8462</v>
      </c>
      <c r="E2708" s="4" t="s">
        <v>8460</v>
      </c>
      <c r="F2708" s="4" t="s">
        <v>8461</v>
      </c>
      <c r="G2708" s="5" t="str">
        <f>IFERROR(__xludf.DUMMYFUNCTION("GOOGLETRANSLATE(D2708,""en"",""es"")"),"recostarse")</f>
        <v>recostarse</v>
      </c>
      <c r="H2708" s="4" t="s">
        <v>8463</v>
      </c>
      <c r="I2708" s="4" t="s">
        <v>8462</v>
      </c>
      <c r="J2708" s="4" t="s">
        <v>1147</v>
      </c>
      <c r="K2708" s="4" t="s">
        <v>8464</v>
      </c>
      <c r="L2708" s="4" t="s">
        <v>8465</v>
      </c>
      <c r="M2708" s="4" t="s">
        <v>8466</v>
      </c>
      <c r="N2708" s="4" t="s">
        <v>8467</v>
      </c>
      <c r="O2708" s="4" t="s">
        <v>8468</v>
      </c>
      <c r="P2708" s="4" t="s">
        <v>8469</v>
      </c>
      <c r="Q2708" s="4" t="s">
        <v>8470</v>
      </c>
      <c r="R2708" s="4" t="s">
        <v>8471</v>
      </c>
      <c r="S2708" s="4" t="s">
        <v>8472</v>
      </c>
      <c r="T2708" s="4" t="s">
        <v>8462</v>
      </c>
      <c r="U2708" s="4" t="s">
        <v>8473</v>
      </c>
      <c r="V2708" s="4" t="s">
        <v>8474</v>
      </c>
    </row>
    <row r="2709">
      <c r="A2709" s="4">
        <v>271.0</v>
      </c>
      <c r="B2709" s="4" t="s">
        <v>8035</v>
      </c>
      <c r="C2709" s="4"/>
      <c r="D2709" s="4" t="s">
        <v>8475</v>
      </c>
      <c r="E2709" s="4" t="s">
        <v>8476</v>
      </c>
      <c r="F2709" s="4" t="s">
        <v>8477</v>
      </c>
      <c r="G2709" s="5" t="str">
        <f>IFERROR(__xludf.DUMMYFUNCTION("GOOGLETRANSLATE(D2709,""en"",""es"")"),"chupete")</f>
        <v>chupete</v>
      </c>
      <c r="H2709" s="4" t="s">
        <v>8478</v>
      </c>
      <c r="I2709" s="4" t="s">
        <v>8479</v>
      </c>
      <c r="J2709" s="4" t="s">
        <v>8475</v>
      </c>
      <c r="K2709" s="4" t="s">
        <v>8480</v>
      </c>
      <c r="L2709" s="4" t="s">
        <v>8475</v>
      </c>
      <c r="M2709" s="4" t="s">
        <v>3234</v>
      </c>
      <c r="N2709" s="4" t="s">
        <v>8481</v>
      </c>
    </row>
    <row r="2710">
      <c r="A2710" s="4">
        <v>272.0</v>
      </c>
      <c r="B2710" s="4" t="s">
        <v>8035</v>
      </c>
      <c r="C2710" s="4"/>
      <c r="D2710" s="4" t="s">
        <v>8482</v>
      </c>
      <c r="E2710" s="4" t="s">
        <v>2240</v>
      </c>
      <c r="F2710" s="4" t="s">
        <v>2241</v>
      </c>
      <c r="G2710" s="5" t="str">
        <f>IFERROR(__xludf.DUMMYFUNCTION("GOOGLETRANSLATE(D2710,""en"",""es"")"),"lavabo")</f>
        <v>lavabo</v>
      </c>
      <c r="H2710" s="4" t="s">
        <v>8483</v>
      </c>
      <c r="I2710" s="4" t="s">
        <v>8484</v>
      </c>
      <c r="J2710" s="4" t="s">
        <v>8485</v>
      </c>
      <c r="K2710" s="4" t="s">
        <v>8482</v>
      </c>
    </row>
    <row r="2711">
      <c r="A2711" s="4">
        <v>273.0</v>
      </c>
      <c r="B2711" s="4" t="s">
        <v>8035</v>
      </c>
      <c r="C2711" s="4"/>
      <c r="D2711" s="4" t="s">
        <v>6669</v>
      </c>
      <c r="E2711" s="4" t="s">
        <v>6670</v>
      </c>
      <c r="F2711" s="4" t="s">
        <v>6671</v>
      </c>
      <c r="G2711" s="5" t="str">
        <f>IFERROR(__xludf.DUMMYFUNCTION("GOOGLETRANSLATE(D2711,""en"",""es"")"),"Mira")</f>
        <v>Mira</v>
      </c>
      <c r="H2711" s="4" t="s">
        <v>6672</v>
      </c>
      <c r="I2711" s="4" t="s">
        <v>6669</v>
      </c>
      <c r="J2711" s="4" t="s">
        <v>2587</v>
      </c>
      <c r="K2711" s="4" t="s">
        <v>6673</v>
      </c>
      <c r="L2711" s="4" t="s">
        <v>1310</v>
      </c>
      <c r="M2711" s="4" t="s">
        <v>6669</v>
      </c>
      <c r="N2711" s="4" t="s">
        <v>6674</v>
      </c>
      <c r="O2711" s="4" t="s">
        <v>6675</v>
      </c>
      <c r="P2711" s="4" t="s">
        <v>6669</v>
      </c>
      <c r="Q2711" s="4" t="s">
        <v>4751</v>
      </c>
      <c r="R2711" s="4" t="s">
        <v>6676</v>
      </c>
      <c r="S2711" s="4" t="s">
        <v>3005</v>
      </c>
      <c r="T2711" s="4" t="s">
        <v>6677</v>
      </c>
      <c r="U2711" s="4" t="s">
        <v>6678</v>
      </c>
      <c r="V2711" s="4" t="s">
        <v>6679</v>
      </c>
      <c r="W2711" s="4" t="s">
        <v>6669</v>
      </c>
      <c r="X2711" s="4" t="s">
        <v>3109</v>
      </c>
      <c r="Y2711" s="4" t="s">
        <v>6669</v>
      </c>
      <c r="Z2711" s="4" t="s">
        <v>6669</v>
      </c>
      <c r="AA2711" s="4" t="s">
        <v>6680</v>
      </c>
      <c r="AB2711" s="4" t="s">
        <v>6681</v>
      </c>
      <c r="AC2711" s="4" t="s">
        <v>6669</v>
      </c>
      <c r="AD2711" s="4" t="s">
        <v>6682</v>
      </c>
      <c r="AE2711" s="4" t="s">
        <v>6669</v>
      </c>
      <c r="AF2711" s="4" t="s">
        <v>6683</v>
      </c>
      <c r="AG2711" s="4" t="s">
        <v>6669</v>
      </c>
      <c r="AH2711" s="4" t="s">
        <v>1310</v>
      </c>
      <c r="AI2711" s="4" t="s">
        <v>6684</v>
      </c>
      <c r="AJ2711" s="4" t="s">
        <v>6685</v>
      </c>
      <c r="AK2711" s="4" t="s">
        <v>6669</v>
      </c>
      <c r="AL2711" s="4" t="s">
        <v>6686</v>
      </c>
      <c r="AM2711" s="4" t="s">
        <v>6669</v>
      </c>
      <c r="AN2711" s="4" t="s">
        <v>6687</v>
      </c>
      <c r="AO2711" s="4" t="s">
        <v>6669</v>
      </c>
      <c r="AP2711" s="4" t="s">
        <v>6688</v>
      </c>
      <c r="AQ2711" s="4" t="s">
        <v>6689</v>
      </c>
      <c r="AR2711" s="4" t="s">
        <v>6669</v>
      </c>
      <c r="AS2711" s="4" t="s">
        <v>6690</v>
      </c>
      <c r="AT2711" s="4" t="s">
        <v>6691</v>
      </c>
      <c r="AU2711" s="4" t="s">
        <v>6692</v>
      </c>
      <c r="AV2711" s="4" t="s">
        <v>6669</v>
      </c>
      <c r="AW2711" s="4" t="s">
        <v>6693</v>
      </c>
      <c r="AX2711" s="4" t="s">
        <v>6694</v>
      </c>
    </row>
    <row r="2712">
      <c r="A2712" s="4">
        <v>274.0</v>
      </c>
      <c r="B2712" s="4" t="s">
        <v>8035</v>
      </c>
      <c r="C2712" s="4"/>
      <c r="D2712" s="4" t="s">
        <v>8486</v>
      </c>
      <c r="E2712" s="4" t="s">
        <v>8487</v>
      </c>
      <c r="F2712" s="4" t="s">
        <v>8488</v>
      </c>
      <c r="G2712" s="5" t="str">
        <f>IFERROR(__xludf.DUMMYFUNCTION("GOOGLETRANSLATE(D2712,""en"",""es"")"),"telar")</f>
        <v>telar</v>
      </c>
      <c r="H2712" s="4" t="s">
        <v>8486</v>
      </c>
      <c r="I2712" s="4" t="s">
        <v>8486</v>
      </c>
      <c r="J2712" s="4" t="s">
        <v>8486</v>
      </c>
      <c r="K2712" s="4" t="s">
        <v>8489</v>
      </c>
      <c r="L2712" s="4" t="s">
        <v>8490</v>
      </c>
      <c r="M2712" s="4" t="s">
        <v>433</v>
      </c>
      <c r="N2712" s="4" t="s">
        <v>8491</v>
      </c>
      <c r="O2712" s="4" t="s">
        <v>4165</v>
      </c>
      <c r="P2712" s="4" t="s">
        <v>8486</v>
      </c>
      <c r="Q2712" s="4" t="s">
        <v>8492</v>
      </c>
      <c r="R2712" s="4" t="s">
        <v>8486</v>
      </c>
    </row>
    <row r="2713">
      <c r="A2713" s="4">
        <v>275.0</v>
      </c>
      <c r="B2713" s="4" t="s">
        <v>8035</v>
      </c>
      <c r="C2713" s="4"/>
      <c r="D2713" s="4" t="s">
        <v>8493</v>
      </c>
      <c r="E2713" s="4" t="s">
        <v>8494</v>
      </c>
      <c r="F2713" s="4" t="s">
        <v>2020</v>
      </c>
      <c r="G2713" s="5" t="str">
        <f>IFERROR(__xludf.DUMMYFUNCTION("GOOGLETRANSLATE(D2713,""en"",""es"")"),"con pérdida")</f>
        <v>con pérdida</v>
      </c>
      <c r="H2713" s="4" t="s">
        <v>8493</v>
      </c>
    </row>
    <row r="2714">
      <c r="A2714" s="4">
        <v>276.0</v>
      </c>
      <c r="B2714" s="4" t="s">
        <v>8035</v>
      </c>
      <c r="C2714" s="4"/>
      <c r="D2714" s="4" t="s">
        <v>8495</v>
      </c>
      <c r="E2714" s="4" t="s">
        <v>8496</v>
      </c>
      <c r="F2714" s="4" t="s">
        <v>8497</v>
      </c>
      <c r="G2714" s="5" t="str">
        <f>IFERROR(__xludf.DUMMYFUNCTION("GOOGLETRANSLATE(D2714,""en"",""es"")"),"louche")</f>
        <v>louche</v>
      </c>
      <c r="H2714" s="4" t="s">
        <v>8495</v>
      </c>
      <c r="I2714" s="4" t="s">
        <v>8498</v>
      </c>
    </row>
    <row r="2715">
      <c r="A2715" s="4">
        <v>277.0</v>
      </c>
      <c r="B2715" s="4" t="s">
        <v>8035</v>
      </c>
      <c r="C2715" s="4"/>
      <c r="D2715" s="4" t="s">
        <v>6695</v>
      </c>
      <c r="E2715" s="4" t="s">
        <v>6696</v>
      </c>
      <c r="F2715" s="4" t="s">
        <v>6695</v>
      </c>
      <c r="G2715" s="5" t="str">
        <f>IFERROR(__xludf.DUMMYFUNCTION("GOOGLETRANSLATE(D2715,""en"",""es"")"),"luma")</f>
        <v>luma</v>
      </c>
    </row>
    <row r="2716">
      <c r="A2716" s="4">
        <v>278.0</v>
      </c>
      <c r="B2716" s="4" t="s">
        <v>8035</v>
      </c>
      <c r="C2716" s="4"/>
      <c r="D2716" s="4" t="s">
        <v>6697</v>
      </c>
      <c r="E2716" s="4" t="s">
        <v>6622</v>
      </c>
      <c r="F2716" s="4" t="s">
        <v>6623</v>
      </c>
      <c r="G2716" s="5" t="str">
        <f>IFERROR(__xludf.DUMMYFUNCTION("GOOGLETRANSLATE(D2716,""en"",""es"")"),"lymm")</f>
        <v>lymm</v>
      </c>
    </row>
    <row r="2717">
      <c r="A2717" s="4">
        <v>279.0</v>
      </c>
      <c r="B2717" s="4" t="s">
        <v>8035</v>
      </c>
      <c r="C2717" s="4"/>
      <c r="D2717" s="4" t="s">
        <v>6698</v>
      </c>
      <c r="E2717" s="4" t="s">
        <v>6636</v>
      </c>
      <c r="F2717" s="4" t="s">
        <v>6635</v>
      </c>
      <c r="G2717" s="5" t="str">
        <f>IFERROR(__xludf.DUMMYFUNCTION("GOOGLETRANSLATE(D2717,""en"",""es"")"),"lynn")</f>
        <v>lynn</v>
      </c>
    </row>
    <row r="2718">
      <c r="A2718" s="4">
        <v>280.0</v>
      </c>
      <c r="B2718" s="4" t="s">
        <v>8035</v>
      </c>
      <c r="C2718" s="4"/>
      <c r="D2718" s="4" t="s">
        <v>6699</v>
      </c>
      <c r="E2718" s="4" t="s">
        <v>6700</v>
      </c>
      <c r="F2718" s="4" t="s">
        <v>6701</v>
      </c>
      <c r="G2718" s="5" t="str">
        <f>IFERROR(__xludf.DUMMYFUNCTION("GOOGLETRANSLATE(D2718,""en"",""es"")"),"señora")</f>
        <v>señora</v>
      </c>
      <c r="H2718" s="4" t="s">
        <v>6702</v>
      </c>
      <c r="I2718" s="4" t="s">
        <v>6703</v>
      </c>
      <c r="J2718" s="4" t="s">
        <v>6699</v>
      </c>
      <c r="K2718" s="4" t="s">
        <v>6704</v>
      </c>
      <c r="L2718" s="4" t="s">
        <v>6705</v>
      </c>
    </row>
    <row r="2719">
      <c r="A2719" s="4">
        <v>281.0</v>
      </c>
      <c r="B2719" s="4" t="s">
        <v>8035</v>
      </c>
      <c r="C2719" s="4"/>
      <c r="D2719" s="4" t="s">
        <v>6706</v>
      </c>
      <c r="E2719" s="4" t="s">
        <v>6707</v>
      </c>
      <c r="F2719" s="4" t="s">
        <v>2301</v>
      </c>
      <c r="G2719" s="5" t="str">
        <f>IFERROR(__xludf.DUMMYFUNCTION("GOOGLETRANSLATE(D2719,""en"",""es"")"),"Mac")</f>
        <v>Mac</v>
      </c>
      <c r="H2719" s="4" t="s">
        <v>6708</v>
      </c>
      <c r="I2719" s="4" t="s">
        <v>6709</v>
      </c>
      <c r="J2719" s="4" t="s">
        <v>6706</v>
      </c>
      <c r="K2719" s="4" t="s">
        <v>6710</v>
      </c>
    </row>
    <row r="2720">
      <c r="A2720" s="4">
        <v>282.0</v>
      </c>
      <c r="B2720" s="4" t="s">
        <v>8035</v>
      </c>
      <c r="C2720" s="4"/>
      <c r="D2720" s="4" t="s">
        <v>6711</v>
      </c>
      <c r="E2720" s="4" t="s">
        <v>6707</v>
      </c>
      <c r="F2720" s="4" t="s">
        <v>2301</v>
      </c>
      <c r="G2720" s="5" t="str">
        <f>IFERROR(__xludf.DUMMYFUNCTION("GOOGLETRANSLATE(D2720,""en"",""es"")"),"machacar")</f>
        <v>machacar</v>
      </c>
      <c r="H2720" s="4" t="s">
        <v>6712</v>
      </c>
      <c r="I2720" s="4" t="s">
        <v>6713</v>
      </c>
    </row>
    <row r="2721">
      <c r="A2721" s="4">
        <v>283.0</v>
      </c>
      <c r="B2721" s="4" t="s">
        <v>8035</v>
      </c>
      <c r="C2721" s="4"/>
      <c r="D2721" s="4" t="s">
        <v>6710</v>
      </c>
      <c r="E2721" s="4" t="s">
        <v>6707</v>
      </c>
      <c r="F2721" s="4" t="s">
        <v>2301</v>
      </c>
      <c r="G2721" s="5" t="str">
        <f>IFERROR(__xludf.DUMMYFUNCTION("GOOGLETRANSLATE(D2721,""en"",""es"")"),"machacar")</f>
        <v>machacar</v>
      </c>
      <c r="H2721" s="4" t="s">
        <v>6708</v>
      </c>
      <c r="I2721" s="4" t="s">
        <v>6709</v>
      </c>
      <c r="J2721" s="4" t="s">
        <v>6706</v>
      </c>
      <c r="K2721" s="4" t="s">
        <v>6710</v>
      </c>
    </row>
    <row r="2722">
      <c r="A2722" s="4">
        <v>284.0</v>
      </c>
      <c r="B2722" s="4" t="s">
        <v>8035</v>
      </c>
      <c r="C2722" s="4"/>
      <c r="D2722" s="4" t="s">
        <v>6714</v>
      </c>
      <c r="E2722" s="4" t="s">
        <v>6715</v>
      </c>
      <c r="F2722" s="4" t="s">
        <v>2463</v>
      </c>
      <c r="G2722" s="5" t="str">
        <f>IFERROR(__xludf.DUMMYFUNCTION("GOOGLETRANSLATE(D2722,""en"",""es"")"),"mackey")</f>
        <v>mackey</v>
      </c>
    </row>
    <row r="2723">
      <c r="A2723" s="4">
        <v>285.0</v>
      </c>
      <c r="B2723" s="4" t="s">
        <v>8035</v>
      </c>
      <c r="C2723" s="4"/>
      <c r="D2723" s="4" t="s">
        <v>6716</v>
      </c>
      <c r="E2723" s="4" t="s">
        <v>6715</v>
      </c>
      <c r="F2723" s="4" t="s">
        <v>2463</v>
      </c>
      <c r="G2723" s="5" t="str">
        <f>IFERROR(__xludf.DUMMYFUNCTION("GOOGLETRANSLATE(D2723,""en"",""es"")"),"mackie")</f>
        <v>mackie</v>
      </c>
    </row>
    <row r="2724">
      <c r="A2724" s="4">
        <v>286.0</v>
      </c>
      <c r="B2724" s="4" t="s">
        <v>8035</v>
      </c>
      <c r="C2724" s="4"/>
      <c r="D2724" s="4" t="s">
        <v>6717</v>
      </c>
      <c r="E2724" s="4" t="s">
        <v>6715</v>
      </c>
      <c r="F2724" s="4" t="s">
        <v>2463</v>
      </c>
      <c r="G2724" s="5" t="str">
        <f>IFERROR(__xludf.DUMMYFUNCTION("GOOGLETRANSLATE(D2724,""en"",""es"")"),"maco")</f>
        <v>maco</v>
      </c>
    </row>
    <row r="2725">
      <c r="A2725" s="4">
        <v>287.0</v>
      </c>
      <c r="B2725" s="4" t="s">
        <v>8035</v>
      </c>
      <c r="C2725" s="4"/>
      <c r="D2725" s="4" t="s">
        <v>6718</v>
      </c>
      <c r="E2725" s="4" t="s">
        <v>6719</v>
      </c>
      <c r="F2725" s="4" t="s">
        <v>2414</v>
      </c>
      <c r="G2725" s="5" t="str">
        <f>IFERROR(__xludf.DUMMYFUNCTION("GOOGLETRANSLATE(D2725,""en"",""es"")"),"Mahoney")</f>
        <v>Mahoney</v>
      </c>
    </row>
    <row r="2726">
      <c r="A2726" s="4">
        <v>288.0</v>
      </c>
      <c r="B2726" s="4" t="s">
        <v>8035</v>
      </c>
      <c r="C2726" s="4"/>
      <c r="D2726" s="4" t="s">
        <v>6720</v>
      </c>
      <c r="E2726" s="4" t="s">
        <v>6719</v>
      </c>
      <c r="F2726" s="4" t="s">
        <v>2414</v>
      </c>
      <c r="G2726" s="5" t="str">
        <f>IFERROR(__xludf.DUMMYFUNCTION("GOOGLETRANSLATE(D2726,""en"",""es"")"),"mahony")</f>
        <v>mahony</v>
      </c>
    </row>
    <row r="2727">
      <c r="A2727" s="4">
        <v>289.0</v>
      </c>
      <c r="B2727" s="4" t="s">
        <v>8035</v>
      </c>
      <c r="C2727" s="4"/>
      <c r="D2727" s="4" t="s">
        <v>2322</v>
      </c>
      <c r="E2727" s="4" t="s">
        <v>6721</v>
      </c>
      <c r="F2727" s="4" t="s">
        <v>2322</v>
      </c>
      <c r="G2727" s="5" t="str">
        <f>IFERROR(__xludf.DUMMYFUNCTION("GOOGLETRANSLATE(D2727,""en"",""es"")"),"mal")</f>
        <v>mal</v>
      </c>
    </row>
    <row r="2728">
      <c r="A2728" s="4">
        <v>290.0</v>
      </c>
      <c r="B2728" s="4" t="s">
        <v>8035</v>
      </c>
      <c r="C2728" s="4"/>
      <c r="D2728" s="4" t="s">
        <v>2351</v>
      </c>
      <c r="E2728" s="4" t="s">
        <v>8499</v>
      </c>
      <c r="F2728" s="4" t="s">
        <v>2351</v>
      </c>
      <c r="G2728" s="5" t="str">
        <f>IFERROR(__xludf.DUMMYFUNCTION("GOOGLETRANSLATE(D2728,""en"",""es"")"),"malla")</f>
        <v>malla</v>
      </c>
    </row>
    <row r="2729">
      <c r="A2729" s="4">
        <v>291.0</v>
      </c>
      <c r="B2729" s="4" t="s">
        <v>8035</v>
      </c>
      <c r="C2729" s="4"/>
      <c r="D2729" s="4" t="s">
        <v>5314</v>
      </c>
      <c r="E2729" s="4" t="s">
        <v>8500</v>
      </c>
      <c r="F2729" s="4" t="s">
        <v>5314</v>
      </c>
      <c r="G2729" s="5" t="str">
        <f>IFERROR(__xludf.DUMMYFUNCTION("GOOGLETRANSLATE(D2729,""en"",""es"")"),"malí")</f>
        <v>malí</v>
      </c>
      <c r="H2729" s="4" t="s">
        <v>5347</v>
      </c>
      <c r="I2729" s="4" t="s">
        <v>5348</v>
      </c>
      <c r="J2729" s="4" t="s">
        <v>5349</v>
      </c>
    </row>
    <row r="2730">
      <c r="A2730" s="4">
        <v>292.0</v>
      </c>
      <c r="B2730" s="4" t="s">
        <v>8035</v>
      </c>
      <c r="C2730" s="4"/>
      <c r="D2730" s="4" t="s">
        <v>6722</v>
      </c>
      <c r="E2730" s="4" t="s">
        <v>6723</v>
      </c>
      <c r="F2730" s="4" t="s">
        <v>6724</v>
      </c>
      <c r="G2730" s="5" t="str">
        <f>IFERROR(__xludf.DUMMYFUNCTION("GOOGLETRANSLATE(D2730,""en"",""es"")"),"málico")</f>
        <v>málico</v>
      </c>
    </row>
    <row r="2731">
      <c r="A2731" s="4">
        <v>293.0</v>
      </c>
      <c r="B2731" s="4" t="s">
        <v>8035</v>
      </c>
      <c r="C2731" s="4"/>
      <c r="D2731" s="4" t="s">
        <v>6725</v>
      </c>
      <c r="E2731" s="4" t="s">
        <v>6726</v>
      </c>
      <c r="F2731" s="4" t="s">
        <v>6727</v>
      </c>
      <c r="G2731" s="5" t="str">
        <f>IFERROR(__xludf.DUMMYFUNCTION("GOOGLETRANSLATE(D2731,""en"",""es"")"),"malicia")</f>
        <v>malicia</v>
      </c>
      <c r="H2731" s="4" t="s">
        <v>6725</v>
      </c>
      <c r="I2731" s="4" t="s">
        <v>6728</v>
      </c>
      <c r="J2731" s="4" t="s">
        <v>6729</v>
      </c>
      <c r="K2731" s="4" t="s">
        <v>6730</v>
      </c>
      <c r="L2731" s="4" t="s">
        <v>6731</v>
      </c>
      <c r="M2731" s="4" t="s">
        <v>6732</v>
      </c>
      <c r="N2731" s="4" t="s">
        <v>6733</v>
      </c>
      <c r="O2731" s="4" t="s">
        <v>6725</v>
      </c>
    </row>
    <row r="2732">
      <c r="A2732" s="4">
        <v>294.0</v>
      </c>
      <c r="B2732" s="4" t="s">
        <v>8035</v>
      </c>
      <c r="C2732" s="4"/>
      <c r="D2732" s="4" t="s">
        <v>6724</v>
      </c>
      <c r="E2732" s="4" t="s">
        <v>8501</v>
      </c>
      <c r="F2732" s="4" t="s">
        <v>6724</v>
      </c>
      <c r="G2732" s="5" t="str">
        <f>IFERROR(__xludf.DUMMYFUNCTION("GOOGLETRANSLATE(D2732,""en"",""es"")"),"Malik")</f>
        <v>Malik</v>
      </c>
      <c r="H2732" s="4" t="s">
        <v>6724</v>
      </c>
    </row>
    <row r="2733">
      <c r="A2733" s="4">
        <v>295.0</v>
      </c>
      <c r="B2733" s="4" t="s">
        <v>8035</v>
      </c>
      <c r="C2733" s="4"/>
      <c r="D2733" s="4" t="s">
        <v>6739</v>
      </c>
      <c r="E2733" s="4" t="s">
        <v>6740</v>
      </c>
      <c r="F2733" s="4" t="s">
        <v>5314</v>
      </c>
      <c r="G2733" s="5" t="str">
        <f>IFERROR(__xludf.DUMMYFUNCTION("GOOGLETRANSLATE(D2733,""en"",""es"")"),"mallee")</f>
        <v>mallee</v>
      </c>
      <c r="H2733" s="4" t="s">
        <v>6739</v>
      </c>
    </row>
    <row r="2734">
      <c r="A2734" s="4">
        <v>296.0</v>
      </c>
      <c r="B2734" s="4" t="s">
        <v>8035</v>
      </c>
      <c r="C2734" s="4"/>
      <c r="D2734" s="4" t="s">
        <v>6739</v>
      </c>
      <c r="E2734" s="4" t="s">
        <v>8500</v>
      </c>
      <c r="F2734" s="4" t="s">
        <v>5314</v>
      </c>
      <c r="G2734" s="5" t="str">
        <f>IFERROR(__xludf.DUMMYFUNCTION("GOOGLETRANSLATE(D2734,""en"",""es"")"),"mallee")</f>
        <v>mallee</v>
      </c>
      <c r="H2734" s="4" t="s">
        <v>6739</v>
      </c>
    </row>
    <row r="2735">
      <c r="A2735" s="4">
        <v>297.0</v>
      </c>
      <c r="B2735" s="4" t="s">
        <v>8035</v>
      </c>
      <c r="C2735" s="4"/>
      <c r="D2735" s="4" t="s">
        <v>1856</v>
      </c>
      <c r="E2735" s="4" t="s">
        <v>6741</v>
      </c>
      <c r="F2735" s="4" t="s">
        <v>1856</v>
      </c>
      <c r="G2735" s="5" t="str">
        <f>IFERROR(__xludf.DUMMYFUNCTION("GOOGLETRANSLATE(D2735,""en"",""es"")"),"hombre")</f>
        <v>hombre</v>
      </c>
      <c r="H2735" s="4" t="s">
        <v>1856</v>
      </c>
      <c r="I2735" s="4" t="s">
        <v>6742</v>
      </c>
      <c r="J2735" s="4" t="s">
        <v>2642</v>
      </c>
      <c r="K2735" s="4" t="s">
        <v>2643</v>
      </c>
      <c r="L2735" s="4" t="s">
        <v>1856</v>
      </c>
      <c r="M2735" s="4" t="s">
        <v>2644</v>
      </c>
      <c r="N2735" s="4" t="s">
        <v>1856</v>
      </c>
      <c r="O2735" s="4" t="s">
        <v>1855</v>
      </c>
      <c r="P2735" s="4" t="s">
        <v>1856</v>
      </c>
      <c r="Q2735" s="4" t="s">
        <v>1857</v>
      </c>
      <c r="R2735" s="4" t="s">
        <v>1854</v>
      </c>
      <c r="S2735" s="4" t="s">
        <v>1856</v>
      </c>
      <c r="T2735" s="4" t="s">
        <v>1856</v>
      </c>
      <c r="U2735" s="4" t="s">
        <v>6743</v>
      </c>
      <c r="V2735" s="4" t="s">
        <v>6744</v>
      </c>
      <c r="W2735" s="4" t="s">
        <v>6745</v>
      </c>
      <c r="X2735" s="4" t="s">
        <v>6746</v>
      </c>
      <c r="Y2735" s="4" t="s">
        <v>1856</v>
      </c>
      <c r="Z2735" s="4" t="s">
        <v>1856</v>
      </c>
      <c r="AA2735" s="4" t="s">
        <v>6747</v>
      </c>
      <c r="AB2735" s="4" t="s">
        <v>6748</v>
      </c>
      <c r="AC2735" s="4" t="s">
        <v>1856</v>
      </c>
      <c r="AD2735" s="4" t="s">
        <v>3486</v>
      </c>
      <c r="AE2735" s="4" t="s">
        <v>2953</v>
      </c>
      <c r="AF2735" s="4" t="s">
        <v>6749</v>
      </c>
      <c r="AG2735" s="4" t="s">
        <v>6750</v>
      </c>
      <c r="AH2735" s="4" t="s">
        <v>6751</v>
      </c>
      <c r="AI2735" s="4" t="s">
        <v>6752</v>
      </c>
      <c r="AJ2735" s="4" t="s">
        <v>6753</v>
      </c>
      <c r="AK2735" s="4" t="s">
        <v>6754</v>
      </c>
      <c r="AL2735" s="4" t="s">
        <v>1856</v>
      </c>
      <c r="AM2735" s="4" t="s">
        <v>1856</v>
      </c>
      <c r="AN2735" s="4" t="s">
        <v>1856</v>
      </c>
    </row>
    <row r="2736">
      <c r="A2736" s="4">
        <v>298.0</v>
      </c>
      <c r="B2736" s="4" t="s">
        <v>8035</v>
      </c>
      <c r="C2736" s="4"/>
      <c r="D2736" s="4" t="s">
        <v>6755</v>
      </c>
      <c r="E2736" s="4" t="s">
        <v>6756</v>
      </c>
      <c r="F2736" s="4" t="s">
        <v>6757</v>
      </c>
      <c r="G2736" s="5" t="str">
        <f>IFERROR(__xludf.DUMMYFUNCTION("GOOGLETRANSLATE(D2736,""en"",""es"")"),"maníaco")</f>
        <v>maníaco</v>
      </c>
      <c r="H2736" s="4" t="s">
        <v>6758</v>
      </c>
      <c r="I2736" s="4" t="s">
        <v>6755</v>
      </c>
    </row>
    <row r="2737">
      <c r="A2737" s="4">
        <v>299.0</v>
      </c>
      <c r="B2737" s="4" t="s">
        <v>8035</v>
      </c>
      <c r="C2737" s="4"/>
      <c r="D2737" s="4" t="s">
        <v>8502</v>
      </c>
      <c r="E2737" s="4" t="s">
        <v>8503</v>
      </c>
      <c r="F2737" s="4" t="s">
        <v>8504</v>
      </c>
      <c r="G2737" s="5" t="str">
        <f>IFERROR(__xludf.DUMMYFUNCTION("GOOGLETRANSLATE(D2737,""en"",""es"")"),"manicotti")</f>
        <v>manicotti</v>
      </c>
      <c r="H2737" s="4" t="s">
        <v>8502</v>
      </c>
    </row>
    <row r="2738">
      <c r="A2738" s="4">
        <v>300.0</v>
      </c>
      <c r="B2738" s="4" t="s">
        <v>8035</v>
      </c>
      <c r="C2738" s="4"/>
      <c r="D2738" s="4" t="s">
        <v>2434</v>
      </c>
      <c r="E2738" s="4" t="s">
        <v>6759</v>
      </c>
      <c r="F2738" s="4" t="s">
        <v>2434</v>
      </c>
      <c r="G2738" s="5" t="str">
        <f>IFERROR(__xludf.DUMMYFUNCTION("GOOGLETRANSLATE(D2738,""en"",""es"")"),"maniquí")</f>
        <v>maniquí</v>
      </c>
      <c r="H2738" s="4" t="s">
        <v>2434</v>
      </c>
      <c r="I2738" s="4" t="s">
        <v>2435</v>
      </c>
      <c r="J2738" s="4" t="s">
        <v>6760</v>
      </c>
      <c r="K2738" s="4" t="s">
        <v>2433</v>
      </c>
      <c r="L2738" s="4" t="s">
        <v>2434</v>
      </c>
      <c r="M2738" s="4" t="s">
        <v>2435</v>
      </c>
      <c r="N2738" s="4" t="s">
        <v>2436</v>
      </c>
      <c r="O2738" s="4" t="s">
        <v>2437</v>
      </c>
      <c r="P2738" s="4" t="s">
        <v>2438</v>
      </c>
      <c r="Q2738" s="4" t="s">
        <v>2433</v>
      </c>
      <c r="R2738" s="4" t="s">
        <v>2434</v>
      </c>
      <c r="S2738" s="4" t="s">
        <v>2435</v>
      </c>
      <c r="T2738" s="4" t="s">
        <v>2436</v>
      </c>
      <c r="U2738" s="4" t="s">
        <v>1679</v>
      </c>
    </row>
    <row r="2739">
      <c r="A2739" s="4">
        <v>301.0</v>
      </c>
      <c r="B2739" s="4" t="s">
        <v>8035</v>
      </c>
      <c r="C2739" s="4"/>
      <c r="D2739" s="4" t="s">
        <v>6761</v>
      </c>
      <c r="E2739" s="4" t="s">
        <v>6762</v>
      </c>
      <c r="F2739" s="4" t="s">
        <v>6763</v>
      </c>
      <c r="G2739" s="5" t="str">
        <f>IFERROR(__xludf.DUMMYFUNCTION("GOOGLETRANSLATE(D2739,""en"",""es"")"),"varonil")</f>
        <v>varonil</v>
      </c>
      <c r="H2739" s="4" t="s">
        <v>6761</v>
      </c>
      <c r="I2739" s="4" t="s">
        <v>6761</v>
      </c>
    </row>
    <row r="2740">
      <c r="A2740" s="4">
        <v>302.0</v>
      </c>
      <c r="B2740" s="4" t="s">
        <v>8035</v>
      </c>
      <c r="C2740" s="4"/>
      <c r="D2740" s="4" t="s">
        <v>8505</v>
      </c>
      <c r="E2740" s="4" t="s">
        <v>6852</v>
      </c>
      <c r="F2740" s="4" t="s">
        <v>6851</v>
      </c>
      <c r="G2740" s="5" t="str">
        <f>IFERROR(__xludf.DUMMYFUNCTION("GOOGLETRANSLATE(D2740,""en"",""es"")"),"muchos")</f>
        <v>muchos</v>
      </c>
      <c r="H2740" s="4" t="s">
        <v>8505</v>
      </c>
    </row>
    <row r="2741">
      <c r="A2741" s="4">
        <v>303.0</v>
      </c>
      <c r="B2741" s="4" t="s">
        <v>8035</v>
      </c>
      <c r="C2741" s="4"/>
      <c r="D2741" s="4" t="s">
        <v>2460</v>
      </c>
      <c r="E2741" s="4" t="s">
        <v>6764</v>
      </c>
      <c r="F2741" s="4" t="s">
        <v>2460</v>
      </c>
      <c r="G2741" s="5" t="str">
        <f>IFERROR(__xludf.DUMMYFUNCTION("GOOGLETRANSLATE(D2741,""en"",""es"")"),"mapa")</f>
        <v>mapa</v>
      </c>
      <c r="H2741" s="4" t="s">
        <v>2460</v>
      </c>
      <c r="I2741" s="4" t="s">
        <v>6765</v>
      </c>
      <c r="J2741" s="4" t="s">
        <v>6766</v>
      </c>
      <c r="K2741" s="4" t="s">
        <v>6767</v>
      </c>
      <c r="L2741" s="4" t="s">
        <v>2460</v>
      </c>
      <c r="M2741" s="4" t="s">
        <v>6768</v>
      </c>
      <c r="N2741" s="4" t="s">
        <v>2460</v>
      </c>
      <c r="O2741" s="4" t="s">
        <v>2460</v>
      </c>
      <c r="P2741" s="4" t="s">
        <v>2460</v>
      </c>
      <c r="Q2741" s="4" t="s">
        <v>2460</v>
      </c>
      <c r="R2741" s="4" t="s">
        <v>6769</v>
      </c>
      <c r="S2741" s="4" t="s">
        <v>2460</v>
      </c>
      <c r="T2741" s="4" t="s">
        <v>2460</v>
      </c>
      <c r="U2741" s="4" t="s">
        <v>6770</v>
      </c>
    </row>
    <row r="2742">
      <c r="A2742" s="4">
        <v>304.0</v>
      </c>
      <c r="B2742" s="4" t="s">
        <v>8035</v>
      </c>
      <c r="C2742" s="4"/>
      <c r="D2742" s="4" t="s">
        <v>6771</v>
      </c>
      <c r="E2742" s="4" t="s">
        <v>6772</v>
      </c>
      <c r="F2742" s="4" t="s">
        <v>6771</v>
      </c>
      <c r="G2742" s="5" t="str">
        <f>IFERROR(__xludf.DUMMYFUNCTION("GOOGLETRANSLATE(D2742,""en"",""es"")"),"mezcla")</f>
        <v>mezcla</v>
      </c>
      <c r="H2742" s="4" t="s">
        <v>6771</v>
      </c>
      <c r="I2742" s="4" t="s">
        <v>6771</v>
      </c>
      <c r="J2742" s="4" t="s">
        <v>6773</v>
      </c>
      <c r="K2742" s="4" t="s">
        <v>6774</v>
      </c>
      <c r="L2742" s="4" t="s">
        <v>6775</v>
      </c>
      <c r="M2742" s="4" t="s">
        <v>6771</v>
      </c>
      <c r="N2742" s="4" t="s">
        <v>6776</v>
      </c>
      <c r="O2742" s="4" t="s">
        <v>6777</v>
      </c>
      <c r="P2742" s="4" t="s">
        <v>6778</v>
      </c>
      <c r="Q2742" s="4" t="s">
        <v>6779</v>
      </c>
      <c r="R2742" s="4" t="s">
        <v>6780</v>
      </c>
      <c r="S2742" s="4" t="s">
        <v>6781</v>
      </c>
      <c r="T2742" s="4" t="s">
        <v>6782</v>
      </c>
      <c r="U2742" s="4" t="s">
        <v>6783</v>
      </c>
      <c r="V2742" s="4" t="s">
        <v>6784</v>
      </c>
      <c r="W2742" s="4" t="s">
        <v>6771</v>
      </c>
      <c r="X2742" s="4" t="s">
        <v>6785</v>
      </c>
      <c r="Y2742" s="4" t="s">
        <v>6771</v>
      </c>
      <c r="Z2742" s="4" t="s">
        <v>6786</v>
      </c>
      <c r="AA2742" s="4" t="s">
        <v>6787</v>
      </c>
      <c r="AB2742" s="4" t="s">
        <v>6788</v>
      </c>
    </row>
    <row r="2743">
      <c r="A2743" s="4">
        <v>305.0</v>
      </c>
      <c r="B2743" s="4" t="s">
        <v>8035</v>
      </c>
      <c r="C2743" s="4"/>
      <c r="D2743" s="4" t="s">
        <v>1743</v>
      </c>
      <c r="E2743" s="4" t="s">
        <v>6789</v>
      </c>
      <c r="F2743" s="4" t="s">
        <v>339</v>
      </c>
      <c r="G2743" s="5" t="str">
        <f>IFERROR(__xludf.DUMMYFUNCTION("GOOGLETRANSLATE(D2743,""en"",""es"")"),"masa")</f>
        <v>masa</v>
      </c>
      <c r="H2743" s="4" t="s">
        <v>1743</v>
      </c>
      <c r="I2743" s="4" t="s">
        <v>1736</v>
      </c>
      <c r="J2743" s="4" t="s">
        <v>1737</v>
      </c>
      <c r="K2743" s="4" t="s">
        <v>1738</v>
      </c>
      <c r="L2743" s="4" t="s">
        <v>1739</v>
      </c>
      <c r="M2743" s="4" t="s">
        <v>1740</v>
      </c>
      <c r="N2743" s="4" t="s">
        <v>1741</v>
      </c>
      <c r="O2743" s="4" t="s">
        <v>484</v>
      </c>
      <c r="P2743" s="4" t="s">
        <v>1742</v>
      </c>
      <c r="Q2743" s="4" t="s">
        <v>1743</v>
      </c>
      <c r="R2743" s="4" t="s">
        <v>1744</v>
      </c>
      <c r="S2743" s="4" t="s">
        <v>1745</v>
      </c>
      <c r="T2743" s="4" t="s">
        <v>1746</v>
      </c>
      <c r="U2743" s="4" t="s">
        <v>1747</v>
      </c>
      <c r="V2743" s="4" t="s">
        <v>1748</v>
      </c>
      <c r="W2743" s="4" t="s">
        <v>1749</v>
      </c>
      <c r="X2743" s="4" t="s">
        <v>1750</v>
      </c>
      <c r="Y2743" s="4" t="s">
        <v>483</v>
      </c>
      <c r="Z2743" s="4" t="s">
        <v>1751</v>
      </c>
      <c r="AA2743" s="4" t="s">
        <v>1752</v>
      </c>
      <c r="AB2743" s="4" t="s">
        <v>1753</v>
      </c>
      <c r="AC2743" s="4" t="s">
        <v>1754</v>
      </c>
      <c r="AD2743" s="4" t="s">
        <v>1755</v>
      </c>
      <c r="AE2743" s="4" t="s">
        <v>1756</v>
      </c>
      <c r="AF2743" s="4" t="s">
        <v>1757</v>
      </c>
      <c r="AG2743" s="4" t="s">
        <v>482</v>
      </c>
      <c r="AH2743" s="4" t="s">
        <v>1758</v>
      </c>
      <c r="AI2743" s="4" t="s">
        <v>780</v>
      </c>
      <c r="AJ2743" s="4" t="s">
        <v>1743</v>
      </c>
      <c r="AK2743" s="4" t="s">
        <v>2715</v>
      </c>
      <c r="AL2743" s="4" t="s">
        <v>1743</v>
      </c>
      <c r="AM2743" s="4" t="s">
        <v>2532</v>
      </c>
      <c r="AN2743" s="4" t="s">
        <v>2533</v>
      </c>
      <c r="AO2743" s="4" t="s">
        <v>1743</v>
      </c>
      <c r="AP2743" s="4" t="s">
        <v>2534</v>
      </c>
      <c r="AQ2743" s="4" t="s">
        <v>2535</v>
      </c>
      <c r="AR2743" s="4" t="s">
        <v>2536</v>
      </c>
      <c r="AS2743" s="4" t="s">
        <v>2526</v>
      </c>
      <c r="AT2743" s="4" t="s">
        <v>1743</v>
      </c>
      <c r="AU2743" s="4" t="s">
        <v>2527</v>
      </c>
      <c r="AV2743" s="4" t="s">
        <v>2715</v>
      </c>
      <c r="AW2743" s="4" t="s">
        <v>2715</v>
      </c>
      <c r="AX2743" s="4" t="s">
        <v>1743</v>
      </c>
      <c r="AY2743" s="4" t="s">
        <v>4554</v>
      </c>
      <c r="AZ2743" s="4" t="s">
        <v>6790</v>
      </c>
      <c r="BA2743" s="4" t="s">
        <v>6791</v>
      </c>
      <c r="BB2743" s="4" t="s">
        <v>1743</v>
      </c>
    </row>
    <row r="2744">
      <c r="A2744" s="4">
        <v>306.0</v>
      </c>
      <c r="B2744" s="4" t="s">
        <v>8035</v>
      </c>
      <c r="C2744" s="4"/>
      <c r="D2744" s="4" t="s">
        <v>8506</v>
      </c>
      <c r="E2744" s="4" t="s">
        <v>8507</v>
      </c>
      <c r="F2744" s="4" t="s">
        <v>8508</v>
      </c>
      <c r="G2744" s="5" t="str">
        <f>IFERROR(__xludf.DUMMYFUNCTION("GOOGLETRANSLATE(D2744,""en"",""es"")"),"Massey")</f>
        <v>Massey</v>
      </c>
    </row>
    <row r="2745">
      <c r="A2745" s="4">
        <v>307.0</v>
      </c>
      <c r="B2745" s="4" t="s">
        <v>8035</v>
      </c>
      <c r="C2745" s="4"/>
      <c r="D2745" s="4" t="s">
        <v>8509</v>
      </c>
      <c r="E2745" s="4" t="s">
        <v>8507</v>
      </c>
      <c r="F2745" s="4" t="s">
        <v>8508</v>
      </c>
      <c r="G2745" s="5" t="str">
        <f>IFERROR(__xludf.DUMMYFUNCTION("GOOGLETRANSLATE(D2745,""en"",""es"")"),"sólido")</f>
        <v>sólido</v>
      </c>
    </row>
    <row r="2746">
      <c r="A2746" s="4">
        <v>308.0</v>
      </c>
      <c r="B2746" s="4" t="s">
        <v>8035</v>
      </c>
      <c r="C2746" s="4"/>
      <c r="D2746" s="4" t="s">
        <v>5338</v>
      </c>
      <c r="E2746" s="4" t="s">
        <v>6792</v>
      </c>
      <c r="F2746" s="4" t="s">
        <v>5338</v>
      </c>
      <c r="G2746" s="5" t="str">
        <f>IFERROR(__xludf.DUMMYFUNCTION("GOOGLETRANSLATE(D2746,""en"",""es"")"),"Matemáticas")</f>
        <v>Matemáticas</v>
      </c>
      <c r="H2746" s="4" t="s">
        <v>5337</v>
      </c>
      <c r="I2746" s="4" t="s">
        <v>5338</v>
      </c>
      <c r="J2746" s="4" t="s">
        <v>5339</v>
      </c>
    </row>
    <row r="2747">
      <c r="A2747" s="4">
        <v>309.0</v>
      </c>
      <c r="B2747" s="4" t="s">
        <v>8035</v>
      </c>
      <c r="C2747" s="4"/>
      <c r="D2747" s="4" t="s">
        <v>6793</v>
      </c>
      <c r="E2747" s="4" t="s">
        <v>6794</v>
      </c>
      <c r="F2747" s="4" t="s">
        <v>2575</v>
      </c>
      <c r="G2747" s="5" t="str">
        <f>IFERROR(__xludf.DUMMYFUNCTION("GOOGLETRANSLATE(D2747,""en"",""es"")"),"mate")</f>
        <v>mate</v>
      </c>
    </row>
    <row r="2748">
      <c r="A2748" s="4">
        <v>310.0</v>
      </c>
      <c r="B2748" s="4" t="s">
        <v>8035</v>
      </c>
      <c r="C2748" s="4"/>
      <c r="D2748" s="4" t="s">
        <v>8510</v>
      </c>
      <c r="E2748" s="4" t="s">
        <v>341</v>
      </c>
      <c r="F2748" s="4" t="s">
        <v>342</v>
      </c>
      <c r="G2748" s="5" t="str">
        <f>IFERROR(__xludf.DUMMYFUNCTION("GOOGLETRANSLATE(D2748,""en"",""es"")"),"yo")</f>
        <v>yo</v>
      </c>
      <c r="H2748" s="4" t="s">
        <v>8511</v>
      </c>
      <c r="I2748" s="4" t="s">
        <v>8512</v>
      </c>
      <c r="J2748" s="4" t="s">
        <v>8513</v>
      </c>
    </row>
    <row r="2749">
      <c r="A2749" s="4">
        <v>311.0</v>
      </c>
      <c r="B2749" s="4" t="s">
        <v>8035</v>
      </c>
      <c r="C2749" s="4"/>
      <c r="D2749" s="4" t="s">
        <v>8514</v>
      </c>
      <c r="E2749" s="4" t="s">
        <v>344</v>
      </c>
      <c r="F2749" s="4" t="s">
        <v>345</v>
      </c>
      <c r="G2749" s="5" t="str">
        <f>IFERROR(__xludf.DUMMYFUNCTION("GOOGLETRANSLATE(D2749,""en"",""es"")"),"manso")</f>
        <v>manso</v>
      </c>
      <c r="H2749" s="4" t="s">
        <v>8514</v>
      </c>
      <c r="I2749" s="4" t="s">
        <v>4844</v>
      </c>
      <c r="J2749" s="4" t="s">
        <v>1840</v>
      </c>
      <c r="K2749" s="4" t="s">
        <v>8514</v>
      </c>
      <c r="L2749" s="4" t="s">
        <v>8515</v>
      </c>
      <c r="M2749" s="4" t="s">
        <v>8514</v>
      </c>
      <c r="N2749" s="4" t="s">
        <v>8516</v>
      </c>
    </row>
    <row r="2750">
      <c r="A2750" s="4">
        <v>312.0</v>
      </c>
      <c r="B2750" s="4" t="s">
        <v>8035</v>
      </c>
      <c r="C2750" s="4"/>
      <c r="D2750" s="4" t="s">
        <v>6795</v>
      </c>
      <c r="E2750" s="4" t="s">
        <v>6796</v>
      </c>
      <c r="F2750" s="4" t="s">
        <v>2878</v>
      </c>
      <c r="G2750" s="5" t="str">
        <f>IFERROR(__xludf.DUMMYFUNCTION("GOOGLETRANSLATE(D2750,""en"",""es"")"),"memoria")</f>
        <v>memoria</v>
      </c>
    </row>
    <row r="2751">
      <c r="A2751" s="4">
        <v>313.0</v>
      </c>
      <c r="B2751" s="4" t="s">
        <v>8035</v>
      </c>
      <c r="C2751" s="4"/>
      <c r="D2751" s="4" t="s">
        <v>6797</v>
      </c>
      <c r="E2751" s="4" t="s">
        <v>6798</v>
      </c>
      <c r="F2751" s="4" t="s">
        <v>6799</v>
      </c>
      <c r="G2751" s="5" t="str">
        <f>IFERROR(__xludf.DUMMYFUNCTION("GOOGLETRANSLATE(D2751,""en"",""es"")"),"malla")</f>
        <v>malla</v>
      </c>
    </row>
    <row r="2752">
      <c r="A2752" s="4">
        <v>314.0</v>
      </c>
      <c r="B2752" s="4" t="s">
        <v>8035</v>
      </c>
      <c r="C2752" s="4"/>
      <c r="D2752" s="4" t="s">
        <v>6800</v>
      </c>
      <c r="E2752" s="4" t="s">
        <v>6801</v>
      </c>
      <c r="F2752" s="4" t="s">
        <v>6802</v>
      </c>
      <c r="G2752" s="5" t="str">
        <f>IFERROR(__xludf.DUMMYFUNCTION("GOOGLETRANSLATE(D2752,""en"",""es"")"),"metálico")</f>
        <v>metálico</v>
      </c>
      <c r="H2752" s="4" t="s">
        <v>6800</v>
      </c>
      <c r="I2752" s="4" t="s">
        <v>6800</v>
      </c>
      <c r="J2752" s="4" t="s">
        <v>6800</v>
      </c>
      <c r="K2752" s="4" t="s">
        <v>6803</v>
      </c>
    </row>
    <row r="2753">
      <c r="A2753" s="4">
        <v>315.0</v>
      </c>
      <c r="B2753" s="4" t="s">
        <v>8035</v>
      </c>
      <c r="C2753" s="4"/>
      <c r="D2753" s="4" t="s">
        <v>6804</v>
      </c>
      <c r="E2753" s="4" t="s">
        <v>6805</v>
      </c>
      <c r="F2753" s="4" t="s">
        <v>345</v>
      </c>
      <c r="G2753" s="5" t="str">
        <f>IFERROR(__xludf.DUMMYFUNCTION("GOOGLETRANSLATE(D2753,""en"",""es"")"),"mick")</f>
        <v>mick</v>
      </c>
      <c r="H2753" s="4" t="s">
        <v>6806</v>
      </c>
      <c r="I2753" s="4" t="s">
        <v>6807</v>
      </c>
      <c r="J2753" s="4" t="s">
        <v>6808</v>
      </c>
    </row>
    <row r="2754">
      <c r="A2754" s="4">
        <v>316.0</v>
      </c>
      <c r="B2754" s="4" t="s">
        <v>8035</v>
      </c>
      <c r="C2754" s="4"/>
      <c r="D2754" s="4" t="s">
        <v>6809</v>
      </c>
      <c r="E2754" s="4" t="s">
        <v>6810</v>
      </c>
      <c r="F2754" s="4" t="s">
        <v>6811</v>
      </c>
      <c r="G2754" s="5" t="str">
        <f>IFERROR(__xludf.DUMMYFUNCTION("GOOGLETRANSLATE(D2754,""en"",""es"")"),"mickey")</f>
        <v>mickey</v>
      </c>
      <c r="H2754" s="4" t="s">
        <v>6806</v>
      </c>
      <c r="I2754" s="4" t="s">
        <v>6807</v>
      </c>
      <c r="J2754" s="4" t="s">
        <v>6808</v>
      </c>
    </row>
    <row r="2755">
      <c r="A2755" s="4">
        <v>317.0</v>
      </c>
      <c r="B2755" s="4" t="s">
        <v>8035</v>
      </c>
      <c r="C2755" s="4"/>
      <c r="D2755" s="4" t="s">
        <v>2622</v>
      </c>
      <c r="E2755" s="4" t="s">
        <v>6814</v>
      </c>
      <c r="F2755" s="4" t="s">
        <v>2622</v>
      </c>
      <c r="G2755" s="5" t="str">
        <f>IFERROR(__xludf.DUMMYFUNCTION("GOOGLETRANSLATE(D2755,""en"",""es"")"),"mil")</f>
        <v>mil</v>
      </c>
      <c r="H2755" s="4" t="s">
        <v>2622</v>
      </c>
      <c r="I2755" s="4" t="s">
        <v>2653</v>
      </c>
      <c r="J2755" s="4" t="s">
        <v>2622</v>
      </c>
      <c r="K2755" s="4" t="s">
        <v>2658</v>
      </c>
      <c r="L2755" s="4" t="s">
        <v>2622</v>
      </c>
      <c r="M2755" s="4" t="s">
        <v>6815</v>
      </c>
      <c r="N2755" s="4" t="s">
        <v>6816</v>
      </c>
      <c r="O2755" s="4" t="s">
        <v>2622</v>
      </c>
      <c r="P2755" s="4" t="s">
        <v>6817</v>
      </c>
      <c r="Q2755" s="4" t="s">
        <v>6818</v>
      </c>
      <c r="R2755" s="4" t="s">
        <v>6819</v>
      </c>
      <c r="S2755" s="4" t="s">
        <v>6820</v>
      </c>
      <c r="T2755" s="4" t="s">
        <v>2622</v>
      </c>
    </row>
    <row r="2756">
      <c r="A2756" s="4">
        <v>318.0</v>
      </c>
      <c r="B2756" s="4" t="s">
        <v>8035</v>
      </c>
      <c r="C2756" s="4"/>
      <c r="D2756" s="4" t="s">
        <v>6821</v>
      </c>
      <c r="E2756" s="4" t="s">
        <v>6822</v>
      </c>
      <c r="F2756" s="4" t="s">
        <v>6821</v>
      </c>
      <c r="G2756" s="5" t="str">
        <f>IFERROR(__xludf.DUMMYFUNCTION("GOOGLETRANSLATE(D2756,""en"",""es"")"),"Milán")</f>
        <v>Milán</v>
      </c>
      <c r="H2756" s="4" t="s">
        <v>6823</v>
      </c>
      <c r="I2756" s="4" t="s">
        <v>6824</v>
      </c>
    </row>
    <row r="2757">
      <c r="A2757" s="4">
        <v>319.0</v>
      </c>
      <c r="B2757" s="4" t="s">
        <v>8035</v>
      </c>
      <c r="C2757" s="4"/>
      <c r="D2757" s="4" t="s">
        <v>2027</v>
      </c>
      <c r="E2757" s="4" t="s">
        <v>6814</v>
      </c>
      <c r="F2757" s="4" t="s">
        <v>2622</v>
      </c>
      <c r="G2757" s="5" t="str">
        <f>IFERROR(__xludf.DUMMYFUNCTION("GOOGLETRANSLATE(D2757,""en"",""es"")"),"molino")</f>
        <v>molino</v>
      </c>
      <c r="H2757" s="4" t="s">
        <v>6825</v>
      </c>
      <c r="I2757" s="4" t="s">
        <v>2027</v>
      </c>
      <c r="J2757" s="4" t="s">
        <v>6826</v>
      </c>
      <c r="K2757" s="4" t="s">
        <v>6827</v>
      </c>
      <c r="L2757" s="4" t="s">
        <v>6828</v>
      </c>
      <c r="M2757" s="4" t="s">
        <v>6829</v>
      </c>
      <c r="N2757" s="4" t="s">
        <v>6828</v>
      </c>
      <c r="O2757" s="4" t="s">
        <v>6830</v>
      </c>
      <c r="P2757" s="4" t="s">
        <v>6831</v>
      </c>
      <c r="Q2757" s="4" t="s">
        <v>2027</v>
      </c>
      <c r="R2757" s="4" t="s">
        <v>6832</v>
      </c>
      <c r="S2757" s="4" t="s">
        <v>6833</v>
      </c>
      <c r="T2757" s="4" t="s">
        <v>6785</v>
      </c>
      <c r="U2757" s="4" t="s">
        <v>2027</v>
      </c>
      <c r="V2757" s="4" t="s">
        <v>6834</v>
      </c>
      <c r="W2757" s="4" t="s">
        <v>6835</v>
      </c>
      <c r="X2757" s="4" t="s">
        <v>2027</v>
      </c>
      <c r="Y2757" s="4" t="s">
        <v>6836</v>
      </c>
      <c r="Z2757" s="4" t="s">
        <v>6837</v>
      </c>
      <c r="AA2757" s="4" t="s">
        <v>2027</v>
      </c>
      <c r="AB2757" s="4" t="s">
        <v>2027</v>
      </c>
      <c r="AC2757" s="4" t="s">
        <v>2027</v>
      </c>
    </row>
    <row r="2758">
      <c r="A2758" s="4">
        <v>320.0</v>
      </c>
      <c r="B2758" s="4" t="s">
        <v>8035</v>
      </c>
      <c r="C2758" s="4"/>
      <c r="D2758" s="4" t="s">
        <v>6838</v>
      </c>
      <c r="E2758" s="4" t="s">
        <v>6839</v>
      </c>
      <c r="F2758" s="4" t="s">
        <v>2878</v>
      </c>
      <c r="G2758" s="5" t="str">
        <f>IFERROR(__xludf.DUMMYFUNCTION("GOOGLETRANSLATE(D2758,""en"",""es"")"),"imitar")</f>
        <v>imitar</v>
      </c>
      <c r="H2758" s="4" t="s">
        <v>6838</v>
      </c>
      <c r="I2758" s="4" t="s">
        <v>6840</v>
      </c>
      <c r="J2758" s="4" t="s">
        <v>6838</v>
      </c>
      <c r="K2758" s="4" t="s">
        <v>2690</v>
      </c>
      <c r="L2758" s="4" t="s">
        <v>6838</v>
      </c>
    </row>
    <row r="2759">
      <c r="A2759" s="4">
        <v>321.0</v>
      </c>
      <c r="B2759" s="4" t="s">
        <v>8035</v>
      </c>
      <c r="C2759" s="4"/>
      <c r="D2759" s="4" t="s">
        <v>6841</v>
      </c>
      <c r="E2759" s="4" t="s">
        <v>6842</v>
      </c>
      <c r="F2759" s="4" t="s">
        <v>6841</v>
      </c>
      <c r="G2759" s="5" t="str">
        <f>IFERROR(__xludf.DUMMYFUNCTION("GOOGLETRANSLATE(D2759,""en"",""es"")"),"mínimo")</f>
        <v>mínimo</v>
      </c>
      <c r="H2759" s="4" t="s">
        <v>6843</v>
      </c>
      <c r="I2759" s="4" t="s">
        <v>6841</v>
      </c>
      <c r="J2759" s="4" t="s">
        <v>6844</v>
      </c>
      <c r="K2759" s="4" t="s">
        <v>6845</v>
      </c>
      <c r="L2759" s="4" t="s">
        <v>6846</v>
      </c>
      <c r="M2759" s="4" t="s">
        <v>6847</v>
      </c>
      <c r="N2759" s="4" t="s">
        <v>6848</v>
      </c>
      <c r="O2759" s="4" t="s">
        <v>6849</v>
      </c>
      <c r="P2759" s="4" t="s">
        <v>6850</v>
      </c>
      <c r="Q2759" s="4" t="s">
        <v>6844</v>
      </c>
    </row>
    <row r="2760">
      <c r="A2760" s="4">
        <v>322.0</v>
      </c>
      <c r="B2760" s="4" t="s">
        <v>8035</v>
      </c>
      <c r="C2760" s="4"/>
      <c r="D2760" s="4" t="s">
        <v>6851</v>
      </c>
      <c r="E2760" s="4" t="s">
        <v>6852</v>
      </c>
      <c r="F2760" s="4" t="s">
        <v>6851</v>
      </c>
      <c r="G2760" s="5" t="str">
        <f>IFERROR(__xludf.DUMMYFUNCTION("GOOGLETRANSLATE(D2760,""en"",""es"")"),"mini")</f>
        <v>mini</v>
      </c>
      <c r="H2760" s="4" t="s">
        <v>6853</v>
      </c>
      <c r="I2760" s="4" t="s">
        <v>6851</v>
      </c>
      <c r="J2760" s="4" t="s">
        <v>6851</v>
      </c>
    </row>
    <row r="2761">
      <c r="A2761" s="4">
        <v>323.0</v>
      </c>
      <c r="B2761" s="4" t="s">
        <v>8035</v>
      </c>
      <c r="C2761" s="4"/>
      <c r="D2761" s="4" t="s">
        <v>2890</v>
      </c>
      <c r="E2761" s="4" t="s">
        <v>6854</v>
      </c>
      <c r="F2761" s="4" t="s">
        <v>2890</v>
      </c>
      <c r="G2761" s="5" t="str">
        <f>IFERROR(__xludf.DUMMYFUNCTION("GOOGLETRANSLATE(D2761,""en"",""es"")"),"blanca")</f>
        <v>blanca</v>
      </c>
      <c r="H2761" s="4" t="s">
        <v>2890</v>
      </c>
      <c r="I2761" s="4" t="s">
        <v>2890</v>
      </c>
      <c r="J2761" s="4" t="s">
        <v>6855</v>
      </c>
      <c r="K2761" s="4" t="s">
        <v>2890</v>
      </c>
    </row>
    <row r="2762">
      <c r="A2762" s="4">
        <v>324.0</v>
      </c>
      <c r="B2762" s="4" t="s">
        <v>8035</v>
      </c>
      <c r="C2762" s="4"/>
      <c r="D2762" s="4" t="s">
        <v>6856</v>
      </c>
      <c r="E2762" s="4" t="s">
        <v>6857</v>
      </c>
      <c r="F2762" s="4" t="s">
        <v>6856</v>
      </c>
      <c r="G2762" s="5" t="str">
        <f>IFERROR(__xludf.DUMMYFUNCTION("GOOGLETRANSLATE(D2762,""en"",""es"")"),"minas")</f>
        <v>minas</v>
      </c>
    </row>
    <row r="2763">
      <c r="A2763" s="4">
        <v>325.0</v>
      </c>
      <c r="B2763" s="4" t="s">
        <v>8035</v>
      </c>
      <c r="C2763" s="4"/>
      <c r="D2763" s="4" t="s">
        <v>6858</v>
      </c>
      <c r="E2763" s="4" t="s">
        <v>6852</v>
      </c>
      <c r="F2763" s="4" t="s">
        <v>6851</v>
      </c>
      <c r="G2763" s="5" t="str">
        <f>IFERROR(__xludf.DUMMYFUNCTION("GOOGLETRANSLATE(D2763,""en"",""es"")"),"Minnie")</f>
        <v>Minnie</v>
      </c>
    </row>
    <row r="2764">
      <c r="A2764" s="4">
        <v>326.0</v>
      </c>
      <c r="B2764" s="4" t="s">
        <v>8035</v>
      </c>
      <c r="C2764" s="4"/>
      <c r="D2764" s="4" t="s">
        <v>6859</v>
      </c>
      <c r="E2764" s="4" t="s">
        <v>6852</v>
      </c>
      <c r="F2764" s="4" t="s">
        <v>6851</v>
      </c>
      <c r="G2764" s="5" t="str">
        <f>IFERROR(__xludf.DUMMYFUNCTION("GOOGLETRANSLATE(D2764,""en"",""es"")"),"miny")</f>
        <v>miny</v>
      </c>
    </row>
    <row r="2765">
      <c r="A2765" s="4">
        <v>327.0</v>
      </c>
      <c r="B2765" s="4" t="s">
        <v>8035</v>
      </c>
      <c r="C2765" s="4"/>
      <c r="D2765" s="4" t="s">
        <v>2709</v>
      </c>
      <c r="E2765" s="4" t="s">
        <v>6860</v>
      </c>
      <c r="F2765" s="4" t="s">
        <v>2711</v>
      </c>
      <c r="G2765" s="5" t="str">
        <f>IFERROR(__xludf.DUMMYFUNCTION("GOOGLETRANSLATE(D2765,""en"",""es"")"),"señorita")</f>
        <v>señorita</v>
      </c>
      <c r="H2765" s="4" t="s">
        <v>6861</v>
      </c>
      <c r="I2765" s="4" t="s">
        <v>2709</v>
      </c>
      <c r="J2765" s="4" t="s">
        <v>6862</v>
      </c>
      <c r="K2765" s="4" t="s">
        <v>6863</v>
      </c>
      <c r="L2765" s="4" t="s">
        <v>6864</v>
      </c>
      <c r="M2765" s="4" t="s">
        <v>6865</v>
      </c>
      <c r="N2765" s="4" t="s">
        <v>2709</v>
      </c>
      <c r="O2765" s="4" t="s">
        <v>6866</v>
      </c>
      <c r="P2765" s="4" t="s">
        <v>6867</v>
      </c>
      <c r="Q2765" s="4" t="s">
        <v>2709</v>
      </c>
      <c r="R2765" s="4" t="s">
        <v>6868</v>
      </c>
      <c r="S2765" s="4" t="s">
        <v>2709</v>
      </c>
      <c r="T2765" s="4" t="s">
        <v>2709</v>
      </c>
      <c r="U2765" s="4" t="s">
        <v>6869</v>
      </c>
      <c r="V2765" s="4" t="s">
        <v>6870</v>
      </c>
      <c r="W2765" s="4" t="s">
        <v>6871</v>
      </c>
      <c r="X2765" s="4" t="s">
        <v>6872</v>
      </c>
      <c r="Y2765" s="4" t="s">
        <v>2709</v>
      </c>
      <c r="Z2765" s="4" t="s">
        <v>6873</v>
      </c>
      <c r="AA2765" s="4" t="s">
        <v>6874</v>
      </c>
      <c r="AB2765" s="4" t="s">
        <v>6875</v>
      </c>
      <c r="AC2765" s="4" t="s">
        <v>2709</v>
      </c>
      <c r="AD2765" s="4" t="s">
        <v>2709</v>
      </c>
      <c r="AE2765" s="4" t="s">
        <v>6526</v>
      </c>
      <c r="AF2765" s="4" t="s">
        <v>2709</v>
      </c>
      <c r="AG2765" s="4" t="s">
        <v>2709</v>
      </c>
      <c r="AH2765" s="4" t="s">
        <v>2709</v>
      </c>
      <c r="AI2765" s="4" t="s">
        <v>6548</v>
      </c>
    </row>
    <row r="2766">
      <c r="A2766" s="4">
        <v>328.0</v>
      </c>
      <c r="B2766" s="4" t="s">
        <v>8035</v>
      </c>
      <c r="C2766" s="4"/>
      <c r="D2766" s="4" t="s">
        <v>6876</v>
      </c>
      <c r="E2766" s="4" t="s">
        <v>6877</v>
      </c>
      <c r="F2766" s="4" t="s">
        <v>6878</v>
      </c>
      <c r="G2766" s="5" t="str">
        <f>IFERROR(__xludf.DUMMYFUNCTION("GOOGLETRANSLATE(D2766,""en"",""es"")"),"Missippi")</f>
        <v>Missippi</v>
      </c>
    </row>
    <row r="2767">
      <c r="A2767" s="4">
        <v>329.0</v>
      </c>
      <c r="B2767" s="4" t="s">
        <v>8035</v>
      </c>
      <c r="C2767" s="4"/>
      <c r="D2767" s="4" t="s">
        <v>8517</v>
      </c>
      <c r="E2767" s="4" t="s">
        <v>8518</v>
      </c>
      <c r="F2767" s="4" t="s">
        <v>2718</v>
      </c>
      <c r="G2767" s="5" t="str">
        <f>IFERROR(__xludf.DUMMYFUNCTION("GOOGLETRANSLATE(D2767,""en"",""es"")"),"Misisipí")</f>
        <v>Misisipí</v>
      </c>
      <c r="H2767" s="4" t="s">
        <v>8519</v>
      </c>
      <c r="I2767" s="4" t="s">
        <v>8520</v>
      </c>
      <c r="J2767" s="4" t="s">
        <v>8519</v>
      </c>
      <c r="K2767" s="4" t="s">
        <v>8521</v>
      </c>
      <c r="L2767" s="4" t="s">
        <v>8522</v>
      </c>
    </row>
    <row r="2768">
      <c r="A2768" s="4">
        <v>330.0</v>
      </c>
      <c r="B2768" s="4" t="s">
        <v>8035</v>
      </c>
      <c r="C2768" s="4"/>
      <c r="D2768" s="4" t="s">
        <v>6862</v>
      </c>
      <c r="E2768" s="4" t="s">
        <v>6879</v>
      </c>
      <c r="F2768" s="4" t="s">
        <v>6880</v>
      </c>
      <c r="G2768" s="5" t="str">
        <f>IFERROR(__xludf.DUMMYFUNCTION("GOOGLETRANSLATE(D2768,""en"",""es"")"),"señorita")</f>
        <v>señorita</v>
      </c>
      <c r="H2768" s="4" t="s">
        <v>6861</v>
      </c>
      <c r="I2768" s="4" t="s">
        <v>2709</v>
      </c>
      <c r="J2768" s="4" t="s">
        <v>6862</v>
      </c>
      <c r="K2768" s="4" t="s">
        <v>6863</v>
      </c>
      <c r="L2768" s="4" t="s">
        <v>6864</v>
      </c>
      <c r="M2768" s="4" t="s">
        <v>6865</v>
      </c>
    </row>
    <row r="2769">
      <c r="A2769" s="4">
        <v>331.0</v>
      </c>
      <c r="B2769" s="4" t="s">
        <v>8035</v>
      </c>
      <c r="C2769" s="4"/>
      <c r="D2769" s="4" t="s">
        <v>6881</v>
      </c>
      <c r="E2769" s="4" t="s">
        <v>6882</v>
      </c>
      <c r="F2769" s="4" t="s">
        <v>6883</v>
      </c>
      <c r="G2769" s="5" t="str">
        <f>IFERROR(__xludf.DUMMYFUNCTION("GOOGLETRANSLATE(D2769,""en"",""es"")"),"mitanni")</f>
        <v>mitanni</v>
      </c>
    </row>
    <row r="2770">
      <c r="A2770" s="4">
        <v>332.0</v>
      </c>
      <c r="B2770" s="4" t="s">
        <v>8035</v>
      </c>
      <c r="C2770" s="4"/>
      <c r="D2770" s="4" t="s">
        <v>8523</v>
      </c>
      <c r="E2770" s="4" t="s">
        <v>8524</v>
      </c>
      <c r="F2770" s="4" t="s">
        <v>2301</v>
      </c>
      <c r="G2770" s="5" t="str">
        <f>IFERROR(__xludf.DUMMYFUNCTION("GOOGLETRANSLATE(D2770,""en"",""es"")"),"imitar")</f>
        <v>imitar</v>
      </c>
      <c r="H2770" s="4" t="s">
        <v>8523</v>
      </c>
      <c r="I2770" s="4" t="s">
        <v>8523</v>
      </c>
      <c r="J2770" s="4" t="s">
        <v>8525</v>
      </c>
      <c r="K2770" s="4" t="s">
        <v>8523</v>
      </c>
      <c r="L2770" s="4" t="s">
        <v>8523</v>
      </c>
    </row>
    <row r="2771">
      <c r="A2771" s="4">
        <v>333.0</v>
      </c>
      <c r="B2771" s="4" t="s">
        <v>8035</v>
      </c>
      <c r="C2771" s="4"/>
      <c r="D2771" s="4" t="s">
        <v>8526</v>
      </c>
      <c r="E2771" s="4" t="s">
        <v>8500</v>
      </c>
      <c r="F2771" s="4" t="s">
        <v>5314</v>
      </c>
      <c r="G2771" s="5" t="str">
        <f>IFERROR(__xludf.DUMMYFUNCTION("GOOGLETRANSLATE(D2771,""en"",""es"")"),"moleque")</f>
        <v>moleque</v>
      </c>
      <c r="H2771" s="4" t="s">
        <v>8526</v>
      </c>
      <c r="I2771" s="4" t="s">
        <v>8527</v>
      </c>
    </row>
    <row r="2772">
      <c r="A2772" s="4">
        <v>334.0</v>
      </c>
      <c r="B2772" s="4" t="s">
        <v>8035</v>
      </c>
      <c r="C2772" s="4"/>
      <c r="D2772" s="4" t="s">
        <v>8527</v>
      </c>
      <c r="E2772" s="4" t="s">
        <v>8500</v>
      </c>
      <c r="F2772" s="4" t="s">
        <v>5314</v>
      </c>
      <c r="G2772" s="5" t="str">
        <f>IFERROR(__xludf.DUMMYFUNCTION("GOOGLETRANSLATE(D2772,""en"",""es"")"),"muchacha")</f>
        <v>muchacha</v>
      </c>
      <c r="H2772" s="4" t="s">
        <v>8526</v>
      </c>
      <c r="I2772" s="4" t="s">
        <v>8527</v>
      </c>
    </row>
    <row r="2773">
      <c r="A2773" s="4">
        <v>335.0</v>
      </c>
      <c r="B2773" s="4" t="s">
        <v>8035</v>
      </c>
      <c r="C2773" s="4"/>
      <c r="D2773" s="4" t="s">
        <v>2385</v>
      </c>
      <c r="E2773" s="4" t="s">
        <v>8528</v>
      </c>
      <c r="F2773" s="4" t="s">
        <v>6701</v>
      </c>
      <c r="G2773" s="5" t="str">
        <f>IFERROR(__xludf.DUMMYFUNCTION("GOOGLETRANSLATE(D2773,""en"",""es"")"),"mamá")</f>
        <v>mamá</v>
      </c>
      <c r="H2773" s="4" t="s">
        <v>2278</v>
      </c>
      <c r="I2773" s="4" t="s">
        <v>2381</v>
      </c>
      <c r="J2773" s="4" t="s">
        <v>2384</v>
      </c>
      <c r="K2773" s="4" t="s">
        <v>2385</v>
      </c>
      <c r="L2773" s="4" t="s">
        <v>2386</v>
      </c>
      <c r="M2773" s="4" t="s">
        <v>2387</v>
      </c>
      <c r="N2773" s="4" t="s">
        <v>2388</v>
      </c>
      <c r="O2773" s="4" t="s">
        <v>2389</v>
      </c>
      <c r="P2773" s="4" t="s">
        <v>2390</v>
      </c>
    </row>
    <row r="2774">
      <c r="A2774" s="4">
        <v>336.0</v>
      </c>
      <c r="B2774" s="4" t="s">
        <v>8035</v>
      </c>
      <c r="C2774" s="4"/>
      <c r="D2774" s="4" t="s">
        <v>2735</v>
      </c>
      <c r="E2774" s="4" t="s">
        <v>8529</v>
      </c>
      <c r="F2774" s="4" t="s">
        <v>1856</v>
      </c>
      <c r="G2774" s="5" t="str">
        <f>IFERROR(__xludf.DUMMYFUNCTION("GOOGLETRANSLATE(D2774,""en"",""es"")"),"lun")</f>
        <v>lun</v>
      </c>
      <c r="H2774" s="4" t="s">
        <v>8530</v>
      </c>
      <c r="I2774" s="4" t="s">
        <v>8531</v>
      </c>
      <c r="J2774" s="4" t="s">
        <v>8531</v>
      </c>
      <c r="K2774" s="4" t="s">
        <v>8531</v>
      </c>
    </row>
    <row r="2775">
      <c r="A2775" s="4">
        <v>337.0</v>
      </c>
      <c r="B2775" s="4" t="s">
        <v>8035</v>
      </c>
      <c r="C2775" s="4"/>
      <c r="D2775" s="4" t="s">
        <v>8532</v>
      </c>
      <c r="E2775" s="4" t="s">
        <v>366</v>
      </c>
      <c r="F2775" s="4" t="s">
        <v>367</v>
      </c>
      <c r="G2775" s="5" t="str">
        <f>IFERROR(__xludf.DUMMYFUNCTION("GOOGLETRANSLATE(D2775,""en"",""es"")"),"mugir")</f>
        <v>mugir</v>
      </c>
      <c r="H2775" s="4" t="s">
        <v>8532</v>
      </c>
      <c r="I2775" s="4" t="s">
        <v>8532</v>
      </c>
      <c r="J2775" s="4" t="s">
        <v>1839</v>
      </c>
    </row>
    <row r="2776">
      <c r="A2776" s="4">
        <v>338.0</v>
      </c>
      <c r="B2776" s="4" t="s">
        <v>8035</v>
      </c>
      <c r="C2776" s="4"/>
      <c r="D2776" s="4" t="s">
        <v>6884</v>
      </c>
      <c r="E2776" s="4" t="s">
        <v>6885</v>
      </c>
      <c r="F2776" s="4" t="s">
        <v>6886</v>
      </c>
      <c r="G2776" s="5" t="str">
        <f>IFERROR(__xludf.DUMMYFUNCTION("GOOGLETRANSLATE(D2776,""en"",""es"")"),"moochin")</f>
        <v>moochin</v>
      </c>
    </row>
    <row r="2777">
      <c r="A2777" s="4">
        <v>339.0</v>
      </c>
      <c r="B2777" s="4" t="s">
        <v>8035</v>
      </c>
      <c r="C2777" s="4"/>
      <c r="D2777" s="4" t="s">
        <v>6884</v>
      </c>
      <c r="E2777" s="4" t="s">
        <v>6887</v>
      </c>
      <c r="F2777" s="4" t="s">
        <v>6886</v>
      </c>
      <c r="G2777" s="5" t="str">
        <f>IFERROR(__xludf.DUMMYFUNCTION("GOOGLETRANSLATE(D2777,""en"",""es"")"),"moochin")</f>
        <v>moochin</v>
      </c>
    </row>
    <row r="2778">
      <c r="A2778" s="4">
        <v>340.0</v>
      </c>
      <c r="B2778" s="4" t="s">
        <v>8035</v>
      </c>
      <c r="C2778" s="4"/>
      <c r="D2778" s="4" t="s">
        <v>6888</v>
      </c>
      <c r="E2778" s="4" t="s">
        <v>6889</v>
      </c>
      <c r="F2778" s="4" t="s">
        <v>6890</v>
      </c>
      <c r="G2778" s="5" t="str">
        <f>IFERROR(__xludf.DUMMYFUNCTION("GOOGLETRANSLATE(D2778,""en"",""es"")"),"mugar")</f>
        <v>mugar</v>
      </c>
    </row>
    <row r="2779">
      <c r="A2779" s="4">
        <v>341.0</v>
      </c>
      <c r="B2779" s="4" t="s">
        <v>8035</v>
      </c>
      <c r="C2779" s="4"/>
      <c r="D2779" s="4" t="s">
        <v>6891</v>
      </c>
      <c r="E2779" s="4" t="s">
        <v>2733</v>
      </c>
      <c r="F2779" s="4" t="s">
        <v>2734</v>
      </c>
      <c r="G2779" s="5" t="str">
        <f>IFERROR(__xludf.DUMMYFUNCTION("GOOGLETRANSLATE(D2779,""en"",""es"")"),"mooli")</f>
        <v>mooli</v>
      </c>
    </row>
    <row r="2780">
      <c r="A2780" s="4">
        <v>342.0</v>
      </c>
      <c r="B2780" s="4" t="s">
        <v>8035</v>
      </c>
      <c r="C2780" s="4"/>
      <c r="D2780" s="4" t="s">
        <v>2212</v>
      </c>
      <c r="E2780" s="4" t="s">
        <v>2736</v>
      </c>
      <c r="F2780" s="4" t="s">
        <v>2737</v>
      </c>
      <c r="G2780" s="5" t="str">
        <f>IFERROR(__xludf.DUMMYFUNCTION("GOOGLETRANSLATE(D2780,""en"",""es"")"),"luna")</f>
        <v>luna</v>
      </c>
      <c r="H2780" s="4" t="s">
        <v>2213</v>
      </c>
      <c r="I2780" s="4" t="s">
        <v>2212</v>
      </c>
      <c r="J2780" s="4" t="s">
        <v>2212</v>
      </c>
      <c r="K2780" s="4" t="s">
        <v>2214</v>
      </c>
      <c r="L2780" s="4" t="s">
        <v>2212</v>
      </c>
      <c r="M2780" s="4" t="s">
        <v>2215</v>
      </c>
      <c r="N2780" s="4" t="s">
        <v>2216</v>
      </c>
      <c r="O2780" s="4" t="s">
        <v>8533</v>
      </c>
      <c r="P2780" s="4" t="s">
        <v>8534</v>
      </c>
      <c r="Q2780" s="4" t="s">
        <v>2213</v>
      </c>
      <c r="R2780" s="4" t="s">
        <v>2213</v>
      </c>
      <c r="S2780" s="4" t="s">
        <v>8535</v>
      </c>
      <c r="T2780" s="4" t="s">
        <v>2212</v>
      </c>
      <c r="U2780" s="4" t="s">
        <v>8536</v>
      </c>
      <c r="V2780" s="4" t="s">
        <v>2212</v>
      </c>
      <c r="W2780" s="4" t="s">
        <v>2212</v>
      </c>
      <c r="X2780" s="4" t="s">
        <v>8537</v>
      </c>
      <c r="Y2780" s="4" t="s">
        <v>8538</v>
      </c>
      <c r="Z2780" s="4" t="s">
        <v>2212</v>
      </c>
    </row>
    <row r="2781">
      <c r="A2781" s="4">
        <v>343.0</v>
      </c>
      <c r="B2781" s="4" t="s">
        <v>8035</v>
      </c>
      <c r="C2781" s="4"/>
      <c r="D2781" s="4" t="s">
        <v>8539</v>
      </c>
      <c r="E2781" s="4" t="s">
        <v>8540</v>
      </c>
      <c r="F2781" s="4" t="s">
        <v>2460</v>
      </c>
      <c r="G2781" s="5" t="str">
        <f>IFERROR(__xludf.DUMMYFUNCTION("GOOGLETRANSLATE(D2781,""en"",""es"")"),"fregar")</f>
        <v>fregar</v>
      </c>
      <c r="H2781" s="4" t="s">
        <v>8541</v>
      </c>
      <c r="I2781" s="4" t="s">
        <v>8542</v>
      </c>
      <c r="J2781" s="4" t="s">
        <v>8539</v>
      </c>
      <c r="K2781" s="4" t="s">
        <v>8543</v>
      </c>
      <c r="L2781" s="4" t="s">
        <v>7235</v>
      </c>
      <c r="M2781" s="4" t="s">
        <v>8539</v>
      </c>
      <c r="N2781" s="4" t="s">
        <v>8544</v>
      </c>
      <c r="O2781" s="4" t="s">
        <v>8539</v>
      </c>
      <c r="P2781" s="4" t="s">
        <v>3213</v>
      </c>
    </row>
    <row r="2782">
      <c r="A2782" s="4">
        <v>344.0</v>
      </c>
      <c r="B2782" s="4" t="s">
        <v>8035</v>
      </c>
      <c r="C2782" s="4"/>
      <c r="D2782" s="4" t="s">
        <v>8545</v>
      </c>
      <c r="E2782" s="4" t="s">
        <v>8546</v>
      </c>
      <c r="F2782" s="4" t="s">
        <v>6771</v>
      </c>
      <c r="G2782" s="5" t="str">
        <f>IFERROR(__xludf.DUMMYFUNCTION("GOOGLETRANSLATE(D2782,""en"",""es"")"),"mosh")</f>
        <v>mosh</v>
      </c>
      <c r="H2782" s="4" t="s">
        <v>8547</v>
      </c>
      <c r="I2782" s="4" t="s">
        <v>8548</v>
      </c>
      <c r="J2782" s="4" t="s">
        <v>8545</v>
      </c>
      <c r="K2782" s="4" t="s">
        <v>6550</v>
      </c>
    </row>
    <row r="2783">
      <c r="A2783" s="4">
        <v>345.0</v>
      </c>
      <c r="B2783" s="4" t="s">
        <v>8035</v>
      </c>
      <c r="C2783" s="4"/>
      <c r="D2783" s="4" t="s">
        <v>6892</v>
      </c>
      <c r="E2783" s="4" t="s">
        <v>6893</v>
      </c>
      <c r="F2783" s="4" t="s">
        <v>6894</v>
      </c>
      <c r="G2783" s="5" t="str">
        <f>IFERROR(__xludf.DUMMYFUNCTION("GOOGLETRANSLATE(D2783,""en"",""es"")"),"moussy")</f>
        <v>moussy</v>
      </c>
    </row>
    <row r="2784">
      <c r="A2784" s="4">
        <v>346.0</v>
      </c>
      <c r="B2784" s="4" t="s">
        <v>8035</v>
      </c>
      <c r="C2784" s="4"/>
      <c r="D2784" s="4" t="s">
        <v>6895</v>
      </c>
      <c r="E2784" s="4" t="s">
        <v>6896</v>
      </c>
      <c r="F2784" s="4" t="s">
        <v>6895</v>
      </c>
      <c r="G2784" s="5" t="str">
        <f>IFERROR(__xludf.DUMMYFUNCTION("GOOGLETRANSLATE(D2784,""en"",""es"")"),"gachas")</f>
        <v>gachas</v>
      </c>
      <c r="H2784" s="4" t="s">
        <v>6897</v>
      </c>
      <c r="I2784" s="4" t="s">
        <v>6895</v>
      </c>
      <c r="J2784" s="4" t="s">
        <v>6895</v>
      </c>
      <c r="K2784" s="4" t="s">
        <v>6898</v>
      </c>
      <c r="L2784" s="4" t="s">
        <v>6899</v>
      </c>
      <c r="M2784" s="4" t="s">
        <v>6895</v>
      </c>
      <c r="N2784" s="4" t="s">
        <v>6900</v>
      </c>
      <c r="O2784" s="4" t="s">
        <v>6901</v>
      </c>
      <c r="P2784" s="4" t="s">
        <v>6895</v>
      </c>
      <c r="Q2784" s="4" t="s">
        <v>6895</v>
      </c>
      <c r="R2784" s="4" t="s">
        <v>6902</v>
      </c>
      <c r="S2784" s="4" t="s">
        <v>6895</v>
      </c>
    </row>
    <row r="2785">
      <c r="A2785" s="4">
        <v>347.0</v>
      </c>
      <c r="B2785" s="4" t="s">
        <v>8035</v>
      </c>
      <c r="C2785" s="4"/>
      <c r="D2785" s="4" t="s">
        <v>6903</v>
      </c>
      <c r="E2785" s="4" t="s">
        <v>6904</v>
      </c>
      <c r="F2785" s="4" t="s">
        <v>2731</v>
      </c>
      <c r="G2785" s="5" t="str">
        <f>IFERROR(__xludf.DUMMYFUNCTION("GOOGLETRANSLATE(D2785,""en"",""es"")"),"pulposo")</f>
        <v>pulposo</v>
      </c>
      <c r="H2785" s="4" t="s">
        <v>6903</v>
      </c>
      <c r="I2785" s="4" t="s">
        <v>6905</v>
      </c>
      <c r="J2785" s="4" t="s">
        <v>6906</v>
      </c>
      <c r="K2785" s="4" t="s">
        <v>6907</v>
      </c>
      <c r="L2785" s="4" t="s">
        <v>6908</v>
      </c>
      <c r="M2785" s="4" t="s">
        <v>6909</v>
      </c>
      <c r="N2785" s="4" t="s">
        <v>6910</v>
      </c>
      <c r="O2785" s="4" t="s">
        <v>6903</v>
      </c>
      <c r="P2785" s="4" t="s">
        <v>6911</v>
      </c>
      <c r="Q2785" s="4" t="s">
        <v>6912</v>
      </c>
      <c r="R2785" s="4" t="s">
        <v>6913</v>
      </c>
      <c r="S2785" s="4" t="s">
        <v>6914</v>
      </c>
      <c r="T2785" s="4" t="s">
        <v>6915</v>
      </c>
      <c r="U2785" s="4" t="s">
        <v>6916</v>
      </c>
    </row>
    <row r="2786">
      <c r="A2786" s="4">
        <v>348.0</v>
      </c>
      <c r="B2786" s="4" t="s">
        <v>8035</v>
      </c>
      <c r="C2786" s="4"/>
      <c r="D2786" s="4" t="s">
        <v>6917</v>
      </c>
      <c r="E2786" s="4" t="s">
        <v>6918</v>
      </c>
      <c r="F2786" s="4" t="s">
        <v>6919</v>
      </c>
      <c r="G2786" s="5" t="str">
        <f>IFERROR(__xludf.DUMMYFUNCTION("GOOGLETRANSLATE(D2786,""en"",""es"")"),"mito")</f>
        <v>mito</v>
      </c>
      <c r="H2786" s="4" t="s">
        <v>6917</v>
      </c>
    </row>
    <row r="2787">
      <c r="A2787" s="4">
        <v>349.0</v>
      </c>
      <c r="B2787" s="4" t="s">
        <v>8035</v>
      </c>
      <c r="C2787" s="4"/>
      <c r="D2787" s="4" t="s">
        <v>6920</v>
      </c>
      <c r="E2787" s="4" t="s">
        <v>6921</v>
      </c>
      <c r="F2787" s="4" t="s">
        <v>6922</v>
      </c>
      <c r="G2787" s="5" t="str">
        <f>IFERROR(__xludf.DUMMYFUNCTION("GOOGLETRANSLATE(D2787,""en"",""es"")"),"mítico")</f>
        <v>mítico</v>
      </c>
      <c r="H2787" s="4" t="s">
        <v>6920</v>
      </c>
      <c r="I2787" s="4" t="s">
        <v>6923</v>
      </c>
      <c r="J2787" s="4" t="s">
        <v>6920</v>
      </c>
      <c r="K2787" s="4" t="s">
        <v>6924</v>
      </c>
      <c r="L2787" s="4" t="s">
        <v>6925</v>
      </c>
      <c r="M2787" s="4" t="s">
        <v>6926</v>
      </c>
    </row>
    <row r="2788">
      <c r="A2788" s="4">
        <v>350.0</v>
      </c>
      <c r="B2788" s="4" t="s">
        <v>8035</v>
      </c>
      <c r="C2788" s="4"/>
      <c r="D2788" s="4" t="s">
        <v>6927</v>
      </c>
      <c r="E2788" s="4" t="s">
        <v>8549</v>
      </c>
      <c r="F2788" s="4" t="s">
        <v>2912</v>
      </c>
      <c r="G2788" s="5" t="str">
        <f>IFERROR(__xludf.DUMMYFUNCTION("GOOGLETRANSLATE(D2788,""en"",""es"")"),"naan")</f>
        <v>naan</v>
      </c>
      <c r="I2788" s="4" t="s">
        <v>6927</v>
      </c>
    </row>
    <row r="2789">
      <c r="A2789" s="4">
        <v>351.0</v>
      </c>
      <c r="B2789" s="4" t="s">
        <v>8035</v>
      </c>
      <c r="C2789" s="4"/>
      <c r="D2789" s="4" t="s">
        <v>6929</v>
      </c>
      <c r="E2789" s="4" t="s">
        <v>6482</v>
      </c>
      <c r="F2789" s="4" t="s">
        <v>6483</v>
      </c>
      <c r="G2789" s="5" t="str">
        <f>IFERROR(__xludf.DUMMYFUNCTION("GOOGLETRANSLATE(D2789,""en"",""es"")"),"fastidiar")</f>
        <v>fastidiar</v>
      </c>
    </row>
    <row r="2790">
      <c r="A2790" s="4">
        <v>352.0</v>
      </c>
      <c r="B2790" s="4" t="s">
        <v>8035</v>
      </c>
      <c r="E2790" s="4" t="s">
        <v>6928</v>
      </c>
      <c r="F2790" s="4" t="s">
        <v>2912</v>
      </c>
      <c r="G2790" s="5" t="str">
        <f>IFERROR(__xludf.DUMMYFUNCTION("GOOGLETRANSLATE(D2790,""en"",""es"")"),"#VALUE!")</f>
        <v>#VALUE!</v>
      </c>
      <c r="I2790" s="4" t="s">
        <v>1878</v>
      </c>
      <c r="J2790" s="4" t="s">
        <v>1879</v>
      </c>
      <c r="K2790" s="4" t="s">
        <v>1880</v>
      </c>
      <c r="L2790" s="4" t="s">
        <v>1881</v>
      </c>
      <c r="M2790" s="4" t="s">
        <v>1882</v>
      </c>
      <c r="O2790" s="4" t="s">
        <v>1883</v>
      </c>
      <c r="P2790" s="4" t="s">
        <v>6930</v>
      </c>
      <c r="Q2790" s="4" t="s">
        <v>6931</v>
      </c>
      <c r="S2790" s="4" t="s">
        <v>6927</v>
      </c>
    </row>
    <row r="2791">
      <c r="A2791" s="4">
        <v>353.0</v>
      </c>
      <c r="B2791" s="4" t="s">
        <v>8035</v>
      </c>
      <c r="E2791" s="4" t="s">
        <v>8549</v>
      </c>
      <c r="F2791" s="4" t="s">
        <v>2912</v>
      </c>
      <c r="G2791" s="5" t="str">
        <f>IFERROR(__xludf.DUMMYFUNCTION("GOOGLETRANSLATE(D2791,""en"",""es"")"),"#VALUE!")</f>
        <v>#VALUE!</v>
      </c>
      <c r="I2791" s="4" t="s">
        <v>1878</v>
      </c>
      <c r="J2791" s="4" t="s">
        <v>1879</v>
      </c>
      <c r="K2791" s="4" t="s">
        <v>1880</v>
      </c>
      <c r="L2791" s="4" t="s">
        <v>1881</v>
      </c>
      <c r="M2791" s="4" t="s">
        <v>1882</v>
      </c>
      <c r="O2791" s="4" t="s">
        <v>1883</v>
      </c>
      <c r="P2791" s="4" t="s">
        <v>6930</v>
      </c>
      <c r="Q2791" s="4" t="s">
        <v>6931</v>
      </c>
      <c r="S2791" s="4" t="s">
        <v>6927</v>
      </c>
    </row>
    <row r="2792">
      <c r="A2792" s="4">
        <v>354.0</v>
      </c>
      <c r="B2792" s="4" t="s">
        <v>8035</v>
      </c>
      <c r="C2792" s="4"/>
      <c r="D2792" s="4" t="s">
        <v>6932</v>
      </c>
      <c r="E2792" s="4" t="s">
        <v>6933</v>
      </c>
      <c r="F2792" s="4" t="s">
        <v>6934</v>
      </c>
      <c r="G2792" s="5" t="str">
        <f>IFERROR(__xludf.DUMMYFUNCTION("GOOGLETRANSLATE(D2792,""en"",""es"")"),"niñera")</f>
        <v>niñera</v>
      </c>
      <c r="H2792" s="4" t="s">
        <v>6932</v>
      </c>
      <c r="I2792" s="4" t="s">
        <v>6935</v>
      </c>
      <c r="J2792" s="4" t="s">
        <v>6936</v>
      </c>
      <c r="K2792" s="4" t="s">
        <v>6932</v>
      </c>
      <c r="L2792" s="4" t="s">
        <v>6937</v>
      </c>
      <c r="M2792" s="4" t="s">
        <v>6938</v>
      </c>
    </row>
    <row r="2793">
      <c r="A2793" s="4">
        <v>355.0</v>
      </c>
      <c r="B2793" s="4" t="s">
        <v>8035</v>
      </c>
      <c r="C2793" s="4"/>
      <c r="D2793" s="4" t="s">
        <v>2928</v>
      </c>
      <c r="E2793" s="4" t="s">
        <v>6485</v>
      </c>
      <c r="F2793" s="4" t="s">
        <v>2928</v>
      </c>
      <c r="G2793" s="5" t="str">
        <f>IFERROR(__xludf.DUMMYFUNCTION("GOOGLETRANSLATE(D2793,""en"",""es"")"),"siesta")</f>
        <v>siesta</v>
      </c>
      <c r="H2793" s="4" t="s">
        <v>6461</v>
      </c>
      <c r="I2793" s="4" t="s">
        <v>2928</v>
      </c>
      <c r="J2793" s="4" t="s">
        <v>2928</v>
      </c>
      <c r="K2793" s="4" t="s">
        <v>483</v>
      </c>
      <c r="L2793" s="4" t="s">
        <v>2928</v>
      </c>
      <c r="M2793" s="4" t="s">
        <v>2928</v>
      </c>
      <c r="N2793" s="4" t="s">
        <v>6939</v>
      </c>
      <c r="O2793" s="4" t="s">
        <v>6940</v>
      </c>
      <c r="P2793" s="4" t="s">
        <v>6941</v>
      </c>
      <c r="Q2793" s="4" t="s">
        <v>6942</v>
      </c>
      <c r="R2793" s="4" t="s">
        <v>6943</v>
      </c>
      <c r="S2793" s="4" t="s">
        <v>6944</v>
      </c>
      <c r="T2793" s="4" t="s">
        <v>2928</v>
      </c>
      <c r="U2793" s="4" t="s">
        <v>2928</v>
      </c>
      <c r="V2793" s="4" t="s">
        <v>6939</v>
      </c>
      <c r="W2793" s="4" t="s">
        <v>6945</v>
      </c>
    </row>
    <row r="2794">
      <c r="A2794" s="4">
        <v>356.0</v>
      </c>
      <c r="B2794" s="4" t="s">
        <v>8035</v>
      </c>
      <c r="C2794" s="4"/>
      <c r="D2794" s="4" t="s">
        <v>6947</v>
      </c>
      <c r="E2794" s="4" t="s">
        <v>6948</v>
      </c>
      <c r="F2794" s="4" t="s">
        <v>6949</v>
      </c>
      <c r="G2794" s="5" t="str">
        <f>IFERROR(__xludf.DUMMYFUNCTION("GOOGLETRANSLATE(D2794,""en"",""es"")"),"pañal")</f>
        <v>pañal</v>
      </c>
      <c r="H2794" s="4" t="s">
        <v>6950</v>
      </c>
      <c r="I2794" s="4" t="s">
        <v>6947</v>
      </c>
      <c r="J2794" s="4" t="s">
        <v>6951</v>
      </c>
      <c r="K2794" s="4" t="s">
        <v>6952</v>
      </c>
      <c r="L2794" s="4" t="s">
        <v>6953</v>
      </c>
      <c r="M2794" s="4" t="s">
        <v>6954</v>
      </c>
      <c r="N2794" s="4" t="s">
        <v>6955</v>
      </c>
      <c r="O2794" s="4" t="s">
        <v>6947</v>
      </c>
    </row>
    <row r="2795">
      <c r="A2795" s="4">
        <v>357.0</v>
      </c>
      <c r="B2795" s="4" t="s">
        <v>8035</v>
      </c>
      <c r="C2795" s="4"/>
      <c r="D2795" s="4" t="s">
        <v>383</v>
      </c>
      <c r="E2795" s="4" t="s">
        <v>6122</v>
      </c>
      <c r="F2795" s="4" t="s">
        <v>383</v>
      </c>
      <c r="G2795" s="5" t="str">
        <f>IFERROR(__xludf.DUMMYFUNCTION("GOOGLETRANSLATE(D2795,""en"",""es"")"),"nash")</f>
        <v>nash</v>
      </c>
      <c r="H2795" s="4" t="s">
        <v>6956</v>
      </c>
      <c r="I2795" s="4" t="s">
        <v>6957</v>
      </c>
    </row>
    <row r="2796">
      <c r="A2796" s="4">
        <v>358.0</v>
      </c>
      <c r="B2796" s="4" t="s">
        <v>8035</v>
      </c>
      <c r="C2796" s="4"/>
      <c r="D2796" s="4" t="s">
        <v>3471</v>
      </c>
      <c r="E2796" s="4" t="s">
        <v>8550</v>
      </c>
      <c r="F2796" s="4" t="s">
        <v>6960</v>
      </c>
      <c r="G2796" s="5" t="str">
        <f>IFERROR(__xludf.DUMMYFUNCTION("GOOGLETRANSLATE(D2796,""en"",""es"")"),"travieso")</f>
        <v>travieso</v>
      </c>
      <c r="H2796" s="4" t="s">
        <v>405</v>
      </c>
      <c r="I2796" s="4" t="s">
        <v>3468</v>
      </c>
      <c r="J2796" s="4" t="s">
        <v>3469</v>
      </c>
      <c r="K2796" s="4" t="s">
        <v>3470</v>
      </c>
      <c r="L2796" s="4" t="s">
        <v>3471</v>
      </c>
      <c r="M2796" s="4" t="s">
        <v>3472</v>
      </c>
      <c r="N2796" s="4" t="s">
        <v>3473</v>
      </c>
      <c r="O2796" s="4" t="s">
        <v>3474</v>
      </c>
      <c r="P2796" s="4" t="s">
        <v>3471</v>
      </c>
    </row>
    <row r="2797">
      <c r="A2797" s="4">
        <v>359.0</v>
      </c>
      <c r="B2797" s="4" t="s">
        <v>8035</v>
      </c>
      <c r="C2797" s="4"/>
      <c r="D2797" s="4" t="s">
        <v>8551</v>
      </c>
      <c r="E2797" s="4" t="s">
        <v>8552</v>
      </c>
      <c r="F2797" s="4" t="s">
        <v>8553</v>
      </c>
      <c r="G2797" s="5" t="str">
        <f>IFERROR(__xludf.DUMMYFUNCTION("GOOGLETRANSLATE(D2797,""en"",""es"")"),"recién")</f>
        <v>recién</v>
      </c>
      <c r="H2797" s="4" t="s">
        <v>8551</v>
      </c>
      <c r="I2797" s="4" t="s">
        <v>8554</v>
      </c>
      <c r="J2797" s="4" t="s">
        <v>7438</v>
      </c>
      <c r="K2797" s="4" t="s">
        <v>8555</v>
      </c>
    </row>
    <row r="2798">
      <c r="A2798" s="4">
        <v>360.0</v>
      </c>
      <c r="B2798" s="4" t="s">
        <v>8035</v>
      </c>
      <c r="C2798" s="4"/>
      <c r="D2798" s="4" t="s">
        <v>8556</v>
      </c>
      <c r="E2798" s="4" t="s">
        <v>8557</v>
      </c>
      <c r="F2798" s="4" t="s">
        <v>8558</v>
      </c>
      <c r="G2798" s="5" t="str">
        <f>IFERROR(__xludf.DUMMYFUNCTION("GOOGLETRANSLATE(D2798,""en"",""es"")"),"nicho")</f>
        <v>nicho</v>
      </c>
      <c r="H2798" s="4" t="s">
        <v>8556</v>
      </c>
      <c r="I2798" s="4" t="s">
        <v>983</v>
      </c>
      <c r="J2798" s="4" t="s">
        <v>8559</v>
      </c>
      <c r="K2798" s="4" t="s">
        <v>8556</v>
      </c>
      <c r="L2798" s="4" t="s">
        <v>7029</v>
      </c>
      <c r="M2798" s="4" t="s">
        <v>983</v>
      </c>
      <c r="N2798" s="4" t="s">
        <v>8556</v>
      </c>
      <c r="O2798" s="4" t="s">
        <v>8556</v>
      </c>
      <c r="P2798" s="4" t="s">
        <v>8560</v>
      </c>
    </row>
    <row r="2799">
      <c r="A2799" s="4">
        <v>361.0</v>
      </c>
      <c r="B2799" s="4" t="s">
        <v>8035</v>
      </c>
      <c r="C2799" s="4"/>
      <c r="D2799" s="4" t="s">
        <v>8556</v>
      </c>
      <c r="E2799" s="4" t="s">
        <v>8561</v>
      </c>
      <c r="F2799" s="4" t="s">
        <v>8558</v>
      </c>
      <c r="G2799" s="5" t="str">
        <f>IFERROR(__xludf.DUMMYFUNCTION("GOOGLETRANSLATE(D2799,""en"",""es"")"),"nicho")</f>
        <v>nicho</v>
      </c>
      <c r="H2799" s="4" t="s">
        <v>8556</v>
      </c>
      <c r="I2799" s="4" t="s">
        <v>983</v>
      </c>
      <c r="J2799" s="4" t="s">
        <v>8559</v>
      </c>
      <c r="K2799" s="4" t="s">
        <v>8556</v>
      </c>
      <c r="L2799" s="4" t="s">
        <v>7029</v>
      </c>
      <c r="M2799" s="4" t="s">
        <v>983</v>
      </c>
      <c r="N2799" s="4" t="s">
        <v>8556</v>
      </c>
      <c r="O2799" s="4" t="s">
        <v>8556</v>
      </c>
      <c r="P2799" s="4" t="s">
        <v>8560</v>
      </c>
    </row>
    <row r="2800">
      <c r="A2800" s="4">
        <v>362.0</v>
      </c>
      <c r="B2800" s="4" t="s">
        <v>8035</v>
      </c>
      <c r="C2800" s="4"/>
      <c r="D2800" s="4" t="s">
        <v>4277</v>
      </c>
      <c r="E2800" s="4" t="s">
        <v>6969</v>
      </c>
      <c r="F2800" s="4" t="s">
        <v>6970</v>
      </c>
      <c r="G2800" s="5" t="str">
        <f>IFERROR(__xludf.DUMMYFUNCTION("GOOGLETRANSLATE(D2800,""en"",""es"")"),"mella")</f>
        <v>mella</v>
      </c>
      <c r="H2800" s="4" t="s">
        <v>4275</v>
      </c>
      <c r="I2800" s="4" t="s">
        <v>4082</v>
      </c>
      <c r="J2800" s="4" t="s">
        <v>4276</v>
      </c>
      <c r="K2800" s="4" t="s">
        <v>4277</v>
      </c>
      <c r="L2800" s="4" t="s">
        <v>4277</v>
      </c>
      <c r="M2800" s="4" t="s">
        <v>3383</v>
      </c>
      <c r="N2800" s="4" t="s">
        <v>4277</v>
      </c>
      <c r="O2800" s="4" t="s">
        <v>6971</v>
      </c>
      <c r="P2800" s="4" t="s">
        <v>4277</v>
      </c>
      <c r="Q2800" s="4" t="s">
        <v>6971</v>
      </c>
      <c r="R2800" s="4" t="s">
        <v>4277</v>
      </c>
      <c r="S2800" s="4" t="s">
        <v>2603</v>
      </c>
      <c r="T2800" s="4" t="s">
        <v>4277</v>
      </c>
      <c r="U2800" s="4" t="s">
        <v>4277</v>
      </c>
    </row>
    <row r="2801">
      <c r="A2801" s="4">
        <v>363.0</v>
      </c>
      <c r="B2801" s="4" t="s">
        <v>8035</v>
      </c>
      <c r="C2801" s="4"/>
      <c r="D2801" s="4" t="s">
        <v>8562</v>
      </c>
      <c r="E2801" s="4" t="s">
        <v>8563</v>
      </c>
      <c r="F2801" s="4" t="s">
        <v>8564</v>
      </c>
      <c r="G2801" s="5" t="str">
        <f>IFERROR(__xludf.DUMMYFUNCTION("GOOGLETRANSLATE(D2801,""en"",""es"")"),"sobrina")</f>
        <v>sobrina</v>
      </c>
      <c r="H2801" s="4" t="s">
        <v>8562</v>
      </c>
    </row>
    <row r="2802">
      <c r="A2802" s="4">
        <v>364.0</v>
      </c>
      <c r="B2802" s="4" t="s">
        <v>8035</v>
      </c>
      <c r="C2802" s="4"/>
      <c r="D2802" s="4" t="s">
        <v>6972</v>
      </c>
      <c r="E2802" s="4" t="s">
        <v>6973</v>
      </c>
      <c r="F2802" s="4" t="s">
        <v>6972</v>
      </c>
      <c r="G2802" s="5" t="str">
        <f>IFERROR(__xludf.DUMMYFUNCTION("GOOGLETRANSLATE(D2802,""en"",""es"")"),"nihil")</f>
        <v>nihil</v>
      </c>
      <c r="H2802" s="4" t="s">
        <v>6972</v>
      </c>
    </row>
    <row r="2803">
      <c r="A2803" s="4">
        <v>365.0</v>
      </c>
      <c r="B2803" s="4" t="s">
        <v>8035</v>
      </c>
      <c r="C2803" s="4"/>
      <c r="D2803" s="4" t="s">
        <v>2976</v>
      </c>
      <c r="E2803" s="4" t="s">
        <v>6974</v>
      </c>
      <c r="F2803" s="4" t="s">
        <v>2976</v>
      </c>
      <c r="G2803" s="5" t="str">
        <f>IFERROR(__xludf.DUMMYFUNCTION("GOOGLETRANSLATE(D2803,""en"",""es"")"),"nulo")</f>
        <v>nulo</v>
      </c>
      <c r="H2803" s="4" t="s">
        <v>6975</v>
      </c>
      <c r="I2803" s="4" t="s">
        <v>2976</v>
      </c>
      <c r="J2803" s="4" t="s">
        <v>6976</v>
      </c>
      <c r="K2803" s="4" t="s">
        <v>6977</v>
      </c>
      <c r="M2803" s="4" t="s">
        <v>6978</v>
      </c>
      <c r="N2803" s="4" t="s">
        <v>6979</v>
      </c>
      <c r="O2803" s="4" t="s">
        <v>6980</v>
      </c>
      <c r="P2803" s="4" t="s">
        <v>6981</v>
      </c>
      <c r="Q2803" s="4" t="s">
        <v>6982</v>
      </c>
      <c r="R2803" s="4" t="s">
        <v>6983</v>
      </c>
      <c r="S2803" s="4" t="s">
        <v>6984</v>
      </c>
      <c r="T2803" s="4" t="s">
        <v>6985</v>
      </c>
      <c r="U2803" s="4" t="s">
        <v>6986</v>
      </c>
    </row>
    <row r="2804">
      <c r="A2804" s="4">
        <v>366.0</v>
      </c>
      <c r="B2804" s="4" t="s">
        <v>8035</v>
      </c>
      <c r="C2804" s="4"/>
      <c r="D2804" s="4" t="s">
        <v>6987</v>
      </c>
      <c r="E2804" s="4" t="s">
        <v>6974</v>
      </c>
      <c r="F2804" s="4" t="s">
        <v>2976</v>
      </c>
      <c r="G2804" s="5" t="str">
        <f>IFERROR(__xludf.DUMMYFUNCTION("GOOGLETRANSLATE(D2804,""en"",""es"")"),"altillo")</f>
        <v>altillo</v>
      </c>
    </row>
    <row r="2805">
      <c r="A2805" s="4">
        <v>367.0</v>
      </c>
      <c r="B2805" s="4" t="s">
        <v>8035</v>
      </c>
      <c r="C2805" s="4"/>
      <c r="D2805" s="4" t="s">
        <v>6988</v>
      </c>
      <c r="E2805" s="4" t="s">
        <v>6989</v>
      </c>
      <c r="F2805" s="4" t="s">
        <v>6988</v>
      </c>
      <c r="G2805" s="5" t="str">
        <f>IFERROR(__xludf.DUMMYFUNCTION("GOOGLETRANSLATE(D2805,""en"",""es"")"),"nim")</f>
        <v>nim</v>
      </c>
      <c r="H2805" s="4" t="s">
        <v>6988</v>
      </c>
    </row>
    <row r="2806">
      <c r="A2806" s="4">
        <v>368.0</v>
      </c>
      <c r="B2806" s="4" t="s">
        <v>8035</v>
      </c>
      <c r="C2806" s="4"/>
      <c r="D2806" s="4" t="s">
        <v>6990</v>
      </c>
      <c r="E2806" s="4" t="s">
        <v>6989</v>
      </c>
      <c r="F2806" s="4" t="s">
        <v>6988</v>
      </c>
      <c r="G2806" s="5" t="str">
        <f>IFERROR(__xludf.DUMMYFUNCTION("GOOGLETRANSLATE(D2806,""en"",""es"")"),"niMB")</f>
        <v>niMB</v>
      </c>
    </row>
    <row r="2807">
      <c r="A2807" s="4">
        <v>369.0</v>
      </c>
      <c r="B2807" s="4" t="s">
        <v>8035</v>
      </c>
      <c r="C2807" s="4"/>
      <c r="D2807" s="4" t="s">
        <v>2980</v>
      </c>
      <c r="E2807" s="4" t="s">
        <v>6991</v>
      </c>
      <c r="F2807" s="4" t="s">
        <v>2980</v>
      </c>
      <c r="G2807" s="5" t="str">
        <f>IFERROR(__xludf.DUMMYFUNCTION("GOOGLETRANSLATE(D2807,""en"",""es"")"),"Nin")</f>
        <v>Nin</v>
      </c>
    </row>
    <row r="2808">
      <c r="A2808" s="4">
        <v>370.0</v>
      </c>
      <c r="B2808" s="4" t="s">
        <v>8035</v>
      </c>
      <c r="C2808" s="4"/>
      <c r="D2808" s="4" t="s">
        <v>6992</v>
      </c>
      <c r="E2808" s="4" t="s">
        <v>6993</v>
      </c>
      <c r="F2808" s="4" t="s">
        <v>6994</v>
      </c>
      <c r="G2808" s="5" t="str">
        <f>IFERROR(__xludf.DUMMYFUNCTION("GOOGLETRANSLATE(D2808,""en"",""es"")"),"bobo")</f>
        <v>bobo</v>
      </c>
      <c r="H2808" s="4" t="s">
        <v>6995</v>
      </c>
      <c r="I2808" s="4" t="s">
        <v>6996</v>
      </c>
      <c r="J2808" s="4" t="s">
        <v>6992</v>
      </c>
    </row>
    <row r="2809">
      <c r="A2809" s="4">
        <v>371.0</v>
      </c>
      <c r="B2809" s="4" t="s">
        <v>8035</v>
      </c>
      <c r="C2809" s="4"/>
      <c r="D2809" s="4" t="s">
        <v>4298</v>
      </c>
      <c r="E2809" s="4" t="s">
        <v>6997</v>
      </c>
      <c r="F2809" s="4" t="s">
        <v>4298</v>
      </c>
      <c r="G2809" s="5" t="str">
        <f>IFERROR(__xludf.DUMMYFUNCTION("GOOGLETRANSLATE(D2809,""en"",""es"")"),"cortar")</f>
        <v>cortar</v>
      </c>
      <c r="H2809" s="4" t="s">
        <v>4298</v>
      </c>
      <c r="I2809" s="4" t="s">
        <v>6998</v>
      </c>
      <c r="J2809" s="4" t="s">
        <v>6999</v>
      </c>
      <c r="K2809" s="4" t="s">
        <v>7000</v>
      </c>
      <c r="L2809" s="4" t="s">
        <v>7001</v>
      </c>
      <c r="M2809" s="4" t="s">
        <v>6678</v>
      </c>
      <c r="N2809" s="4" t="s">
        <v>6679</v>
      </c>
      <c r="O2809" s="4" t="s">
        <v>7002</v>
      </c>
      <c r="P2809" s="4" t="s">
        <v>7003</v>
      </c>
      <c r="Q2809" s="4" t="s">
        <v>7004</v>
      </c>
      <c r="R2809" s="4" t="s">
        <v>7005</v>
      </c>
      <c r="S2809" s="4" t="s">
        <v>4298</v>
      </c>
      <c r="T2809" s="4" t="s">
        <v>7006</v>
      </c>
      <c r="U2809" s="4" t="s">
        <v>7007</v>
      </c>
      <c r="V2809" s="4" t="s">
        <v>7008</v>
      </c>
      <c r="W2809" s="4" t="s">
        <v>4298</v>
      </c>
      <c r="X2809" s="4" t="s">
        <v>4298</v>
      </c>
      <c r="Y2809" s="4" t="s">
        <v>7009</v>
      </c>
      <c r="Z2809" s="4" t="s">
        <v>7010</v>
      </c>
      <c r="AA2809" s="4" t="s">
        <v>7011</v>
      </c>
      <c r="AB2809" s="4" t="s">
        <v>7006</v>
      </c>
      <c r="AC2809" s="4" t="s">
        <v>7012</v>
      </c>
      <c r="AD2809" s="4" t="s">
        <v>7013</v>
      </c>
      <c r="AE2809" s="4" t="s">
        <v>4298</v>
      </c>
      <c r="AF2809" s="4" t="s">
        <v>6302</v>
      </c>
      <c r="AG2809" s="4" t="s">
        <v>6302</v>
      </c>
      <c r="AH2809" s="4" t="s">
        <v>6776</v>
      </c>
      <c r="AI2809" s="4" t="s">
        <v>3503</v>
      </c>
      <c r="AJ2809" s="4" t="s">
        <v>7014</v>
      </c>
      <c r="AK2809" s="4" t="s">
        <v>4298</v>
      </c>
      <c r="AL2809" s="4" t="s">
        <v>4435</v>
      </c>
      <c r="AM2809" s="4" t="s">
        <v>4298</v>
      </c>
      <c r="AN2809" s="4" t="s">
        <v>4298</v>
      </c>
      <c r="AO2809" s="4" t="s">
        <v>4299</v>
      </c>
      <c r="AP2809" s="4" t="s">
        <v>928</v>
      </c>
      <c r="AQ2809" s="4" t="s">
        <v>4300</v>
      </c>
      <c r="AR2809" s="4" t="s">
        <v>4301</v>
      </c>
    </row>
    <row r="2810">
      <c r="A2810" s="4">
        <v>372.0</v>
      </c>
      <c r="B2810" s="4" t="s">
        <v>8035</v>
      </c>
      <c r="C2810" s="4"/>
      <c r="D2810" s="4" t="s">
        <v>8565</v>
      </c>
      <c r="E2810" s="4" t="s">
        <v>8566</v>
      </c>
      <c r="F2810" s="4" t="s">
        <v>8567</v>
      </c>
      <c r="G2810" s="5" t="str">
        <f>IFERROR(__xludf.DUMMYFUNCTION("GOOGLETRANSLATE(D2810,""en"",""es"")"),"Japón")</f>
        <v>Japón</v>
      </c>
      <c r="H2810" s="4" t="s">
        <v>8568</v>
      </c>
      <c r="I2810" s="4" t="s">
        <v>8569</v>
      </c>
      <c r="J2810" s="4" t="s">
        <v>8570</v>
      </c>
    </row>
    <row r="2811">
      <c r="A2811" s="4">
        <v>373.0</v>
      </c>
      <c r="B2811" s="4" t="s">
        <v>8035</v>
      </c>
      <c r="C2811" s="4"/>
      <c r="D2811" s="4" t="s">
        <v>7015</v>
      </c>
      <c r="E2811" s="4" t="s">
        <v>7016</v>
      </c>
      <c r="F2811" s="4" t="s">
        <v>7017</v>
      </c>
      <c r="G2811" s="5" t="str">
        <f>IFERROR(__xludf.DUMMYFUNCTION("GOOGLETRANSLATE(D2811,""en"",""es"")"),"ágil")</f>
        <v>ágil</v>
      </c>
      <c r="H2811" s="4" t="s">
        <v>7015</v>
      </c>
      <c r="I2811" s="4" t="s">
        <v>6952</v>
      </c>
      <c r="J2811" s="4" t="s">
        <v>7018</v>
      </c>
      <c r="K2811" s="4" t="s">
        <v>7019</v>
      </c>
      <c r="L2811" s="4" t="s">
        <v>7015</v>
      </c>
      <c r="M2811" s="4" t="s">
        <v>6967</v>
      </c>
    </row>
    <row r="2812">
      <c r="A2812" s="4">
        <v>374.0</v>
      </c>
      <c r="B2812" s="4" t="s">
        <v>8035</v>
      </c>
      <c r="C2812" s="4"/>
      <c r="D2812" s="4" t="s">
        <v>8571</v>
      </c>
      <c r="E2812" s="4" t="s">
        <v>8572</v>
      </c>
      <c r="F2812" s="4" t="s">
        <v>8573</v>
      </c>
      <c r="G2812" s="5" t="str">
        <f>IFERROR(__xludf.DUMMYFUNCTION("GOOGLETRANSLATE(D2812,""en"",""es"")"),"nisenano")</f>
        <v>nisenano</v>
      </c>
    </row>
    <row r="2813">
      <c r="A2813" s="4">
        <v>375.0</v>
      </c>
      <c r="B2813" s="4" t="s">
        <v>8035</v>
      </c>
      <c r="C2813" s="4"/>
      <c r="D2813" s="4" t="s">
        <v>7020</v>
      </c>
      <c r="E2813" s="4" t="s">
        <v>7021</v>
      </c>
      <c r="F2813" s="4" t="s">
        <v>7022</v>
      </c>
      <c r="G2813" s="5" t="str">
        <f>IFERROR(__xludf.DUMMYFUNCTION("GOOGLETRANSLATE(D2813,""en"",""es"")"),"con timbre")</f>
        <v>con timbre</v>
      </c>
    </row>
    <row r="2814">
      <c r="A2814" s="4">
        <v>376.0</v>
      </c>
      <c r="B2814" s="4" t="s">
        <v>8035</v>
      </c>
      <c r="C2814" s="4"/>
      <c r="D2814" s="4" t="s">
        <v>7023</v>
      </c>
      <c r="E2814" s="4" t="s">
        <v>8574</v>
      </c>
      <c r="F2814" s="4" t="s">
        <v>7025</v>
      </c>
      <c r="G2814" s="5" t="str">
        <f>IFERROR(__xludf.DUMMYFUNCTION("GOOGLETRANSLATE(D2814,""en"",""es"")"),"piojoso")</f>
        <v>piojoso</v>
      </c>
    </row>
    <row r="2815">
      <c r="A2815" s="4">
        <v>377.0</v>
      </c>
      <c r="B2815" s="4" t="s">
        <v>8035</v>
      </c>
      <c r="C2815" s="4"/>
      <c r="D2815" s="4" t="s">
        <v>7026</v>
      </c>
      <c r="E2815" s="4" t="s">
        <v>7027</v>
      </c>
      <c r="F2815" s="4" t="s">
        <v>7028</v>
      </c>
      <c r="G2815" s="5" t="str">
        <f>IFERROR(__xludf.DUMMYFUNCTION("GOOGLETRANSLATE(D2815,""en"",""es"")"),"rincón")</f>
        <v>rincón</v>
      </c>
      <c r="H2815" s="4" t="s">
        <v>7026</v>
      </c>
      <c r="I2815" s="4" t="s">
        <v>7029</v>
      </c>
      <c r="J2815" s="4" t="s">
        <v>7026</v>
      </c>
    </row>
    <row r="2816">
      <c r="A2816" s="4">
        <v>378.0</v>
      </c>
      <c r="B2816" s="4" t="s">
        <v>8035</v>
      </c>
      <c r="C2816" s="4"/>
      <c r="D2816" s="4" t="s">
        <v>5896</v>
      </c>
      <c r="E2816" s="4" t="s">
        <v>7030</v>
      </c>
      <c r="F2816" s="4" t="s">
        <v>7031</v>
      </c>
      <c r="G2816" s="5" t="str">
        <f>IFERROR(__xludf.DUMMYFUNCTION("GOOGLETRANSLATE(D2816,""en"",""es"")"),"nokie")</f>
        <v>nokie</v>
      </c>
      <c r="H2816" s="4" t="s">
        <v>5891</v>
      </c>
      <c r="I2816" s="4" t="s">
        <v>5892</v>
      </c>
      <c r="J2816" s="4" t="s">
        <v>5893</v>
      </c>
      <c r="K2816" s="4" t="s">
        <v>5894</v>
      </c>
      <c r="L2816" s="4" t="s">
        <v>1627</v>
      </c>
      <c r="M2816" s="4" t="s">
        <v>5895</v>
      </c>
      <c r="N2816" s="4" t="s">
        <v>5896</v>
      </c>
      <c r="O2816" s="4" t="s">
        <v>5897</v>
      </c>
      <c r="P2816" s="4" t="s">
        <v>5898</v>
      </c>
      <c r="Q2816" s="4" t="s">
        <v>5899</v>
      </c>
      <c r="R2816" s="4" t="s">
        <v>5900</v>
      </c>
      <c r="S2816" s="4" t="s">
        <v>5901</v>
      </c>
    </row>
    <row r="2817">
      <c r="A2817" s="4">
        <v>379.0</v>
      </c>
      <c r="B2817" s="4" t="s">
        <v>8035</v>
      </c>
      <c r="C2817" s="4"/>
      <c r="D2817" s="4" t="s">
        <v>8575</v>
      </c>
      <c r="E2817" s="4" t="s">
        <v>8576</v>
      </c>
      <c r="F2817" s="4" t="s">
        <v>383</v>
      </c>
      <c r="G2817" s="5" t="str">
        <f>IFERROR(__xludf.DUMMYFUNCTION("GOOGLETRANSLATE(D2817,""en"",""es"")"),"comida")</f>
        <v>comida</v>
      </c>
      <c r="H2817" s="4" t="s">
        <v>8575</v>
      </c>
      <c r="I2817" s="4" t="s">
        <v>8575</v>
      </c>
      <c r="J2817" s="4" t="s">
        <v>8577</v>
      </c>
    </row>
    <row r="2818">
      <c r="A2818" s="4">
        <v>380.0</v>
      </c>
      <c r="B2818" s="4" t="s">
        <v>8035</v>
      </c>
      <c r="C2818" s="4"/>
      <c r="D2818" s="4" t="s">
        <v>2972</v>
      </c>
      <c r="E2818" s="4" t="s">
        <v>3018</v>
      </c>
      <c r="F2818" s="4" t="s">
        <v>2972</v>
      </c>
      <c r="G2818" s="5" t="str">
        <f>IFERROR(__xludf.DUMMYFUNCTION("GOOGLETRANSLATE(D2818,""en"",""es"")"),"nu")</f>
        <v>nu</v>
      </c>
      <c r="H2818" s="4" t="s">
        <v>2972</v>
      </c>
    </row>
    <row r="2819">
      <c r="A2819" s="4">
        <v>381.0</v>
      </c>
      <c r="B2819" s="4" t="s">
        <v>8035</v>
      </c>
      <c r="C2819" s="4"/>
      <c r="D2819" s="4" t="s">
        <v>7032</v>
      </c>
      <c r="E2819" s="4" t="s">
        <v>7033</v>
      </c>
      <c r="F2819" s="4" t="s">
        <v>7032</v>
      </c>
      <c r="G2819" s="5" t="str">
        <f>IFERROR(__xludf.DUMMYFUNCTION("GOOGLETRANSLATE(D2819,""en"",""es"")"),"monja")</f>
        <v>monja</v>
      </c>
      <c r="H2819" s="4" t="s">
        <v>7032</v>
      </c>
      <c r="I2819" s="4" t="s">
        <v>7034</v>
      </c>
      <c r="J2819" s="4" t="s">
        <v>7032</v>
      </c>
      <c r="K2819" s="4" t="s">
        <v>7035</v>
      </c>
      <c r="L2819" s="4" t="s">
        <v>7032</v>
      </c>
    </row>
    <row r="2820">
      <c r="A2820" s="4">
        <v>382.0</v>
      </c>
      <c r="B2820" s="4" t="s">
        <v>8035</v>
      </c>
      <c r="C2820" s="4"/>
      <c r="D2820" s="4" t="s">
        <v>7036</v>
      </c>
      <c r="E2820" s="4" t="s">
        <v>6989</v>
      </c>
      <c r="F2820" s="4" t="s">
        <v>6988</v>
      </c>
      <c r="G2820" s="5" t="str">
        <f>IFERROR(__xludf.DUMMYFUNCTION("GOOGLETRANSLATE(D2820,""en"",""es"")"),"nym")</f>
        <v>nym</v>
      </c>
    </row>
    <row r="2821">
      <c r="A2821" s="4">
        <v>383.0</v>
      </c>
      <c r="B2821" s="4" t="s">
        <v>8035</v>
      </c>
      <c r="C2821" s="4"/>
      <c r="D2821" s="4" t="s">
        <v>8578</v>
      </c>
      <c r="E2821" s="4" t="s">
        <v>8039</v>
      </c>
      <c r="F2821" s="4" t="s">
        <v>816</v>
      </c>
      <c r="G2821" s="5" t="str">
        <f>IFERROR(__xludf.DUMMYFUNCTION("GOOGLETRANSLATE(D2821,""en"",""es"")"),"oche")</f>
        <v>oche</v>
      </c>
    </row>
    <row r="2822">
      <c r="A2822" s="4">
        <v>384.0</v>
      </c>
      <c r="B2822" s="4" t="s">
        <v>8035</v>
      </c>
      <c r="C2822" s="4"/>
      <c r="D2822" s="4" t="s">
        <v>7039</v>
      </c>
      <c r="E2822" s="4" t="s">
        <v>7040</v>
      </c>
      <c r="F2822" s="4" t="s">
        <v>7041</v>
      </c>
      <c r="G2822" s="5" t="str">
        <f>IFERROR(__xludf.DUMMYFUNCTION("GOOGLETRANSLATE(D2822,""en"",""es"")"),"oop")</f>
        <v>oop</v>
      </c>
    </row>
    <row r="2823">
      <c r="A2823" s="4">
        <v>385.0</v>
      </c>
      <c r="B2823" s="4" t="s">
        <v>8035</v>
      </c>
      <c r="C2823" s="4"/>
      <c r="D2823" s="4" t="s">
        <v>8579</v>
      </c>
      <c r="E2823" s="4" t="s">
        <v>4669</v>
      </c>
      <c r="F2823" s="4" t="s">
        <v>4668</v>
      </c>
      <c r="G2823" s="5" t="str">
        <f>IFERROR(__xludf.DUMMYFUNCTION("GOOGLETRANSLATE(D2823,""en"",""es"")"),"oos")</f>
        <v>oos</v>
      </c>
    </row>
    <row r="2824">
      <c r="A2824" s="4">
        <v>386.0</v>
      </c>
      <c r="B2824" s="4" t="s">
        <v>8035</v>
      </c>
      <c r="C2824" s="4"/>
      <c r="D2824" s="4" t="s">
        <v>8580</v>
      </c>
      <c r="E2824" s="4" t="s">
        <v>8581</v>
      </c>
      <c r="F2824" s="4" t="s">
        <v>295</v>
      </c>
      <c r="G2824" s="5" t="str">
        <f>IFERROR(__xludf.DUMMYFUNCTION("GOOGLETRANSLATE(D2824,""en"",""es"")"),"OS")</f>
        <v>OS</v>
      </c>
      <c r="H2824" s="4" t="s">
        <v>8580</v>
      </c>
      <c r="I2824" s="4" t="s">
        <v>8582</v>
      </c>
      <c r="J2824" s="4" t="s">
        <v>8583</v>
      </c>
      <c r="K2824" s="4" t="s">
        <v>8584</v>
      </c>
      <c r="L2824" s="4" t="s">
        <v>8585</v>
      </c>
      <c r="M2824" s="4" t="s">
        <v>8586</v>
      </c>
      <c r="N2824" s="4" t="s">
        <v>8587</v>
      </c>
      <c r="O2824" s="4" t="s">
        <v>8586</v>
      </c>
      <c r="P2824" s="4" t="s">
        <v>8588</v>
      </c>
      <c r="Q2824" s="4" t="s">
        <v>8580</v>
      </c>
      <c r="R2824" s="4" t="s">
        <v>8589</v>
      </c>
      <c r="S2824" s="4" t="s">
        <v>8590</v>
      </c>
      <c r="T2824" s="4" t="s">
        <v>8591</v>
      </c>
      <c r="U2824" s="4" t="s">
        <v>8590</v>
      </c>
      <c r="V2824" s="4" t="s">
        <v>8592</v>
      </c>
      <c r="W2824" s="4" t="s">
        <v>8590</v>
      </c>
      <c r="X2824" s="4" t="s">
        <v>8593</v>
      </c>
      <c r="Y2824" s="4" t="s">
        <v>8594</v>
      </c>
    </row>
    <row r="2825">
      <c r="A2825" s="4">
        <v>387.0</v>
      </c>
      <c r="B2825" s="4" t="s">
        <v>8035</v>
      </c>
      <c r="C2825" s="4"/>
      <c r="D2825" s="4" t="s">
        <v>2543</v>
      </c>
      <c r="E2825" s="4" t="s">
        <v>7042</v>
      </c>
      <c r="F2825" s="4" t="s">
        <v>392</v>
      </c>
      <c r="G2825" s="5" t="str">
        <f>IFERROR(__xludf.DUMMYFUNCTION("GOOGLETRANSLATE(D2825,""en"",""es"")"),"paquete")</f>
        <v>paquete</v>
      </c>
      <c r="H2825" s="4" t="s">
        <v>2540</v>
      </c>
      <c r="I2825" s="4" t="s">
        <v>2541</v>
      </c>
      <c r="J2825" s="4" t="s">
        <v>2532</v>
      </c>
      <c r="K2825" s="4" t="s">
        <v>2542</v>
      </c>
      <c r="L2825" s="4" t="s">
        <v>2543</v>
      </c>
      <c r="M2825" s="4" t="s">
        <v>2543</v>
      </c>
      <c r="N2825" s="4" t="s">
        <v>2543</v>
      </c>
      <c r="O2825" s="4" t="s">
        <v>7043</v>
      </c>
      <c r="P2825" s="4" t="s">
        <v>2543</v>
      </c>
      <c r="Q2825" s="4" t="s">
        <v>4080</v>
      </c>
      <c r="R2825" s="4" t="s">
        <v>7044</v>
      </c>
      <c r="S2825" s="4" t="s">
        <v>4385</v>
      </c>
      <c r="T2825" s="4" t="s">
        <v>4386</v>
      </c>
      <c r="U2825" s="4" t="s">
        <v>4387</v>
      </c>
      <c r="V2825" s="4" t="s">
        <v>4388</v>
      </c>
      <c r="W2825" s="4" t="s">
        <v>2543</v>
      </c>
      <c r="X2825" s="4" t="s">
        <v>1058</v>
      </c>
      <c r="Y2825" s="4" t="s">
        <v>2543</v>
      </c>
      <c r="Z2825" s="4" t="s">
        <v>2543</v>
      </c>
      <c r="AA2825" s="4" t="s">
        <v>7045</v>
      </c>
      <c r="AB2825" s="4" t="s">
        <v>2543</v>
      </c>
      <c r="AC2825" s="4" t="s">
        <v>2543</v>
      </c>
      <c r="AD2825" s="4" t="s">
        <v>2543</v>
      </c>
      <c r="AE2825" s="4" t="s">
        <v>2543</v>
      </c>
      <c r="AF2825" s="4" t="s">
        <v>2543</v>
      </c>
      <c r="AG2825" s="4" t="s">
        <v>7046</v>
      </c>
      <c r="AH2825" s="4" t="s">
        <v>780</v>
      </c>
      <c r="AI2825" s="4" t="s">
        <v>7047</v>
      </c>
      <c r="AJ2825" s="4" t="s">
        <v>2543</v>
      </c>
      <c r="AK2825" s="4" t="s">
        <v>2543</v>
      </c>
      <c r="AL2825" s="4" t="s">
        <v>7048</v>
      </c>
      <c r="AM2825" s="4" t="s">
        <v>2543</v>
      </c>
      <c r="AN2825" s="4" t="s">
        <v>887</v>
      </c>
      <c r="AO2825" s="4" t="s">
        <v>2537</v>
      </c>
      <c r="AP2825" s="4" t="s">
        <v>7044</v>
      </c>
      <c r="AQ2825" s="4" t="s">
        <v>2543</v>
      </c>
      <c r="AR2825" s="4" t="s">
        <v>483</v>
      </c>
      <c r="AS2825" s="4" t="s">
        <v>775</v>
      </c>
      <c r="AT2825" s="4" t="s">
        <v>7049</v>
      </c>
      <c r="AU2825" s="4" t="s">
        <v>2543</v>
      </c>
      <c r="AV2825" s="4" t="s">
        <v>3517</v>
      </c>
      <c r="AW2825" s="4" t="s">
        <v>3518</v>
      </c>
      <c r="AX2825" s="4" t="s">
        <v>2543</v>
      </c>
      <c r="AY2825" s="4" t="s">
        <v>2543</v>
      </c>
      <c r="AZ2825" s="4" t="s">
        <v>7047</v>
      </c>
      <c r="BA2825" s="4" t="s">
        <v>2543</v>
      </c>
      <c r="BB2825" s="4" t="s">
        <v>2543</v>
      </c>
      <c r="BC2825" s="4" t="s">
        <v>7050</v>
      </c>
      <c r="BD2825" s="4" t="s">
        <v>2543</v>
      </c>
    </row>
    <row r="2826">
      <c r="A2826" s="4">
        <v>388.0</v>
      </c>
      <c r="B2826" s="4" t="s">
        <v>8035</v>
      </c>
      <c r="C2826" s="4"/>
      <c r="D2826" s="4" t="s">
        <v>7051</v>
      </c>
      <c r="E2826" s="4" t="s">
        <v>7052</v>
      </c>
      <c r="F2826" s="4" t="s">
        <v>7051</v>
      </c>
      <c r="G2826" s="5" t="str">
        <f>IFERROR(__xludf.DUMMYFUNCTION("GOOGLETRANSLATE(D2826,""en"",""es"")"),"paquistaní")</f>
        <v>paquistaní</v>
      </c>
    </row>
    <row r="2827">
      <c r="A2827" s="4">
        <v>389.0</v>
      </c>
      <c r="B2827" s="4" t="s">
        <v>8035</v>
      </c>
      <c r="C2827" s="4"/>
      <c r="D2827" s="4" t="s">
        <v>3161</v>
      </c>
      <c r="E2827" s="4" t="s">
        <v>8595</v>
      </c>
      <c r="F2827" s="4" t="s">
        <v>3161</v>
      </c>
      <c r="G2827" s="5" t="str">
        <f>IFERROR(__xludf.DUMMYFUNCTION("GOOGLETRANSLATE(D2827,""en"",""es"")"),"camarada")</f>
        <v>camarada</v>
      </c>
      <c r="H2827" s="4" t="s">
        <v>7053</v>
      </c>
      <c r="I2827" s="4" t="s">
        <v>7054</v>
      </c>
      <c r="J2827" s="4" t="s">
        <v>7055</v>
      </c>
      <c r="K2827" s="4" t="s">
        <v>7056</v>
      </c>
      <c r="L2827" s="4" t="s">
        <v>3161</v>
      </c>
      <c r="M2827" s="4" t="s">
        <v>7057</v>
      </c>
      <c r="N2827" s="4" t="s">
        <v>3161</v>
      </c>
      <c r="O2827" s="4" t="s">
        <v>7058</v>
      </c>
      <c r="P2827" s="4" t="s">
        <v>7059</v>
      </c>
    </row>
    <row r="2828">
      <c r="A2828" s="4">
        <v>390.0</v>
      </c>
      <c r="B2828" s="4" t="s">
        <v>8035</v>
      </c>
      <c r="C2828" s="4"/>
      <c r="D2828" s="4" t="s">
        <v>7060</v>
      </c>
      <c r="E2828" s="4" t="s">
        <v>7061</v>
      </c>
      <c r="F2828" s="4" t="s">
        <v>7062</v>
      </c>
      <c r="G2828" s="5" t="str">
        <f>IFERROR(__xludf.DUMMYFUNCTION("GOOGLETRANSLATE(D2828,""en"",""es"")"),"palacio")</f>
        <v>palacio</v>
      </c>
      <c r="H2828" s="4" t="s">
        <v>7060</v>
      </c>
      <c r="I2828" s="4" t="s">
        <v>7063</v>
      </c>
      <c r="J2828" s="4" t="s">
        <v>7060</v>
      </c>
      <c r="K2828" s="4" t="s">
        <v>7060</v>
      </c>
      <c r="L2828" s="4" t="s">
        <v>7060</v>
      </c>
    </row>
    <row r="2829">
      <c r="A2829" s="4">
        <v>391.0</v>
      </c>
      <c r="B2829" s="4" t="s">
        <v>8035</v>
      </c>
      <c r="C2829" s="4"/>
      <c r="D2829" s="4" t="s">
        <v>8596</v>
      </c>
      <c r="E2829" s="4" t="s">
        <v>8597</v>
      </c>
      <c r="F2829" s="4" t="s">
        <v>3161</v>
      </c>
      <c r="G2829" s="5" t="str">
        <f>IFERROR(__xludf.DUMMYFUNCTION("GOOGLETRANSLATE(D2829,""en"",""es"")"),"féretro")</f>
        <v>féretro</v>
      </c>
      <c r="H2829" s="4" t="s">
        <v>8598</v>
      </c>
      <c r="I2829" s="4" t="s">
        <v>8596</v>
      </c>
      <c r="J2829" s="4" t="s">
        <v>8596</v>
      </c>
      <c r="K2829" s="4" t="s">
        <v>7677</v>
      </c>
      <c r="L2829" s="4" t="s">
        <v>8599</v>
      </c>
      <c r="M2829" s="4" t="s">
        <v>8600</v>
      </c>
      <c r="N2829" s="4" t="s">
        <v>8601</v>
      </c>
      <c r="O2829" s="4" t="s">
        <v>8602</v>
      </c>
      <c r="P2829" s="4" t="s">
        <v>8603</v>
      </c>
      <c r="Q2829" s="4" t="s">
        <v>8604</v>
      </c>
      <c r="R2829" s="4" t="s">
        <v>1243</v>
      </c>
      <c r="S2829" s="4" t="s">
        <v>8596</v>
      </c>
      <c r="T2829" s="4" t="s">
        <v>8596</v>
      </c>
      <c r="U2829" s="4" t="s">
        <v>3225</v>
      </c>
      <c r="V2829" s="4" t="s">
        <v>8605</v>
      </c>
      <c r="W2829" s="4" t="s">
        <v>8606</v>
      </c>
      <c r="X2829" s="4" t="s">
        <v>8607</v>
      </c>
      <c r="Y2829" s="4" t="s">
        <v>8596</v>
      </c>
      <c r="Z2829" s="4" t="s">
        <v>8608</v>
      </c>
      <c r="AA2829" s="4" t="s">
        <v>8609</v>
      </c>
      <c r="AB2829" s="4" t="s">
        <v>8610</v>
      </c>
      <c r="AC2829" s="4" t="s">
        <v>3794</v>
      </c>
      <c r="AD2829" s="4" t="s">
        <v>8596</v>
      </c>
      <c r="AE2829" s="4" t="s">
        <v>8611</v>
      </c>
      <c r="AF2829" s="4" t="s">
        <v>8596</v>
      </c>
      <c r="AG2829" s="4" t="s">
        <v>8596</v>
      </c>
      <c r="AH2829" s="4" t="s">
        <v>2756</v>
      </c>
      <c r="AI2829" s="4" t="s">
        <v>8596</v>
      </c>
      <c r="AJ2829" s="4" t="s">
        <v>8612</v>
      </c>
      <c r="AK2829" s="4" t="s">
        <v>8596</v>
      </c>
      <c r="AL2829" s="4" t="s">
        <v>7412</v>
      </c>
      <c r="AM2829" s="4" t="s">
        <v>8596</v>
      </c>
      <c r="AN2829" s="4" t="s">
        <v>8613</v>
      </c>
      <c r="AO2829" s="4" t="s">
        <v>8614</v>
      </c>
      <c r="AP2829" s="4" t="s">
        <v>6138</v>
      </c>
    </row>
    <row r="2830">
      <c r="A2830" s="4">
        <v>392.0</v>
      </c>
      <c r="B2830" s="4" t="s">
        <v>8035</v>
      </c>
      <c r="C2830" s="4"/>
      <c r="D2830" s="4" t="s">
        <v>8615</v>
      </c>
      <c r="E2830" s="4" t="s">
        <v>8616</v>
      </c>
      <c r="F2830" s="4" t="s">
        <v>3257</v>
      </c>
      <c r="G2830" s="5" t="str">
        <f>IFERROR(__xludf.DUMMYFUNCTION("GOOGLETRANSLATE(D2830,""en"",""es"")"),"palmera")</f>
        <v>palmera</v>
      </c>
      <c r="H2830" s="4" t="s">
        <v>8615</v>
      </c>
      <c r="I2830" s="4" t="s">
        <v>8617</v>
      </c>
      <c r="J2830" s="4" t="s">
        <v>8615</v>
      </c>
      <c r="K2830" s="4" t="s">
        <v>8615</v>
      </c>
      <c r="L2830" s="4" t="s">
        <v>8618</v>
      </c>
      <c r="M2830" s="4" t="s">
        <v>8619</v>
      </c>
      <c r="N2830" s="4" t="s">
        <v>8620</v>
      </c>
      <c r="O2830" s="4" t="s">
        <v>8621</v>
      </c>
      <c r="P2830" s="4" t="s">
        <v>8622</v>
      </c>
      <c r="Q2830" s="4" t="s">
        <v>8615</v>
      </c>
      <c r="R2830" s="4" t="s">
        <v>8623</v>
      </c>
      <c r="S2830" s="4" t="s">
        <v>2426</v>
      </c>
      <c r="T2830" s="4" t="s">
        <v>8615</v>
      </c>
    </row>
    <row r="2831">
      <c r="A2831" s="4">
        <v>393.0</v>
      </c>
      <c r="B2831" s="4" t="s">
        <v>8035</v>
      </c>
      <c r="C2831" s="4"/>
      <c r="D2831" s="4" t="s">
        <v>3257</v>
      </c>
      <c r="E2831" s="4" t="s">
        <v>7068</v>
      </c>
      <c r="F2831" s="4" t="s">
        <v>3257</v>
      </c>
      <c r="G2831" s="5" t="str">
        <f>IFERROR(__xludf.DUMMYFUNCTION("GOOGLETRANSLATE(D2831,""en"",""es"")"),"pam")</f>
        <v>pam</v>
      </c>
    </row>
    <row r="2832">
      <c r="A2832" s="4">
        <v>394.0</v>
      </c>
      <c r="B2832" s="4" t="s">
        <v>8035</v>
      </c>
      <c r="C2832" s="4"/>
      <c r="D2832" s="4" t="s">
        <v>7069</v>
      </c>
      <c r="E2832" s="4" t="s">
        <v>7070</v>
      </c>
      <c r="F2832" s="4" t="s">
        <v>7069</v>
      </c>
      <c r="G2832" s="5" t="str">
        <f>IFERROR(__xludf.DUMMYFUNCTION("GOOGLETRANSLATE(D2832,""en"",""es"")"),"sartén")</f>
        <v>sartén</v>
      </c>
      <c r="H2832" s="4" t="s">
        <v>7069</v>
      </c>
      <c r="I2832" s="4" t="s">
        <v>7071</v>
      </c>
      <c r="J2832" s="4" t="s">
        <v>7072</v>
      </c>
      <c r="K2832" s="4" t="s">
        <v>7073</v>
      </c>
      <c r="L2832" s="4" t="s">
        <v>7069</v>
      </c>
      <c r="M2832" s="4" t="s">
        <v>7072</v>
      </c>
      <c r="N2832" s="4" t="s">
        <v>7074</v>
      </c>
      <c r="O2832" s="4" t="s">
        <v>7069</v>
      </c>
      <c r="P2832" s="4" t="s">
        <v>7069</v>
      </c>
      <c r="Q2832" s="4" t="s">
        <v>7075</v>
      </c>
      <c r="R2832" s="4" t="s">
        <v>7076</v>
      </c>
      <c r="S2832" s="4" t="s">
        <v>7069</v>
      </c>
      <c r="T2832" s="4" t="s">
        <v>7077</v>
      </c>
      <c r="U2832" s="4" t="s">
        <v>3192</v>
      </c>
    </row>
    <row r="2833">
      <c r="A2833" s="4">
        <v>395.0</v>
      </c>
      <c r="B2833" s="4" t="s">
        <v>8035</v>
      </c>
      <c r="C2833" s="4"/>
      <c r="D2833" s="4" t="s">
        <v>3791</v>
      </c>
      <c r="E2833" s="4" t="s">
        <v>7078</v>
      </c>
      <c r="F2833" s="4" t="s">
        <v>3790</v>
      </c>
      <c r="G2833" s="5" t="str">
        <f>IFERROR(__xludf.DUMMYFUNCTION("GOOGLETRANSLATE(D2833,""en"",""es"")"),"pánico")</f>
        <v>pánico</v>
      </c>
      <c r="H2833" s="4" t="s">
        <v>3791</v>
      </c>
      <c r="I2833" s="4" t="s">
        <v>3792</v>
      </c>
      <c r="J2833" s="4" t="s">
        <v>3793</v>
      </c>
      <c r="K2833" s="4" t="s">
        <v>3791</v>
      </c>
      <c r="L2833" s="4" t="s">
        <v>3794</v>
      </c>
      <c r="M2833" s="4" t="s">
        <v>3791</v>
      </c>
      <c r="N2833" s="4" t="s">
        <v>3791</v>
      </c>
    </row>
    <row r="2834">
      <c r="A2834" s="4">
        <v>396.0</v>
      </c>
      <c r="B2834" s="4" t="s">
        <v>8035</v>
      </c>
      <c r="C2834" s="4"/>
      <c r="D2834" s="4" t="s">
        <v>7079</v>
      </c>
      <c r="E2834" s="4" t="s">
        <v>7080</v>
      </c>
      <c r="F2834" s="4" t="s">
        <v>7081</v>
      </c>
      <c r="G2834" s="5" t="str">
        <f>IFERROR(__xludf.DUMMYFUNCTION("GOOGLETRANSLATE(D2834,""en"",""es"")"),"lleno de pánico")</f>
        <v>lleno de pánico</v>
      </c>
      <c r="H2834" s="4" t="s">
        <v>7079</v>
      </c>
      <c r="I2834" s="4" t="s">
        <v>7082</v>
      </c>
      <c r="J2834" s="4" t="s">
        <v>7083</v>
      </c>
      <c r="K2834" s="4" t="s">
        <v>7084</v>
      </c>
      <c r="L2834" s="4" t="s">
        <v>7085</v>
      </c>
      <c r="M2834" s="4" t="s">
        <v>7086</v>
      </c>
    </row>
    <row r="2835">
      <c r="A2835" s="4">
        <v>397.0</v>
      </c>
      <c r="B2835" s="4" t="s">
        <v>8035</v>
      </c>
      <c r="C2835" s="4"/>
      <c r="D2835" s="4" t="s">
        <v>7087</v>
      </c>
      <c r="E2835" s="4" t="s">
        <v>7070</v>
      </c>
      <c r="F2835" s="4" t="s">
        <v>7069</v>
      </c>
      <c r="G2835" s="5" t="str">
        <f>IFERROR(__xludf.DUMMYFUNCTION("GOOGLETRANSLATE(D2835,""en"",""es"")"),"pana")</f>
        <v>pana</v>
      </c>
    </row>
    <row r="2836">
      <c r="A2836" s="4">
        <v>398.0</v>
      </c>
      <c r="B2836" s="4" t="s">
        <v>8035</v>
      </c>
      <c r="C2836" s="4"/>
      <c r="D2836" s="4" t="s">
        <v>7088</v>
      </c>
      <c r="E2836" s="4" t="s">
        <v>7089</v>
      </c>
      <c r="F2836" s="4" t="s">
        <v>7088</v>
      </c>
      <c r="G2836" s="5" t="str">
        <f>IFERROR(__xludf.DUMMYFUNCTION("GOOGLETRANSLATE(D2836,""en"",""es"")"),"papilla")</f>
        <v>papilla</v>
      </c>
      <c r="H2836" s="4" t="s">
        <v>7088</v>
      </c>
      <c r="I2836" s="4" t="s">
        <v>7090</v>
      </c>
      <c r="J2836" s="4" t="s">
        <v>7091</v>
      </c>
      <c r="K2836" s="4" t="s">
        <v>7088</v>
      </c>
      <c r="L2836" s="4" t="s">
        <v>7092</v>
      </c>
      <c r="M2836" s="4" t="s">
        <v>7093</v>
      </c>
      <c r="N2836" s="4" t="s">
        <v>7094</v>
      </c>
      <c r="O2836" s="4" t="s">
        <v>7095</v>
      </c>
      <c r="P2836" s="4" t="s">
        <v>7088</v>
      </c>
      <c r="Q2836" s="4" t="s">
        <v>7096</v>
      </c>
      <c r="R2836" s="4" t="s">
        <v>7097</v>
      </c>
    </row>
    <row r="2837">
      <c r="A2837" s="4">
        <v>399.0</v>
      </c>
      <c r="B2837" s="4" t="s">
        <v>8035</v>
      </c>
      <c r="C2837" s="4"/>
      <c r="D2837" s="4" t="s">
        <v>7098</v>
      </c>
      <c r="E2837" s="4" t="s">
        <v>7099</v>
      </c>
      <c r="F2837" s="4" t="s">
        <v>7100</v>
      </c>
      <c r="G2837" s="5" t="str">
        <f>IFERROR(__xludf.DUMMYFUNCTION("GOOGLETRANSLATE(D2837,""en"",""es"")"),"papá")</f>
        <v>papá</v>
      </c>
    </row>
    <row r="2838">
      <c r="A2838" s="4">
        <v>400.0</v>
      </c>
      <c r="B2838" s="4" t="s">
        <v>8035</v>
      </c>
      <c r="C2838" s="4"/>
      <c r="D2838" s="4" t="s">
        <v>7101</v>
      </c>
      <c r="E2838" s="4" t="s">
        <v>7102</v>
      </c>
      <c r="F2838" s="4" t="s">
        <v>7101</v>
      </c>
      <c r="G2838" s="5" t="str">
        <f>IFERROR(__xludf.DUMMYFUNCTION("GOOGLETRANSLATE(D2838,""en"",""es"")"),"pash")</f>
        <v>pash</v>
      </c>
    </row>
    <row r="2839">
      <c r="A2839" s="4">
        <v>401.0</v>
      </c>
      <c r="B2839" s="4" t="s">
        <v>8035</v>
      </c>
      <c r="C2839" s="4"/>
      <c r="D2839" s="4" t="s">
        <v>647</v>
      </c>
      <c r="E2839" s="4" t="s">
        <v>7103</v>
      </c>
      <c r="F2839" s="4" t="s">
        <v>3361</v>
      </c>
      <c r="G2839" s="5" t="str">
        <f>IFERROR(__xludf.DUMMYFUNCTION("GOOGLETRANSLATE(D2839,""en"",""es"")"),"pasar")</f>
        <v>pasar</v>
      </c>
      <c r="H2839" s="4" t="s">
        <v>7104</v>
      </c>
      <c r="I2839" s="4" t="s">
        <v>1056</v>
      </c>
      <c r="J2839" s="4" t="s">
        <v>647</v>
      </c>
      <c r="K2839" s="4" t="s">
        <v>647</v>
      </c>
      <c r="L2839" s="4" t="s">
        <v>647</v>
      </c>
      <c r="M2839" s="4" t="s">
        <v>7105</v>
      </c>
      <c r="N2839" s="4" t="s">
        <v>7106</v>
      </c>
      <c r="O2839" s="4" t="s">
        <v>3369</v>
      </c>
      <c r="P2839" s="4" t="s">
        <v>647</v>
      </c>
      <c r="Q2839" s="4" t="s">
        <v>3382</v>
      </c>
      <c r="R2839" s="4" t="s">
        <v>3383</v>
      </c>
      <c r="S2839" s="4" t="s">
        <v>647</v>
      </c>
      <c r="T2839" s="4" t="s">
        <v>7107</v>
      </c>
      <c r="U2839" s="4" t="s">
        <v>647</v>
      </c>
      <c r="V2839" s="4" t="s">
        <v>7108</v>
      </c>
      <c r="W2839" s="4" t="s">
        <v>647</v>
      </c>
      <c r="X2839" s="4" t="s">
        <v>647</v>
      </c>
      <c r="Y2839" s="4" t="s">
        <v>7109</v>
      </c>
      <c r="Z2839" s="4" t="s">
        <v>7110</v>
      </c>
      <c r="AA2839" s="4" t="s">
        <v>647</v>
      </c>
      <c r="AB2839" s="4" t="s">
        <v>1209</v>
      </c>
      <c r="AC2839" s="4" t="s">
        <v>7110</v>
      </c>
      <c r="AD2839" s="4" t="s">
        <v>647</v>
      </c>
      <c r="AE2839" s="4" t="s">
        <v>7111</v>
      </c>
      <c r="AF2839" s="4" t="s">
        <v>647</v>
      </c>
      <c r="AG2839" s="4" t="s">
        <v>647</v>
      </c>
      <c r="AH2839" s="4" t="s">
        <v>7112</v>
      </c>
      <c r="AI2839" s="4" t="s">
        <v>647</v>
      </c>
      <c r="AJ2839" s="4" t="s">
        <v>7113</v>
      </c>
      <c r="AK2839" s="4" t="s">
        <v>7114</v>
      </c>
      <c r="AL2839" s="4" t="s">
        <v>637</v>
      </c>
      <c r="AM2839" s="4" t="s">
        <v>647</v>
      </c>
      <c r="AN2839" s="4" t="s">
        <v>7115</v>
      </c>
      <c r="AO2839" s="4" t="s">
        <v>7116</v>
      </c>
      <c r="AP2839" s="4" t="s">
        <v>647</v>
      </c>
      <c r="AQ2839" s="4" t="s">
        <v>4447</v>
      </c>
      <c r="AR2839" s="4" t="s">
        <v>4431</v>
      </c>
      <c r="AS2839" s="4" t="s">
        <v>3369</v>
      </c>
      <c r="AT2839" s="4" t="s">
        <v>647</v>
      </c>
      <c r="AU2839" s="4" t="s">
        <v>7117</v>
      </c>
      <c r="AV2839" s="4" t="s">
        <v>3361</v>
      </c>
      <c r="AW2839" s="4" t="s">
        <v>647</v>
      </c>
      <c r="AX2839" s="4" t="s">
        <v>7118</v>
      </c>
      <c r="AY2839" s="4" t="s">
        <v>7119</v>
      </c>
      <c r="AZ2839" s="4" t="s">
        <v>3417</v>
      </c>
      <c r="BA2839" s="4" t="s">
        <v>3418</v>
      </c>
      <c r="BB2839" s="4" t="s">
        <v>3419</v>
      </c>
      <c r="BC2839" s="4" t="s">
        <v>3420</v>
      </c>
      <c r="BD2839" s="4" t="s">
        <v>3421</v>
      </c>
      <c r="BE2839" s="4" t="s">
        <v>647</v>
      </c>
      <c r="BF2839" s="4" t="s">
        <v>7120</v>
      </c>
      <c r="BG2839" s="4" t="s">
        <v>647</v>
      </c>
      <c r="BH2839" s="4" t="s">
        <v>7121</v>
      </c>
      <c r="BI2839" s="4" t="s">
        <v>3416</v>
      </c>
      <c r="BJ2839" s="4" t="s">
        <v>647</v>
      </c>
      <c r="BK2839" s="4" t="s">
        <v>7122</v>
      </c>
      <c r="BL2839" s="4" t="s">
        <v>7123</v>
      </c>
      <c r="BM2839" s="4" t="s">
        <v>7124</v>
      </c>
      <c r="BN2839" s="4" t="s">
        <v>3421</v>
      </c>
      <c r="BO2839" s="4" t="s">
        <v>7125</v>
      </c>
      <c r="BP2839" s="4" t="s">
        <v>7126</v>
      </c>
      <c r="BQ2839" s="4" t="s">
        <v>647</v>
      </c>
      <c r="BR2839" s="4" t="s">
        <v>2858</v>
      </c>
      <c r="BS2839" s="4" t="s">
        <v>3423</v>
      </c>
      <c r="BT2839" s="4" t="s">
        <v>1496</v>
      </c>
      <c r="BU2839" s="4" t="s">
        <v>3424</v>
      </c>
      <c r="BV2839" s="4" t="s">
        <v>1503</v>
      </c>
      <c r="BW2839" s="4" t="s">
        <v>646</v>
      </c>
      <c r="BX2839" s="4" t="s">
        <v>637</v>
      </c>
      <c r="BY2839" s="4" t="s">
        <v>647</v>
      </c>
      <c r="BZ2839" s="4" t="s">
        <v>648</v>
      </c>
      <c r="CA2839" s="4" t="s">
        <v>649</v>
      </c>
      <c r="CB2839" s="4" t="s">
        <v>647</v>
      </c>
      <c r="CC2839" s="4" t="s">
        <v>7127</v>
      </c>
      <c r="CD2839" s="4" t="s">
        <v>7128</v>
      </c>
      <c r="CE2839" s="4" t="s">
        <v>3398</v>
      </c>
      <c r="CF2839" s="4" t="s">
        <v>3399</v>
      </c>
      <c r="CG2839" s="4" t="s">
        <v>3400</v>
      </c>
      <c r="CH2839" s="4" t="s">
        <v>3401</v>
      </c>
      <c r="CI2839" s="4" t="s">
        <v>3402</v>
      </c>
      <c r="CJ2839" s="4" t="s">
        <v>647</v>
      </c>
      <c r="CK2839" s="4" t="s">
        <v>3403</v>
      </c>
      <c r="CL2839" s="4" t="s">
        <v>3404</v>
      </c>
      <c r="CM2839" s="4" t="s">
        <v>3405</v>
      </c>
      <c r="CN2839" s="4" t="s">
        <v>647</v>
      </c>
      <c r="CO2839" s="4" t="s">
        <v>2682</v>
      </c>
      <c r="CP2839" s="4" t="s">
        <v>3425</v>
      </c>
      <c r="CQ2839" s="4" t="s">
        <v>647</v>
      </c>
      <c r="CR2839" s="4" t="s">
        <v>3413</v>
      </c>
      <c r="CS2839" s="4" t="s">
        <v>646</v>
      </c>
      <c r="CT2839" s="4" t="s">
        <v>3414</v>
      </c>
      <c r="CU2839" s="4" t="s">
        <v>647</v>
      </c>
      <c r="CV2839" s="4" t="s">
        <v>1494</v>
      </c>
      <c r="CW2839" s="4" t="s">
        <v>1496</v>
      </c>
      <c r="CX2839" s="4" t="s">
        <v>647</v>
      </c>
      <c r="CY2839" s="4" t="s">
        <v>1497</v>
      </c>
      <c r="CZ2839" s="4" t="s">
        <v>1498</v>
      </c>
      <c r="DA2839" s="4" t="s">
        <v>7129</v>
      </c>
      <c r="DB2839" s="4" t="s">
        <v>7130</v>
      </c>
      <c r="DC2839" s="4" t="s">
        <v>7131</v>
      </c>
      <c r="DD2839" s="4" t="s">
        <v>3401</v>
      </c>
      <c r="DE2839" s="4" t="s">
        <v>7132</v>
      </c>
      <c r="DF2839" s="4" t="s">
        <v>647</v>
      </c>
      <c r="DG2839" s="4" t="s">
        <v>647</v>
      </c>
      <c r="DH2839" s="4" t="s">
        <v>7133</v>
      </c>
      <c r="DI2839" s="4" t="s">
        <v>7134</v>
      </c>
      <c r="DJ2839" s="4" t="s">
        <v>7135</v>
      </c>
      <c r="DK2839" s="4" t="s">
        <v>7136</v>
      </c>
      <c r="DL2839" s="4" t="s">
        <v>647</v>
      </c>
      <c r="DM2839" s="4" t="s">
        <v>3420</v>
      </c>
      <c r="DN2839" s="4" t="s">
        <v>1403</v>
      </c>
      <c r="DO2839" s="4" t="s">
        <v>647</v>
      </c>
      <c r="DP2839" s="4" t="s">
        <v>647</v>
      </c>
      <c r="DQ2839" s="4" t="s">
        <v>647</v>
      </c>
      <c r="DR2839" s="4" t="s">
        <v>3415</v>
      </c>
      <c r="DS2839" s="4" t="s">
        <v>647</v>
      </c>
      <c r="DT2839" s="4" t="s">
        <v>3416</v>
      </c>
      <c r="DU2839" s="4" t="s">
        <v>647</v>
      </c>
      <c r="DV2839" s="4" t="s">
        <v>4502</v>
      </c>
      <c r="DW2839" s="4" t="s">
        <v>7137</v>
      </c>
      <c r="DX2839" s="4" t="s">
        <v>647</v>
      </c>
      <c r="DY2839" s="4" t="s">
        <v>7138</v>
      </c>
      <c r="DZ2839" s="4" t="s">
        <v>647</v>
      </c>
      <c r="EA2839" s="4" t="s">
        <v>3422</v>
      </c>
      <c r="EB2839" s="4" t="s">
        <v>7139</v>
      </c>
      <c r="EC2839" s="4" t="s">
        <v>7140</v>
      </c>
      <c r="ED2839" s="4" t="s">
        <v>647</v>
      </c>
      <c r="EE2839" s="4" t="s">
        <v>2682</v>
      </c>
      <c r="EF2839" s="4" t="s">
        <v>2756</v>
      </c>
      <c r="EG2839" s="4" t="s">
        <v>2762</v>
      </c>
      <c r="EH2839" s="4" t="s">
        <v>2763</v>
      </c>
      <c r="EI2839" s="4" t="s">
        <v>637</v>
      </c>
      <c r="EJ2839" s="4" t="s">
        <v>2764</v>
      </c>
      <c r="EK2839" s="4" t="s">
        <v>2765</v>
      </c>
      <c r="EL2839" s="4" t="s">
        <v>2766</v>
      </c>
      <c r="EM2839" s="4" t="s">
        <v>647</v>
      </c>
      <c r="EN2839" s="4" t="s">
        <v>2767</v>
      </c>
      <c r="EO2839" s="4" t="s">
        <v>2768</v>
      </c>
      <c r="EP2839" s="4" t="s">
        <v>2769</v>
      </c>
      <c r="EQ2839" s="4" t="s">
        <v>2770</v>
      </c>
      <c r="ER2839" s="4" t="s">
        <v>2771</v>
      </c>
      <c r="ES2839" s="4" t="s">
        <v>2772</v>
      </c>
      <c r="ET2839" s="4" t="s">
        <v>2773</v>
      </c>
      <c r="EU2839" s="4" t="s">
        <v>2774</v>
      </c>
      <c r="EV2839" s="4" t="s">
        <v>2775</v>
      </c>
      <c r="EW2839" s="4" t="s">
        <v>2776</v>
      </c>
      <c r="EX2839" s="4" t="s">
        <v>7141</v>
      </c>
      <c r="EY2839" s="4" t="s">
        <v>7142</v>
      </c>
      <c r="EZ2839" s="4" t="s">
        <v>7143</v>
      </c>
      <c r="FA2839" s="4" t="s">
        <v>647</v>
      </c>
      <c r="FB2839" s="4" t="s">
        <v>3369</v>
      </c>
      <c r="FC2839" s="4" t="s">
        <v>647</v>
      </c>
    </row>
    <row r="2840">
      <c r="A2840" s="4">
        <v>402.0</v>
      </c>
      <c r="B2840" s="4" t="s">
        <v>8035</v>
      </c>
      <c r="C2840" s="4"/>
      <c r="D2840" s="4" t="s">
        <v>7144</v>
      </c>
      <c r="E2840" s="4" t="s">
        <v>7145</v>
      </c>
      <c r="F2840" s="4" t="s">
        <v>7146</v>
      </c>
      <c r="G2840" s="5" t="str">
        <f>IFERROR(__xludf.DUMMYFUNCTION("GOOGLETRANSLATE(D2840,""en"",""es"")"),"pássim")</f>
        <v>pássim</v>
      </c>
      <c r="H2840" s="4" t="s">
        <v>7144</v>
      </c>
      <c r="I2840" s="4" t="s">
        <v>7147</v>
      </c>
    </row>
    <row r="2841">
      <c r="A2841" s="4">
        <v>403.0</v>
      </c>
      <c r="B2841" s="4" t="s">
        <v>8035</v>
      </c>
      <c r="C2841" s="4"/>
      <c r="D2841" s="4" t="s">
        <v>1112</v>
      </c>
      <c r="E2841" s="4" t="s">
        <v>7148</v>
      </c>
      <c r="F2841" s="4" t="s">
        <v>1112</v>
      </c>
      <c r="G2841" s="5" t="str">
        <f>IFERROR(__xludf.DUMMYFUNCTION("GOOGLETRANSLATE(D2841,""en"",""es"")"),"sendero")</f>
        <v>sendero</v>
      </c>
      <c r="H2841" s="4" t="s">
        <v>1111</v>
      </c>
      <c r="I2841" s="4" t="s">
        <v>1112</v>
      </c>
      <c r="J2841" s="4" t="s">
        <v>1113</v>
      </c>
      <c r="K2841" s="4" t="s">
        <v>1112</v>
      </c>
      <c r="L2841" s="4" t="s">
        <v>1112</v>
      </c>
      <c r="M2841" s="4" t="s">
        <v>1117</v>
      </c>
      <c r="N2841" s="4" t="s">
        <v>1118</v>
      </c>
      <c r="O2841" s="4" t="s">
        <v>1112</v>
      </c>
      <c r="P2841" s="4" t="s">
        <v>1114</v>
      </c>
      <c r="Q2841" s="4" t="s">
        <v>1061</v>
      </c>
    </row>
    <row r="2842">
      <c r="A2842" s="4">
        <v>404.0</v>
      </c>
      <c r="B2842" s="4" t="s">
        <v>8035</v>
      </c>
      <c r="C2842" s="4"/>
      <c r="D2842" s="4" t="s">
        <v>7152</v>
      </c>
      <c r="E2842" s="4" t="s">
        <v>7153</v>
      </c>
      <c r="F2842" s="4" t="s">
        <v>3442</v>
      </c>
      <c r="G2842" s="5" t="str">
        <f>IFERROR(__xludf.DUMMYFUNCTION("GOOGLETRANSLATE(D2842,""en"",""es"")"),"empanada")</f>
        <v>empanada</v>
      </c>
      <c r="H2842" s="4" t="s">
        <v>7152</v>
      </c>
      <c r="I2842" s="4" t="s">
        <v>7154</v>
      </c>
      <c r="J2842" s="4" t="s">
        <v>7152</v>
      </c>
      <c r="K2842" s="4" t="s">
        <v>7152</v>
      </c>
    </row>
    <row r="2843">
      <c r="A2843" s="4">
        <v>405.0</v>
      </c>
      <c r="B2843" s="4" t="s">
        <v>8035</v>
      </c>
      <c r="C2843" s="4"/>
      <c r="D2843" s="4" t="s">
        <v>8624</v>
      </c>
      <c r="E2843" s="4" t="s">
        <v>8625</v>
      </c>
      <c r="F2843" s="4" t="s">
        <v>8626</v>
      </c>
      <c r="G2843" s="5" t="str">
        <f>IFERROR(__xludf.DUMMYFUNCTION("GOOGLETRANSLATE(D2843,""en"",""es"")"),"escasez")</f>
        <v>escasez</v>
      </c>
      <c r="H2843" s="4" t="s">
        <v>8627</v>
      </c>
      <c r="I2843" s="4" t="s">
        <v>8624</v>
      </c>
    </row>
    <row r="2844">
      <c r="A2844" s="4">
        <v>406.0</v>
      </c>
      <c r="B2844" s="4" t="s">
        <v>8035</v>
      </c>
      <c r="C2844" s="4"/>
      <c r="D2844" s="4" t="s">
        <v>8628</v>
      </c>
      <c r="E2844" s="4" t="s">
        <v>8629</v>
      </c>
      <c r="F2844" s="4" t="s">
        <v>251</v>
      </c>
      <c r="G2844" s="5" t="str">
        <f>IFERROR(__xludf.DUMMYFUNCTION("GOOGLETRANSLATE(D2844,""en"",""es"")"),"pavo real")</f>
        <v>pavo real</v>
      </c>
      <c r="H2844" s="4" t="s">
        <v>8628</v>
      </c>
      <c r="I2844" s="4" t="s">
        <v>8630</v>
      </c>
      <c r="J2844" s="4" t="s">
        <v>8631</v>
      </c>
      <c r="K2844" s="4" t="s">
        <v>8628</v>
      </c>
    </row>
    <row r="2845">
      <c r="A2845" s="4">
        <v>407.0</v>
      </c>
      <c r="B2845" s="4" t="s">
        <v>8035</v>
      </c>
      <c r="C2845" s="4"/>
      <c r="D2845" s="4" t="s">
        <v>8632</v>
      </c>
      <c r="E2845" s="4" t="s">
        <v>4852</v>
      </c>
      <c r="F2845" s="4" t="s">
        <v>4851</v>
      </c>
      <c r="G2845" s="5" t="str">
        <f>IFERROR(__xludf.DUMMYFUNCTION("GOOGLETRANSLATE(D2845,""en"",""es"")"),"mirar furtivamente")</f>
        <v>mirar furtivamente</v>
      </c>
      <c r="H2845" s="4" t="s">
        <v>8633</v>
      </c>
      <c r="I2845" s="4" t="s">
        <v>8632</v>
      </c>
      <c r="J2845" s="4" t="s">
        <v>8634</v>
      </c>
      <c r="K2845" s="4" t="s">
        <v>8632</v>
      </c>
      <c r="L2845" s="4" t="s">
        <v>8632</v>
      </c>
      <c r="M2845" s="4" t="s">
        <v>8632</v>
      </c>
      <c r="N2845" s="4" t="s">
        <v>8632</v>
      </c>
      <c r="O2845" s="4" t="s">
        <v>8633</v>
      </c>
      <c r="P2845" s="4" t="s">
        <v>8635</v>
      </c>
      <c r="Q2845" s="4" t="s">
        <v>8636</v>
      </c>
      <c r="R2845" s="4" t="s">
        <v>8632</v>
      </c>
      <c r="S2845" s="4" t="s">
        <v>8632</v>
      </c>
    </row>
    <row r="2846">
      <c r="A2846" s="4">
        <v>408.0</v>
      </c>
      <c r="B2846" s="4" t="s">
        <v>8035</v>
      </c>
      <c r="C2846" s="4"/>
      <c r="D2846" s="4" t="s">
        <v>8637</v>
      </c>
      <c r="E2846" s="4" t="s">
        <v>5503</v>
      </c>
      <c r="F2846" s="4" t="s">
        <v>5504</v>
      </c>
      <c r="G2846" s="5" t="str">
        <f>IFERROR(__xludf.DUMMYFUNCTION("GOOGLETRANSLATE(D2846,""en"",""es"")"),"peepy")</f>
        <v>peepy</v>
      </c>
    </row>
    <row r="2847">
      <c r="A2847" s="4">
        <v>409.0</v>
      </c>
      <c r="B2847" s="4" t="s">
        <v>8035</v>
      </c>
      <c r="C2847" s="4"/>
      <c r="D2847" s="4" t="s">
        <v>7155</v>
      </c>
      <c r="E2847" s="4" t="s">
        <v>7156</v>
      </c>
      <c r="F2847" s="4" t="s">
        <v>3170</v>
      </c>
      <c r="G2847" s="5" t="str">
        <f>IFERROR(__xludf.DUMMYFUNCTION("GOOGLETRANSLATE(D2847,""en"",""es"")"),"lápiz")</f>
        <v>lápiz</v>
      </c>
      <c r="H2847" s="4" t="s">
        <v>7155</v>
      </c>
      <c r="I2847" s="4" t="s">
        <v>7155</v>
      </c>
      <c r="J2847" s="4" t="s">
        <v>7157</v>
      </c>
      <c r="K2847" s="4" t="s">
        <v>7155</v>
      </c>
      <c r="L2847" s="4" t="s">
        <v>7158</v>
      </c>
      <c r="M2847" s="4" t="s">
        <v>7155</v>
      </c>
      <c r="N2847" s="4" t="s">
        <v>7155</v>
      </c>
      <c r="O2847" s="4" t="s">
        <v>7159</v>
      </c>
      <c r="P2847" s="4" t="s">
        <v>7160</v>
      </c>
      <c r="Q2847" s="4" t="s">
        <v>7155</v>
      </c>
      <c r="R2847" s="4" t="s">
        <v>7161</v>
      </c>
    </row>
    <row r="2848">
      <c r="A2848" s="4">
        <v>410.0</v>
      </c>
      <c r="B2848" s="4" t="s">
        <v>8035</v>
      </c>
      <c r="C2848" s="4"/>
      <c r="D2848" s="4" t="s">
        <v>8638</v>
      </c>
      <c r="E2848" s="4" t="s">
        <v>8639</v>
      </c>
      <c r="F2848" s="4" t="s">
        <v>5451</v>
      </c>
      <c r="G2848" s="5" t="str">
        <f>IFERROR(__xludf.DUMMYFUNCTION("GOOGLETRANSLATE(D2848,""en"",""es"")"),"pene")</f>
        <v>pene</v>
      </c>
      <c r="H2848" s="4" t="s">
        <v>8638</v>
      </c>
      <c r="I2848" s="4" t="s">
        <v>8640</v>
      </c>
      <c r="J2848" s="4" t="s">
        <v>8641</v>
      </c>
    </row>
    <row r="2849">
      <c r="A2849" s="4">
        <v>411.0</v>
      </c>
      <c r="B2849" s="4" t="s">
        <v>8035</v>
      </c>
      <c r="C2849" s="4"/>
      <c r="D2849" s="4" t="s">
        <v>3457</v>
      </c>
      <c r="E2849" s="4" t="s">
        <v>7162</v>
      </c>
      <c r="F2849" s="4" t="s">
        <v>266</v>
      </c>
      <c r="G2849" s="5" t="str">
        <f>IFERROR(__xludf.DUMMYFUNCTION("GOOGLETRANSLATE(D2849,""en"",""es"")"),"Foto")</f>
        <v>Foto</v>
      </c>
      <c r="H2849" s="4" t="s">
        <v>7163</v>
      </c>
      <c r="I2849" s="4" t="s">
        <v>1240</v>
      </c>
      <c r="J2849" s="4" t="s">
        <v>7164</v>
      </c>
      <c r="K2849" s="4" t="s">
        <v>7165</v>
      </c>
      <c r="L2849" s="4" t="s">
        <v>7166</v>
      </c>
      <c r="M2849" s="4" t="s">
        <v>7167</v>
      </c>
      <c r="N2849" s="4" t="s">
        <v>7168</v>
      </c>
      <c r="O2849" s="4" t="s">
        <v>7169</v>
      </c>
      <c r="P2849" s="4" t="s">
        <v>3457</v>
      </c>
      <c r="Q2849" s="4" t="s">
        <v>4448</v>
      </c>
      <c r="R2849" s="4" t="s">
        <v>7170</v>
      </c>
      <c r="S2849" s="4" t="s">
        <v>7171</v>
      </c>
      <c r="T2849" s="4" t="s">
        <v>7172</v>
      </c>
      <c r="U2849" s="4" t="s">
        <v>7164</v>
      </c>
      <c r="V2849" s="4" t="s">
        <v>3457</v>
      </c>
    </row>
    <row r="2850">
      <c r="A2850" s="4">
        <v>412.0</v>
      </c>
      <c r="B2850" s="4" t="s">
        <v>8035</v>
      </c>
      <c r="C2850" s="4"/>
      <c r="D2850" s="4" t="s">
        <v>7173</v>
      </c>
      <c r="E2850" s="4" t="s">
        <v>7174</v>
      </c>
      <c r="F2850" s="4" t="s">
        <v>7175</v>
      </c>
      <c r="G2850" s="5" t="str">
        <f>IFERROR(__xludf.DUMMYFUNCTION("GOOGLETRANSLATE(D2850,""en"",""es"")"),"piccy")</f>
        <v>piccy</v>
      </c>
    </row>
    <row r="2851">
      <c r="A2851" s="4">
        <v>413.0</v>
      </c>
      <c r="B2851" s="4" t="s">
        <v>8035</v>
      </c>
      <c r="C2851" s="4"/>
      <c r="D2851" s="4" t="s">
        <v>3459</v>
      </c>
      <c r="E2851" s="4" t="s">
        <v>7162</v>
      </c>
      <c r="F2851" s="4" t="s">
        <v>266</v>
      </c>
      <c r="G2851" s="5" t="str">
        <f>IFERROR(__xludf.DUMMYFUNCTION("GOOGLETRANSLATE(D2851,""en"",""es"")"),"elegir")</f>
        <v>elegir</v>
      </c>
      <c r="H2851" s="4" t="s">
        <v>7176</v>
      </c>
      <c r="I2851" s="4" t="s">
        <v>3459</v>
      </c>
      <c r="J2851" s="4" t="s">
        <v>7177</v>
      </c>
      <c r="K2851" s="4" t="s">
        <v>7178</v>
      </c>
      <c r="L2851" s="4" t="s">
        <v>3459</v>
      </c>
      <c r="M2851" s="4" t="s">
        <v>2937</v>
      </c>
      <c r="N2851" s="4" t="s">
        <v>3459</v>
      </c>
      <c r="O2851" s="4" t="s">
        <v>7179</v>
      </c>
      <c r="P2851" s="4" t="s">
        <v>7180</v>
      </c>
      <c r="Q2851" s="4" t="s">
        <v>7181</v>
      </c>
      <c r="R2851" s="4" t="s">
        <v>3459</v>
      </c>
      <c r="S2851" s="4" t="s">
        <v>3459</v>
      </c>
      <c r="T2851" s="4" t="s">
        <v>7182</v>
      </c>
      <c r="U2851" s="4" t="s">
        <v>7183</v>
      </c>
      <c r="V2851" s="4" t="s">
        <v>3459</v>
      </c>
      <c r="W2851" s="4" t="s">
        <v>3459</v>
      </c>
      <c r="X2851" s="4" t="s">
        <v>3460</v>
      </c>
      <c r="Y2851" s="4" t="s">
        <v>3461</v>
      </c>
      <c r="Z2851" s="4" t="s">
        <v>3459</v>
      </c>
      <c r="AA2851" s="4" t="s">
        <v>7176</v>
      </c>
      <c r="AB2851" s="4" t="s">
        <v>7177</v>
      </c>
      <c r="AC2851" s="4" t="s">
        <v>7184</v>
      </c>
      <c r="AD2851" s="4" t="s">
        <v>3459</v>
      </c>
      <c r="AE2851" s="4" t="s">
        <v>3459</v>
      </c>
      <c r="AF2851" s="4" t="s">
        <v>3459</v>
      </c>
      <c r="AG2851" s="4" t="s">
        <v>6291</v>
      </c>
      <c r="AH2851" s="4" t="s">
        <v>1640</v>
      </c>
      <c r="AI2851" s="4" t="s">
        <v>7185</v>
      </c>
      <c r="AJ2851" s="4" t="s">
        <v>7186</v>
      </c>
      <c r="AK2851" s="4" t="s">
        <v>3459</v>
      </c>
      <c r="AL2851" s="4" t="s">
        <v>3459</v>
      </c>
      <c r="AM2851" s="4" t="s">
        <v>3459</v>
      </c>
      <c r="AN2851" s="4" t="s">
        <v>7187</v>
      </c>
      <c r="AO2851" s="4" t="s">
        <v>3459</v>
      </c>
      <c r="AP2851" s="4" t="s">
        <v>3459</v>
      </c>
      <c r="AQ2851" s="4" t="s">
        <v>7188</v>
      </c>
      <c r="AR2851" s="4" t="s">
        <v>3459</v>
      </c>
      <c r="AS2851" s="4" t="s">
        <v>6291</v>
      </c>
      <c r="AT2851" s="4" t="s">
        <v>7189</v>
      </c>
      <c r="AU2851" s="4" t="s">
        <v>3459</v>
      </c>
      <c r="AV2851" s="4" t="s">
        <v>3459</v>
      </c>
      <c r="AW2851" s="4" t="s">
        <v>943</v>
      </c>
      <c r="AX2851" s="4" t="s">
        <v>1750</v>
      </c>
      <c r="AY2851" s="4" t="s">
        <v>3459</v>
      </c>
      <c r="AZ2851" s="4" t="s">
        <v>7190</v>
      </c>
      <c r="BA2851" s="4" t="s">
        <v>3485</v>
      </c>
      <c r="BB2851" s="4" t="s">
        <v>3459</v>
      </c>
      <c r="BC2851" s="4" t="s">
        <v>3486</v>
      </c>
    </row>
    <row r="2852">
      <c r="A2852" s="4">
        <v>414.0</v>
      </c>
      <c r="B2852" s="4" t="s">
        <v>8035</v>
      </c>
      <c r="C2852" s="4"/>
      <c r="D2852" s="4" t="s">
        <v>7191</v>
      </c>
      <c r="E2852" s="4" t="s">
        <v>7174</v>
      </c>
      <c r="F2852" s="4" t="s">
        <v>7175</v>
      </c>
      <c r="G2852" s="5" t="str">
        <f>IFERROR(__xludf.DUMMYFUNCTION("GOOGLETRANSLATE(D2852,""en"",""es"")"),"quisquilloso")</f>
        <v>quisquilloso</v>
      </c>
      <c r="H2852" s="4" t="s">
        <v>7192</v>
      </c>
      <c r="I2852" s="4" t="s">
        <v>7193</v>
      </c>
      <c r="J2852" s="4" t="s">
        <v>7194</v>
      </c>
      <c r="K2852" s="4" t="s">
        <v>7195</v>
      </c>
      <c r="L2852" s="4" t="s">
        <v>7191</v>
      </c>
    </row>
    <row r="2853">
      <c r="A2853" s="4">
        <v>415.0</v>
      </c>
      <c r="B2853" s="4" t="s">
        <v>8035</v>
      </c>
      <c r="C2853" s="4"/>
      <c r="D2853" s="4" t="s">
        <v>7196</v>
      </c>
      <c r="E2853" s="4" t="s">
        <v>7174</v>
      </c>
      <c r="F2853" s="4" t="s">
        <v>7175</v>
      </c>
      <c r="G2853" s="5" t="str">
        <f>IFERROR(__xludf.DUMMYFUNCTION("GOOGLETRANSLATE(D2853,""en"",""es"")"),"pikkie")</f>
        <v>pikkie</v>
      </c>
    </row>
    <row r="2854">
      <c r="A2854" s="4">
        <v>416.0</v>
      </c>
      <c r="B2854" s="4" t="s">
        <v>8035</v>
      </c>
      <c r="C2854" s="4"/>
      <c r="D2854" s="4" t="s">
        <v>7197</v>
      </c>
      <c r="E2854" s="4" t="s">
        <v>7198</v>
      </c>
      <c r="F2854" s="4" t="s">
        <v>7199</v>
      </c>
      <c r="G2854" s="5" t="str">
        <f>IFERROR(__xludf.DUMMYFUNCTION("GOOGLETRANSLATE(D2854,""en"",""es"")"),"píldora")</f>
        <v>píldora</v>
      </c>
      <c r="H2854" s="4" t="s">
        <v>7197</v>
      </c>
      <c r="I2854" s="4" t="s">
        <v>7197</v>
      </c>
      <c r="J2854" s="4" t="s">
        <v>7200</v>
      </c>
      <c r="K2854" s="4" t="s">
        <v>7201</v>
      </c>
      <c r="L2854" s="4" t="s">
        <v>7202</v>
      </c>
      <c r="M2854" s="4" t="s">
        <v>7197</v>
      </c>
      <c r="N2854" s="4" t="s">
        <v>7197</v>
      </c>
      <c r="O2854" s="4" t="s">
        <v>7197</v>
      </c>
      <c r="P2854" s="4" t="s">
        <v>7203</v>
      </c>
      <c r="Q2854" s="4" t="s">
        <v>7204</v>
      </c>
      <c r="R2854" s="4" t="s">
        <v>7205</v>
      </c>
      <c r="S2854" s="4" t="s">
        <v>7206</v>
      </c>
      <c r="T2854" s="4" t="s">
        <v>7207</v>
      </c>
      <c r="U2854" s="4" t="s">
        <v>7208</v>
      </c>
    </row>
    <row r="2855">
      <c r="A2855" s="4">
        <v>417.0</v>
      </c>
      <c r="B2855" s="4" t="s">
        <v>8035</v>
      </c>
      <c r="C2855" s="4"/>
      <c r="D2855" s="4" t="s">
        <v>3170</v>
      </c>
      <c r="E2855" s="4" t="s">
        <v>7156</v>
      </c>
      <c r="F2855" s="4" t="s">
        <v>3170</v>
      </c>
      <c r="G2855" s="5" t="str">
        <f>IFERROR(__xludf.DUMMYFUNCTION("GOOGLETRANSLATE(D2855,""en"",""es"")"),"alfiler")</f>
        <v>alfiler</v>
      </c>
      <c r="H2855" s="4" t="s">
        <v>3170</v>
      </c>
      <c r="I2855" s="4" t="s">
        <v>4502</v>
      </c>
      <c r="J2855" s="4" t="s">
        <v>3170</v>
      </c>
      <c r="K2855" s="4" t="s">
        <v>3171</v>
      </c>
      <c r="L2855" s="4" t="s">
        <v>3170</v>
      </c>
      <c r="M2855" s="4" t="s">
        <v>7209</v>
      </c>
      <c r="N2855" s="4" t="s">
        <v>7210</v>
      </c>
      <c r="O2855" s="4" t="s">
        <v>7211</v>
      </c>
      <c r="P2855" s="4" t="s">
        <v>3170</v>
      </c>
      <c r="Q2855" s="4" t="s">
        <v>3171</v>
      </c>
      <c r="R2855" s="4" t="s">
        <v>3169</v>
      </c>
      <c r="S2855" s="4" t="s">
        <v>7212</v>
      </c>
      <c r="T2855" s="4" t="s">
        <v>3170</v>
      </c>
      <c r="U2855" s="4" t="s">
        <v>3170</v>
      </c>
      <c r="V2855" s="4" t="s">
        <v>7213</v>
      </c>
      <c r="W2855" s="4" t="s">
        <v>3170</v>
      </c>
      <c r="X2855" s="4" t="s">
        <v>2179</v>
      </c>
      <c r="Y2855" s="4" t="s">
        <v>3170</v>
      </c>
      <c r="Z2855" s="4" t="s">
        <v>3171</v>
      </c>
      <c r="AA2855" s="4" t="s">
        <v>3170</v>
      </c>
      <c r="AB2855" s="4" t="s">
        <v>7214</v>
      </c>
      <c r="AC2855" s="4" t="s">
        <v>7215</v>
      </c>
      <c r="AD2855" s="4" t="s">
        <v>7216</v>
      </c>
      <c r="AE2855" s="4" t="s">
        <v>7217</v>
      </c>
      <c r="AF2855" s="4" t="s">
        <v>7218</v>
      </c>
      <c r="AG2855" s="4" t="s">
        <v>3170</v>
      </c>
      <c r="AH2855" s="4" t="s">
        <v>7219</v>
      </c>
      <c r="AI2855" s="4" t="s">
        <v>3170</v>
      </c>
      <c r="AJ2855" s="4" t="s">
        <v>7220</v>
      </c>
      <c r="AK2855" s="4" t="s">
        <v>7221</v>
      </c>
      <c r="AL2855" s="4" t="s">
        <v>3170</v>
      </c>
      <c r="AM2855" s="4" t="s">
        <v>3170</v>
      </c>
      <c r="AN2855" s="4" t="s">
        <v>3170</v>
      </c>
    </row>
    <row r="2856">
      <c r="A2856" s="4">
        <v>418.0</v>
      </c>
      <c r="B2856" s="4" t="s">
        <v>8035</v>
      </c>
      <c r="C2856" s="4"/>
      <c r="D2856" s="4" t="s">
        <v>7222</v>
      </c>
      <c r="E2856" s="4" t="s">
        <v>7223</v>
      </c>
      <c r="F2856" s="4" t="s">
        <v>5451</v>
      </c>
      <c r="G2856" s="5" t="str">
        <f>IFERROR(__xludf.DUMMYFUNCTION("GOOGLETRANSLATE(D2856,""en"",""es"")"),"pinaza")</f>
        <v>pinaza</v>
      </c>
      <c r="H2856" s="4" t="s">
        <v>7224</v>
      </c>
      <c r="I2856" s="4" t="s">
        <v>7225</v>
      </c>
      <c r="J2856" s="4" t="s">
        <v>7222</v>
      </c>
      <c r="K2856" s="4" t="s">
        <v>7226</v>
      </c>
    </row>
    <row r="2857">
      <c r="A2857" s="4">
        <v>419.0</v>
      </c>
      <c r="B2857" s="4" t="s">
        <v>8035</v>
      </c>
      <c r="C2857" s="4"/>
      <c r="D2857" s="4" t="s">
        <v>7227</v>
      </c>
      <c r="E2857" s="4" t="s">
        <v>7228</v>
      </c>
      <c r="F2857" s="4" t="s">
        <v>5448</v>
      </c>
      <c r="G2857" s="5" t="str">
        <f>IFERROR(__xludf.DUMMYFUNCTION("GOOGLETRANSLATE(D2857,""en"",""es"")"),"delantal")</f>
        <v>delantal</v>
      </c>
      <c r="H2857" s="4" t="s">
        <v>7229</v>
      </c>
      <c r="I2857" s="4" t="s">
        <v>7230</v>
      </c>
      <c r="J2857" s="4" t="s">
        <v>7227</v>
      </c>
    </row>
    <row r="2858">
      <c r="A2858" s="4">
        <v>420.0</v>
      </c>
      <c r="B2858" s="4" t="s">
        <v>8035</v>
      </c>
      <c r="C2858" s="4"/>
      <c r="D2858" s="4" t="s">
        <v>4851</v>
      </c>
      <c r="E2858" s="4" t="s">
        <v>7231</v>
      </c>
      <c r="F2858" s="4" t="s">
        <v>4851</v>
      </c>
      <c r="G2858" s="5" t="str">
        <f>IFERROR(__xludf.DUMMYFUNCTION("GOOGLETRANSLATE(D2858,""en"",""es"")"),"pepita")</f>
        <v>pepita</v>
      </c>
      <c r="H2858" s="4" t="s">
        <v>4851</v>
      </c>
      <c r="I2858" s="4" t="s">
        <v>4851</v>
      </c>
      <c r="J2858" s="4" t="s">
        <v>4851</v>
      </c>
      <c r="K2858" s="4" t="s">
        <v>2298</v>
      </c>
      <c r="L2858" s="4" t="s">
        <v>4851</v>
      </c>
      <c r="M2858" s="4" t="s">
        <v>7232</v>
      </c>
      <c r="N2858" s="4" t="s">
        <v>4851</v>
      </c>
      <c r="O2858" s="4" t="s">
        <v>7233</v>
      </c>
      <c r="P2858" s="4" t="s">
        <v>4430</v>
      </c>
      <c r="Q2858" s="4" t="s">
        <v>4851</v>
      </c>
      <c r="R2858" s="4" t="s">
        <v>4430</v>
      </c>
      <c r="S2858" s="4" t="s">
        <v>856</v>
      </c>
      <c r="T2858" s="4" t="s">
        <v>4851</v>
      </c>
      <c r="U2858" s="4" t="s">
        <v>7234</v>
      </c>
      <c r="V2858" s="4" t="s">
        <v>4851</v>
      </c>
      <c r="W2858" s="4" t="s">
        <v>7235</v>
      </c>
      <c r="X2858" s="4" t="s">
        <v>6574</v>
      </c>
      <c r="Y2858" s="4" t="s">
        <v>7236</v>
      </c>
    </row>
    <row r="2859">
      <c r="A2859" s="4">
        <v>421.0</v>
      </c>
      <c r="B2859" s="4" t="s">
        <v>8035</v>
      </c>
      <c r="C2859" s="4"/>
      <c r="D2859" s="4" t="s">
        <v>7237</v>
      </c>
      <c r="E2859" s="4" t="s">
        <v>7238</v>
      </c>
      <c r="F2859" s="4" t="s">
        <v>7237</v>
      </c>
      <c r="G2859" s="5" t="str">
        <f>IFERROR(__xludf.DUMMYFUNCTION("GOOGLETRANSLATE(D2859,""en"",""es"")"),"pish")</f>
        <v>pish</v>
      </c>
    </row>
    <row r="2860">
      <c r="A2860" s="4">
        <v>422.0</v>
      </c>
      <c r="B2860" s="4" t="s">
        <v>8035</v>
      </c>
      <c r="C2860" s="4"/>
      <c r="D2860" s="4" t="s">
        <v>7239</v>
      </c>
      <c r="E2860" s="4" t="s">
        <v>7240</v>
      </c>
      <c r="F2860" s="4" t="s">
        <v>3570</v>
      </c>
      <c r="G2860" s="5" t="str">
        <f>IFERROR(__xludf.DUMMYFUNCTION("GOOGLETRANSLATE(D2860,""en"",""es"")"),"orinar")</f>
        <v>orinar</v>
      </c>
      <c r="H2860" s="4" t="s">
        <v>7241</v>
      </c>
      <c r="I2860" s="4" t="s">
        <v>7239</v>
      </c>
      <c r="J2860" s="4" t="s">
        <v>7242</v>
      </c>
      <c r="K2860" s="4" t="s">
        <v>7243</v>
      </c>
      <c r="L2860" s="4" t="s">
        <v>7244</v>
      </c>
      <c r="M2860" s="4" t="s">
        <v>7245</v>
      </c>
      <c r="N2860" s="4" t="s">
        <v>7246</v>
      </c>
      <c r="O2860" s="4" t="s">
        <v>7242</v>
      </c>
      <c r="P2860" s="4" t="s">
        <v>7247</v>
      </c>
      <c r="Q2860" s="4" t="s">
        <v>7239</v>
      </c>
      <c r="R2860" s="4" t="s">
        <v>3000</v>
      </c>
      <c r="S2860" s="4" t="s">
        <v>7248</v>
      </c>
      <c r="T2860" s="4" t="s">
        <v>7243</v>
      </c>
      <c r="U2860" s="4" t="s">
        <v>4723</v>
      </c>
      <c r="V2860" s="4" t="s">
        <v>7249</v>
      </c>
      <c r="W2860" s="4" t="s">
        <v>7239</v>
      </c>
      <c r="X2860" s="4" t="s">
        <v>7242</v>
      </c>
      <c r="Y2860" s="4" t="s">
        <v>7250</v>
      </c>
      <c r="Z2860" s="4" t="s">
        <v>7251</v>
      </c>
      <c r="AA2860" s="4" t="s">
        <v>7252</v>
      </c>
      <c r="AB2860" s="4" t="s">
        <v>7253</v>
      </c>
      <c r="AC2860" s="4" t="s">
        <v>7254</v>
      </c>
      <c r="AD2860" s="4" t="s">
        <v>4693</v>
      </c>
      <c r="AE2860" s="4" t="s">
        <v>7255</v>
      </c>
      <c r="AF2860" s="4" t="s">
        <v>7256</v>
      </c>
    </row>
    <row r="2861">
      <c r="A2861" s="4">
        <v>423.0</v>
      </c>
      <c r="B2861" s="4" t="s">
        <v>8035</v>
      </c>
      <c r="C2861" s="4"/>
      <c r="D2861" s="4" t="s">
        <v>7257</v>
      </c>
      <c r="E2861" s="4" t="s">
        <v>7258</v>
      </c>
      <c r="F2861" s="4" t="s">
        <v>7259</v>
      </c>
      <c r="G2861" s="5" t="str">
        <f>IFERROR(__xludf.DUMMYFUNCTION("GOOGLETRANSLATE(D2861,""en"",""es"")"),"pisoteo")</f>
        <v>pisoteo</v>
      </c>
    </row>
    <row r="2862">
      <c r="A2862" s="4">
        <v>424.0</v>
      </c>
      <c r="B2862" s="4" t="s">
        <v>8035</v>
      </c>
      <c r="C2862" s="4"/>
      <c r="D2862" s="4" t="s">
        <v>395</v>
      </c>
      <c r="E2862" s="4" t="s">
        <v>7260</v>
      </c>
      <c r="F2862" s="4" t="s">
        <v>395</v>
      </c>
      <c r="G2862" s="5" t="str">
        <f>IFERROR(__xludf.DUMMYFUNCTION("GOOGLETRANSLATE(D2862,""en"",""es"")"),"Agave")</f>
        <v>Agave</v>
      </c>
      <c r="H2862" s="4" t="s">
        <v>395</v>
      </c>
      <c r="I2862" s="4" t="s">
        <v>3587</v>
      </c>
    </row>
    <row r="2863">
      <c r="A2863" s="4">
        <v>425.0</v>
      </c>
      <c r="B2863" s="4" t="s">
        <v>8035</v>
      </c>
      <c r="C2863" s="4"/>
      <c r="D2863" s="4" t="s">
        <v>7261</v>
      </c>
      <c r="E2863" s="4" t="s">
        <v>7262</v>
      </c>
      <c r="F2863" s="4" t="s">
        <v>7261</v>
      </c>
      <c r="G2863" s="5" t="str">
        <f>IFERROR(__xludf.DUMMYFUNCTION("GOOGLETRANSLATE(D2863,""en"",""es"")"),"médula")</f>
        <v>médula</v>
      </c>
      <c r="H2863" s="4" t="s">
        <v>7261</v>
      </c>
      <c r="I2863" s="4" t="s">
        <v>7263</v>
      </c>
      <c r="J2863" s="4" t="s">
        <v>5326</v>
      </c>
      <c r="K2863" s="4" t="s">
        <v>7264</v>
      </c>
      <c r="L2863" s="4" t="s">
        <v>4621</v>
      </c>
      <c r="M2863" s="4" t="s">
        <v>4622</v>
      </c>
      <c r="N2863" s="4" t="s">
        <v>7265</v>
      </c>
      <c r="O2863" s="4" t="s">
        <v>7266</v>
      </c>
      <c r="P2863" s="4" t="s">
        <v>4624</v>
      </c>
      <c r="Q2863" s="4" t="s">
        <v>7267</v>
      </c>
      <c r="R2863" s="4" t="s">
        <v>7268</v>
      </c>
      <c r="S2863" s="4" t="s">
        <v>7269</v>
      </c>
      <c r="T2863" s="4" t="s">
        <v>7270</v>
      </c>
      <c r="U2863" s="4" t="s">
        <v>7271</v>
      </c>
      <c r="V2863" s="4" t="s">
        <v>7261</v>
      </c>
      <c r="W2863" s="4" t="s">
        <v>4123</v>
      </c>
      <c r="X2863" s="4" t="s">
        <v>7272</v>
      </c>
      <c r="Y2863" s="4" t="s">
        <v>7261</v>
      </c>
    </row>
    <row r="2864">
      <c r="A2864" s="4">
        <v>426.0</v>
      </c>
      <c r="B2864" s="4" t="s">
        <v>8035</v>
      </c>
      <c r="C2864" s="4"/>
      <c r="D2864" s="4" t="s">
        <v>7273</v>
      </c>
      <c r="E2864" s="4" t="s">
        <v>7274</v>
      </c>
      <c r="F2864" s="4" t="s">
        <v>5439</v>
      </c>
      <c r="G2864" s="5" t="str">
        <f>IFERROR(__xludf.DUMMYFUNCTION("GOOGLETRANSLATE(D2864,""en"",""es"")"),"sustancial")</f>
        <v>sustancial</v>
      </c>
      <c r="H2864" s="4" t="s">
        <v>7273</v>
      </c>
      <c r="I2864" s="4" t="s">
        <v>7275</v>
      </c>
    </row>
    <row r="2865">
      <c r="A2865" s="4">
        <v>427.0</v>
      </c>
      <c r="B2865" s="4" t="s">
        <v>8035</v>
      </c>
      <c r="C2865" s="4"/>
      <c r="D2865" s="4" t="s">
        <v>7276</v>
      </c>
      <c r="E2865" s="4" t="s">
        <v>7277</v>
      </c>
      <c r="F2865" s="4" t="s">
        <v>7278</v>
      </c>
      <c r="G2865" s="5" t="str">
        <f>IFERROR(__xludf.DUMMYFUNCTION("GOOGLETRANSLATE(D2865,""en"",""es"")"),"pitty")</f>
        <v>pitty</v>
      </c>
    </row>
    <row r="2866">
      <c r="A2866" s="4">
        <v>428.0</v>
      </c>
      <c r="B2866" s="4" t="s">
        <v>8035</v>
      </c>
      <c r="C2866" s="4"/>
      <c r="D2866" s="4" t="s">
        <v>7279</v>
      </c>
      <c r="E2866" s="4" t="s">
        <v>7277</v>
      </c>
      <c r="F2866" s="4" t="s">
        <v>7278</v>
      </c>
      <c r="G2866" s="5" t="str">
        <f>IFERROR(__xludf.DUMMYFUNCTION("GOOGLETRANSLATE(D2866,""en"",""es"")"),"lástima")</f>
        <v>lástima</v>
      </c>
      <c r="H2866" s="4" t="s">
        <v>7280</v>
      </c>
      <c r="I2866" s="4" t="s">
        <v>7279</v>
      </c>
      <c r="J2866" s="4" t="s">
        <v>7281</v>
      </c>
      <c r="K2866" s="4" t="s">
        <v>7282</v>
      </c>
      <c r="L2866" s="4" t="s">
        <v>7279</v>
      </c>
      <c r="M2866" s="4" t="s">
        <v>7283</v>
      </c>
      <c r="N2866" s="4" t="s">
        <v>7284</v>
      </c>
      <c r="O2866" s="4" t="s">
        <v>7279</v>
      </c>
      <c r="P2866" s="4" t="s">
        <v>7285</v>
      </c>
      <c r="Q2866" s="4" t="s">
        <v>7279</v>
      </c>
      <c r="R2866" s="4" t="s">
        <v>7286</v>
      </c>
      <c r="S2866" s="4" t="s">
        <v>7287</v>
      </c>
      <c r="T2866" s="4" t="s">
        <v>7288</v>
      </c>
    </row>
    <row r="2867">
      <c r="A2867" s="4">
        <v>429.0</v>
      </c>
      <c r="B2867" s="4" t="s">
        <v>8035</v>
      </c>
      <c r="C2867" s="4"/>
      <c r="D2867" s="4" t="s">
        <v>8642</v>
      </c>
      <c r="E2867" s="4" t="s">
        <v>8643</v>
      </c>
      <c r="F2867" s="4" t="s">
        <v>392</v>
      </c>
      <c r="G2867" s="5" t="str">
        <f>IFERROR(__xludf.DUMMYFUNCTION("GOOGLETRANSLATE(D2867,""en"",""es"")"),"picadura")</f>
        <v>picadura</v>
      </c>
      <c r="H2867" s="4" t="s">
        <v>8642</v>
      </c>
      <c r="I2867" s="4" t="s">
        <v>8644</v>
      </c>
      <c r="J2867" s="4" t="s">
        <v>3008</v>
      </c>
      <c r="K2867" s="4" t="s">
        <v>8642</v>
      </c>
      <c r="L2867" s="4" t="s">
        <v>8645</v>
      </c>
    </row>
    <row r="2868">
      <c r="A2868" s="4">
        <v>430.0</v>
      </c>
      <c r="B2868" s="4" t="s">
        <v>8035</v>
      </c>
      <c r="C2868" s="4"/>
      <c r="D2868" s="4" t="s">
        <v>7289</v>
      </c>
      <c r="E2868" s="4" t="s">
        <v>3767</v>
      </c>
      <c r="F2868" s="4" t="s">
        <v>3766</v>
      </c>
      <c r="G2868" s="5" t="str">
        <f>IFERROR(__xludf.DUMMYFUNCTION("GOOGLETRANSLATE(D2868,""en"",""es"")"),"poes")</f>
        <v>poes</v>
      </c>
      <c r="H2868" s="4" t="s">
        <v>7290</v>
      </c>
      <c r="I2868" s="4" t="s">
        <v>7291</v>
      </c>
    </row>
    <row r="2869">
      <c r="A2869" s="4">
        <v>431.0</v>
      </c>
      <c r="B2869" s="4" t="s">
        <v>8035</v>
      </c>
      <c r="C2869" s="4"/>
      <c r="D2869" s="4" t="s">
        <v>3648</v>
      </c>
      <c r="E2869" s="4" t="s">
        <v>8597</v>
      </c>
      <c r="F2869" s="4" t="s">
        <v>3161</v>
      </c>
      <c r="G2869" s="5" t="str">
        <f>IFERROR(__xludf.DUMMYFUNCTION("GOOGLETRANSLATE(D2869,""en"",""es"")"),"polla")</f>
        <v>polla</v>
      </c>
      <c r="H2869" s="4" t="s">
        <v>3646</v>
      </c>
      <c r="I2869" s="4" t="s">
        <v>3647</v>
      </c>
      <c r="J2869" s="4" t="s">
        <v>3648</v>
      </c>
      <c r="K2869" s="4" t="s">
        <v>3649</v>
      </c>
    </row>
    <row r="2870">
      <c r="A2870" s="4">
        <v>432.0</v>
      </c>
      <c r="B2870" s="4" t="s">
        <v>8035</v>
      </c>
      <c r="C2870" s="4"/>
      <c r="D2870" s="4" t="s">
        <v>3617</v>
      </c>
      <c r="E2870" s="4" t="s">
        <v>8646</v>
      </c>
      <c r="F2870" s="4" t="s">
        <v>8647</v>
      </c>
      <c r="G2870" s="5" t="str">
        <f>IFERROR(__xludf.DUMMYFUNCTION("GOOGLETRANSLATE(D2870,""en"",""es"")"),"polaco")</f>
        <v>polaco</v>
      </c>
      <c r="H2870" s="4" t="s">
        <v>3617</v>
      </c>
      <c r="I2870" s="4" t="s">
        <v>2584</v>
      </c>
      <c r="J2870" s="4" t="s">
        <v>8648</v>
      </c>
      <c r="K2870" s="4" t="s">
        <v>3628</v>
      </c>
      <c r="L2870" s="4" t="s">
        <v>3617</v>
      </c>
      <c r="M2870" s="4" t="s">
        <v>2596</v>
      </c>
      <c r="N2870" s="4" t="s">
        <v>8649</v>
      </c>
      <c r="O2870" s="4" t="s">
        <v>8650</v>
      </c>
      <c r="P2870" s="4" t="s">
        <v>951</v>
      </c>
      <c r="Q2870" s="4" t="s">
        <v>3617</v>
      </c>
      <c r="R2870" s="4" t="s">
        <v>8651</v>
      </c>
      <c r="S2870" s="4" t="s">
        <v>3617</v>
      </c>
      <c r="T2870" s="4" t="s">
        <v>3625</v>
      </c>
      <c r="U2870" s="4" t="s">
        <v>3626</v>
      </c>
      <c r="V2870" s="4" t="s">
        <v>3627</v>
      </c>
      <c r="W2870" s="4" t="s">
        <v>3617</v>
      </c>
      <c r="X2870" s="4" t="s">
        <v>3622</v>
      </c>
      <c r="Y2870" s="4" t="s">
        <v>3623</v>
      </c>
      <c r="Z2870" s="4" t="s">
        <v>3624</v>
      </c>
      <c r="AA2870" s="4" t="s">
        <v>3617</v>
      </c>
      <c r="AB2870" s="4" t="s">
        <v>3618</v>
      </c>
      <c r="AC2870" s="4" t="s">
        <v>3619</v>
      </c>
      <c r="AD2870" s="4" t="s">
        <v>3620</v>
      </c>
      <c r="AE2870" s="4" t="s">
        <v>3621</v>
      </c>
      <c r="AF2870" s="4" t="s">
        <v>8651</v>
      </c>
    </row>
    <row r="2871">
      <c r="A2871" s="4">
        <v>433.0</v>
      </c>
      <c r="B2871" s="4" t="s">
        <v>8035</v>
      </c>
      <c r="C2871" s="4"/>
      <c r="D2871" s="4" t="s">
        <v>8652</v>
      </c>
      <c r="E2871" s="4" t="s">
        <v>8653</v>
      </c>
      <c r="F2871" s="4" t="s">
        <v>8654</v>
      </c>
      <c r="G2871" s="5" t="str">
        <f>IFERROR(__xludf.DUMMYFUNCTION("GOOGLETRANSLATE(D2871,""en"",""es"")"),"gobierno")</f>
        <v>gobierno</v>
      </c>
      <c r="H2871" s="4" t="s">
        <v>8655</v>
      </c>
      <c r="I2871" s="4" t="s">
        <v>8652</v>
      </c>
      <c r="J2871" s="4" t="s">
        <v>8652</v>
      </c>
      <c r="K2871" s="4" t="s">
        <v>8652</v>
      </c>
    </row>
    <row r="2872">
      <c r="A2872" s="4">
        <v>434.0</v>
      </c>
      <c r="B2872" s="4" t="s">
        <v>8035</v>
      </c>
      <c r="C2872" s="4"/>
      <c r="D2872" s="4" t="s">
        <v>8656</v>
      </c>
      <c r="E2872" s="4" t="s">
        <v>8657</v>
      </c>
      <c r="F2872" s="4" t="s">
        <v>8658</v>
      </c>
      <c r="G2872" s="5" t="str">
        <f>IFERROR(__xludf.DUMMYFUNCTION("GOOGLETRANSLATE(D2872,""en"",""es"")"),"erudito")</f>
        <v>erudito</v>
      </c>
      <c r="H2872" s="4" t="s">
        <v>8656</v>
      </c>
    </row>
    <row r="2873">
      <c r="A2873" s="4">
        <v>435.0</v>
      </c>
      <c r="B2873" s="4" t="s">
        <v>8035</v>
      </c>
      <c r="C2873" s="4"/>
      <c r="D2873" s="4" t="s">
        <v>8656</v>
      </c>
      <c r="E2873" s="4" t="s">
        <v>8659</v>
      </c>
      <c r="F2873" s="4" t="s">
        <v>8658</v>
      </c>
      <c r="G2873" s="5" t="str">
        <f>IFERROR(__xludf.DUMMYFUNCTION("GOOGLETRANSLATE(D2873,""en"",""es"")"),"erudito")</f>
        <v>erudito</v>
      </c>
      <c r="H2873" s="4" t="s">
        <v>8656</v>
      </c>
    </row>
    <row r="2874">
      <c r="A2874" s="4">
        <v>436.0</v>
      </c>
      <c r="B2874" s="4" t="s">
        <v>8035</v>
      </c>
      <c r="C2874" s="4"/>
      <c r="D2874" s="4" t="s">
        <v>8660</v>
      </c>
      <c r="E2874" s="4" t="s">
        <v>8661</v>
      </c>
      <c r="F2874" s="4" t="s">
        <v>8662</v>
      </c>
      <c r="G2874" s="5" t="str">
        <f>IFERROR(__xludf.DUMMYFUNCTION("GOOGLETRANSLATE(D2874,""en"",""es"")"),"pólipo")</f>
        <v>pólipo</v>
      </c>
      <c r="H2874" s="4" t="s">
        <v>8660</v>
      </c>
      <c r="I2874" s="4" t="s">
        <v>8663</v>
      </c>
      <c r="J2874" s="4" t="s">
        <v>8660</v>
      </c>
    </row>
    <row r="2875">
      <c r="A2875" s="4">
        <v>437.0</v>
      </c>
      <c r="B2875" s="4" t="s">
        <v>8035</v>
      </c>
      <c r="C2875" s="4"/>
      <c r="D2875" s="4" t="s">
        <v>8664</v>
      </c>
      <c r="E2875" s="4" t="s">
        <v>8665</v>
      </c>
      <c r="F2875" s="4" t="s">
        <v>8666</v>
      </c>
      <c r="G2875" s="5" t="str">
        <f>IFERROR(__xludf.DUMMYFUNCTION("GOOGLETRANSLATE(D2875,""en"",""es"")"),"polónyonico")</f>
        <v>polónyonico</v>
      </c>
    </row>
    <row r="2876">
      <c r="A2876" s="4">
        <v>438.0</v>
      </c>
      <c r="B2876" s="4" t="s">
        <v>8035</v>
      </c>
      <c r="C2876" s="4"/>
      <c r="D2876" s="4" t="s">
        <v>8667</v>
      </c>
      <c r="E2876" s="4" t="s">
        <v>8668</v>
      </c>
      <c r="F2876" s="4" t="s">
        <v>8669</v>
      </c>
      <c r="G2876" s="5" t="str">
        <f>IFERROR(__xludf.DUMMYFUNCTION("GOOGLETRANSLATE(D2876,""en"",""es"")"),"pomey")</f>
        <v>pomey</v>
      </c>
    </row>
    <row r="2877">
      <c r="A2877" s="4">
        <v>439.0</v>
      </c>
      <c r="B2877" s="4" t="s">
        <v>8035</v>
      </c>
      <c r="C2877" s="4"/>
      <c r="D2877" s="4" t="s">
        <v>8670</v>
      </c>
      <c r="E2877" s="4" t="s">
        <v>7293</v>
      </c>
      <c r="F2877" s="4" t="s">
        <v>7294</v>
      </c>
      <c r="G2877" s="5" t="str">
        <f>IFERROR(__xludf.DUMMYFUNCTION("GOOGLETRANSLATE(D2877,""en"",""es"")"),"pooh")</f>
        <v>pooh</v>
      </c>
    </row>
    <row r="2878">
      <c r="A2878" s="4">
        <v>440.0</v>
      </c>
      <c r="B2878" s="4" t="s">
        <v>8035</v>
      </c>
      <c r="C2878" s="4"/>
      <c r="D2878" s="4" t="s">
        <v>6479</v>
      </c>
      <c r="E2878" s="4" t="s">
        <v>8671</v>
      </c>
      <c r="F2878" s="4" t="s">
        <v>7296</v>
      </c>
      <c r="G2878" s="5" t="str">
        <f>IFERROR(__xludf.DUMMYFUNCTION("GOOGLETRANSLATE(D2878,""en"",""es"")"),"piscina")</f>
        <v>piscina</v>
      </c>
      <c r="H2878" s="4" t="s">
        <v>6479</v>
      </c>
      <c r="I2878" s="4" t="s">
        <v>8672</v>
      </c>
      <c r="J2878" s="4" t="s">
        <v>6479</v>
      </c>
      <c r="K2878" s="4" t="s">
        <v>6479</v>
      </c>
      <c r="L2878" s="4" t="s">
        <v>8673</v>
      </c>
      <c r="M2878" s="4" t="s">
        <v>6479</v>
      </c>
      <c r="N2878" s="4" t="s">
        <v>8674</v>
      </c>
      <c r="O2878" s="4" t="s">
        <v>6479</v>
      </c>
      <c r="P2878" s="4" t="s">
        <v>6479</v>
      </c>
      <c r="Q2878" s="4" t="s">
        <v>4723</v>
      </c>
      <c r="R2878" s="4" t="s">
        <v>6479</v>
      </c>
      <c r="S2878" s="4" t="s">
        <v>2722</v>
      </c>
      <c r="T2878" s="4" t="s">
        <v>6479</v>
      </c>
      <c r="U2878" s="4" t="s">
        <v>4723</v>
      </c>
      <c r="V2878" s="4" t="s">
        <v>6479</v>
      </c>
      <c r="W2878" s="4" t="s">
        <v>8675</v>
      </c>
      <c r="X2878" s="4" t="s">
        <v>6479</v>
      </c>
      <c r="Y2878" s="4" t="s">
        <v>6479</v>
      </c>
    </row>
    <row r="2879">
      <c r="A2879" s="4">
        <v>441.0</v>
      </c>
      <c r="B2879" s="4" t="s">
        <v>8035</v>
      </c>
      <c r="C2879" s="4"/>
      <c r="D2879" s="4" t="s">
        <v>3298</v>
      </c>
      <c r="E2879" s="4" t="s">
        <v>8676</v>
      </c>
      <c r="F2879" s="4" t="s">
        <v>7088</v>
      </c>
      <c r="G2879" s="5" t="str">
        <f>IFERROR(__xludf.DUMMYFUNCTION("GOOGLETRANSLATE(D2879,""en"",""es"")"),"estallido")</f>
        <v>estallido</v>
      </c>
      <c r="H2879" s="4" t="s">
        <v>3294</v>
      </c>
      <c r="I2879" s="4" t="s">
        <v>3295</v>
      </c>
      <c r="J2879" s="4" t="s">
        <v>3296</v>
      </c>
      <c r="K2879" s="4" t="s">
        <v>3147</v>
      </c>
      <c r="L2879" s="4" t="s">
        <v>3292</v>
      </c>
      <c r="M2879" s="4" t="s">
        <v>3297</v>
      </c>
      <c r="N2879" s="4" t="s">
        <v>3298</v>
      </c>
      <c r="O2879" s="4" t="s">
        <v>3298</v>
      </c>
      <c r="P2879" s="4" t="s">
        <v>8677</v>
      </c>
      <c r="Q2879" s="4" t="s">
        <v>8678</v>
      </c>
      <c r="R2879" s="4" t="s">
        <v>8679</v>
      </c>
      <c r="S2879" s="4" t="s">
        <v>8680</v>
      </c>
      <c r="T2879" s="4" t="s">
        <v>3298</v>
      </c>
      <c r="U2879" s="4" t="s">
        <v>8681</v>
      </c>
      <c r="V2879" s="4" t="s">
        <v>8682</v>
      </c>
      <c r="W2879" s="4" t="s">
        <v>3298</v>
      </c>
      <c r="X2879" s="4" t="s">
        <v>1937</v>
      </c>
      <c r="Y2879" s="4" t="s">
        <v>8683</v>
      </c>
      <c r="Z2879" s="4" t="s">
        <v>3298</v>
      </c>
      <c r="AA2879" s="4" t="s">
        <v>8684</v>
      </c>
      <c r="AB2879" s="4" t="s">
        <v>8685</v>
      </c>
      <c r="AC2879" s="4" t="s">
        <v>8686</v>
      </c>
      <c r="AD2879" s="4" t="s">
        <v>8687</v>
      </c>
      <c r="AE2879" s="4" t="s">
        <v>8688</v>
      </c>
      <c r="AF2879" s="4" t="s">
        <v>3298</v>
      </c>
      <c r="AG2879" s="4" t="s">
        <v>3298</v>
      </c>
      <c r="AH2879" s="4" t="s">
        <v>3298</v>
      </c>
      <c r="AI2879" s="4" t="s">
        <v>3298</v>
      </c>
      <c r="AJ2879" s="4" t="s">
        <v>8689</v>
      </c>
      <c r="AK2879" s="4" t="s">
        <v>8690</v>
      </c>
      <c r="AL2879" s="4" t="s">
        <v>3298</v>
      </c>
      <c r="AM2879" s="4" t="s">
        <v>3298</v>
      </c>
      <c r="AN2879" s="4" t="s">
        <v>3298</v>
      </c>
      <c r="AO2879" s="4" t="s">
        <v>3298</v>
      </c>
      <c r="AP2879" s="4" t="s">
        <v>6425</v>
      </c>
      <c r="AQ2879" s="4" t="s">
        <v>3298</v>
      </c>
      <c r="AR2879" s="4" t="s">
        <v>6426</v>
      </c>
      <c r="AS2879" s="4" t="s">
        <v>6427</v>
      </c>
      <c r="AT2879" s="4" t="s">
        <v>6428</v>
      </c>
      <c r="AU2879" s="4" t="s">
        <v>3624</v>
      </c>
      <c r="AV2879" s="4" t="s">
        <v>6429</v>
      </c>
      <c r="AW2879" s="4" t="s">
        <v>2570</v>
      </c>
      <c r="AX2879" s="4" t="s">
        <v>3298</v>
      </c>
      <c r="AY2879" s="4" t="s">
        <v>3298</v>
      </c>
      <c r="AZ2879" s="4" t="s">
        <v>3298</v>
      </c>
      <c r="BA2879" s="4" t="s">
        <v>8691</v>
      </c>
      <c r="BB2879" s="4" t="s">
        <v>3298</v>
      </c>
      <c r="BC2879" s="4" t="s">
        <v>3298</v>
      </c>
    </row>
    <row r="2880">
      <c r="A2880" s="4">
        <v>442.0</v>
      </c>
      <c r="B2880" s="4" t="s">
        <v>8035</v>
      </c>
      <c r="C2880" s="4"/>
      <c r="D2880" s="4" t="s">
        <v>8692</v>
      </c>
      <c r="E2880" s="4" t="s">
        <v>8693</v>
      </c>
      <c r="F2880" s="4" t="s">
        <v>7100</v>
      </c>
      <c r="G2880" s="5" t="str">
        <f>IFERROR(__xludf.DUMMYFUNCTION("GOOGLETRANSLATE(D2880,""en"",""es"")"),"amapola")</f>
        <v>amapola</v>
      </c>
      <c r="H2880" s="4" t="s">
        <v>8692</v>
      </c>
    </row>
    <row r="2881">
      <c r="A2881" s="4">
        <v>443.0</v>
      </c>
      <c r="B2881" s="4" t="s">
        <v>8035</v>
      </c>
      <c r="C2881" s="4"/>
      <c r="D2881" s="4" t="s">
        <v>8694</v>
      </c>
      <c r="E2881" s="4" t="s">
        <v>8695</v>
      </c>
      <c r="F2881" s="4" t="s">
        <v>7101</v>
      </c>
      <c r="G2881" s="5" t="str">
        <f>IFERROR(__xludf.DUMMYFUNCTION("GOOGLETRANSLATE(D2881,""en"",""es"")"),"elegante")</f>
        <v>elegante</v>
      </c>
      <c r="H2881" s="4" t="s">
        <v>8696</v>
      </c>
      <c r="I2881" s="4" t="s">
        <v>8694</v>
      </c>
      <c r="J2881" s="4" t="s">
        <v>4725</v>
      </c>
    </row>
    <row r="2882">
      <c r="A2882" s="4">
        <v>444.0</v>
      </c>
      <c r="B2882" s="4" t="s">
        <v>8035</v>
      </c>
      <c r="C2882" s="4"/>
      <c r="D2882" s="4" t="s">
        <v>8697</v>
      </c>
      <c r="E2882" s="4" t="s">
        <v>8698</v>
      </c>
      <c r="F2882" s="4" t="s">
        <v>8699</v>
      </c>
      <c r="G2882" s="5" t="str">
        <f>IFERROR(__xludf.DUMMYFUNCTION("GOOGLETRANSLATE(D2882,""en"",""es"")"),"grupo")</f>
        <v>grupo</v>
      </c>
      <c r="H2882" s="4" t="s">
        <v>8697</v>
      </c>
      <c r="I2882" s="4" t="s">
        <v>8700</v>
      </c>
    </row>
    <row r="2883">
      <c r="A2883" s="4">
        <v>445.0</v>
      </c>
      <c r="B2883" s="4" t="s">
        <v>8035</v>
      </c>
      <c r="C2883" s="4"/>
      <c r="D2883" s="4" t="s">
        <v>8701</v>
      </c>
      <c r="E2883" s="4" t="s">
        <v>8702</v>
      </c>
      <c r="F2883" s="4" t="s">
        <v>398</v>
      </c>
      <c r="G2883" s="5" t="str">
        <f>IFERROR(__xludf.DUMMYFUNCTION("GOOGLETRANSLATE(D2883,""en"",""es"")"),"salmo")</f>
        <v>salmo</v>
      </c>
      <c r="H2883" s="4" t="s">
        <v>8703</v>
      </c>
      <c r="I2883" s="4" t="s">
        <v>8701</v>
      </c>
      <c r="J2883" s="4" t="s">
        <v>8701</v>
      </c>
    </row>
    <row r="2884">
      <c r="A2884" s="4">
        <v>446.0</v>
      </c>
      <c r="B2884" s="4" t="s">
        <v>8035</v>
      </c>
      <c r="C2884" s="4"/>
      <c r="D2884" s="4" t="s">
        <v>4433</v>
      </c>
      <c r="E2884" s="4" t="s">
        <v>7295</v>
      </c>
      <c r="F2884" s="4" t="s">
        <v>7296</v>
      </c>
      <c r="G2884" s="5" t="str">
        <f>IFERROR(__xludf.DUMMYFUNCTION("GOOGLETRANSLATE(D2884,""en"",""es"")"),"jalar")</f>
        <v>jalar</v>
      </c>
      <c r="H2884" s="4" t="s">
        <v>4433</v>
      </c>
      <c r="I2884" s="4" t="s">
        <v>7297</v>
      </c>
      <c r="J2884" s="4" t="s">
        <v>4433</v>
      </c>
      <c r="K2884" s="4" t="s">
        <v>4433</v>
      </c>
      <c r="L2884" s="4" t="s">
        <v>6602</v>
      </c>
      <c r="M2884" s="4" t="s">
        <v>4433</v>
      </c>
      <c r="N2884" s="4" t="s">
        <v>7298</v>
      </c>
      <c r="O2884" s="4" t="s">
        <v>7299</v>
      </c>
      <c r="P2884" s="4" t="s">
        <v>4433</v>
      </c>
      <c r="Q2884" s="4" t="s">
        <v>7300</v>
      </c>
      <c r="R2884" s="4" t="s">
        <v>4438</v>
      </c>
      <c r="S2884" s="4" t="s">
        <v>4433</v>
      </c>
      <c r="T2884" s="4" t="s">
        <v>4433</v>
      </c>
      <c r="U2884" s="4" t="s">
        <v>4433</v>
      </c>
      <c r="V2884" s="4" t="s">
        <v>3414</v>
      </c>
      <c r="W2884" s="4" t="s">
        <v>4434</v>
      </c>
      <c r="X2884" s="4" t="s">
        <v>7301</v>
      </c>
      <c r="Y2884" s="4" t="s">
        <v>4433</v>
      </c>
      <c r="Z2884" s="4" t="s">
        <v>7302</v>
      </c>
      <c r="AA2884" s="4" t="s">
        <v>3414</v>
      </c>
      <c r="AB2884" s="4" t="s">
        <v>7303</v>
      </c>
      <c r="AC2884" s="4" t="s">
        <v>4433</v>
      </c>
      <c r="AD2884" s="4" t="s">
        <v>4433</v>
      </c>
      <c r="AE2884" s="4" t="s">
        <v>7304</v>
      </c>
      <c r="AF2884" s="4" t="s">
        <v>7305</v>
      </c>
      <c r="AG2884" s="4" t="s">
        <v>4433</v>
      </c>
      <c r="AH2884" s="4" t="s">
        <v>3414</v>
      </c>
      <c r="AI2884" s="4" t="s">
        <v>4433</v>
      </c>
      <c r="AJ2884" s="4" t="s">
        <v>7306</v>
      </c>
      <c r="AK2884" s="4" t="s">
        <v>7307</v>
      </c>
      <c r="AL2884" s="4" t="s">
        <v>7308</v>
      </c>
      <c r="AM2884" s="4" t="s">
        <v>4433</v>
      </c>
      <c r="AN2884" s="4" t="s">
        <v>4433</v>
      </c>
      <c r="AO2884" s="4" t="s">
        <v>7309</v>
      </c>
      <c r="AP2884" s="4" t="s">
        <v>4433</v>
      </c>
      <c r="AQ2884" s="4" t="s">
        <v>3414</v>
      </c>
      <c r="AR2884" s="4" t="s">
        <v>4433</v>
      </c>
      <c r="AS2884" s="4" t="s">
        <v>4433</v>
      </c>
      <c r="AT2884" s="4" t="s">
        <v>7310</v>
      </c>
      <c r="AU2884" s="4" t="s">
        <v>7311</v>
      </c>
      <c r="AV2884" s="4" t="s">
        <v>4304</v>
      </c>
      <c r="AW2884" s="4" t="s">
        <v>4433</v>
      </c>
      <c r="AX2884" s="4" t="s">
        <v>4433</v>
      </c>
      <c r="AY2884" s="4" t="s">
        <v>6291</v>
      </c>
      <c r="AZ2884" s="4" t="s">
        <v>4433</v>
      </c>
      <c r="BA2884" s="4" t="s">
        <v>7312</v>
      </c>
      <c r="BB2884" s="4" t="s">
        <v>7313</v>
      </c>
      <c r="BC2884" s="4" t="s">
        <v>7314</v>
      </c>
      <c r="BD2884" s="4" t="s">
        <v>7315</v>
      </c>
      <c r="BE2884" s="4" t="s">
        <v>7316</v>
      </c>
      <c r="BF2884" s="4" t="s">
        <v>7306</v>
      </c>
      <c r="BG2884" s="4" t="s">
        <v>4433</v>
      </c>
      <c r="BH2884" s="4" t="s">
        <v>7317</v>
      </c>
      <c r="BI2884" s="4" t="s">
        <v>7308</v>
      </c>
      <c r="BJ2884" s="4" t="s">
        <v>7318</v>
      </c>
      <c r="BK2884" s="4" t="s">
        <v>4433</v>
      </c>
      <c r="BL2884" s="4" t="s">
        <v>7319</v>
      </c>
      <c r="BM2884" s="4" t="s">
        <v>4433</v>
      </c>
    </row>
    <row r="2885">
      <c r="A2885" s="4">
        <v>447.0</v>
      </c>
      <c r="B2885" s="4" t="s">
        <v>8035</v>
      </c>
      <c r="C2885" s="4"/>
      <c r="D2885" s="4" t="s">
        <v>7320</v>
      </c>
      <c r="E2885" s="4" t="s">
        <v>7321</v>
      </c>
      <c r="F2885" s="4" t="s">
        <v>3616</v>
      </c>
      <c r="G2885" s="5" t="str">
        <f>IFERROR(__xludf.DUMMYFUNCTION("GOOGLETRANSLATE(D2885,""en"",""es"")"),"polea")</f>
        <v>polea</v>
      </c>
      <c r="H2885" s="4" t="s">
        <v>7320</v>
      </c>
      <c r="I2885" s="4" t="s">
        <v>7322</v>
      </c>
      <c r="J2885" s="4" t="s">
        <v>7323</v>
      </c>
      <c r="K2885" s="4" t="s">
        <v>326</v>
      </c>
    </row>
    <row r="2886">
      <c r="A2886" s="4">
        <v>448.0</v>
      </c>
      <c r="B2886" s="4" t="s">
        <v>8035</v>
      </c>
      <c r="C2886" s="4"/>
      <c r="D2886" s="4" t="s">
        <v>697</v>
      </c>
      <c r="E2886" s="4" t="s">
        <v>7324</v>
      </c>
      <c r="F2886" s="4" t="s">
        <v>697</v>
      </c>
      <c r="G2886" s="5" t="str">
        <f>IFERROR(__xludf.DUMMYFUNCTION("GOOGLETRANSLATE(D2886,""en"",""es"")"),"empujar")</f>
        <v>empujar</v>
      </c>
      <c r="H2886" s="4" t="s">
        <v>697</v>
      </c>
      <c r="I2886" s="4" t="s">
        <v>7325</v>
      </c>
      <c r="J2886" s="4" t="s">
        <v>697</v>
      </c>
      <c r="K2886" s="4" t="s">
        <v>7326</v>
      </c>
      <c r="L2886" s="4" t="s">
        <v>7327</v>
      </c>
      <c r="M2886" s="4" t="s">
        <v>697</v>
      </c>
      <c r="N2886" s="4" t="s">
        <v>7328</v>
      </c>
      <c r="O2886" s="4" t="s">
        <v>7329</v>
      </c>
      <c r="P2886" s="4" t="s">
        <v>697</v>
      </c>
      <c r="Q2886" s="4" t="s">
        <v>7330</v>
      </c>
      <c r="R2886" s="4" t="s">
        <v>697</v>
      </c>
      <c r="S2886" s="4" t="s">
        <v>697</v>
      </c>
      <c r="T2886" s="4" t="s">
        <v>4434</v>
      </c>
      <c r="U2886" s="4" t="s">
        <v>697</v>
      </c>
      <c r="V2886" s="4" t="s">
        <v>698</v>
      </c>
      <c r="W2886" s="4" t="s">
        <v>7331</v>
      </c>
      <c r="X2886" s="4" t="s">
        <v>7332</v>
      </c>
      <c r="Y2886" s="4" t="s">
        <v>7333</v>
      </c>
      <c r="Z2886" s="4" t="s">
        <v>697</v>
      </c>
      <c r="AA2886" s="4" t="s">
        <v>7334</v>
      </c>
      <c r="AB2886" s="4" t="s">
        <v>7335</v>
      </c>
      <c r="AC2886" s="4" t="s">
        <v>7336</v>
      </c>
      <c r="AD2886" s="4" t="s">
        <v>697</v>
      </c>
      <c r="AE2886" s="4" t="s">
        <v>7337</v>
      </c>
      <c r="AF2886" s="4" t="s">
        <v>697</v>
      </c>
      <c r="AG2886" s="4" t="s">
        <v>697</v>
      </c>
      <c r="AH2886" s="4" t="s">
        <v>781</v>
      </c>
      <c r="AI2886" s="4" t="s">
        <v>7338</v>
      </c>
      <c r="AJ2886" s="4" t="s">
        <v>7339</v>
      </c>
      <c r="AK2886" s="4" t="s">
        <v>7340</v>
      </c>
      <c r="AL2886" s="4" t="s">
        <v>7341</v>
      </c>
      <c r="AM2886" s="4" t="s">
        <v>697</v>
      </c>
      <c r="AN2886" s="4" t="s">
        <v>7342</v>
      </c>
      <c r="AO2886" s="4" t="s">
        <v>697</v>
      </c>
      <c r="AP2886" s="4" t="s">
        <v>697</v>
      </c>
      <c r="AQ2886" s="4" t="s">
        <v>7340</v>
      </c>
      <c r="AR2886" s="4" t="s">
        <v>697</v>
      </c>
    </row>
    <row r="2887">
      <c r="A2887" s="4">
        <v>449.0</v>
      </c>
      <c r="B2887" s="4" t="s">
        <v>8035</v>
      </c>
      <c r="C2887" s="4"/>
      <c r="D2887" s="4" t="s">
        <v>2724</v>
      </c>
      <c r="E2887" s="4" t="s">
        <v>7347</v>
      </c>
      <c r="F2887" s="4" t="s">
        <v>3766</v>
      </c>
      <c r="G2887" s="5" t="str">
        <f>IFERROR(__xludf.DUMMYFUNCTION("GOOGLETRANSLATE(D2887,""en"",""es"")"),"cara")</f>
        <v>cara</v>
      </c>
      <c r="H2887" s="4" t="s">
        <v>3432</v>
      </c>
      <c r="I2887" s="4" t="s">
        <v>2724</v>
      </c>
      <c r="J2887" s="4" t="s">
        <v>2725</v>
      </c>
      <c r="K2887" s="4" t="s">
        <v>3433</v>
      </c>
      <c r="L2887" s="4" t="s">
        <v>3434</v>
      </c>
      <c r="M2887" s="4" t="s">
        <v>3435</v>
      </c>
      <c r="N2887" s="4" t="s">
        <v>2722</v>
      </c>
      <c r="O2887" s="4" t="s">
        <v>2723</v>
      </c>
      <c r="P2887" s="4" t="s">
        <v>2724</v>
      </c>
      <c r="Q2887" s="4" t="s">
        <v>2725</v>
      </c>
      <c r="R2887" s="4" t="s">
        <v>2726</v>
      </c>
      <c r="S2887" s="4" t="s">
        <v>7348</v>
      </c>
      <c r="T2887" s="4" t="s">
        <v>7349</v>
      </c>
      <c r="U2887" s="4" t="s">
        <v>3766</v>
      </c>
      <c r="V2887" s="4" t="s">
        <v>3768</v>
      </c>
      <c r="W2887" s="4" t="s">
        <v>3769</v>
      </c>
      <c r="X2887" s="4" t="s">
        <v>3770</v>
      </c>
      <c r="Y2887" s="4" t="s">
        <v>3771</v>
      </c>
      <c r="Z2887" s="4" t="s">
        <v>3772</v>
      </c>
    </row>
    <row r="2888">
      <c r="A2888" s="4">
        <v>450.0</v>
      </c>
      <c r="B2888" s="4" t="s">
        <v>8035</v>
      </c>
      <c r="C2888" s="4"/>
      <c r="D2888" s="4" t="s">
        <v>2725</v>
      </c>
      <c r="E2888" s="4" t="s">
        <v>8704</v>
      </c>
      <c r="F2888" s="4" t="s">
        <v>7351</v>
      </c>
      <c r="G2888" s="5" t="str">
        <f>IFERROR(__xludf.DUMMYFUNCTION("GOOGLETRANSLATE(D2888,""en"",""es"")"),"coño")</f>
        <v>coño</v>
      </c>
      <c r="H2888" s="4" t="s">
        <v>3432</v>
      </c>
      <c r="I2888" s="4" t="s">
        <v>2724</v>
      </c>
      <c r="J2888" s="4" t="s">
        <v>2725</v>
      </c>
      <c r="K2888" s="4" t="s">
        <v>3433</v>
      </c>
      <c r="L2888" s="4" t="s">
        <v>3434</v>
      </c>
      <c r="M2888" s="4" t="s">
        <v>3435</v>
      </c>
      <c r="N2888" s="4" t="s">
        <v>2722</v>
      </c>
      <c r="O2888" s="4" t="s">
        <v>2723</v>
      </c>
      <c r="P2888" s="4" t="s">
        <v>2724</v>
      </c>
      <c r="Q2888" s="4" t="s">
        <v>2725</v>
      </c>
      <c r="R2888" s="4" t="s">
        <v>2726</v>
      </c>
      <c r="S2888" s="4" t="s">
        <v>7352</v>
      </c>
      <c r="T2888" s="4" t="s">
        <v>2725</v>
      </c>
    </row>
    <row r="2889">
      <c r="A2889" s="4">
        <v>451.0</v>
      </c>
      <c r="B2889" s="4" t="s">
        <v>8035</v>
      </c>
      <c r="C2889" s="4"/>
      <c r="D2889" s="4" t="s">
        <v>8705</v>
      </c>
      <c r="E2889" s="4" t="s">
        <v>2013</v>
      </c>
      <c r="F2889" s="4" t="s">
        <v>2014</v>
      </c>
      <c r="G2889" s="5" t="str">
        <f>IFERROR(__xludf.DUMMYFUNCTION("GOOGLETRANSLATE(D2889,""en"",""es"")"),"muelle")</f>
        <v>muelle</v>
      </c>
      <c r="H2889" s="4" t="s">
        <v>8705</v>
      </c>
    </row>
    <row r="2890">
      <c r="A2890" s="4">
        <v>452.0</v>
      </c>
      <c r="B2890" s="4" t="s">
        <v>8035</v>
      </c>
      <c r="C2890" s="4"/>
      <c r="D2890" s="4" t="s">
        <v>3815</v>
      </c>
      <c r="E2890" s="4" t="s">
        <v>3816</v>
      </c>
      <c r="F2890" s="4" t="s">
        <v>3817</v>
      </c>
      <c r="G2890" s="5" t="str">
        <f>IFERROR(__xludf.DUMMYFUNCTION("GOOGLETRANSLATE(D2890,""en"",""es"")"),"quin")</f>
        <v>quin</v>
      </c>
      <c r="H2890" s="4" t="s">
        <v>7356</v>
      </c>
      <c r="I2890" s="4" t="s">
        <v>3825</v>
      </c>
      <c r="J2890" s="4" t="s">
        <v>3815</v>
      </c>
    </row>
    <row r="2891">
      <c r="A2891" s="4">
        <v>453.0</v>
      </c>
      <c r="B2891" s="4" t="s">
        <v>8035</v>
      </c>
      <c r="C2891" s="4"/>
      <c r="D2891" s="4" t="s">
        <v>8706</v>
      </c>
      <c r="E2891" s="4" t="s">
        <v>8707</v>
      </c>
      <c r="F2891" s="4" t="s">
        <v>8708</v>
      </c>
      <c r="G2891" s="5" t="str">
        <f>IFERROR(__xludf.DUMMYFUNCTION("GOOGLETRANSLATE(D2891,""en"",""es"")"),"quinina")</f>
        <v>quinina</v>
      </c>
      <c r="H2891" s="4" t="s">
        <v>8706</v>
      </c>
    </row>
    <row r="2892">
      <c r="A2892" s="4">
        <v>454.0</v>
      </c>
      <c r="B2892" s="4" t="s">
        <v>8035</v>
      </c>
      <c r="C2892" s="4"/>
      <c r="D2892" s="4" t="s">
        <v>7357</v>
      </c>
      <c r="E2892" s="4" t="s">
        <v>7358</v>
      </c>
      <c r="F2892" s="4" t="s">
        <v>7359</v>
      </c>
      <c r="G2892" s="5" t="str">
        <f>IFERROR(__xludf.DUMMYFUNCTION("GOOGLETRANSLATE(D2892,""en"",""es"")"),"quipu")</f>
        <v>quipu</v>
      </c>
      <c r="H2892" s="4" t="s">
        <v>7357</v>
      </c>
    </row>
    <row r="2893">
      <c r="A2893" s="4">
        <v>455.0</v>
      </c>
      <c r="B2893" s="4" t="s">
        <v>8035</v>
      </c>
      <c r="C2893" s="4"/>
      <c r="D2893" s="4" t="s">
        <v>3866</v>
      </c>
      <c r="E2893" s="4" t="s">
        <v>7360</v>
      </c>
      <c r="F2893" s="4" t="s">
        <v>3868</v>
      </c>
      <c r="G2893" s="5" t="str">
        <f>IFERROR(__xludf.DUMMYFUNCTION("GOOGLETRANSLATE(D2893,""en"",""es"")"),"saco")</f>
        <v>saco</v>
      </c>
      <c r="H2893" s="4" t="s">
        <v>7361</v>
      </c>
      <c r="I2893" s="4" t="s">
        <v>3866</v>
      </c>
      <c r="J2893" s="4" t="s">
        <v>1785</v>
      </c>
      <c r="K2893" s="4" t="s">
        <v>7362</v>
      </c>
      <c r="L2893" s="4" t="s">
        <v>7363</v>
      </c>
      <c r="M2893" s="4" t="s">
        <v>3866</v>
      </c>
      <c r="N2893" s="4" t="s">
        <v>7364</v>
      </c>
      <c r="O2893" s="4" t="s">
        <v>7365</v>
      </c>
      <c r="P2893" s="4" t="s">
        <v>3866</v>
      </c>
    </row>
    <row r="2894">
      <c r="A2894" s="4">
        <v>456.0</v>
      </c>
      <c r="B2894" s="4" t="s">
        <v>8035</v>
      </c>
      <c r="C2894" s="4"/>
      <c r="D2894" s="4" t="s">
        <v>1785</v>
      </c>
      <c r="E2894" s="4" t="s">
        <v>7360</v>
      </c>
      <c r="F2894" s="4" t="s">
        <v>3868</v>
      </c>
      <c r="G2894" s="5" t="str">
        <f>IFERROR(__xludf.DUMMYFUNCTION("GOOGLETRANSLATE(D2894,""en"",""es"")"),"bolsa")</f>
        <v>bolsa</v>
      </c>
      <c r="H2894" s="4" t="s">
        <v>1785</v>
      </c>
      <c r="I2894" s="4" t="s">
        <v>3489</v>
      </c>
      <c r="J2894" s="4" t="s">
        <v>7366</v>
      </c>
      <c r="K2894" s="4" t="s">
        <v>7367</v>
      </c>
      <c r="L2894" s="4" t="s">
        <v>7361</v>
      </c>
      <c r="M2894" s="4" t="s">
        <v>3866</v>
      </c>
      <c r="N2894" s="4" t="s">
        <v>1785</v>
      </c>
      <c r="O2894" s="4" t="s">
        <v>7362</v>
      </c>
      <c r="P2894" s="4" t="s">
        <v>1785</v>
      </c>
      <c r="Q2894" s="4" t="s">
        <v>3871</v>
      </c>
      <c r="R2894" s="4" t="s">
        <v>1785</v>
      </c>
      <c r="S2894" s="4" t="s">
        <v>1785</v>
      </c>
      <c r="T2894" s="4" t="s">
        <v>7368</v>
      </c>
      <c r="U2894" s="4" t="s">
        <v>1784</v>
      </c>
      <c r="V2894" s="4" t="s">
        <v>1785</v>
      </c>
      <c r="W2894" s="4" t="s">
        <v>7369</v>
      </c>
      <c r="X2894" s="4" t="s">
        <v>1785</v>
      </c>
      <c r="Y2894" s="4" t="s">
        <v>7370</v>
      </c>
      <c r="Z2894" s="4" t="s">
        <v>1785</v>
      </c>
      <c r="AA2894" s="4" t="s">
        <v>7371</v>
      </c>
      <c r="AB2894" s="4" t="s">
        <v>7372</v>
      </c>
      <c r="AC2894" s="4" t="s">
        <v>7373</v>
      </c>
      <c r="AD2894" s="4" t="s">
        <v>5527</v>
      </c>
      <c r="AE2894" s="4" t="s">
        <v>7374</v>
      </c>
      <c r="AF2894" s="4" t="s">
        <v>3379</v>
      </c>
      <c r="AG2894" s="4" t="s">
        <v>1785</v>
      </c>
      <c r="AH2894" s="4" t="s">
        <v>7375</v>
      </c>
      <c r="AI2894" s="4" t="s">
        <v>1785</v>
      </c>
      <c r="AJ2894" s="4" t="s">
        <v>3531</v>
      </c>
      <c r="AK2894" s="4" t="s">
        <v>5959</v>
      </c>
      <c r="AL2894" s="4" t="s">
        <v>907</v>
      </c>
      <c r="AM2894" s="4" t="s">
        <v>5960</v>
      </c>
      <c r="AN2894" s="4" t="s">
        <v>1120</v>
      </c>
      <c r="AO2894" s="4" t="s">
        <v>5961</v>
      </c>
      <c r="AP2894" s="4" t="s">
        <v>5962</v>
      </c>
      <c r="AQ2894" s="4" t="s">
        <v>5963</v>
      </c>
      <c r="AR2894" s="4" t="s">
        <v>1785</v>
      </c>
      <c r="AS2894" s="4" t="s">
        <v>5964</v>
      </c>
      <c r="AT2894" s="4" t="s">
        <v>5965</v>
      </c>
      <c r="AU2894" s="4" t="s">
        <v>952</v>
      </c>
      <c r="AV2894" s="4" t="s">
        <v>7376</v>
      </c>
      <c r="AW2894" s="4" t="s">
        <v>1785</v>
      </c>
      <c r="AX2894" s="4" t="s">
        <v>7377</v>
      </c>
      <c r="AY2894" s="4" t="s">
        <v>2682</v>
      </c>
      <c r="AZ2894" s="4" t="s">
        <v>1785</v>
      </c>
    </row>
    <row r="2895">
      <c r="A2895" s="4">
        <v>457.0</v>
      </c>
      <c r="B2895" s="4" t="s">
        <v>8035</v>
      </c>
      <c r="C2895" s="4"/>
      <c r="D2895" s="4" t="s">
        <v>7368</v>
      </c>
      <c r="E2895" s="4" t="s">
        <v>7360</v>
      </c>
      <c r="F2895" s="4" t="s">
        <v>3868</v>
      </c>
      <c r="G2895" s="5" t="str">
        <f>IFERROR(__xludf.DUMMYFUNCTION("GOOGLETRANSLATE(D2895,""en"",""es"")"),"sacque")</f>
        <v>sacque</v>
      </c>
      <c r="H2895" s="4" t="s">
        <v>1785</v>
      </c>
      <c r="I2895" s="4" t="s">
        <v>7368</v>
      </c>
    </row>
    <row r="2896">
      <c r="A2896" s="4">
        <v>458.0</v>
      </c>
      <c r="B2896" s="4" t="s">
        <v>8035</v>
      </c>
      <c r="C2896" s="4"/>
      <c r="D2896" s="4" t="s">
        <v>7378</v>
      </c>
      <c r="E2896" s="4" t="s">
        <v>7379</v>
      </c>
      <c r="F2896" s="4" t="s">
        <v>3955</v>
      </c>
      <c r="G2896" s="5" t="str">
        <f>IFERROR(__xludf.DUMMYFUNCTION("GOOGLETRANSLATE(D2896,""en"",""es"")"),"motivo")</f>
        <v>motivo</v>
      </c>
    </row>
    <row r="2897">
      <c r="A2897" s="4">
        <v>459.0</v>
      </c>
      <c r="B2897" s="4" t="s">
        <v>8035</v>
      </c>
      <c r="C2897" s="4"/>
      <c r="D2897" s="4" t="s">
        <v>7380</v>
      </c>
      <c r="E2897" s="4" t="s">
        <v>7381</v>
      </c>
      <c r="F2897" s="4" t="s">
        <v>4196</v>
      </c>
      <c r="G2897" s="5" t="str">
        <f>IFERROR(__xludf.DUMMYFUNCTION("GOOGLETRANSLATE(D2897,""en"",""es"")"),"sálico")</f>
        <v>sálico</v>
      </c>
    </row>
    <row r="2898">
      <c r="A2898" s="4">
        <v>460.0</v>
      </c>
      <c r="B2898" s="4" t="s">
        <v>8035</v>
      </c>
      <c r="C2898" s="4"/>
      <c r="D2898" s="4" t="s">
        <v>7382</v>
      </c>
      <c r="E2898" s="4" t="s">
        <v>7383</v>
      </c>
      <c r="F2898" s="4" t="s">
        <v>7384</v>
      </c>
      <c r="G2898" s="5" t="str">
        <f>IFERROR(__xludf.DUMMYFUNCTION("GOOGLETRANSLATE(D2898,""en"",""es"")"),"salicílico")</f>
        <v>salicílico</v>
      </c>
    </row>
    <row r="2899">
      <c r="A2899" s="4">
        <v>461.0</v>
      </c>
      <c r="B2899" s="4" t="s">
        <v>8035</v>
      </c>
      <c r="C2899" s="4"/>
      <c r="D2899" s="4" t="s">
        <v>7385</v>
      </c>
      <c r="E2899" s="4" t="s">
        <v>7386</v>
      </c>
      <c r="F2899" s="4" t="s">
        <v>7387</v>
      </c>
      <c r="G2899" s="5" t="str">
        <f>IFERROR(__xludf.DUMMYFUNCTION("GOOGLETRANSLATE(D2899,""en"",""es"")"),"salley")</f>
        <v>salley</v>
      </c>
    </row>
    <row r="2900">
      <c r="A2900" s="4">
        <v>462.0</v>
      </c>
      <c r="B2900" s="4" t="s">
        <v>8035</v>
      </c>
      <c r="C2900" s="4"/>
      <c r="D2900" s="4" t="s">
        <v>7388</v>
      </c>
      <c r="E2900" s="4" t="s">
        <v>7386</v>
      </c>
      <c r="F2900" s="4" t="s">
        <v>7387</v>
      </c>
      <c r="G2900" s="5" t="str">
        <f>IFERROR(__xludf.DUMMYFUNCTION("GOOGLETRANSLATE(D2900,""en"",""es"")"),"salida")</f>
        <v>salida</v>
      </c>
      <c r="H2900" s="4" t="s">
        <v>7389</v>
      </c>
      <c r="I2900" s="4" t="s">
        <v>7113</v>
      </c>
      <c r="J2900" s="4" t="s">
        <v>7388</v>
      </c>
      <c r="K2900" s="4" t="s">
        <v>7390</v>
      </c>
      <c r="L2900" s="4" t="s">
        <v>7391</v>
      </c>
      <c r="M2900" s="4" t="s">
        <v>7388</v>
      </c>
      <c r="N2900" s="4" t="s">
        <v>7388</v>
      </c>
      <c r="O2900" s="4" t="s">
        <v>7392</v>
      </c>
    </row>
    <row r="2901">
      <c r="A2901" s="4">
        <v>463.0</v>
      </c>
      <c r="B2901" s="4" t="s">
        <v>8035</v>
      </c>
      <c r="C2901" s="4"/>
      <c r="D2901" s="4" t="s">
        <v>398</v>
      </c>
      <c r="E2901" s="4" t="s">
        <v>7393</v>
      </c>
      <c r="F2901" s="4" t="s">
        <v>398</v>
      </c>
      <c r="G2901" s="5" t="str">
        <f>IFERROR(__xludf.DUMMYFUNCTION("GOOGLETRANSLATE(D2901,""en"",""es"")"),"sam")</f>
        <v>sam</v>
      </c>
      <c r="H2901" s="4" t="s">
        <v>7394</v>
      </c>
      <c r="I2901" s="4" t="s">
        <v>7395</v>
      </c>
    </row>
    <row r="2902">
      <c r="A2902" s="4">
        <v>464.0</v>
      </c>
      <c r="B2902" s="4" t="s">
        <v>8035</v>
      </c>
      <c r="C2902" s="4"/>
      <c r="D2902" s="4" t="s">
        <v>7396</v>
      </c>
      <c r="E2902" s="4" t="s">
        <v>7397</v>
      </c>
      <c r="F2902" s="4" t="s">
        <v>7398</v>
      </c>
      <c r="G2902" s="5" t="str">
        <f>IFERROR(__xludf.DUMMYFUNCTION("GOOGLETRANSLATE(D2902,""en"",""es"")"),"sammy")</f>
        <v>sammy</v>
      </c>
    </row>
    <row r="2903">
      <c r="A2903" s="4">
        <v>465.0</v>
      </c>
      <c r="B2903" s="4" t="s">
        <v>8035</v>
      </c>
      <c r="C2903" s="4"/>
      <c r="D2903" s="4" t="s">
        <v>7399</v>
      </c>
      <c r="E2903" s="4" t="s">
        <v>7400</v>
      </c>
      <c r="F2903" s="4" t="s">
        <v>7401</v>
      </c>
      <c r="G2903" s="5" t="str">
        <f>IFERROR(__xludf.DUMMYFUNCTION("GOOGLETRANSLATE(D2903,""en"",""es"")"),"cordura")</f>
        <v>cordura</v>
      </c>
      <c r="H2903" s="4" t="s">
        <v>7399</v>
      </c>
      <c r="I2903" s="4" t="s">
        <v>7402</v>
      </c>
    </row>
    <row r="2904">
      <c r="A2904" s="4">
        <v>466.0</v>
      </c>
      <c r="B2904" s="4" t="s">
        <v>8035</v>
      </c>
      <c r="C2904" s="4"/>
      <c r="D2904" s="4" t="s">
        <v>3951</v>
      </c>
      <c r="E2904" s="4" t="s">
        <v>7403</v>
      </c>
      <c r="F2904" s="4" t="s">
        <v>3951</v>
      </c>
      <c r="G2904" s="5" t="str">
        <f>IFERROR(__xludf.DUMMYFUNCTION("GOOGLETRANSLATE(D2904,""en"",""es"")"),"savia")</f>
        <v>savia</v>
      </c>
      <c r="H2904" s="4" t="s">
        <v>3951</v>
      </c>
      <c r="I2904" s="4" t="s">
        <v>3230</v>
      </c>
      <c r="J2904" s="4" t="s">
        <v>3951</v>
      </c>
      <c r="K2904" s="4" t="s">
        <v>7404</v>
      </c>
      <c r="L2904" s="4" t="s">
        <v>7405</v>
      </c>
      <c r="M2904" s="4" t="s">
        <v>7406</v>
      </c>
      <c r="N2904" s="4" t="s">
        <v>7407</v>
      </c>
      <c r="O2904" s="4" t="s">
        <v>7408</v>
      </c>
      <c r="P2904" s="4" t="s">
        <v>3951</v>
      </c>
      <c r="Q2904" s="4" t="s">
        <v>7409</v>
      </c>
      <c r="R2904" s="4" t="s">
        <v>7410</v>
      </c>
      <c r="S2904" s="4" t="s">
        <v>7411</v>
      </c>
      <c r="T2904" s="4" t="s">
        <v>3951</v>
      </c>
      <c r="U2904" s="4" t="s">
        <v>7412</v>
      </c>
      <c r="V2904" s="4" t="s">
        <v>3951</v>
      </c>
    </row>
    <row r="2905">
      <c r="A2905" s="4">
        <v>467.0</v>
      </c>
      <c r="B2905" s="4" t="s">
        <v>8035</v>
      </c>
      <c r="C2905" s="4"/>
      <c r="D2905" s="4" t="s">
        <v>7413</v>
      </c>
      <c r="E2905" s="4" t="s">
        <v>7414</v>
      </c>
      <c r="F2905" s="4" t="s">
        <v>7415</v>
      </c>
      <c r="G2905" s="5" t="str">
        <f>IFERROR(__xludf.DUMMYFUNCTION("GOOGLETRANSLATE(D2905,""en"",""es"")"),"lleno de savia")</f>
        <v>lleno de savia</v>
      </c>
      <c r="H2905" s="4" t="s">
        <v>7416</v>
      </c>
      <c r="I2905" s="4" t="s">
        <v>7417</v>
      </c>
      <c r="J2905" s="4" t="s">
        <v>7418</v>
      </c>
      <c r="K2905" s="4" t="s">
        <v>7413</v>
      </c>
      <c r="L2905" s="4" t="s">
        <v>7419</v>
      </c>
      <c r="M2905" s="4" t="s">
        <v>6509</v>
      </c>
      <c r="N2905" s="4" t="s">
        <v>6510</v>
      </c>
      <c r="O2905" s="4" t="s">
        <v>7420</v>
      </c>
      <c r="P2905" s="4" t="s">
        <v>7413</v>
      </c>
    </row>
    <row r="2906">
      <c r="A2906" s="4">
        <v>468.0</v>
      </c>
      <c r="B2906" s="4" t="s">
        <v>8035</v>
      </c>
      <c r="C2906" s="4"/>
      <c r="D2906" s="4" t="s">
        <v>7421</v>
      </c>
      <c r="E2906" s="4" t="s">
        <v>7422</v>
      </c>
      <c r="F2906" s="4" t="s">
        <v>7421</v>
      </c>
      <c r="G2906" s="5" t="str">
        <f>IFERROR(__xludf.DUMMYFUNCTION("GOOGLETRANSLATE(D2906,""en"",""es"")"),"faja")</f>
        <v>faja</v>
      </c>
      <c r="H2906" s="4" t="s">
        <v>7421</v>
      </c>
      <c r="I2906" s="4" t="s">
        <v>7423</v>
      </c>
      <c r="J2906" s="4" t="s">
        <v>7424</v>
      </c>
      <c r="K2906" s="4" t="s">
        <v>7425</v>
      </c>
      <c r="L2906" s="4" t="s">
        <v>7421</v>
      </c>
      <c r="M2906" s="4" t="s">
        <v>7426</v>
      </c>
      <c r="N2906" s="4" t="s">
        <v>7427</v>
      </c>
    </row>
    <row r="2907">
      <c r="A2907" s="4">
        <v>469.0</v>
      </c>
      <c r="B2907" s="4" t="s">
        <v>8035</v>
      </c>
      <c r="C2907" s="4"/>
      <c r="D2907" s="4" t="s">
        <v>7428</v>
      </c>
      <c r="E2907" s="4" t="s">
        <v>7429</v>
      </c>
      <c r="F2907" s="4" t="s">
        <v>7428</v>
      </c>
      <c r="G2907" s="5" t="str">
        <f>IFERROR(__xludf.DUMMYFUNCTION("GOOGLETRANSLATE(D2907,""en"",""es"")"),"sashimi")</f>
        <v>sashimi</v>
      </c>
      <c r="H2907" s="4" t="s">
        <v>7428</v>
      </c>
    </row>
    <row r="2908">
      <c r="A2908" s="4">
        <v>470.0</v>
      </c>
      <c r="B2908" s="4" t="s">
        <v>8035</v>
      </c>
      <c r="C2908" s="4"/>
      <c r="D2908" s="4" t="s">
        <v>7434</v>
      </c>
      <c r="E2908" s="4" t="s">
        <v>7430</v>
      </c>
      <c r="F2908" s="4" t="s">
        <v>7431</v>
      </c>
      <c r="G2908" s="5" t="str">
        <f>IFERROR(__xludf.DUMMYFUNCTION("GOOGLETRANSLATE(D2908,""en"",""es"")"),"sasse")</f>
        <v>sasse</v>
      </c>
    </row>
    <row r="2909">
      <c r="A2909" s="4">
        <v>471.0</v>
      </c>
      <c r="B2909" s="4" t="s">
        <v>8035</v>
      </c>
      <c r="C2909" s="4"/>
      <c r="D2909" s="4" t="s">
        <v>7435</v>
      </c>
      <c r="E2909" s="4" t="s">
        <v>8709</v>
      </c>
      <c r="F2909" s="4" t="s">
        <v>7437</v>
      </c>
      <c r="G2909" s="5" t="str">
        <f>IFERROR(__xludf.DUMMYFUNCTION("GOOGLETRANSLATE(D2909,""en"",""es"")"),"atrevido")</f>
        <v>atrevido</v>
      </c>
      <c r="H2909" s="4" t="s">
        <v>7438</v>
      </c>
      <c r="I2909" s="4" t="s">
        <v>7439</v>
      </c>
      <c r="J2909" s="4" t="s">
        <v>7440</v>
      </c>
      <c r="K2909" s="4" t="s">
        <v>7441</v>
      </c>
      <c r="L2909" s="4" t="s">
        <v>3502</v>
      </c>
      <c r="M2909" s="4" t="s">
        <v>7442</v>
      </c>
      <c r="N2909" s="4" t="s">
        <v>7435</v>
      </c>
      <c r="O2909" s="4" t="s">
        <v>7443</v>
      </c>
    </row>
    <row r="2910">
      <c r="A2910" s="4">
        <v>472.0</v>
      </c>
      <c r="B2910" s="4" t="s">
        <v>8035</v>
      </c>
      <c r="C2910" s="4"/>
      <c r="D2910" s="4" t="s">
        <v>7444</v>
      </c>
      <c r="E2910" s="4" t="s">
        <v>7445</v>
      </c>
      <c r="F2910" s="4" t="s">
        <v>7444</v>
      </c>
      <c r="G2910" s="5" t="str">
        <f>IFERROR(__xludf.DUMMYFUNCTION("GOOGLETRANSLATE(D2910,""en"",""es"")"),"satín")</f>
        <v>satín</v>
      </c>
      <c r="H2910" s="4" t="s">
        <v>7444</v>
      </c>
    </row>
    <row r="2911">
      <c r="A2911" s="4">
        <v>473.0</v>
      </c>
      <c r="B2911" s="4" t="s">
        <v>8035</v>
      </c>
      <c r="C2911" s="4"/>
      <c r="D2911" s="4" t="s">
        <v>8710</v>
      </c>
      <c r="E2911" s="4" t="s">
        <v>8711</v>
      </c>
      <c r="F2911" s="4" t="s">
        <v>7431</v>
      </c>
      <c r="G2911" s="5" t="str">
        <f>IFERROR(__xludf.DUMMYFUNCTION("GOOGLETRANSLATE(D2911,""en"",""es"")"),"salsa")</f>
        <v>salsa</v>
      </c>
      <c r="H2911" s="4" t="s">
        <v>8710</v>
      </c>
      <c r="I2911" s="4" t="s">
        <v>8710</v>
      </c>
      <c r="J2911" s="4" t="s">
        <v>8710</v>
      </c>
      <c r="K2911" s="4" t="s">
        <v>8710</v>
      </c>
    </row>
    <row r="2912">
      <c r="A2912" s="4">
        <v>474.0</v>
      </c>
      <c r="B2912" s="4" t="s">
        <v>8035</v>
      </c>
      <c r="C2912" s="4"/>
      <c r="D2912" s="4" t="s">
        <v>7442</v>
      </c>
      <c r="E2912" s="4" t="s">
        <v>8712</v>
      </c>
      <c r="F2912" s="4" t="s">
        <v>7437</v>
      </c>
      <c r="G2912" s="5" t="str">
        <f>IFERROR(__xludf.DUMMYFUNCTION("GOOGLETRANSLATE(D2912,""en"",""es"")"),"fresco")</f>
        <v>fresco</v>
      </c>
      <c r="H2912" s="4" t="s">
        <v>7439</v>
      </c>
      <c r="I2912" s="4" t="s">
        <v>8713</v>
      </c>
      <c r="J2912" s="4" t="s">
        <v>8714</v>
      </c>
      <c r="K2912" s="4" t="s">
        <v>7442</v>
      </c>
      <c r="L2912" s="4" t="s">
        <v>7438</v>
      </c>
      <c r="M2912" s="4" t="s">
        <v>7439</v>
      </c>
      <c r="N2912" s="4" t="s">
        <v>7440</v>
      </c>
      <c r="O2912" s="4" t="s">
        <v>7441</v>
      </c>
      <c r="P2912" s="4" t="s">
        <v>3502</v>
      </c>
      <c r="Q2912" s="4" t="s">
        <v>7442</v>
      </c>
      <c r="R2912" s="4" t="s">
        <v>7435</v>
      </c>
      <c r="S2912" s="4" t="s">
        <v>7443</v>
      </c>
    </row>
    <row r="2913">
      <c r="A2913" s="4">
        <v>475.0</v>
      </c>
      <c r="B2913" s="4" t="s">
        <v>8035</v>
      </c>
      <c r="C2913" s="4"/>
      <c r="D2913" s="4" t="s">
        <v>8715</v>
      </c>
      <c r="E2913" s="4" t="s">
        <v>8716</v>
      </c>
      <c r="F2913" s="4" t="s">
        <v>8717</v>
      </c>
      <c r="G2913" s="5" t="str">
        <f>IFERROR(__xludf.DUMMYFUNCTION("GOOGLETRANSLATE(D2913,""en"",""es"")"),"sault")</f>
        <v>sault</v>
      </c>
    </row>
    <row r="2914">
      <c r="A2914" s="4">
        <v>476.0</v>
      </c>
      <c r="B2914" s="4" t="s">
        <v>8035</v>
      </c>
      <c r="C2914" s="4"/>
      <c r="D2914" s="4" t="s">
        <v>7446</v>
      </c>
      <c r="E2914" s="4" t="s">
        <v>7447</v>
      </c>
      <c r="F2914" s="4" t="s">
        <v>7448</v>
      </c>
      <c r="G2914" s="5" t="str">
        <f>IFERROR(__xludf.DUMMYFUNCTION("GOOGLETRANSLATE(D2914,""en"",""es"")"),"recta")</f>
        <v>recta</v>
      </c>
      <c r="H2914" s="4" t="s">
        <v>7446</v>
      </c>
    </row>
    <row r="2915">
      <c r="A2915" s="4">
        <v>477.0</v>
      </c>
      <c r="B2915" s="4" t="s">
        <v>8035</v>
      </c>
      <c r="C2915" s="4"/>
      <c r="D2915" s="4" t="s">
        <v>7449</v>
      </c>
      <c r="E2915" s="4" t="s">
        <v>7450</v>
      </c>
      <c r="F2915" s="4" t="s">
        <v>7451</v>
      </c>
      <c r="G2915" s="5" t="str">
        <f>IFERROR(__xludf.DUMMYFUNCTION("GOOGLETRANSLATE(D2915,""en"",""es"")"),"semic")</f>
        <v>semic</v>
      </c>
    </row>
    <row r="2916">
      <c r="A2916" s="4">
        <v>478.0</v>
      </c>
      <c r="B2916" s="4" t="s">
        <v>8035</v>
      </c>
      <c r="C2916" s="4"/>
      <c r="D2916" s="4" t="s">
        <v>7452</v>
      </c>
      <c r="E2916" s="4" t="s">
        <v>7453</v>
      </c>
      <c r="F2916" s="4" t="s">
        <v>7454</v>
      </c>
      <c r="G2916" s="5" t="str">
        <f>IFERROR(__xludf.DUMMYFUNCTION("GOOGLETRANSLATE(D2916,""en"",""es"")"),"choza")</f>
        <v>choza</v>
      </c>
      <c r="H2916" s="4" t="s">
        <v>7455</v>
      </c>
      <c r="I2916" s="4" t="s">
        <v>7456</v>
      </c>
      <c r="J2916" s="4" t="s">
        <v>7457</v>
      </c>
      <c r="K2916" s="4" t="s">
        <v>7452</v>
      </c>
      <c r="L2916" s="4" t="s">
        <v>7458</v>
      </c>
      <c r="M2916" s="4" t="s">
        <v>7459</v>
      </c>
      <c r="N2916" s="4" t="s">
        <v>7452</v>
      </c>
      <c r="O2916" s="4" t="s">
        <v>3574</v>
      </c>
      <c r="P2916" s="4" t="s">
        <v>7460</v>
      </c>
      <c r="Q2916" s="4" t="s">
        <v>7461</v>
      </c>
      <c r="R2916" s="4" t="s">
        <v>7452</v>
      </c>
    </row>
    <row r="2917">
      <c r="A2917" s="4">
        <v>479.0</v>
      </c>
      <c r="B2917" s="4" t="s">
        <v>8035</v>
      </c>
      <c r="C2917" s="4"/>
      <c r="D2917" s="4" t="s">
        <v>3997</v>
      </c>
      <c r="E2917" s="4" t="s">
        <v>7462</v>
      </c>
      <c r="F2917" s="4" t="s">
        <v>3997</v>
      </c>
      <c r="G2917" s="5" t="str">
        <f>IFERROR(__xludf.DUMMYFUNCTION("GOOGLETRANSLATE(D2917,""en"",""es"")"),"impostor")</f>
        <v>impostor</v>
      </c>
      <c r="H2917" s="4" t="s">
        <v>6082</v>
      </c>
      <c r="I2917" s="4" t="s">
        <v>3997</v>
      </c>
      <c r="J2917" s="4" t="s">
        <v>7463</v>
      </c>
      <c r="K2917" s="4" t="s">
        <v>7464</v>
      </c>
      <c r="L2917" s="4" t="s">
        <v>7465</v>
      </c>
      <c r="M2917" s="4" t="s">
        <v>7466</v>
      </c>
      <c r="N2917" s="4" t="s">
        <v>6082</v>
      </c>
      <c r="O2917" s="4" t="s">
        <v>7467</v>
      </c>
      <c r="P2917" s="4" t="s">
        <v>5693</v>
      </c>
      <c r="Q2917" s="4" t="s">
        <v>3997</v>
      </c>
      <c r="R2917" s="4" t="s">
        <v>7468</v>
      </c>
      <c r="S2917" s="4" t="s">
        <v>7469</v>
      </c>
      <c r="T2917" s="4" t="s">
        <v>7470</v>
      </c>
      <c r="U2917" s="4" t="s">
        <v>7471</v>
      </c>
      <c r="V2917" s="4" t="s">
        <v>1911</v>
      </c>
      <c r="W2917" s="4" t="s">
        <v>883</v>
      </c>
      <c r="X2917" s="4" t="s">
        <v>3997</v>
      </c>
      <c r="Y2917" s="4" t="s">
        <v>3996</v>
      </c>
      <c r="Z2917" s="4" t="s">
        <v>3996</v>
      </c>
      <c r="AA2917" s="4" t="s">
        <v>3997</v>
      </c>
      <c r="AB2917" s="4" t="s">
        <v>3998</v>
      </c>
      <c r="AC2917" s="4" t="s">
        <v>3999</v>
      </c>
      <c r="AD2917" s="4" t="s">
        <v>4000</v>
      </c>
      <c r="AE2917" s="4" t="s">
        <v>7472</v>
      </c>
      <c r="AF2917" s="4" t="b">
        <v>0</v>
      </c>
      <c r="AG2917" s="4" t="s">
        <v>7473</v>
      </c>
      <c r="AH2917" s="4" t="s">
        <v>7474</v>
      </c>
      <c r="AI2917" s="4" t="s">
        <v>7475</v>
      </c>
      <c r="AJ2917" s="4" t="s">
        <v>7476</v>
      </c>
      <c r="AK2917" s="4" t="s">
        <v>3997</v>
      </c>
    </row>
    <row r="2918">
      <c r="A2918" s="4">
        <v>480.0</v>
      </c>
      <c r="B2918" s="4" t="s">
        <v>8035</v>
      </c>
      <c r="C2918" s="4"/>
      <c r="D2918" s="4" t="s">
        <v>7477</v>
      </c>
      <c r="E2918" s="4" t="s">
        <v>6008</v>
      </c>
      <c r="F2918" s="4" t="s">
        <v>6009</v>
      </c>
      <c r="G2918" s="5" t="str">
        <f>IFERROR(__xludf.DUMMYFUNCTION("GOOGLETRANSLATE(D2918,""en"",""es"")"),"ambiente")</f>
        <v>ambiente</v>
      </c>
    </row>
    <row r="2919">
      <c r="A2919" s="4">
        <v>481.0</v>
      </c>
      <c r="B2919" s="4" t="s">
        <v>8035</v>
      </c>
      <c r="C2919" s="4"/>
      <c r="D2919" s="4" t="s">
        <v>7478</v>
      </c>
      <c r="E2919" s="4" t="s">
        <v>7479</v>
      </c>
      <c r="F2919" s="4" t="s">
        <v>7478</v>
      </c>
      <c r="G2919" s="5" t="str">
        <f>IFERROR(__xludf.DUMMYFUNCTION("GOOGLETRANSLATE(D2919,""en"",""es"")"),"brocheta")</f>
        <v>brocheta</v>
      </c>
    </row>
    <row r="2920">
      <c r="A2920" s="4">
        <v>482.0</v>
      </c>
      <c r="B2920" s="4" t="s">
        <v>8035</v>
      </c>
      <c r="C2920" s="4"/>
      <c r="D2920" s="4" t="s">
        <v>7480</v>
      </c>
      <c r="E2920" s="4" t="s">
        <v>6014</v>
      </c>
      <c r="F2920" s="4" t="s">
        <v>6015</v>
      </c>
      <c r="G2920" s="5" t="str">
        <f>IFERROR(__xludf.DUMMYFUNCTION("GOOGLETRANSLATE(D2920,""en"",""es"")"),"trastornar")</f>
        <v>trastornar</v>
      </c>
    </row>
    <row r="2921">
      <c r="A2921" s="4">
        <v>483.0</v>
      </c>
      <c r="B2921" s="4" t="s">
        <v>8035</v>
      </c>
      <c r="C2921" s="4"/>
      <c r="D2921" s="4" t="s">
        <v>8718</v>
      </c>
      <c r="E2921" s="4" t="s">
        <v>277</v>
      </c>
      <c r="F2921" s="4" t="s">
        <v>278</v>
      </c>
      <c r="G2921" s="5" t="str">
        <f>IFERROR(__xludf.DUMMYFUNCTION("GOOGLETRANSLATE(D2921,""en"",""es"")"),"ella")</f>
        <v>ella</v>
      </c>
    </row>
    <row r="2922">
      <c r="A2922" s="4">
        <v>484.0</v>
      </c>
      <c r="B2922" s="4" t="s">
        <v>8035</v>
      </c>
      <c r="C2922" s="4"/>
      <c r="D2922" s="4" t="s">
        <v>7481</v>
      </c>
      <c r="E2922" s="4" t="s">
        <v>7482</v>
      </c>
      <c r="F2922" s="4" t="s">
        <v>7483</v>
      </c>
      <c r="G2922" s="5" t="str">
        <f>IFERROR(__xludf.DUMMYFUNCTION("GOOGLETRANSLATE(D2922,""en"",""es"")"),"caparazón")</f>
        <v>caparazón</v>
      </c>
    </row>
    <row r="2923">
      <c r="A2923" s="4">
        <v>485.0</v>
      </c>
      <c r="B2923" s="4" t="s">
        <v>8035</v>
      </c>
      <c r="C2923" s="4"/>
      <c r="D2923" s="4" t="s">
        <v>7484</v>
      </c>
      <c r="E2923" s="4" t="s">
        <v>277</v>
      </c>
      <c r="F2923" s="4" t="s">
        <v>278</v>
      </c>
      <c r="G2923" s="5" t="str">
        <f>IFERROR(__xludf.DUMMYFUNCTION("GOOGLETRANSLATE(D2923,""en"",""es"")"),"Ella a")</f>
        <v>Ella a</v>
      </c>
    </row>
    <row r="2924">
      <c r="A2924" s="4">
        <v>486.0</v>
      </c>
      <c r="B2924" s="4" t="s">
        <v>8035</v>
      </c>
      <c r="C2924" s="4"/>
      <c r="D2924" s="4" t="s">
        <v>8719</v>
      </c>
      <c r="E2924" s="4" t="s">
        <v>8720</v>
      </c>
      <c r="F2924" s="4" t="s">
        <v>8721</v>
      </c>
      <c r="G2924" s="5" t="str">
        <f>IFERROR(__xludf.DUMMYFUNCTION("GOOGLETRANSLATE(D2924,""en"",""es"")"),"vaina")</f>
        <v>vaina</v>
      </c>
      <c r="H2924" s="4" t="s">
        <v>8719</v>
      </c>
      <c r="I2924" s="4" t="s">
        <v>8719</v>
      </c>
      <c r="J2924" s="4" t="s">
        <v>1337</v>
      </c>
      <c r="K2924" s="4" t="s">
        <v>8722</v>
      </c>
      <c r="L2924" s="4" t="s">
        <v>8719</v>
      </c>
    </row>
    <row r="2925">
      <c r="A2925" s="4">
        <v>487.0</v>
      </c>
      <c r="B2925" s="4" t="s">
        <v>8035</v>
      </c>
      <c r="C2925" s="4"/>
      <c r="D2925" s="4" t="s">
        <v>8723</v>
      </c>
      <c r="E2925" s="4" t="s">
        <v>4714</v>
      </c>
      <c r="F2925" s="4" t="s">
        <v>4715</v>
      </c>
      <c r="G2925" s="5" t="str">
        <f>IFERROR(__xludf.DUMMYFUNCTION("GOOGLETRANSLATE(D2925,""en"",""es"")"),"oveja")</f>
        <v>oveja</v>
      </c>
      <c r="H2925" s="4" t="s">
        <v>8723</v>
      </c>
      <c r="I2925" s="4" t="s">
        <v>8723</v>
      </c>
      <c r="J2925" s="4" t="s">
        <v>8723</v>
      </c>
    </row>
    <row r="2926">
      <c r="A2926" s="4">
        <v>488.0</v>
      </c>
      <c r="B2926" s="4" t="s">
        <v>8035</v>
      </c>
      <c r="C2926" s="4"/>
      <c r="D2926" s="4" t="s">
        <v>8724</v>
      </c>
      <c r="E2926" s="4" t="s">
        <v>8725</v>
      </c>
      <c r="F2926" s="4" t="s">
        <v>8726</v>
      </c>
      <c r="G2926" s="5" t="str">
        <f>IFERROR(__xludf.DUMMYFUNCTION("GOOGLETRANSLATE(D2926,""en"",""es"")"),"shiitake")</f>
        <v>shiitake</v>
      </c>
      <c r="H2926" s="4" t="s">
        <v>8724</v>
      </c>
      <c r="I2926" s="4" t="s">
        <v>8727</v>
      </c>
      <c r="J2926" s="4" t="s">
        <v>8728</v>
      </c>
      <c r="K2926" s="4" t="s">
        <v>8729</v>
      </c>
      <c r="L2926" s="4" t="s">
        <v>8730</v>
      </c>
      <c r="M2926" s="4" t="s">
        <v>8731</v>
      </c>
    </row>
    <row r="2927">
      <c r="A2927" s="4">
        <v>489.0</v>
      </c>
      <c r="B2927" s="4" t="s">
        <v>8035</v>
      </c>
      <c r="C2927" s="4"/>
      <c r="D2927" s="4" t="s">
        <v>7485</v>
      </c>
      <c r="E2927" s="4" t="s">
        <v>7482</v>
      </c>
      <c r="F2927" s="4" t="s">
        <v>7483</v>
      </c>
      <c r="G2927" s="5" t="str">
        <f>IFERROR(__xludf.DUMMYFUNCTION("GOOGLETRANSLATE(D2927,""en"",""es"")"),"cómplice")</f>
        <v>cómplice</v>
      </c>
      <c r="H2927" s="4" t="s">
        <v>7485</v>
      </c>
      <c r="I2927" s="4" t="s">
        <v>7485</v>
      </c>
    </row>
    <row r="2928">
      <c r="A2928" s="4">
        <v>490.0</v>
      </c>
      <c r="B2928" s="4" t="s">
        <v>8035</v>
      </c>
      <c r="C2928" s="4"/>
      <c r="D2928" s="4" t="s">
        <v>7486</v>
      </c>
      <c r="E2928" s="4" t="s">
        <v>7487</v>
      </c>
      <c r="F2928" s="4" t="s">
        <v>7486</v>
      </c>
      <c r="G2928" s="5" t="str">
        <f>IFERROR(__xludf.DUMMYFUNCTION("GOOGLETRANSLATE(D2928,""en"",""es"")"),"calce")</f>
        <v>calce</v>
      </c>
      <c r="H2928" s="4" t="s">
        <v>7486</v>
      </c>
    </row>
    <row r="2929">
      <c r="A2929" s="4">
        <v>491.0</v>
      </c>
      <c r="B2929" s="4" t="s">
        <v>8035</v>
      </c>
      <c r="C2929" s="4"/>
      <c r="D2929" s="4" t="s">
        <v>7488</v>
      </c>
      <c r="E2929" s="4" t="s">
        <v>7489</v>
      </c>
      <c r="F2929" s="4" t="s">
        <v>7490</v>
      </c>
      <c r="G2929" s="5" t="str">
        <f>IFERROR(__xludf.DUMMYFUNCTION("GOOGLETRANSLATE(D2929,""en"",""es"")"),"camisa")</f>
        <v>camisa</v>
      </c>
      <c r="H2929" s="4" t="s">
        <v>7488</v>
      </c>
      <c r="I2929" s="4" t="s">
        <v>7369</v>
      </c>
      <c r="J2929" s="4" t="s">
        <v>7488</v>
      </c>
      <c r="K2929" s="4" t="s">
        <v>7370</v>
      </c>
      <c r="L2929" s="4" t="s">
        <v>3397</v>
      </c>
      <c r="M2929" s="4" t="s">
        <v>7491</v>
      </c>
      <c r="N2929" s="4" t="s">
        <v>7488</v>
      </c>
      <c r="O2929" s="4" t="s">
        <v>7488</v>
      </c>
      <c r="P2929" s="4" t="s">
        <v>7492</v>
      </c>
      <c r="Q2929" s="4" t="s">
        <v>7488</v>
      </c>
    </row>
    <row r="2930">
      <c r="A2930" s="4">
        <v>492.0</v>
      </c>
      <c r="B2930" s="4" t="s">
        <v>8035</v>
      </c>
      <c r="C2930" s="4"/>
      <c r="D2930" s="4" t="s">
        <v>1188</v>
      </c>
      <c r="E2930" s="4" t="s">
        <v>7493</v>
      </c>
      <c r="F2930" s="4" t="s">
        <v>1188</v>
      </c>
      <c r="G2930" s="5" t="str">
        <f>IFERROR(__xludf.DUMMYFUNCTION("GOOGLETRANSLATE(D2930,""en"",""es"")"),"espinilla")</f>
        <v>espinilla</v>
      </c>
      <c r="H2930" s="4" t="s">
        <v>1188</v>
      </c>
      <c r="I2930" s="4" t="s">
        <v>1188</v>
      </c>
      <c r="J2930" s="4" t="s">
        <v>7494</v>
      </c>
      <c r="K2930" s="4" t="s">
        <v>1188</v>
      </c>
      <c r="L2930" s="4" t="s">
        <v>7495</v>
      </c>
      <c r="M2930" s="4" t="s">
        <v>7496</v>
      </c>
      <c r="N2930" s="4" t="s">
        <v>7494</v>
      </c>
      <c r="O2930" s="4" t="s">
        <v>1188</v>
      </c>
      <c r="P2930" s="4" t="s">
        <v>7497</v>
      </c>
      <c r="Q2930" s="4" t="s">
        <v>7498</v>
      </c>
      <c r="R2930" s="4" t="s">
        <v>1188</v>
      </c>
      <c r="S2930" s="4" t="s">
        <v>7499</v>
      </c>
      <c r="T2930" s="4" t="s">
        <v>7500</v>
      </c>
      <c r="U2930" s="4" t="s">
        <v>7501</v>
      </c>
      <c r="V2930" s="4" t="s">
        <v>7502</v>
      </c>
    </row>
    <row r="2931">
      <c r="A2931" s="4">
        <v>493.0</v>
      </c>
      <c r="B2931" s="4" t="s">
        <v>8035</v>
      </c>
      <c r="C2931" s="4"/>
      <c r="D2931" s="4" t="s">
        <v>4715</v>
      </c>
      <c r="E2931" s="4" t="s">
        <v>7503</v>
      </c>
      <c r="F2931" s="4" t="s">
        <v>4715</v>
      </c>
      <c r="G2931" s="5" t="str">
        <f>IFERROR(__xludf.DUMMYFUNCTION("GOOGLETRANSLATE(D2931,""en"",""es"")"),"Embarcacion")</f>
        <v>Embarcacion</v>
      </c>
      <c r="H2931" s="4" t="s">
        <v>4715</v>
      </c>
      <c r="I2931" s="4" t="s">
        <v>7504</v>
      </c>
      <c r="J2931" s="4" t="s">
        <v>4429</v>
      </c>
      <c r="K2931" s="4" t="s">
        <v>4715</v>
      </c>
      <c r="L2931" s="4" t="s">
        <v>4715</v>
      </c>
      <c r="M2931" s="4" t="s">
        <v>7505</v>
      </c>
      <c r="N2931" s="4" t="s">
        <v>4715</v>
      </c>
      <c r="O2931" s="4" t="s">
        <v>4715</v>
      </c>
      <c r="P2931" s="4" t="s">
        <v>4715</v>
      </c>
    </row>
    <row r="2932">
      <c r="A2932" s="4">
        <v>494.0</v>
      </c>
      <c r="B2932" s="4" t="s">
        <v>8035</v>
      </c>
      <c r="C2932" s="4"/>
      <c r="D2932" s="4" t="s">
        <v>7506</v>
      </c>
      <c r="E2932" s="4" t="s">
        <v>7503</v>
      </c>
      <c r="F2932" s="4" t="s">
        <v>4715</v>
      </c>
      <c r="G2932" s="5" t="str">
        <f>IFERROR(__xludf.DUMMYFUNCTION("GOOGLETRANSLATE(D2932,""en"",""es"")"),"cargada")</f>
        <v>cargada</v>
      </c>
    </row>
    <row r="2933">
      <c r="A2933" s="4">
        <v>495.0</v>
      </c>
      <c r="B2933" s="4" t="s">
        <v>8035</v>
      </c>
      <c r="C2933" s="4"/>
      <c r="D2933" s="4" t="s">
        <v>7507</v>
      </c>
      <c r="E2933" s="4" t="s">
        <v>7508</v>
      </c>
      <c r="F2933" s="4" t="s">
        <v>7507</v>
      </c>
      <c r="G2933" s="5" t="str">
        <f>IFERROR(__xludf.DUMMYFUNCTION("GOOGLETRANSLATE(D2933,""en"",""es"")"),"shish")</f>
        <v>shish</v>
      </c>
    </row>
    <row r="2934">
      <c r="A2934" s="4">
        <v>496.0</v>
      </c>
      <c r="B2934" s="4" t="s">
        <v>8035</v>
      </c>
      <c r="C2934" s="4"/>
      <c r="D2934" s="4" t="s">
        <v>6336</v>
      </c>
      <c r="E2934" s="4" t="s">
        <v>7509</v>
      </c>
      <c r="F2934" s="4" t="s">
        <v>7510</v>
      </c>
      <c r="G2934" s="5" t="str">
        <f>IFERROR(__xludf.DUMMYFUNCTION("GOOGLETRANSLATE(D2934,""en"",""es"")"),"de mierda")</f>
        <v>de mierda</v>
      </c>
      <c r="H2934" s="4" t="s">
        <v>6330</v>
      </c>
      <c r="I2934" s="4" t="s">
        <v>6333</v>
      </c>
      <c r="J2934" s="4" t="s">
        <v>6334</v>
      </c>
      <c r="K2934" s="4" t="s">
        <v>6335</v>
      </c>
      <c r="L2934" s="4" t="s">
        <v>6336</v>
      </c>
      <c r="M2934" s="4" t="s">
        <v>6337</v>
      </c>
      <c r="N2934" s="4" t="s">
        <v>6338</v>
      </c>
    </row>
    <row r="2935">
      <c r="A2935" s="4">
        <v>497.0</v>
      </c>
      <c r="B2935" s="4" t="s">
        <v>8035</v>
      </c>
      <c r="C2935" s="4"/>
      <c r="D2935" s="4" t="s">
        <v>8732</v>
      </c>
      <c r="E2935" s="4" t="s">
        <v>8733</v>
      </c>
      <c r="F2935" s="4" t="s">
        <v>7454</v>
      </c>
      <c r="G2935" s="5" t="str">
        <f>IFERROR(__xludf.DUMMYFUNCTION("GOOGLETRANSLATE(D2935,""en"",""es"")"),"choque")</f>
        <v>choque</v>
      </c>
      <c r="H2935" s="4" t="s">
        <v>8734</v>
      </c>
      <c r="I2935" s="4" t="s">
        <v>8732</v>
      </c>
      <c r="J2935" s="4" t="s">
        <v>8735</v>
      </c>
      <c r="K2935" s="4" t="s">
        <v>8732</v>
      </c>
      <c r="L2935" s="4" t="s">
        <v>8736</v>
      </c>
      <c r="M2935" s="4" t="s">
        <v>8737</v>
      </c>
      <c r="N2935" s="4" t="s">
        <v>8738</v>
      </c>
      <c r="O2935" s="4" t="s">
        <v>8732</v>
      </c>
      <c r="P2935" s="4" t="s">
        <v>8732</v>
      </c>
      <c r="Q2935" s="4" t="s">
        <v>8732</v>
      </c>
      <c r="R2935" s="4" t="s">
        <v>8739</v>
      </c>
      <c r="S2935" s="4" t="s">
        <v>8732</v>
      </c>
      <c r="T2935" s="4" t="s">
        <v>4163</v>
      </c>
      <c r="U2935" s="4" t="s">
        <v>8732</v>
      </c>
      <c r="V2935" s="4" t="s">
        <v>8732</v>
      </c>
      <c r="W2935" s="4" t="s">
        <v>8740</v>
      </c>
      <c r="X2935" s="4" t="s">
        <v>4519</v>
      </c>
      <c r="Y2935" s="4" t="s">
        <v>8741</v>
      </c>
      <c r="Z2935" s="4" t="s">
        <v>8732</v>
      </c>
      <c r="AA2935" s="4" t="s">
        <v>8742</v>
      </c>
      <c r="AB2935" s="4" t="s">
        <v>8732</v>
      </c>
      <c r="AC2935" s="4" t="s">
        <v>1452</v>
      </c>
      <c r="AD2935" s="4" t="s">
        <v>8732</v>
      </c>
      <c r="AE2935" s="4" t="s">
        <v>3578</v>
      </c>
      <c r="AF2935" s="4" t="s">
        <v>8743</v>
      </c>
      <c r="AG2935" s="4" t="s">
        <v>8744</v>
      </c>
      <c r="AH2935" s="4" t="s">
        <v>8745</v>
      </c>
      <c r="AI2935" s="4" t="s">
        <v>8732</v>
      </c>
      <c r="AJ2935" s="4" t="s">
        <v>920</v>
      </c>
      <c r="AK2935" s="4" t="s">
        <v>8746</v>
      </c>
      <c r="AL2935" s="4" t="s">
        <v>8747</v>
      </c>
      <c r="AM2935" s="4" t="s">
        <v>8748</v>
      </c>
      <c r="AN2935" s="4" t="s">
        <v>8749</v>
      </c>
      <c r="AO2935" s="4" t="s">
        <v>8750</v>
      </c>
      <c r="AP2935" s="4" t="s">
        <v>8732</v>
      </c>
      <c r="AQ2935" s="4" t="s">
        <v>8732</v>
      </c>
      <c r="AR2935" s="4" t="s">
        <v>8732</v>
      </c>
      <c r="AS2935" s="4" t="s">
        <v>8732</v>
      </c>
      <c r="AT2935" s="4" t="s">
        <v>8751</v>
      </c>
      <c r="AU2935" s="4" t="s">
        <v>8752</v>
      </c>
      <c r="AV2935" s="4" t="s">
        <v>8732</v>
      </c>
    </row>
    <row r="2936">
      <c r="A2936" s="4">
        <v>498.0</v>
      </c>
      <c r="B2936" s="4" t="s">
        <v>8035</v>
      </c>
      <c r="C2936" s="4"/>
      <c r="D2936" s="4" t="s">
        <v>7511</v>
      </c>
      <c r="E2936" s="4" t="s">
        <v>7512</v>
      </c>
      <c r="F2936" s="4" t="s">
        <v>7513</v>
      </c>
      <c r="G2936" s="5" t="str">
        <f>IFERROR(__xludf.DUMMYFUNCTION("GOOGLETRANSLATE(D2936,""en"",""es"")"),"sacudirse")</f>
        <v>sacudirse</v>
      </c>
      <c r="H2936" s="4" t="s">
        <v>7511</v>
      </c>
      <c r="I2936" s="4" t="s">
        <v>2700</v>
      </c>
      <c r="J2936" s="4" t="s">
        <v>7342</v>
      </c>
      <c r="K2936" s="4" t="s">
        <v>2700</v>
      </c>
      <c r="L2936" s="4" t="s">
        <v>7514</v>
      </c>
      <c r="M2936" s="4" t="s">
        <v>7515</v>
      </c>
      <c r="N2936" s="4" t="s">
        <v>2700</v>
      </c>
      <c r="O2936" s="4" t="s">
        <v>7516</v>
      </c>
      <c r="P2936" s="4" t="s">
        <v>7517</v>
      </c>
      <c r="Q2936" s="4" t="s">
        <v>2700</v>
      </c>
      <c r="R2936" s="4" t="s">
        <v>2700</v>
      </c>
      <c r="S2936" s="4" t="s">
        <v>7518</v>
      </c>
      <c r="T2936" s="4" t="s">
        <v>2700</v>
      </c>
      <c r="U2936" s="4" t="s">
        <v>7519</v>
      </c>
      <c r="V2936" s="4" t="s">
        <v>709</v>
      </c>
      <c r="W2936" s="4" t="s">
        <v>7520</v>
      </c>
      <c r="X2936" s="4" t="s">
        <v>2700</v>
      </c>
      <c r="Y2936" s="4" t="s">
        <v>7521</v>
      </c>
      <c r="Z2936" s="4" t="s">
        <v>7522</v>
      </c>
      <c r="AA2936" s="4" t="s">
        <v>7523</v>
      </c>
      <c r="AB2936" s="4" t="s">
        <v>2700</v>
      </c>
      <c r="AC2936" s="4" t="s">
        <v>2700</v>
      </c>
    </row>
    <row r="2937">
      <c r="A2937" s="4">
        <v>499.0</v>
      </c>
      <c r="B2937" s="4" t="s">
        <v>8035</v>
      </c>
      <c r="C2937" s="4"/>
      <c r="D2937" s="4" t="s">
        <v>8753</v>
      </c>
      <c r="E2937" s="4" t="s">
        <v>8754</v>
      </c>
      <c r="F2937" s="4" t="s">
        <v>6012</v>
      </c>
      <c r="G2937" s="5" t="str">
        <f>IFERROR(__xludf.DUMMYFUNCTION("GOOGLETRANSLATE(D2937,""en"",""es"")"),"tienda")</f>
        <v>tienda</v>
      </c>
      <c r="H2937" s="4" t="s">
        <v>8753</v>
      </c>
      <c r="I2937" s="4" t="s">
        <v>487</v>
      </c>
      <c r="J2937" s="4" t="s">
        <v>8755</v>
      </c>
      <c r="K2937" s="4" t="s">
        <v>8753</v>
      </c>
      <c r="L2937" s="4" t="s">
        <v>8756</v>
      </c>
      <c r="M2937" s="4" t="s">
        <v>8753</v>
      </c>
      <c r="N2937" s="4" t="s">
        <v>8753</v>
      </c>
      <c r="O2937" s="4" t="s">
        <v>8757</v>
      </c>
      <c r="P2937" s="4" t="s">
        <v>8758</v>
      </c>
      <c r="Q2937" s="4" t="s">
        <v>8753</v>
      </c>
      <c r="R2937" s="4" t="s">
        <v>8759</v>
      </c>
      <c r="S2937" s="4" t="s">
        <v>8760</v>
      </c>
      <c r="T2937" s="4" t="s">
        <v>8761</v>
      </c>
      <c r="U2937" s="4" t="s">
        <v>8762</v>
      </c>
      <c r="V2937" s="4" t="s">
        <v>8753</v>
      </c>
      <c r="W2937" s="4" t="s">
        <v>8763</v>
      </c>
      <c r="X2937" s="4" t="s">
        <v>8764</v>
      </c>
      <c r="Y2937" s="4" t="s">
        <v>8765</v>
      </c>
      <c r="Z2937" s="4" t="s">
        <v>8766</v>
      </c>
      <c r="AA2937" s="4" t="s">
        <v>8767</v>
      </c>
      <c r="AB2937" s="4" t="s">
        <v>1143</v>
      </c>
      <c r="AC2937" s="4" t="s">
        <v>8768</v>
      </c>
      <c r="AD2937" s="4" t="s">
        <v>8769</v>
      </c>
      <c r="AE2937" s="4" t="s">
        <v>8753</v>
      </c>
      <c r="AF2937" s="4" t="s">
        <v>6294</v>
      </c>
      <c r="AG2937" s="4" t="s">
        <v>8770</v>
      </c>
    </row>
    <row r="2938">
      <c r="A2938" s="4">
        <v>500.0</v>
      </c>
      <c r="B2938" s="4" t="s">
        <v>8035</v>
      </c>
      <c r="C2938" s="4"/>
      <c r="D2938" s="4" t="s">
        <v>7524</v>
      </c>
      <c r="E2938" s="4" t="s">
        <v>7525</v>
      </c>
      <c r="F2938" s="4" t="s">
        <v>7524</v>
      </c>
      <c r="G2938" s="5" t="str">
        <f>IFERROR(__xludf.DUMMYFUNCTION("GOOGLETRANSLATE(D2938,""en"",""es"")"),"shul")</f>
        <v>shul</v>
      </c>
    </row>
    <row r="2939">
      <c r="A2939" s="4">
        <v>501.0</v>
      </c>
      <c r="B2939" s="4" t="s">
        <v>8035</v>
      </c>
      <c r="C2939" s="4"/>
      <c r="D2939" s="4" t="s">
        <v>7526</v>
      </c>
      <c r="E2939" s="4" t="s">
        <v>7527</v>
      </c>
      <c r="F2939" s="4" t="s">
        <v>7526</v>
      </c>
      <c r="G2939" s="5" t="str">
        <f>IFERROR(__xludf.DUMMYFUNCTION("GOOGLETRANSLATE(D2939,""en"",""es"")"),"silenciar")</f>
        <v>silenciar</v>
      </c>
      <c r="H2939" s="4" t="s">
        <v>7526</v>
      </c>
    </row>
    <row r="2940">
      <c r="A2940" s="4">
        <v>502.0</v>
      </c>
      <c r="B2940" s="4" t="s">
        <v>8035</v>
      </c>
      <c r="C2940" s="4"/>
      <c r="D2940" s="4" t="s">
        <v>401</v>
      </c>
      <c r="E2940" s="4" t="s">
        <v>400</v>
      </c>
      <c r="F2940" s="4" t="s">
        <v>401</v>
      </c>
      <c r="G2940" s="5" t="str">
        <f>IFERROR(__xludf.DUMMYFUNCTION("GOOGLETRANSLATE(D2940,""en"",""es"")"),"si")</f>
        <v>si</v>
      </c>
      <c r="H2940" s="4" t="s">
        <v>3976</v>
      </c>
      <c r="I2940" s="4" t="s">
        <v>3977</v>
      </c>
      <c r="J2940" s="4" t="s">
        <v>3978</v>
      </c>
      <c r="K2940" s="4" t="s">
        <v>7528</v>
      </c>
      <c r="L2940" s="4" t="s">
        <v>7529</v>
      </c>
      <c r="M2940" s="4" t="s">
        <v>7530</v>
      </c>
      <c r="N2940" s="4" t="s">
        <v>7531</v>
      </c>
      <c r="O2940" s="4" t="s">
        <v>7532</v>
      </c>
      <c r="P2940" s="4" t="s">
        <v>7533</v>
      </c>
      <c r="Q2940" s="4" t="s">
        <v>7534</v>
      </c>
      <c r="R2940" s="4" t="s">
        <v>422</v>
      </c>
      <c r="S2940" s="4" t="s">
        <v>3975</v>
      </c>
      <c r="T2940" s="4" t="s">
        <v>401</v>
      </c>
    </row>
    <row r="2941">
      <c r="A2941" s="4">
        <v>503.0</v>
      </c>
      <c r="B2941" s="4" t="s">
        <v>8035</v>
      </c>
      <c r="C2941" s="4"/>
      <c r="D2941" s="4" t="s">
        <v>401</v>
      </c>
      <c r="E2941" s="4" t="s">
        <v>7535</v>
      </c>
      <c r="F2941" s="4" t="s">
        <v>401</v>
      </c>
      <c r="G2941" s="5" t="str">
        <f>IFERROR(__xludf.DUMMYFUNCTION("GOOGLETRANSLATE(D2941,""en"",""es"")"),"si")</f>
        <v>si</v>
      </c>
      <c r="H2941" s="4" t="s">
        <v>3976</v>
      </c>
      <c r="I2941" s="4" t="s">
        <v>3977</v>
      </c>
      <c r="J2941" s="4" t="s">
        <v>3978</v>
      </c>
      <c r="K2941" s="4" t="s">
        <v>7528</v>
      </c>
      <c r="L2941" s="4" t="s">
        <v>7529</v>
      </c>
      <c r="M2941" s="4" t="s">
        <v>7530</v>
      </c>
      <c r="N2941" s="4" t="s">
        <v>7531</v>
      </c>
      <c r="O2941" s="4" t="s">
        <v>7532</v>
      </c>
      <c r="P2941" s="4" t="s">
        <v>7533</v>
      </c>
      <c r="Q2941" s="4" t="s">
        <v>7534</v>
      </c>
      <c r="R2941" s="4" t="s">
        <v>422</v>
      </c>
      <c r="S2941" s="4" t="s">
        <v>3975</v>
      </c>
      <c r="T2941" s="4" t="s">
        <v>401</v>
      </c>
    </row>
    <row r="2942">
      <c r="A2942" s="4">
        <v>504.0</v>
      </c>
      <c r="B2942" s="4" t="s">
        <v>8035</v>
      </c>
      <c r="C2942" s="4"/>
      <c r="D2942" s="4" t="s">
        <v>7536</v>
      </c>
      <c r="E2942" s="4" t="s">
        <v>7537</v>
      </c>
      <c r="F2942" s="4" t="s">
        <v>7538</v>
      </c>
      <c r="G2942" s="5" t="str">
        <f>IFERROR(__xludf.DUMMYFUNCTION("GOOGLETRANSLATE(D2942,""en"",""es"")"),"sic")</f>
        <v>sic</v>
      </c>
      <c r="H2942" s="4" t="s">
        <v>7536</v>
      </c>
      <c r="I2942" s="4" t="s">
        <v>7539</v>
      </c>
      <c r="J2942" s="4" t="s">
        <v>7536</v>
      </c>
    </row>
    <row r="2943">
      <c r="A2943" s="4">
        <v>505.0</v>
      </c>
      <c r="B2943" s="4" t="s">
        <v>8035</v>
      </c>
      <c r="C2943" s="4"/>
      <c r="D2943" s="4" t="s">
        <v>4402</v>
      </c>
      <c r="E2943" s="4" t="s">
        <v>7537</v>
      </c>
      <c r="F2943" s="4" t="s">
        <v>7538</v>
      </c>
      <c r="G2943" s="5" t="str">
        <f>IFERROR(__xludf.DUMMYFUNCTION("GOOGLETRANSLATE(D2943,""en"",""es"")"),"enfermo")</f>
        <v>enfermo</v>
      </c>
      <c r="H2943" s="4" t="s">
        <v>4402</v>
      </c>
      <c r="I2943" s="4" t="s">
        <v>7540</v>
      </c>
      <c r="J2943" s="4" t="s">
        <v>7541</v>
      </c>
      <c r="K2943" s="4" t="s">
        <v>7542</v>
      </c>
      <c r="L2943" s="4" t="s">
        <v>5158</v>
      </c>
      <c r="M2943" s="4" t="s">
        <v>4402</v>
      </c>
      <c r="N2943" s="4" t="s">
        <v>4845</v>
      </c>
      <c r="O2943" s="4" t="s">
        <v>7543</v>
      </c>
      <c r="P2943" s="4" t="s">
        <v>7544</v>
      </c>
      <c r="Q2943" s="4" t="s">
        <v>7545</v>
      </c>
      <c r="R2943" s="4" t="s">
        <v>7546</v>
      </c>
      <c r="S2943" s="4" t="s">
        <v>1148</v>
      </c>
      <c r="T2943" s="4" t="s">
        <v>7547</v>
      </c>
      <c r="U2943" s="4" t="s">
        <v>7548</v>
      </c>
      <c r="V2943" s="4" t="s">
        <v>7549</v>
      </c>
      <c r="W2943" s="4" t="s">
        <v>7550</v>
      </c>
      <c r="X2943" s="4" t="s">
        <v>7551</v>
      </c>
      <c r="Y2943" s="4" t="s">
        <v>4087</v>
      </c>
      <c r="Z2943" s="4" t="s">
        <v>7552</v>
      </c>
      <c r="AA2943" s="4" t="s">
        <v>7553</v>
      </c>
      <c r="AB2943" s="4" t="s">
        <v>2345</v>
      </c>
      <c r="AC2943" s="4" t="s">
        <v>4402</v>
      </c>
      <c r="AD2943" s="4" t="s">
        <v>7554</v>
      </c>
      <c r="AE2943" s="4" t="s">
        <v>7555</v>
      </c>
      <c r="AF2943" s="4" t="s">
        <v>7556</v>
      </c>
      <c r="AG2943" s="4" t="s">
        <v>4402</v>
      </c>
      <c r="AH2943" s="4" t="s">
        <v>7557</v>
      </c>
      <c r="AI2943" s="4" t="s">
        <v>7558</v>
      </c>
      <c r="AJ2943" s="4" t="s">
        <v>7559</v>
      </c>
      <c r="AK2943" s="4" t="s">
        <v>7560</v>
      </c>
      <c r="AL2943" s="4" t="s">
        <v>7561</v>
      </c>
      <c r="AM2943" s="4" t="s">
        <v>7562</v>
      </c>
      <c r="AN2943" s="4" t="s">
        <v>4402</v>
      </c>
      <c r="AO2943" s="4" t="s">
        <v>7563</v>
      </c>
      <c r="AP2943" s="4" t="s">
        <v>7564</v>
      </c>
      <c r="AQ2943" s="4" t="s">
        <v>4400</v>
      </c>
      <c r="AR2943" s="4" t="s">
        <v>4401</v>
      </c>
      <c r="AS2943" s="4" t="s">
        <v>4402</v>
      </c>
      <c r="AT2943" s="4" t="s">
        <v>4403</v>
      </c>
      <c r="AU2943" s="4" t="s">
        <v>4404</v>
      </c>
      <c r="AV2943" s="4" t="s">
        <v>7565</v>
      </c>
      <c r="AW2943" s="4" t="s">
        <v>7566</v>
      </c>
      <c r="AX2943" s="4" t="s">
        <v>7567</v>
      </c>
      <c r="AY2943" s="4" t="s">
        <v>4402</v>
      </c>
      <c r="AZ2943" s="4" t="s">
        <v>4402</v>
      </c>
      <c r="BA2943" s="4" t="s">
        <v>7568</v>
      </c>
      <c r="BB2943" s="4" t="s">
        <v>7569</v>
      </c>
      <c r="BC2943" s="4" t="s">
        <v>7570</v>
      </c>
      <c r="BD2943" s="4" t="s">
        <v>7571</v>
      </c>
      <c r="BE2943" s="4" t="s">
        <v>7572</v>
      </c>
      <c r="BF2943" s="4" t="s">
        <v>4402</v>
      </c>
    </row>
    <row r="2944">
      <c r="A2944" s="4">
        <v>506.0</v>
      </c>
      <c r="B2944" s="4" t="s">
        <v>8035</v>
      </c>
      <c r="C2944" s="4"/>
      <c r="D2944" s="4" t="s">
        <v>7573</v>
      </c>
      <c r="E2944" s="4" t="s">
        <v>7574</v>
      </c>
      <c r="F2944" s="4" t="s">
        <v>5573</v>
      </c>
      <c r="G2944" s="5" t="str">
        <f>IFERROR(__xludf.DUMMYFUNCTION("GOOGLETRANSLATE(D2944,""en"",""es"")"),"enfermo")</f>
        <v>enfermo</v>
      </c>
    </row>
    <row r="2945">
      <c r="A2945" s="4">
        <v>507.0</v>
      </c>
      <c r="B2945" s="4" t="s">
        <v>8035</v>
      </c>
      <c r="C2945" s="4"/>
      <c r="D2945" s="4" t="s">
        <v>7575</v>
      </c>
      <c r="E2945" s="4" t="s">
        <v>7537</v>
      </c>
      <c r="F2945" s="4" t="s">
        <v>7538</v>
      </c>
      <c r="G2945" s="5" t="str">
        <f>IFERROR(__xludf.DUMMYFUNCTION("GOOGLETRANSLATE(D2945,""en"",""es"")"),"sij")</f>
        <v>sij</v>
      </c>
      <c r="H2945" s="4" t="s">
        <v>7576</v>
      </c>
      <c r="I2945" s="4" t="s">
        <v>7576</v>
      </c>
    </row>
    <row r="2946">
      <c r="A2946" s="4">
        <v>508.0</v>
      </c>
      <c r="B2946" s="4" t="s">
        <v>8035</v>
      </c>
      <c r="C2946" s="4"/>
      <c r="D2946" s="4" t="s">
        <v>7577</v>
      </c>
      <c r="E2946" s="4" t="s">
        <v>7578</v>
      </c>
      <c r="F2946" s="4" t="s">
        <v>7579</v>
      </c>
      <c r="G2946" s="5" t="str">
        <f>IFERROR(__xludf.DUMMYFUNCTION("GOOGLETRANSLATE(D2946,""en"",""es"")"),"sikkim")</f>
        <v>sikkim</v>
      </c>
      <c r="H2946" s="4" t="s">
        <v>7580</v>
      </c>
    </row>
    <row r="2947">
      <c r="A2947" s="4">
        <v>509.0</v>
      </c>
      <c r="B2947" s="4" t="s">
        <v>8035</v>
      </c>
      <c r="C2947" s="4"/>
      <c r="D2947" s="4" t="s">
        <v>7581</v>
      </c>
      <c r="E2947" s="4" t="s">
        <v>7582</v>
      </c>
      <c r="F2947" s="4" t="s">
        <v>7583</v>
      </c>
      <c r="G2947" s="5" t="str">
        <f>IFERROR(__xludf.DUMMYFUNCTION("GOOGLETRANSLATE(D2947,""en"",""es"")"),"silíque")</f>
        <v>silíque</v>
      </c>
      <c r="H2947" s="4" t="s">
        <v>7581</v>
      </c>
      <c r="I2947" s="4" t="s">
        <v>7584</v>
      </c>
    </row>
    <row r="2948">
      <c r="A2948" s="4">
        <v>510.0</v>
      </c>
      <c r="B2948" s="4" t="s">
        <v>8035</v>
      </c>
      <c r="C2948" s="4"/>
      <c r="D2948" s="4" t="s">
        <v>7585</v>
      </c>
      <c r="E2948" s="4" t="s">
        <v>7586</v>
      </c>
      <c r="F2948" s="4" t="s">
        <v>7587</v>
      </c>
      <c r="G2948" s="5" t="str">
        <f>IFERROR(__xludf.DUMMYFUNCTION("GOOGLETRANSLATE(D2948,""en"",""es"")"),"umbral")</f>
        <v>umbral</v>
      </c>
      <c r="H2948" s="4" t="s">
        <v>7585</v>
      </c>
      <c r="I2948" s="4" t="s">
        <v>7585</v>
      </c>
    </row>
    <row r="2949">
      <c r="A2949" s="4">
        <v>511.0</v>
      </c>
      <c r="B2949" s="4" t="s">
        <v>8035</v>
      </c>
      <c r="C2949" s="4"/>
      <c r="D2949" s="4" t="s">
        <v>7588</v>
      </c>
      <c r="E2949" s="4" t="s">
        <v>7589</v>
      </c>
      <c r="F2949" s="4" t="s">
        <v>7590</v>
      </c>
      <c r="G2949" s="5" t="str">
        <f>IFERROR(__xludf.DUMMYFUNCTION("GOOGLETRANSLATE(D2949,""en"",""es"")"),"tontería")</f>
        <v>tontería</v>
      </c>
      <c r="H2949" s="4" t="s">
        <v>7591</v>
      </c>
      <c r="I2949" s="4" t="s">
        <v>7592</v>
      </c>
      <c r="J2949" s="4" t="s">
        <v>7593</v>
      </c>
      <c r="K2949" s="4" t="s">
        <v>7588</v>
      </c>
      <c r="L2949" s="4" t="s">
        <v>7594</v>
      </c>
      <c r="M2949" s="4" t="s">
        <v>7588</v>
      </c>
    </row>
    <row r="2950">
      <c r="A2950" s="4">
        <v>512.0</v>
      </c>
      <c r="B2950" s="4" t="s">
        <v>8035</v>
      </c>
      <c r="C2950" s="4"/>
      <c r="D2950" s="4" t="s">
        <v>7419</v>
      </c>
      <c r="E2950" s="4" t="s">
        <v>7595</v>
      </c>
      <c r="F2950" s="4" t="s">
        <v>7596</v>
      </c>
      <c r="G2950" s="5" t="str">
        <f>IFERROR(__xludf.DUMMYFUNCTION("GOOGLETRANSLATE(D2950,""en"",""es"")"),"tonto")</f>
        <v>tonto</v>
      </c>
      <c r="H2950" s="4" t="s">
        <v>7419</v>
      </c>
      <c r="I2950" s="4" t="s">
        <v>7416</v>
      </c>
      <c r="J2950" s="4" t="s">
        <v>7417</v>
      </c>
      <c r="K2950" s="4" t="s">
        <v>7418</v>
      </c>
      <c r="L2950" s="4" t="s">
        <v>7413</v>
      </c>
      <c r="M2950" s="4" t="s">
        <v>7419</v>
      </c>
      <c r="N2950" s="4" t="s">
        <v>6509</v>
      </c>
      <c r="O2950" s="4" t="s">
        <v>6510</v>
      </c>
      <c r="P2950" s="4" t="s">
        <v>7420</v>
      </c>
      <c r="Q2950" s="4" t="s">
        <v>7597</v>
      </c>
      <c r="R2950" s="4" t="s">
        <v>7598</v>
      </c>
      <c r="S2950" s="4" t="s">
        <v>7599</v>
      </c>
      <c r="T2950" s="4" t="s">
        <v>7600</v>
      </c>
      <c r="U2950" s="4" t="s">
        <v>7601</v>
      </c>
      <c r="V2950" s="4" t="s">
        <v>7602</v>
      </c>
      <c r="W2950" s="4" t="s">
        <v>7603</v>
      </c>
      <c r="X2950" s="4" t="s">
        <v>7419</v>
      </c>
      <c r="Y2950" s="4" t="s">
        <v>7604</v>
      </c>
      <c r="Z2950" s="4" t="s">
        <v>7605</v>
      </c>
      <c r="AA2950" s="4" t="s">
        <v>7419</v>
      </c>
      <c r="AB2950" s="4" t="s">
        <v>7606</v>
      </c>
      <c r="AC2950" s="4" t="s">
        <v>7419</v>
      </c>
      <c r="AD2950" s="4" t="s">
        <v>7607</v>
      </c>
    </row>
    <row r="2951">
      <c r="A2951" s="4">
        <v>513.0</v>
      </c>
      <c r="B2951" s="4" t="s">
        <v>8035</v>
      </c>
      <c r="C2951" s="4"/>
      <c r="D2951" s="4" t="s">
        <v>1399</v>
      </c>
      <c r="E2951" s="4" t="s">
        <v>7608</v>
      </c>
      <c r="F2951" s="4" t="s">
        <v>1399</v>
      </c>
      <c r="G2951" s="5" t="str">
        <f>IFERROR(__xludf.DUMMYFUNCTION("GOOGLETRANSLATE(D2951,""en"",""es"")"),"simulador")</f>
        <v>simulador</v>
      </c>
    </row>
    <row r="2952">
      <c r="A2952" s="4">
        <v>514.0</v>
      </c>
      <c r="B2952" s="4" t="s">
        <v>8035</v>
      </c>
      <c r="C2952" s="4"/>
      <c r="D2952" s="4" t="s">
        <v>404</v>
      </c>
      <c r="E2952" s="4" t="s">
        <v>7609</v>
      </c>
      <c r="F2952" s="4" t="s">
        <v>404</v>
      </c>
      <c r="G2952" s="5" t="str">
        <f>IFERROR(__xludf.DUMMYFUNCTION("GOOGLETRANSLATE(D2952,""en"",""es"")"),"pecado")</f>
        <v>pecado</v>
      </c>
      <c r="H2952" s="4" t="s">
        <v>404</v>
      </c>
      <c r="I2952" s="4" t="s">
        <v>7610</v>
      </c>
      <c r="J2952" s="4" t="s">
        <v>7611</v>
      </c>
      <c r="K2952" s="4" t="s">
        <v>404</v>
      </c>
      <c r="L2952" s="4" t="s">
        <v>7612</v>
      </c>
      <c r="M2952" s="4" t="s">
        <v>4003</v>
      </c>
      <c r="N2952" s="4" t="s">
        <v>404</v>
      </c>
      <c r="O2952" s="4" t="s">
        <v>7613</v>
      </c>
      <c r="P2952" s="4" t="s">
        <v>404</v>
      </c>
      <c r="Q2952" s="4" t="s">
        <v>404</v>
      </c>
      <c r="R2952" s="4" t="s">
        <v>7614</v>
      </c>
      <c r="S2952" s="4" t="s">
        <v>404</v>
      </c>
      <c r="T2952" s="4" t="s">
        <v>7615</v>
      </c>
      <c r="U2952" s="4" t="s">
        <v>7616</v>
      </c>
      <c r="V2952" s="4" t="s">
        <v>7617</v>
      </c>
      <c r="W2952" s="4" t="s">
        <v>404</v>
      </c>
      <c r="X2952" s="4" t="s">
        <v>7618</v>
      </c>
      <c r="Y2952" s="4" t="s">
        <v>3240</v>
      </c>
      <c r="Z2952" s="4" t="s">
        <v>7619</v>
      </c>
    </row>
    <row r="2953">
      <c r="A2953" s="4">
        <v>515.0</v>
      </c>
      <c r="B2953" s="4" t="s">
        <v>8035</v>
      </c>
      <c r="C2953" s="4"/>
      <c r="D2953" s="4" t="s">
        <v>7620</v>
      </c>
      <c r="E2953" s="4" t="s">
        <v>6107</v>
      </c>
      <c r="F2953" s="4" t="s">
        <v>1712</v>
      </c>
      <c r="G2953" s="5" t="str">
        <f>IFERROR(__xludf.DUMMYFUNCTION("GOOGLETRANSLATE(D2953,""en"",""es"")"),"sinico")</f>
        <v>sinico</v>
      </c>
    </row>
    <row r="2954">
      <c r="A2954" s="4">
        <v>516.0</v>
      </c>
      <c r="B2954" s="4" t="s">
        <v>8035</v>
      </c>
      <c r="C2954" s="4"/>
      <c r="D2954" s="4" t="s">
        <v>7621</v>
      </c>
      <c r="E2954" s="4" t="s">
        <v>7622</v>
      </c>
      <c r="F2954" s="4" t="s">
        <v>7623</v>
      </c>
      <c r="G2954" s="5" t="str">
        <f>IFERROR(__xludf.DUMMYFUNCTION("GOOGLETRANSLATE(D2954,""en"",""es"")"),"sinítico")</f>
        <v>sinítico</v>
      </c>
      <c r="H2954" s="4" t="s">
        <v>7624</v>
      </c>
      <c r="I2954" s="4" t="s">
        <v>7625</v>
      </c>
      <c r="J2954" s="4" t="s">
        <v>7624</v>
      </c>
    </row>
    <row r="2955">
      <c r="A2955" s="4">
        <v>517.0</v>
      </c>
      <c r="B2955" s="4" t="s">
        <v>8035</v>
      </c>
      <c r="C2955" s="4"/>
      <c r="D2955" s="4" t="s">
        <v>7626</v>
      </c>
      <c r="E2955" s="4" t="s">
        <v>7627</v>
      </c>
      <c r="F2955" s="4" t="s">
        <v>7626</v>
      </c>
      <c r="G2955" s="5" t="str">
        <f>IFERROR(__xludf.DUMMYFUNCTION("GOOGLETRANSLATE(D2955,""en"",""es"")"),"sorbo")</f>
        <v>sorbo</v>
      </c>
      <c r="H2955" s="4" t="s">
        <v>7626</v>
      </c>
      <c r="I2955" s="4" t="s">
        <v>7626</v>
      </c>
    </row>
    <row r="2956">
      <c r="A2956" s="4">
        <v>518.0</v>
      </c>
      <c r="B2956" s="4" t="s">
        <v>8035</v>
      </c>
      <c r="C2956" s="4"/>
      <c r="D2956" s="4" t="s">
        <v>4004</v>
      </c>
      <c r="E2956" s="4" t="s">
        <v>6053</v>
      </c>
      <c r="F2956" s="4" t="s">
        <v>4004</v>
      </c>
      <c r="G2956" s="5" t="str">
        <f>IFERROR(__xludf.DUMMYFUNCTION("GOOGLETRANSLATE(D2956,""en"",""es"")"),"hermana")</f>
        <v>hermana</v>
      </c>
      <c r="H2956" s="4" t="s">
        <v>2285</v>
      </c>
      <c r="I2956" s="4" t="s">
        <v>4004</v>
      </c>
      <c r="J2956" s="4" t="s">
        <v>3976</v>
      </c>
      <c r="K2956" s="4" t="s">
        <v>3977</v>
      </c>
      <c r="L2956" s="4" t="s">
        <v>3978</v>
      </c>
      <c r="M2956" s="4" t="s">
        <v>7528</v>
      </c>
      <c r="N2956" s="4" t="s">
        <v>7529</v>
      </c>
      <c r="O2956" s="4" t="s">
        <v>7530</v>
      </c>
      <c r="P2956" s="4" t="s">
        <v>7531</v>
      </c>
      <c r="Q2956" s="4" t="s">
        <v>7532</v>
      </c>
      <c r="R2956" s="4" t="s">
        <v>7533</v>
      </c>
      <c r="S2956" s="4" t="s">
        <v>7534</v>
      </c>
      <c r="T2956" s="4" t="s">
        <v>422</v>
      </c>
      <c r="U2956" s="4" t="s">
        <v>3975</v>
      </c>
      <c r="V2956" s="4" t="s">
        <v>401</v>
      </c>
    </row>
    <row r="2957">
      <c r="A2957" s="4">
        <v>519.0</v>
      </c>
      <c r="B2957" s="4" t="s">
        <v>8035</v>
      </c>
      <c r="C2957" s="4"/>
      <c r="D2957" s="4" t="s">
        <v>6067</v>
      </c>
      <c r="E2957" s="4" t="s">
        <v>6060</v>
      </c>
      <c r="F2957" s="4" t="s">
        <v>6061</v>
      </c>
      <c r="G2957" s="5" t="str">
        <f>IFERROR(__xludf.DUMMYFUNCTION("GOOGLETRANSLATE(D2957,""en"",""es"")"),"marica")</f>
        <v>marica</v>
      </c>
      <c r="H2957" s="4" t="s">
        <v>6067</v>
      </c>
      <c r="I2957" s="4" t="s">
        <v>7628</v>
      </c>
      <c r="J2957" s="4" t="s">
        <v>2487</v>
      </c>
      <c r="K2957" s="4" t="s">
        <v>7629</v>
      </c>
      <c r="L2957" s="4" t="s">
        <v>7630</v>
      </c>
      <c r="M2957" s="4" t="s">
        <v>6062</v>
      </c>
      <c r="N2957" s="4" t="s">
        <v>6063</v>
      </c>
      <c r="O2957" s="4" t="s">
        <v>6064</v>
      </c>
      <c r="P2957" s="4" t="s">
        <v>6059</v>
      </c>
      <c r="Q2957" s="4" t="s">
        <v>6065</v>
      </c>
      <c r="R2957" s="4" t="s">
        <v>6066</v>
      </c>
      <c r="S2957" s="4" t="s">
        <v>6067</v>
      </c>
    </row>
    <row r="2958">
      <c r="A2958" s="4">
        <v>520.0</v>
      </c>
      <c r="B2958" s="4" t="s">
        <v>8035</v>
      </c>
      <c r="C2958" s="4"/>
      <c r="D2958" s="4" t="s">
        <v>7631</v>
      </c>
      <c r="E2958" s="4" t="s">
        <v>7632</v>
      </c>
      <c r="F2958" s="4" t="s">
        <v>7631</v>
      </c>
      <c r="G2958" s="5" t="str">
        <f>IFERROR(__xludf.DUMMYFUNCTION("GOOGLETRANSLATE(D2958,""en"",""es"")"),"sith")</f>
        <v>sith</v>
      </c>
    </row>
    <row r="2959">
      <c r="A2959" s="4">
        <v>521.0</v>
      </c>
      <c r="B2959" s="4" t="s">
        <v>8035</v>
      </c>
      <c r="C2959" s="4"/>
      <c r="D2959" s="4" t="s">
        <v>7633</v>
      </c>
      <c r="E2959" s="4" t="s">
        <v>2038</v>
      </c>
      <c r="F2959" s="4" t="s">
        <v>2037</v>
      </c>
      <c r="G2959" s="5" t="str">
        <f>IFERROR(__xludf.DUMMYFUNCTION("GOOGLETRANSLATE(D2959,""en"",""es"")"),"hacia el cielo")</f>
        <v>hacia el cielo</v>
      </c>
    </row>
    <row r="2960">
      <c r="A2960" s="4">
        <v>522.0</v>
      </c>
      <c r="B2960" s="4" t="s">
        <v>8035</v>
      </c>
      <c r="C2960" s="4"/>
      <c r="D2960" s="4" t="s">
        <v>7633</v>
      </c>
      <c r="E2960" s="4" t="s">
        <v>7634</v>
      </c>
      <c r="F2960" s="4" t="s">
        <v>2037</v>
      </c>
      <c r="G2960" s="5" t="str">
        <f>IFERROR(__xludf.DUMMYFUNCTION("GOOGLETRANSLATE(D2960,""en"",""es"")"),"hacia el cielo")</f>
        <v>hacia el cielo</v>
      </c>
    </row>
    <row r="2961">
      <c r="A2961" s="4">
        <v>523.0</v>
      </c>
      <c r="B2961" s="4" t="s">
        <v>8035</v>
      </c>
      <c r="C2961" s="4"/>
      <c r="D2961" s="4" t="s">
        <v>8771</v>
      </c>
      <c r="E2961" s="4" t="s">
        <v>8772</v>
      </c>
      <c r="F2961" s="4" t="s">
        <v>3868</v>
      </c>
      <c r="G2961" s="5" t="str">
        <f>IFERROR(__xludf.DUMMYFUNCTION("GOOGLETRANSLATE(D2961,""en"",""es"")"),"sociedad")</f>
        <v>sociedad</v>
      </c>
    </row>
    <row r="2962">
      <c r="A2962" s="4">
        <v>524.0</v>
      </c>
      <c r="B2962" s="4" t="s">
        <v>8035</v>
      </c>
      <c r="C2962" s="4"/>
      <c r="D2962" s="4" t="s">
        <v>8773</v>
      </c>
      <c r="E2962" s="4" t="s">
        <v>8772</v>
      </c>
      <c r="F2962" s="4" t="s">
        <v>3868</v>
      </c>
      <c r="G2962" s="5" t="str">
        <f>IFERROR(__xludf.DUMMYFUNCTION("GOOGLETRANSLATE(D2962,""en"",""es"")"),"calcetín")</f>
        <v>calcetín</v>
      </c>
      <c r="H2962" s="4" t="s">
        <v>8773</v>
      </c>
      <c r="I2962" s="4" t="s">
        <v>8774</v>
      </c>
      <c r="J2962" s="4" t="s">
        <v>8775</v>
      </c>
      <c r="K2962" s="4" t="s">
        <v>8773</v>
      </c>
      <c r="L2962" s="4" t="s">
        <v>8776</v>
      </c>
      <c r="M2962" s="4" t="s">
        <v>8777</v>
      </c>
      <c r="N2962" s="4" t="s">
        <v>8778</v>
      </c>
      <c r="O2962" s="4" t="s">
        <v>8779</v>
      </c>
      <c r="P2962" s="4" t="s">
        <v>8780</v>
      </c>
      <c r="Q2962" s="4" t="s">
        <v>8773</v>
      </c>
      <c r="R2962" s="4" t="s">
        <v>8781</v>
      </c>
      <c r="S2962" s="4" t="s">
        <v>8782</v>
      </c>
      <c r="T2962" s="4" t="s">
        <v>8783</v>
      </c>
      <c r="U2962" s="4" t="s">
        <v>8784</v>
      </c>
      <c r="V2962" s="4" t="s">
        <v>8410</v>
      </c>
    </row>
    <row r="2963">
      <c r="A2963" s="4">
        <v>525.0</v>
      </c>
      <c r="B2963" s="4" t="s">
        <v>8035</v>
      </c>
      <c r="C2963" s="4"/>
      <c r="D2963" s="4" t="s">
        <v>8785</v>
      </c>
      <c r="E2963" s="4" t="s">
        <v>8786</v>
      </c>
      <c r="F2963" s="4" t="s">
        <v>3882</v>
      </c>
      <c r="G2963" s="5" t="str">
        <f>IFERROR(__xludf.DUMMYFUNCTION("GOOGLETRANSLATE(D2963,""en"",""es"")"),"Sol")</f>
        <v>Sol</v>
      </c>
      <c r="H2963" s="4" t="s">
        <v>8785</v>
      </c>
      <c r="I2963" s="4" t="s">
        <v>8787</v>
      </c>
      <c r="J2963" s="4" t="s">
        <v>8788</v>
      </c>
      <c r="K2963" s="4" t="s">
        <v>8789</v>
      </c>
      <c r="L2963" s="4" t="s">
        <v>8785</v>
      </c>
      <c r="M2963" s="4" t="s">
        <v>8790</v>
      </c>
      <c r="N2963" s="4" t="s">
        <v>8791</v>
      </c>
    </row>
    <row r="2964">
      <c r="A2964" s="4">
        <v>526.0</v>
      </c>
      <c r="B2964" s="4" t="s">
        <v>8035</v>
      </c>
      <c r="C2964" s="4"/>
      <c r="D2964" s="4" t="s">
        <v>7635</v>
      </c>
      <c r="E2964" s="4" t="s">
        <v>4109</v>
      </c>
      <c r="F2964" s="4" t="s">
        <v>415</v>
      </c>
      <c r="G2964" s="5" t="str">
        <f>IFERROR(__xludf.DUMMYFUNCTION("GOOGLETRANSLATE(D2964,""en"",""es"")"),"tan bien")</f>
        <v>tan bien</v>
      </c>
    </row>
    <row r="2965">
      <c r="A2965" s="4">
        <v>527.0</v>
      </c>
      <c r="B2965" s="4" t="s">
        <v>8035</v>
      </c>
      <c r="C2965" s="4"/>
      <c r="D2965" s="4" t="s">
        <v>7635</v>
      </c>
      <c r="E2965" s="4" t="s">
        <v>7636</v>
      </c>
      <c r="F2965" s="4" t="s">
        <v>415</v>
      </c>
      <c r="G2965" s="5" t="str">
        <f>IFERROR(__xludf.DUMMYFUNCTION("GOOGLETRANSLATE(D2965,""en"",""es"")"),"tan bien")</f>
        <v>tan bien</v>
      </c>
    </row>
    <row r="2966">
      <c r="A2966" s="4">
        <v>528.0</v>
      </c>
      <c r="B2966" s="4" t="s">
        <v>8035</v>
      </c>
      <c r="C2966" s="4"/>
      <c r="D2966" s="4" t="s">
        <v>7637</v>
      </c>
      <c r="E2966" s="4" t="s">
        <v>7638</v>
      </c>
      <c r="F2966" s="4" t="s">
        <v>7639</v>
      </c>
      <c r="G2966" s="5" t="str">
        <f>IFERROR(__xludf.DUMMYFUNCTION("GOOGLETRANSLATE(D2966,""en"",""es"")"),"holliniento")</f>
        <v>holliniento</v>
      </c>
      <c r="H2966" s="4" t="s">
        <v>7640</v>
      </c>
      <c r="I2966" s="4" t="s">
        <v>7641</v>
      </c>
      <c r="J2966" s="4" t="s">
        <v>7642</v>
      </c>
      <c r="K2966" s="4" t="s">
        <v>7643</v>
      </c>
      <c r="L2966" s="4" t="s">
        <v>7637</v>
      </c>
      <c r="M2966" s="4" t="s">
        <v>7637</v>
      </c>
    </row>
    <row r="2967">
      <c r="A2967" s="4">
        <v>529.0</v>
      </c>
      <c r="B2967" s="4" t="s">
        <v>8035</v>
      </c>
      <c r="C2967" s="4"/>
      <c r="D2967" s="4" t="s">
        <v>7644</v>
      </c>
      <c r="E2967" s="4" t="s">
        <v>7645</v>
      </c>
      <c r="F2967" s="4" t="s">
        <v>7646</v>
      </c>
      <c r="G2967" s="5" t="str">
        <f>IFERROR(__xludf.DUMMYFUNCTION("GOOGLETRANSLATE(D2967,""en"",""es"")"),"sotho")</f>
        <v>sotho</v>
      </c>
      <c r="H2967" s="4" t="s">
        <v>7647</v>
      </c>
      <c r="I2967" s="4" t="s">
        <v>7647</v>
      </c>
      <c r="J2967" s="4" t="s">
        <v>7647</v>
      </c>
    </row>
    <row r="2968">
      <c r="A2968" s="4">
        <v>530.0</v>
      </c>
      <c r="B2968" s="4" t="s">
        <v>8035</v>
      </c>
      <c r="C2968" s="4"/>
      <c r="D2968" s="4" t="s">
        <v>8792</v>
      </c>
      <c r="E2968" s="4" t="s">
        <v>8793</v>
      </c>
      <c r="F2968" s="4" t="s">
        <v>8794</v>
      </c>
      <c r="G2968" s="5" t="str">
        <f>IFERROR(__xludf.DUMMYFUNCTION("GOOGLETRANSLATE(D2968,""en"",""es"")"),"sopa")</f>
        <v>sopa</v>
      </c>
      <c r="H2968" s="4" t="s">
        <v>8792</v>
      </c>
      <c r="I2968" s="4" t="s">
        <v>8792</v>
      </c>
      <c r="J2968" s="4" t="s">
        <v>8792</v>
      </c>
      <c r="K2968" s="4" t="s">
        <v>8792</v>
      </c>
    </row>
    <row r="2969">
      <c r="A2969" s="4">
        <v>531.0</v>
      </c>
      <c r="B2969" s="4" t="s">
        <v>8035</v>
      </c>
      <c r="C2969" s="4"/>
      <c r="D2969" s="4" t="s">
        <v>6915</v>
      </c>
      <c r="E2969" s="4" t="s">
        <v>4155</v>
      </c>
      <c r="F2969" s="4" t="s">
        <v>4156</v>
      </c>
      <c r="G2969" s="5" t="str">
        <f>IFERROR(__xludf.DUMMYFUNCTION("GOOGLETRANSLATE(D2969,""en"",""es"")"),"espeso")</f>
        <v>espeso</v>
      </c>
      <c r="H2969" s="4" t="s">
        <v>6915</v>
      </c>
      <c r="I2969" s="4" t="s">
        <v>6905</v>
      </c>
      <c r="J2969" s="4" t="s">
        <v>6906</v>
      </c>
      <c r="K2969" s="4" t="s">
        <v>6907</v>
      </c>
      <c r="L2969" s="4" t="s">
        <v>6908</v>
      </c>
      <c r="M2969" s="4" t="s">
        <v>6909</v>
      </c>
      <c r="N2969" s="4" t="s">
        <v>6910</v>
      </c>
      <c r="O2969" s="4" t="s">
        <v>6903</v>
      </c>
      <c r="P2969" s="4" t="s">
        <v>6911</v>
      </c>
      <c r="Q2969" s="4" t="s">
        <v>6912</v>
      </c>
      <c r="R2969" s="4" t="s">
        <v>6913</v>
      </c>
      <c r="S2969" s="4" t="s">
        <v>6914</v>
      </c>
      <c r="T2969" s="4" t="s">
        <v>6915</v>
      </c>
      <c r="U2969" s="4" t="s">
        <v>6916</v>
      </c>
    </row>
    <row r="2970">
      <c r="A2970" s="4">
        <v>532.0</v>
      </c>
      <c r="B2970" s="4" t="s">
        <v>8035</v>
      </c>
      <c r="C2970" s="4"/>
      <c r="D2970" s="4" t="s">
        <v>8717</v>
      </c>
      <c r="E2970" s="4" t="s">
        <v>8716</v>
      </c>
      <c r="F2970" s="4" t="s">
        <v>8717</v>
      </c>
      <c r="G2970" s="5" t="str">
        <f>IFERROR(__xludf.DUMMYFUNCTION("GOOGLETRANSLATE(D2970,""en"",""es"")"),"SU")</f>
        <v>SU</v>
      </c>
    </row>
    <row r="2971">
      <c r="A2971" s="4">
        <v>533.0</v>
      </c>
      <c r="B2971" s="4" t="s">
        <v>8035</v>
      </c>
      <c r="C2971" s="4"/>
      <c r="D2971" s="4" t="s">
        <v>7648</v>
      </c>
      <c r="E2971" s="4" t="s">
        <v>7649</v>
      </c>
      <c r="F2971" s="4" t="s">
        <v>7650</v>
      </c>
      <c r="G2971" s="5" t="str">
        <f>IFERROR(__xludf.DUMMYFUNCTION("GOOGLETRANSLATE(D2971,""en"",""es"")"),"sunita")</f>
        <v>sunita</v>
      </c>
      <c r="H2971" s="4" t="s">
        <v>7651</v>
      </c>
      <c r="I2971" s="4" t="s">
        <v>7652</v>
      </c>
      <c r="J2971" s="4" t="s">
        <v>7653</v>
      </c>
      <c r="K2971" s="4" t="s">
        <v>7652</v>
      </c>
      <c r="L2971" s="4" t="s">
        <v>7654</v>
      </c>
    </row>
    <row r="2972">
      <c r="A2972" s="4">
        <v>534.0</v>
      </c>
      <c r="B2972" s="4" t="s">
        <v>8035</v>
      </c>
      <c r="C2972" s="4"/>
      <c r="D2972" s="4" t="s">
        <v>7655</v>
      </c>
      <c r="E2972" s="4" t="s">
        <v>7656</v>
      </c>
      <c r="F2972" s="4" t="s">
        <v>7650</v>
      </c>
      <c r="G2972" s="5" t="str">
        <f>IFERROR(__xludf.DUMMYFUNCTION("GOOGLETRANSLATE(D2972,""en"",""es"")"),"numeroso")</f>
        <v>numeroso</v>
      </c>
    </row>
    <row r="2973">
      <c r="A2973" s="4">
        <v>535.0</v>
      </c>
      <c r="B2973" s="4" t="s">
        <v>8035</v>
      </c>
      <c r="C2973" s="4"/>
      <c r="D2973" s="4" t="s">
        <v>7657</v>
      </c>
      <c r="E2973" s="4" t="s">
        <v>8795</v>
      </c>
      <c r="F2973" s="4" t="s">
        <v>7657</v>
      </c>
      <c r="G2973" s="5" t="str">
        <f>IFERROR(__xludf.DUMMYFUNCTION("GOOGLETRANSLATE(D2973,""en"",""es"")"),"Sushi")</f>
        <v>Sushi</v>
      </c>
      <c r="H2973" s="4" t="s">
        <v>7657</v>
      </c>
    </row>
    <row r="2974">
      <c r="A2974" s="4">
        <v>536.0</v>
      </c>
      <c r="B2974" s="4" t="s">
        <v>8035</v>
      </c>
      <c r="C2974" s="4"/>
      <c r="D2974" s="4" t="s">
        <v>7657</v>
      </c>
      <c r="E2974" s="4" t="s">
        <v>7658</v>
      </c>
      <c r="F2974" s="4" t="s">
        <v>7657</v>
      </c>
      <c r="G2974" s="5" t="str">
        <f>IFERROR(__xludf.DUMMYFUNCTION("GOOGLETRANSLATE(D2974,""en"",""es"")"),"Sushi")</f>
        <v>Sushi</v>
      </c>
      <c r="H2974" s="4" t="s">
        <v>7657</v>
      </c>
    </row>
    <row r="2975">
      <c r="A2975" s="4">
        <v>537.0</v>
      </c>
      <c r="B2975" s="4" t="s">
        <v>8035</v>
      </c>
      <c r="C2975" s="4"/>
      <c r="D2975" s="4" t="s">
        <v>7659</v>
      </c>
      <c r="E2975" s="4" t="s">
        <v>7660</v>
      </c>
      <c r="F2975" s="4" t="s">
        <v>7661</v>
      </c>
      <c r="G2975" s="5" t="str">
        <f>IFERROR(__xludf.DUMMYFUNCTION("GOOGLETRANSLATE(D2975,""en"",""es"")"),"síntesis")</f>
        <v>síntesis</v>
      </c>
    </row>
    <row r="2976">
      <c r="A2976" s="4">
        <v>538.0</v>
      </c>
      <c r="B2976" s="4" t="s">
        <v>8035</v>
      </c>
      <c r="C2976" s="4"/>
      <c r="D2976" s="4" t="s">
        <v>7662</v>
      </c>
      <c r="E2976" s="4" t="s">
        <v>7663</v>
      </c>
      <c r="F2976" s="4" t="s">
        <v>4856</v>
      </c>
      <c r="G2976" s="5" t="str">
        <f>IFERROR(__xludf.DUMMYFUNCTION("GOOGLETRANSLATE(D2976,""en"",""es"")"),"TAC")</f>
        <v>TAC</v>
      </c>
    </row>
    <row r="2977">
      <c r="A2977" s="4">
        <v>539.0</v>
      </c>
      <c r="B2977" s="4" t="s">
        <v>8035</v>
      </c>
      <c r="C2977" s="4"/>
      <c r="D2977" s="4" t="s">
        <v>7664</v>
      </c>
      <c r="E2977" s="4" t="s">
        <v>7663</v>
      </c>
      <c r="F2977" s="4" t="s">
        <v>4856</v>
      </c>
      <c r="G2977" s="5" t="str">
        <f>IFERROR(__xludf.DUMMYFUNCTION("GOOGLETRANSLATE(D2977,""en"",""es"")"),"tacón")</f>
        <v>tacón</v>
      </c>
      <c r="H2977" s="4" t="s">
        <v>7665</v>
      </c>
      <c r="I2977" s="4" t="s">
        <v>7664</v>
      </c>
    </row>
    <row r="2978">
      <c r="A2978" s="4">
        <v>540.0</v>
      </c>
      <c r="B2978" s="4" t="s">
        <v>8035</v>
      </c>
      <c r="C2978" s="4"/>
      <c r="D2978" s="4" t="s">
        <v>8796</v>
      </c>
      <c r="E2978" s="4" t="s">
        <v>8797</v>
      </c>
      <c r="F2978" s="4" t="s">
        <v>8798</v>
      </c>
      <c r="G2978" s="5" t="str">
        <f>IFERROR(__xludf.DUMMYFUNCTION("GOOGLETRANSLATE(D2978,""en"",""es"")"),"tache")</f>
        <v>tache</v>
      </c>
    </row>
    <row r="2979">
      <c r="A2979" s="4">
        <v>541.0</v>
      </c>
      <c r="B2979" s="4" t="s">
        <v>8035</v>
      </c>
      <c r="C2979" s="4"/>
      <c r="D2979" s="4" t="s">
        <v>7666</v>
      </c>
      <c r="E2979" s="4" t="s">
        <v>7667</v>
      </c>
      <c r="F2979" s="4" t="s">
        <v>7668</v>
      </c>
      <c r="G2979" s="5" t="str">
        <f>IFERROR(__xludf.DUMMYFUNCTION("GOOGLETRANSLATE(D2979,""en"",""es"")"),"tácito")</f>
        <v>tácito</v>
      </c>
      <c r="H2979" s="4" t="s">
        <v>7669</v>
      </c>
      <c r="I2979" s="4" t="s">
        <v>7670</v>
      </c>
      <c r="J2979" s="4" t="s">
        <v>7671</v>
      </c>
    </row>
    <row r="2980">
      <c r="A2980" s="4">
        <v>542.0</v>
      </c>
      <c r="B2980" s="4" t="s">
        <v>8035</v>
      </c>
      <c r="C2980" s="4"/>
      <c r="D2980" s="4" t="s">
        <v>7672</v>
      </c>
      <c r="E2980" s="4" t="s">
        <v>7663</v>
      </c>
      <c r="F2980" s="4" t="s">
        <v>4856</v>
      </c>
      <c r="G2980" s="5" t="str">
        <f>IFERROR(__xludf.DUMMYFUNCTION("GOOGLETRANSLATE(D2980,""en"",""es"")"),"virar")</f>
        <v>virar</v>
      </c>
      <c r="H2980" s="4" t="s">
        <v>7672</v>
      </c>
      <c r="I2980" s="4" t="s">
        <v>7672</v>
      </c>
      <c r="J2980" s="4" t="s">
        <v>7673</v>
      </c>
      <c r="K2980" s="4" t="s">
        <v>7674</v>
      </c>
      <c r="L2980" s="4" t="s">
        <v>7672</v>
      </c>
      <c r="M2980" s="4" t="s">
        <v>2262</v>
      </c>
      <c r="N2980" s="4" t="s">
        <v>7672</v>
      </c>
      <c r="O2980" s="4" t="s">
        <v>7675</v>
      </c>
      <c r="P2980" s="4" t="s">
        <v>7676</v>
      </c>
      <c r="Q2980" s="4" t="s">
        <v>7677</v>
      </c>
      <c r="R2980" s="4" t="s">
        <v>7672</v>
      </c>
      <c r="S2980" s="4" t="s">
        <v>7678</v>
      </c>
      <c r="T2980" s="4" t="s">
        <v>7672</v>
      </c>
      <c r="U2980" s="4" t="s">
        <v>7672</v>
      </c>
      <c r="V2980" s="4" t="s">
        <v>7672</v>
      </c>
      <c r="W2980" s="4" t="s">
        <v>7679</v>
      </c>
      <c r="X2980" s="4" t="s">
        <v>7680</v>
      </c>
      <c r="Y2980" s="4" t="s">
        <v>3486</v>
      </c>
      <c r="Z2980" s="4" t="s">
        <v>7681</v>
      </c>
      <c r="AA2980" s="4" t="s">
        <v>7682</v>
      </c>
      <c r="AB2980" s="4" t="s">
        <v>7672</v>
      </c>
      <c r="AC2980" s="4" t="s">
        <v>7683</v>
      </c>
      <c r="AD2980" s="4" t="s">
        <v>7684</v>
      </c>
      <c r="AE2980" s="4" t="s">
        <v>7672</v>
      </c>
      <c r="AF2980" s="4" t="s">
        <v>7685</v>
      </c>
      <c r="AG2980" s="4" t="s">
        <v>7686</v>
      </c>
      <c r="AH2980" s="4" t="s">
        <v>7687</v>
      </c>
      <c r="AI2980" s="4" t="s">
        <v>7672</v>
      </c>
      <c r="AJ2980" s="4" t="s">
        <v>7688</v>
      </c>
      <c r="AK2980" s="4" t="s">
        <v>7689</v>
      </c>
      <c r="AL2980" s="4" t="s">
        <v>7672</v>
      </c>
      <c r="AM2980" s="4" t="s">
        <v>7690</v>
      </c>
      <c r="AN2980" s="4" t="s">
        <v>7691</v>
      </c>
      <c r="AO2980" s="4" t="s">
        <v>4431</v>
      </c>
      <c r="AP2980" s="4" t="s">
        <v>7692</v>
      </c>
    </row>
    <row r="2981">
      <c r="A2981" s="4">
        <v>543.0</v>
      </c>
      <c r="B2981" s="4" t="s">
        <v>8035</v>
      </c>
      <c r="C2981" s="4"/>
      <c r="D2981" s="4" t="s">
        <v>7693</v>
      </c>
      <c r="E2981" s="4" t="s">
        <v>7694</v>
      </c>
      <c r="F2981" s="4" t="s">
        <v>7695</v>
      </c>
      <c r="G2981" s="5" t="str">
        <f>IFERROR(__xludf.DUMMYFUNCTION("GOOGLETRANSLATE(D2981,""en"",""es"")"),"pegajoso")</f>
        <v>pegajoso</v>
      </c>
      <c r="H2981" s="4" t="s">
        <v>7693</v>
      </c>
      <c r="I2981" s="4" t="s">
        <v>7696</v>
      </c>
      <c r="J2981" s="4" t="s">
        <v>7697</v>
      </c>
      <c r="K2981" s="4" t="s">
        <v>347</v>
      </c>
      <c r="L2981" s="4" t="s">
        <v>7698</v>
      </c>
      <c r="M2981" s="4" t="s">
        <v>7699</v>
      </c>
      <c r="N2981" s="4" t="s">
        <v>7700</v>
      </c>
      <c r="O2981" s="4" t="s">
        <v>7701</v>
      </c>
      <c r="P2981" s="4" t="s">
        <v>7702</v>
      </c>
      <c r="Q2981" s="4" t="s">
        <v>7703</v>
      </c>
      <c r="R2981" s="4" t="s">
        <v>7693</v>
      </c>
      <c r="S2981" s="4" t="s">
        <v>7704</v>
      </c>
      <c r="T2981" s="4" t="s">
        <v>7705</v>
      </c>
      <c r="U2981" s="4" t="s">
        <v>7706</v>
      </c>
    </row>
    <row r="2982">
      <c r="A2982" s="4">
        <v>544.0</v>
      </c>
      <c r="B2982" s="4" t="s">
        <v>8035</v>
      </c>
      <c r="C2982" s="4"/>
      <c r="D2982" s="4" t="s">
        <v>4856</v>
      </c>
      <c r="E2982" s="4" t="s">
        <v>4857</v>
      </c>
      <c r="F2982" s="4" t="s">
        <v>4856</v>
      </c>
      <c r="G2982" s="5" t="str">
        <f>IFERROR(__xludf.DUMMYFUNCTION("GOOGLETRANSLATE(D2982,""en"",""es"")"),"hacer un consumo")</f>
        <v>hacer un consumo</v>
      </c>
    </row>
    <row r="2983">
      <c r="A2983" s="4">
        <v>545.0</v>
      </c>
      <c r="B2983" s="4" t="s">
        <v>8035</v>
      </c>
      <c r="C2983" s="4"/>
      <c r="D2983" s="4" t="s">
        <v>8799</v>
      </c>
      <c r="E2983" s="4" t="s">
        <v>8800</v>
      </c>
      <c r="F2983" s="4" t="s">
        <v>4856</v>
      </c>
      <c r="G2983" s="5" t="str">
        <f>IFERROR(__xludf.DUMMYFUNCTION("GOOGLETRANSLATE(D2983,""en"",""es"")"),"hablar")</f>
        <v>hablar</v>
      </c>
      <c r="H2983" s="4" t="s">
        <v>8799</v>
      </c>
      <c r="I2983" s="4" t="s">
        <v>8801</v>
      </c>
      <c r="J2983" s="4" t="s">
        <v>8799</v>
      </c>
      <c r="K2983" s="4" t="s">
        <v>8799</v>
      </c>
      <c r="L2983" s="4" t="s">
        <v>8802</v>
      </c>
      <c r="M2983" s="4" t="s">
        <v>8803</v>
      </c>
      <c r="N2983" s="4" t="s">
        <v>8799</v>
      </c>
      <c r="O2983" s="4" t="s">
        <v>8799</v>
      </c>
      <c r="P2983" s="4" t="s">
        <v>8804</v>
      </c>
      <c r="Q2983" s="4" t="s">
        <v>8799</v>
      </c>
      <c r="R2983" s="4" t="s">
        <v>8805</v>
      </c>
      <c r="S2983" s="4" t="s">
        <v>8799</v>
      </c>
      <c r="T2983" s="4" t="s">
        <v>8805</v>
      </c>
      <c r="U2983" s="4" t="s">
        <v>8806</v>
      </c>
      <c r="V2983" s="4" t="s">
        <v>6656</v>
      </c>
      <c r="W2983" s="4" t="s">
        <v>8807</v>
      </c>
      <c r="X2983" s="4" t="s">
        <v>8808</v>
      </c>
      <c r="Y2983" s="4" t="s">
        <v>8805</v>
      </c>
      <c r="Z2983" s="4" t="s">
        <v>8799</v>
      </c>
      <c r="AA2983" s="4" t="s">
        <v>8809</v>
      </c>
      <c r="AB2983" s="4" t="s">
        <v>8799</v>
      </c>
      <c r="AC2983" s="4" t="s">
        <v>8810</v>
      </c>
      <c r="AD2983" s="4" t="s">
        <v>8811</v>
      </c>
      <c r="AE2983" s="4" t="s">
        <v>8799</v>
      </c>
      <c r="AF2983" s="4" t="s">
        <v>8812</v>
      </c>
      <c r="AG2983" s="4" t="s">
        <v>8813</v>
      </c>
      <c r="AH2983" s="4" t="s">
        <v>8814</v>
      </c>
      <c r="AI2983" s="4" t="s">
        <v>8815</v>
      </c>
      <c r="AJ2983" s="4" t="s">
        <v>8816</v>
      </c>
      <c r="AK2983" s="4" t="s">
        <v>8817</v>
      </c>
      <c r="AL2983" s="4" t="s">
        <v>8818</v>
      </c>
      <c r="AM2983" s="4" t="s">
        <v>8802</v>
      </c>
      <c r="AN2983" s="4" t="s">
        <v>8799</v>
      </c>
    </row>
    <row r="2984">
      <c r="A2984" s="4">
        <v>546.0</v>
      </c>
      <c r="B2984" s="4" t="s">
        <v>8035</v>
      </c>
      <c r="C2984" s="4"/>
      <c r="D2984" s="4" t="s">
        <v>7707</v>
      </c>
      <c r="E2984" s="4" t="s">
        <v>7708</v>
      </c>
      <c r="F2984" s="4" t="s">
        <v>7709</v>
      </c>
      <c r="G2984" s="5" t="str">
        <f>IFERROR(__xludf.DUMMYFUNCTION("GOOGLETRANSLATE(D2984,""en"",""es"")"),"tallinn")</f>
        <v>tallinn</v>
      </c>
      <c r="H2984" s="4" t="s">
        <v>7710</v>
      </c>
      <c r="I2984" s="4" t="s">
        <v>7711</v>
      </c>
      <c r="J2984" s="4" t="s">
        <v>7712</v>
      </c>
    </row>
    <row r="2985">
      <c r="A2985" s="4">
        <v>547.0</v>
      </c>
      <c r="B2985" s="4" t="s">
        <v>8035</v>
      </c>
      <c r="C2985" s="4"/>
      <c r="D2985" s="4" t="s">
        <v>7713</v>
      </c>
      <c r="E2985" s="4" t="s">
        <v>7714</v>
      </c>
      <c r="F2985" s="4" t="s">
        <v>7715</v>
      </c>
      <c r="G2985" s="5" t="str">
        <f>IFERROR(__xludf.DUMMYFUNCTION("GOOGLETRANSLATE(D2985,""en"",""es"")"),"tallit")</f>
        <v>tallit</v>
      </c>
    </row>
    <row r="2986">
      <c r="A2986" s="4">
        <v>548.0</v>
      </c>
      <c r="B2986" s="4" t="s">
        <v>8035</v>
      </c>
      <c r="C2986" s="4"/>
      <c r="D2986" s="4" t="s">
        <v>4143</v>
      </c>
      <c r="E2986" s="4" t="s">
        <v>7716</v>
      </c>
      <c r="F2986" s="4" t="s">
        <v>7717</v>
      </c>
      <c r="G2986" s="5" t="str">
        <f>IFERROR(__xludf.DUMMYFUNCTION("GOOGLETRANSLATE(D2986,""en"",""es"")"),"cuenta")</f>
        <v>cuenta</v>
      </c>
      <c r="H2986" s="4" t="s">
        <v>646</v>
      </c>
      <c r="I2986" s="4" t="s">
        <v>4143</v>
      </c>
      <c r="J2986" s="4" t="s">
        <v>7718</v>
      </c>
      <c r="K2986" s="4" t="s">
        <v>4143</v>
      </c>
      <c r="L2986" s="4" t="s">
        <v>6690</v>
      </c>
      <c r="M2986" s="4" t="s">
        <v>7719</v>
      </c>
      <c r="N2986" s="4" t="s">
        <v>7720</v>
      </c>
      <c r="O2986" s="4" t="s">
        <v>7721</v>
      </c>
      <c r="P2986" s="4" t="s">
        <v>7718</v>
      </c>
      <c r="Q2986" s="4" t="s">
        <v>4143</v>
      </c>
      <c r="R2986" s="4" t="s">
        <v>7722</v>
      </c>
      <c r="S2986" s="4" t="s">
        <v>1266</v>
      </c>
      <c r="T2986" s="4" t="s">
        <v>7723</v>
      </c>
      <c r="U2986" s="4" t="s">
        <v>2075</v>
      </c>
      <c r="V2986" s="4" t="s">
        <v>7724</v>
      </c>
      <c r="W2986" s="4" t="s">
        <v>7725</v>
      </c>
      <c r="X2986" s="4" t="s">
        <v>4143</v>
      </c>
      <c r="Y2986" s="4" t="s">
        <v>7726</v>
      </c>
      <c r="Z2986" s="4" t="s">
        <v>7727</v>
      </c>
      <c r="AA2986" s="4" t="s">
        <v>856</v>
      </c>
      <c r="AB2986" s="4" t="s">
        <v>4143</v>
      </c>
      <c r="AC2986" s="4" t="s">
        <v>7236</v>
      </c>
      <c r="AD2986" s="4" t="s">
        <v>4143</v>
      </c>
      <c r="AE2986" s="4" t="s">
        <v>7728</v>
      </c>
      <c r="AF2986" s="4" t="s">
        <v>4125</v>
      </c>
      <c r="AG2986" s="4" t="s">
        <v>4138</v>
      </c>
      <c r="AH2986" s="4" t="s">
        <v>4139</v>
      </c>
      <c r="AI2986" s="4" t="s">
        <v>4123</v>
      </c>
      <c r="AJ2986" s="4" t="s">
        <v>4140</v>
      </c>
      <c r="AK2986" s="4" t="s">
        <v>4141</v>
      </c>
      <c r="AL2986" s="4" t="s">
        <v>4142</v>
      </c>
      <c r="AM2986" s="4" t="s">
        <v>4136</v>
      </c>
      <c r="AN2986" s="4" t="s">
        <v>4137</v>
      </c>
      <c r="AO2986" s="4" t="s">
        <v>4143</v>
      </c>
      <c r="AP2986" s="4" t="s">
        <v>4144</v>
      </c>
    </row>
    <row r="2987">
      <c r="A2987" s="4">
        <v>549.0</v>
      </c>
      <c r="B2987" s="4" t="s">
        <v>8035</v>
      </c>
      <c r="C2987" s="4"/>
      <c r="D2987" s="4" t="s">
        <v>7729</v>
      </c>
      <c r="E2987" s="4" t="s">
        <v>7730</v>
      </c>
      <c r="F2987" s="4" t="s">
        <v>7729</v>
      </c>
      <c r="G2987" s="5" t="str">
        <f>IFERROR(__xludf.DUMMYFUNCTION("GOOGLETRANSLATE(D2987,""en"",""es"")"),"tamil")</f>
        <v>tamil</v>
      </c>
      <c r="H2987" s="4" t="s">
        <v>7731</v>
      </c>
      <c r="I2987" s="4" t="s">
        <v>7731</v>
      </c>
      <c r="J2987" s="4" t="s">
        <v>7731</v>
      </c>
    </row>
    <row r="2988">
      <c r="A2988" s="4">
        <v>550.0</v>
      </c>
      <c r="B2988" s="4" t="s">
        <v>8035</v>
      </c>
      <c r="C2988" s="4"/>
      <c r="D2988" s="4" t="s">
        <v>7732</v>
      </c>
      <c r="E2988" s="4" t="s">
        <v>7737</v>
      </c>
      <c r="F2988" s="4" t="s">
        <v>7734</v>
      </c>
      <c r="G2988" s="5" t="str">
        <f>IFERROR(__xludf.DUMMYFUNCTION("GOOGLETRANSLATE(D2988,""en"",""es"")"),"tammy")</f>
        <v>tammy</v>
      </c>
      <c r="H2988" s="4" t="s">
        <v>7732</v>
      </c>
      <c r="I2988" s="4" t="s">
        <v>7735</v>
      </c>
      <c r="J2988" s="4" t="s">
        <v>7736</v>
      </c>
      <c r="K2988" s="4" t="s">
        <v>7732</v>
      </c>
    </row>
    <row r="2989">
      <c r="A2989" s="4">
        <v>551.0</v>
      </c>
      <c r="B2989" s="4" t="s">
        <v>8035</v>
      </c>
      <c r="C2989" s="4"/>
      <c r="D2989" s="4" t="s">
        <v>4310</v>
      </c>
      <c r="E2989" s="4" t="s">
        <v>7738</v>
      </c>
      <c r="F2989" s="4" t="s">
        <v>4310</v>
      </c>
      <c r="G2989" s="5" t="str">
        <f>IFERROR(__xludf.DUMMYFUNCTION("GOOGLETRANSLATE(D2989,""en"",""es"")"),"broncearse")</f>
        <v>broncearse</v>
      </c>
      <c r="H2989" s="4" t="s">
        <v>4310</v>
      </c>
      <c r="I2989" s="4" t="s">
        <v>7739</v>
      </c>
      <c r="J2989" s="4" t="s">
        <v>7740</v>
      </c>
      <c r="K2989" s="4" t="s">
        <v>3504</v>
      </c>
      <c r="L2989" s="4" t="s">
        <v>4310</v>
      </c>
      <c r="M2989" s="4" t="s">
        <v>7741</v>
      </c>
      <c r="N2989" s="4" t="s">
        <v>7742</v>
      </c>
      <c r="O2989" s="4" t="s">
        <v>4310</v>
      </c>
      <c r="P2989" s="4" t="s">
        <v>4310</v>
      </c>
      <c r="Q2989" s="4" t="s">
        <v>4310</v>
      </c>
      <c r="R2989" s="4" t="s">
        <v>7743</v>
      </c>
      <c r="S2989" s="4" t="s">
        <v>4310</v>
      </c>
    </row>
    <row r="2990">
      <c r="A2990" s="4">
        <v>552.0</v>
      </c>
      <c r="B2990" s="4" t="s">
        <v>8035</v>
      </c>
      <c r="C2990" s="4"/>
      <c r="D2990" s="4" t="s">
        <v>7744</v>
      </c>
      <c r="E2990" s="4" t="s">
        <v>7745</v>
      </c>
      <c r="F2990" s="4" t="s">
        <v>7746</v>
      </c>
      <c r="G2990" s="5" t="str">
        <f>IFERROR(__xludf.DUMMYFUNCTION("GOOGLETRANSLATE(D2990,""en"",""es"")"),"Tanakh")</f>
        <v>Tanakh</v>
      </c>
      <c r="H2990" s="4" t="s">
        <v>7747</v>
      </c>
      <c r="I2990" s="4" t="s">
        <v>7748</v>
      </c>
      <c r="J2990" s="4" t="s">
        <v>7749</v>
      </c>
    </row>
    <row r="2991">
      <c r="A2991" s="4">
        <v>553.0</v>
      </c>
      <c r="B2991" s="4" t="s">
        <v>8035</v>
      </c>
      <c r="C2991" s="4"/>
      <c r="D2991" s="4" t="s">
        <v>4319</v>
      </c>
      <c r="E2991" s="4" t="s">
        <v>7750</v>
      </c>
      <c r="F2991" s="4" t="s">
        <v>7751</v>
      </c>
      <c r="G2991" s="5" t="str">
        <f>IFERROR(__xludf.DUMMYFUNCTION("GOOGLETRANSLATE(D2991,""en"",""es"")"),"tanino")</f>
        <v>tanino</v>
      </c>
      <c r="H2991" s="4" t="s">
        <v>4319</v>
      </c>
      <c r="I2991" s="4" t="s">
        <v>4320</v>
      </c>
    </row>
    <row r="2992">
      <c r="A2992" s="4">
        <v>554.0</v>
      </c>
      <c r="B2992" s="4" t="s">
        <v>8035</v>
      </c>
      <c r="C2992" s="4"/>
      <c r="D2992" s="4" t="s">
        <v>8819</v>
      </c>
      <c r="E2992" s="4" t="s">
        <v>8820</v>
      </c>
      <c r="F2992" s="4" t="s">
        <v>8819</v>
      </c>
      <c r="G2992" s="5" t="str">
        <f>IFERROR(__xludf.DUMMYFUNCTION("GOOGLETRANSLATE(D2992,""en"",""es"")"),"Tanuki")</f>
        <v>Tanuki</v>
      </c>
    </row>
    <row r="2993">
      <c r="A2993" s="4">
        <v>555.0</v>
      </c>
      <c r="B2993" s="4" t="s">
        <v>8035</v>
      </c>
      <c r="C2993" s="4"/>
      <c r="D2993" s="4" t="s">
        <v>4321</v>
      </c>
      <c r="E2993" s="4" t="s">
        <v>7752</v>
      </c>
      <c r="F2993" s="4" t="s">
        <v>4321</v>
      </c>
      <c r="G2993" s="5" t="str">
        <f>IFERROR(__xludf.DUMMYFUNCTION("GOOGLETRANSLATE(D2993,""en"",""es"")"),"tocar")</f>
        <v>tocar</v>
      </c>
      <c r="H2993" s="4" t="s">
        <v>7753</v>
      </c>
      <c r="I2993" s="4" t="s">
        <v>6486</v>
      </c>
      <c r="J2993" s="4" t="s">
        <v>4321</v>
      </c>
      <c r="K2993" s="4" t="s">
        <v>6486</v>
      </c>
      <c r="L2993" s="4" t="s">
        <v>903</v>
      </c>
      <c r="M2993" s="4" t="s">
        <v>4321</v>
      </c>
      <c r="N2993" s="4" t="s">
        <v>7754</v>
      </c>
      <c r="O2993" s="4" t="s">
        <v>7755</v>
      </c>
      <c r="P2993" s="4" t="s">
        <v>4321</v>
      </c>
      <c r="Q2993" s="4" t="s">
        <v>7756</v>
      </c>
      <c r="R2993" s="4" t="s">
        <v>4321</v>
      </c>
      <c r="S2993" s="4" t="s">
        <v>4321</v>
      </c>
      <c r="T2993" s="4" t="s">
        <v>4321</v>
      </c>
      <c r="U2993" s="4" t="s">
        <v>7757</v>
      </c>
      <c r="V2993" s="4" t="s">
        <v>7758</v>
      </c>
      <c r="W2993" s="4" t="s">
        <v>4321</v>
      </c>
      <c r="X2993" s="4" t="s">
        <v>4321</v>
      </c>
      <c r="Y2993" s="4" t="s">
        <v>7753</v>
      </c>
      <c r="Z2993" s="4" t="s">
        <v>7759</v>
      </c>
      <c r="AA2993" s="4" t="s">
        <v>4321</v>
      </c>
      <c r="AB2993" s="4" t="s">
        <v>4321</v>
      </c>
      <c r="AC2993" s="4" t="s">
        <v>4321</v>
      </c>
      <c r="AD2993" s="4" t="s">
        <v>425</v>
      </c>
      <c r="AE2993" s="4" t="s">
        <v>7760</v>
      </c>
      <c r="AF2993" s="4" t="s">
        <v>4321</v>
      </c>
      <c r="AG2993" s="4" t="s">
        <v>7758</v>
      </c>
      <c r="AH2993" s="4" t="s">
        <v>4321</v>
      </c>
      <c r="AI2993" s="4" t="s">
        <v>7761</v>
      </c>
      <c r="AJ2993" s="4" t="s">
        <v>7762</v>
      </c>
      <c r="AK2993" s="4" t="s">
        <v>4321</v>
      </c>
      <c r="AL2993" s="4" t="s">
        <v>4321</v>
      </c>
      <c r="AM2993" s="4" t="s">
        <v>6486</v>
      </c>
      <c r="AN2993" s="4" t="s">
        <v>3462</v>
      </c>
      <c r="AO2993" s="4" t="s">
        <v>7763</v>
      </c>
      <c r="AP2993" s="4" t="s">
        <v>4321</v>
      </c>
      <c r="AQ2993" s="4" t="s">
        <v>7764</v>
      </c>
      <c r="AR2993" s="4" t="s">
        <v>4321</v>
      </c>
      <c r="AS2993" s="4" t="s">
        <v>4321</v>
      </c>
      <c r="AT2993" s="4" t="s">
        <v>4321</v>
      </c>
      <c r="AU2993" s="4" t="s">
        <v>6311</v>
      </c>
      <c r="AV2993" s="4" t="s">
        <v>7765</v>
      </c>
      <c r="AW2993" s="4" t="s">
        <v>4321</v>
      </c>
    </row>
    <row r="2994">
      <c r="A2994" s="4">
        <v>556.0</v>
      </c>
      <c r="B2994" s="4" t="s">
        <v>8035</v>
      </c>
      <c r="C2994" s="4"/>
      <c r="D2994" s="4" t="s">
        <v>7769</v>
      </c>
      <c r="E2994" s="4" t="s">
        <v>7770</v>
      </c>
      <c r="F2994" s="4" t="s">
        <v>7771</v>
      </c>
      <c r="G2994" s="5" t="str">
        <f>IFERROR(__xludf.DUMMYFUNCTION("GOOGLETRANSLATE(D2994,""en"",""es"")"),"apagado")</f>
        <v>apagado</v>
      </c>
    </row>
    <row r="2995">
      <c r="A2995" s="4">
        <v>557.0</v>
      </c>
      <c r="B2995" s="4" t="s">
        <v>8035</v>
      </c>
      <c r="C2995" s="4"/>
      <c r="D2995" s="4" t="s">
        <v>7772</v>
      </c>
      <c r="E2995" s="4" t="s">
        <v>7773</v>
      </c>
      <c r="F2995" s="4" t="s">
        <v>419</v>
      </c>
      <c r="G2995" s="5" t="str">
        <f>IFERROR(__xludf.DUMMYFUNCTION("GOOGLETRANSLATE(D2995,""en"",""es"")"),"borla")</f>
        <v>borla</v>
      </c>
      <c r="H2995" s="4" t="s">
        <v>7774</v>
      </c>
      <c r="I2995" s="4" t="s">
        <v>7775</v>
      </c>
      <c r="J2995" s="4" t="s">
        <v>7776</v>
      </c>
    </row>
    <row r="2996">
      <c r="A2996" s="4">
        <v>558.0</v>
      </c>
      <c r="B2996" s="4" t="s">
        <v>8035</v>
      </c>
      <c r="C2996" s="4"/>
      <c r="D2996" s="4" t="s">
        <v>7777</v>
      </c>
      <c r="E2996" s="4" t="s">
        <v>7773</v>
      </c>
      <c r="F2996" s="4" t="s">
        <v>419</v>
      </c>
      <c r="G2996" s="5" t="str">
        <f>IFERROR(__xludf.DUMMYFUNCTION("GOOGLETRANSLATE(D2996,""en"",""es"")"),"tasse")</f>
        <v>tasse</v>
      </c>
      <c r="H2996" s="4" t="s">
        <v>7778</v>
      </c>
      <c r="I2996" s="4" t="s">
        <v>7777</v>
      </c>
    </row>
    <row r="2997">
      <c r="A2997" s="4">
        <v>559.0</v>
      </c>
      <c r="B2997" s="4" t="s">
        <v>8035</v>
      </c>
      <c r="C2997" s="4"/>
      <c r="D2997" s="4" t="s">
        <v>7779</v>
      </c>
      <c r="E2997" s="4" t="s">
        <v>7780</v>
      </c>
      <c r="F2997" s="4" t="s">
        <v>7781</v>
      </c>
      <c r="G2997" s="5" t="str">
        <f>IFERROR(__xludf.DUMMYFUNCTION("GOOGLETRANSLATE(D2997,""en"",""es"")"),"establo")</f>
        <v>establo</v>
      </c>
    </row>
    <row r="2998">
      <c r="A2998" s="4">
        <v>560.0</v>
      </c>
      <c r="B2998" s="4" t="s">
        <v>8035</v>
      </c>
      <c r="C2998" s="4"/>
      <c r="D2998" s="4" t="s">
        <v>7704</v>
      </c>
      <c r="E2998" s="4" t="s">
        <v>7782</v>
      </c>
      <c r="F2998" s="4" t="s">
        <v>7783</v>
      </c>
      <c r="G2998" s="5" t="str">
        <f>IFERROR(__xludf.DUMMYFUNCTION("GOOGLETRANSLATE(D2998,""en"",""es"")"),"raído")</f>
        <v>raído</v>
      </c>
      <c r="H2998" s="4" t="s">
        <v>7784</v>
      </c>
      <c r="I2998" s="4" t="s">
        <v>7785</v>
      </c>
      <c r="J2998" s="4" t="s">
        <v>7786</v>
      </c>
      <c r="K2998" s="4" t="s">
        <v>7704</v>
      </c>
      <c r="L2998" s="4" t="s">
        <v>7696</v>
      </c>
      <c r="M2998" s="4" t="s">
        <v>7697</v>
      </c>
      <c r="N2998" s="4" t="s">
        <v>347</v>
      </c>
      <c r="O2998" s="4" t="s">
        <v>7698</v>
      </c>
      <c r="P2998" s="4" t="s">
        <v>7699</v>
      </c>
      <c r="Q2998" s="4" t="s">
        <v>7700</v>
      </c>
      <c r="R2998" s="4" t="s">
        <v>7701</v>
      </c>
      <c r="S2998" s="4" t="s">
        <v>7702</v>
      </c>
      <c r="T2998" s="4" t="s">
        <v>7703</v>
      </c>
      <c r="U2998" s="4" t="s">
        <v>7693</v>
      </c>
      <c r="V2998" s="4" t="s">
        <v>7704</v>
      </c>
      <c r="W2998" s="4" t="s">
        <v>7705</v>
      </c>
      <c r="X2998" s="4" t="s">
        <v>7706</v>
      </c>
    </row>
    <row r="2999">
      <c r="A2999" s="4">
        <v>561.0</v>
      </c>
      <c r="B2999" s="4" t="s">
        <v>8035</v>
      </c>
      <c r="C2999" s="4"/>
      <c r="D2999" s="4" t="s">
        <v>8821</v>
      </c>
      <c r="E2999" s="4" t="s">
        <v>421</v>
      </c>
      <c r="F2999" s="4" t="s">
        <v>422</v>
      </c>
      <c r="G2999" s="5" t="str">
        <f>IFERROR(__xludf.DUMMYFUNCTION("GOOGLETRANSLATE(D2999,""en"",""es"")"),"té")</f>
        <v>té</v>
      </c>
      <c r="H2999" s="4" t="s">
        <v>8821</v>
      </c>
      <c r="I2999" s="4" t="s">
        <v>8821</v>
      </c>
      <c r="J2999" s="4" t="s">
        <v>8822</v>
      </c>
      <c r="K2999" s="4" t="s">
        <v>8823</v>
      </c>
      <c r="L2999" s="4" t="s">
        <v>8821</v>
      </c>
      <c r="M2999" s="4" t="s">
        <v>8824</v>
      </c>
      <c r="N2999" s="4" t="s">
        <v>8821</v>
      </c>
      <c r="O2999" s="4" t="s">
        <v>8821</v>
      </c>
      <c r="P2999" s="4" t="s">
        <v>8825</v>
      </c>
    </row>
    <row r="3000">
      <c r="A3000" s="4">
        <v>562.0</v>
      </c>
      <c r="B3000" s="4" t="s">
        <v>8035</v>
      </c>
      <c r="C3000" s="4"/>
      <c r="D3000" s="4" t="s">
        <v>8826</v>
      </c>
      <c r="E3000" s="4" t="s">
        <v>8827</v>
      </c>
      <c r="F3000" s="4" t="s">
        <v>431</v>
      </c>
      <c r="G3000" s="5" t="str">
        <f>IFERROR(__xludf.DUMMYFUNCTION("GOOGLETRANSLATE(D3000,""en"",""es"")"),"tetón")</f>
        <v>tetón</v>
      </c>
      <c r="H3000" s="4" t="s">
        <v>8828</v>
      </c>
      <c r="I3000" s="4" t="s">
        <v>8829</v>
      </c>
      <c r="J3000" s="4" t="s">
        <v>8830</v>
      </c>
      <c r="K3000" s="4" t="s">
        <v>8831</v>
      </c>
    </row>
    <row r="3001">
      <c r="A3001" s="4">
        <v>563.0</v>
      </c>
      <c r="B3001" s="4" t="s">
        <v>8035</v>
      </c>
      <c r="C3001" s="4"/>
      <c r="D3001" s="4" t="s">
        <v>7787</v>
      </c>
      <c r="E3001" s="4" t="s">
        <v>7788</v>
      </c>
      <c r="F3001" s="4" t="s">
        <v>7789</v>
      </c>
      <c r="G3001" s="5" t="str">
        <f>IFERROR(__xludf.DUMMYFUNCTION("GOOGLETRANSLATE(D3001,""en"",""es"")"),"thack")</f>
        <v>thack</v>
      </c>
    </row>
    <row r="3002">
      <c r="A3002" s="4">
        <v>564.0</v>
      </c>
      <c r="B3002" s="4" t="s">
        <v>8035</v>
      </c>
      <c r="C3002" s="4"/>
      <c r="D3002" s="4" t="s">
        <v>7790</v>
      </c>
      <c r="E3002" s="4" t="s">
        <v>7791</v>
      </c>
      <c r="F3002" s="4" t="s">
        <v>7792</v>
      </c>
      <c r="G3002" s="5" t="str">
        <f>IFERROR(__xludf.DUMMYFUNCTION("GOOGLETRANSLATE(D3002,""en"",""es"")"),"thanakha")</f>
        <v>thanakha</v>
      </c>
    </row>
    <row r="3003">
      <c r="A3003" s="4">
        <v>565.0</v>
      </c>
      <c r="B3003" s="4" t="s">
        <v>8035</v>
      </c>
      <c r="C3003" s="4"/>
      <c r="D3003" s="4" t="s">
        <v>7793</v>
      </c>
      <c r="E3003" s="4" t="s">
        <v>7794</v>
      </c>
      <c r="F3003" s="4" t="s">
        <v>7795</v>
      </c>
      <c r="G3003" s="5" t="str">
        <f>IFERROR(__xludf.DUMMYFUNCTION("GOOGLETRANSLATE(D3003,""en"",""es"")"),"temático")</f>
        <v>temático</v>
      </c>
      <c r="H3003" s="4" t="s">
        <v>7793</v>
      </c>
      <c r="I3003" s="4" t="s">
        <v>7793</v>
      </c>
    </row>
    <row r="3004">
      <c r="A3004" s="4">
        <v>566.0</v>
      </c>
      <c r="B3004" s="4" t="s">
        <v>8035</v>
      </c>
      <c r="C3004" s="4"/>
      <c r="D3004" s="4" t="s">
        <v>8832</v>
      </c>
      <c r="E3004" s="4" t="s">
        <v>8833</v>
      </c>
      <c r="F3004" s="4" t="s">
        <v>8834</v>
      </c>
      <c r="G3004" s="5" t="str">
        <f>IFERROR(__xludf.DUMMYFUNCTION("GOOGLETRANSLATE(D3004,""en"",""es"")"),"tesis")</f>
        <v>tesis</v>
      </c>
      <c r="H3004" s="4" t="s">
        <v>8832</v>
      </c>
      <c r="I3004" s="4" t="s">
        <v>8835</v>
      </c>
      <c r="J3004" s="4" t="s">
        <v>8832</v>
      </c>
    </row>
    <row r="3005">
      <c r="A3005" s="4">
        <v>567.0</v>
      </c>
      <c r="B3005" s="4" t="s">
        <v>8035</v>
      </c>
      <c r="C3005" s="4"/>
      <c r="D3005" s="4" t="s">
        <v>7796</v>
      </c>
      <c r="E3005" s="4" t="s">
        <v>7797</v>
      </c>
      <c r="F3005" s="4" t="s">
        <v>7798</v>
      </c>
      <c r="G3005" s="5" t="str">
        <f>IFERROR(__xludf.DUMMYFUNCTION("GOOGLETRANSLATE(D3005,""en"",""es"")"),"grueso")</f>
        <v>grueso</v>
      </c>
      <c r="H3005" s="4" t="s">
        <v>7799</v>
      </c>
      <c r="I3005" s="4" t="s">
        <v>7796</v>
      </c>
      <c r="J3005" s="4" t="s">
        <v>7796</v>
      </c>
      <c r="K3005" s="4" t="s">
        <v>7796</v>
      </c>
      <c r="L3005" s="4" t="s">
        <v>7796</v>
      </c>
      <c r="M3005" s="4" t="s">
        <v>7800</v>
      </c>
      <c r="N3005" s="4" t="s">
        <v>7796</v>
      </c>
      <c r="O3005" s="4" t="s">
        <v>7047</v>
      </c>
      <c r="P3005" s="4" t="s">
        <v>7801</v>
      </c>
      <c r="Q3005" s="4" t="s">
        <v>7802</v>
      </c>
      <c r="R3005" s="4" t="s">
        <v>7796</v>
      </c>
      <c r="S3005" s="4" t="s">
        <v>7803</v>
      </c>
      <c r="T3005" s="4" t="s">
        <v>3223</v>
      </c>
      <c r="U3005" s="4" t="s">
        <v>7796</v>
      </c>
      <c r="V3005" s="4" t="s">
        <v>7796</v>
      </c>
      <c r="W3005" s="4" t="s">
        <v>7804</v>
      </c>
      <c r="X3005" s="4" t="s">
        <v>7065</v>
      </c>
      <c r="Y3005" s="4" t="s">
        <v>7805</v>
      </c>
      <c r="Z3005" s="4" t="s">
        <v>7796</v>
      </c>
      <c r="AA3005" s="4" t="s">
        <v>7806</v>
      </c>
      <c r="AB3005" s="4" t="s">
        <v>7807</v>
      </c>
      <c r="AC3005" s="4" t="s">
        <v>7808</v>
      </c>
      <c r="AD3005" s="4" t="s">
        <v>7809</v>
      </c>
      <c r="AE3005" s="4" t="s">
        <v>7810</v>
      </c>
      <c r="AF3005" s="4" t="s">
        <v>7811</v>
      </c>
      <c r="AG3005" s="4" t="s">
        <v>7796</v>
      </c>
      <c r="AH3005" s="4" t="s">
        <v>7812</v>
      </c>
      <c r="AI3005" s="4" t="s">
        <v>7813</v>
      </c>
      <c r="AJ3005" s="4" t="s">
        <v>7814</v>
      </c>
      <c r="AK3005" s="4" t="s">
        <v>7796</v>
      </c>
      <c r="AL3005" s="4" t="s">
        <v>7815</v>
      </c>
      <c r="AM3005" s="4" t="s">
        <v>7796</v>
      </c>
      <c r="AN3005" s="4" t="s">
        <v>7796</v>
      </c>
      <c r="AO3005" s="4" t="s">
        <v>7815</v>
      </c>
    </row>
    <row r="3006">
      <c r="A3006" s="4">
        <v>568.0</v>
      </c>
      <c r="B3006" s="4" t="s">
        <v>8035</v>
      </c>
      <c r="C3006" s="4"/>
      <c r="D3006" s="4" t="s">
        <v>7816</v>
      </c>
      <c r="E3006" s="4" t="s">
        <v>7817</v>
      </c>
      <c r="F3006" s="4" t="s">
        <v>7818</v>
      </c>
      <c r="G3006" s="5" t="str">
        <f>IFERROR(__xludf.DUMMYFUNCTION("GOOGLETRANSLATE(D3006,""en"",""es"")"),"thill")</f>
        <v>thill</v>
      </c>
      <c r="H3006" s="4" t="s">
        <v>7816</v>
      </c>
    </row>
    <row r="3007">
      <c r="A3007" s="4">
        <v>569.0</v>
      </c>
      <c r="B3007" s="4" t="s">
        <v>8035</v>
      </c>
      <c r="C3007" s="4"/>
      <c r="D3007" s="4" t="s">
        <v>7819</v>
      </c>
      <c r="E3007" s="4" t="s">
        <v>7820</v>
      </c>
      <c r="F3007" s="4" t="s">
        <v>7819</v>
      </c>
      <c r="G3007" s="5" t="str">
        <f>IFERROR(__xludf.DUMMYFUNCTION("GOOGLETRANSLATE(D3007,""en"",""es"")"),"delgada")</f>
        <v>delgada</v>
      </c>
      <c r="H3007" s="4" t="s">
        <v>7819</v>
      </c>
      <c r="I3007" s="4" t="s">
        <v>7819</v>
      </c>
      <c r="J3007" s="4" t="s">
        <v>7821</v>
      </c>
      <c r="K3007" s="4" t="s">
        <v>7819</v>
      </c>
      <c r="L3007" s="4" t="s">
        <v>7822</v>
      </c>
      <c r="M3007" s="4" t="s">
        <v>4289</v>
      </c>
      <c r="N3007" s="4" t="s">
        <v>1250</v>
      </c>
      <c r="O3007" s="4" t="s">
        <v>4289</v>
      </c>
      <c r="P3007" s="4" t="s">
        <v>7823</v>
      </c>
      <c r="Q3007" s="4" t="s">
        <v>7824</v>
      </c>
      <c r="R3007" s="4" t="s">
        <v>7825</v>
      </c>
      <c r="S3007" s="4" t="s">
        <v>7826</v>
      </c>
      <c r="T3007" s="4" t="s">
        <v>7819</v>
      </c>
      <c r="U3007" s="4" t="s">
        <v>7827</v>
      </c>
      <c r="V3007" s="4" t="s">
        <v>7819</v>
      </c>
      <c r="W3007" s="4" t="s">
        <v>7819</v>
      </c>
      <c r="X3007" s="4" t="s">
        <v>7828</v>
      </c>
      <c r="Y3007" s="4" t="s">
        <v>7829</v>
      </c>
      <c r="Z3007" s="4" t="s">
        <v>7819</v>
      </c>
      <c r="AA3007" s="4" t="s">
        <v>7830</v>
      </c>
      <c r="AB3007" s="4" t="s">
        <v>7819</v>
      </c>
      <c r="AC3007" s="4" t="s">
        <v>7819</v>
      </c>
      <c r="AD3007" s="4" t="s">
        <v>7819</v>
      </c>
      <c r="AE3007" s="4" t="s">
        <v>7819</v>
      </c>
      <c r="AF3007" s="4" t="s">
        <v>7831</v>
      </c>
      <c r="AG3007" s="4" t="s">
        <v>7832</v>
      </c>
      <c r="AH3007" s="4" t="s">
        <v>7833</v>
      </c>
      <c r="AI3007" s="4" t="s">
        <v>7834</v>
      </c>
      <c r="AJ3007" s="4" t="s">
        <v>7819</v>
      </c>
      <c r="AK3007" s="4" t="s">
        <v>7835</v>
      </c>
      <c r="AL3007" s="4" t="s">
        <v>7819</v>
      </c>
    </row>
    <row r="3008">
      <c r="A3008" s="4">
        <v>570.0</v>
      </c>
      <c r="B3008" s="4" t="s">
        <v>8035</v>
      </c>
      <c r="C3008" s="4"/>
      <c r="D3008" s="4" t="s">
        <v>4379</v>
      </c>
      <c r="E3008" s="4" t="s">
        <v>7836</v>
      </c>
      <c r="F3008" s="4" t="s">
        <v>438</v>
      </c>
      <c r="G3008" s="5" t="str">
        <f>IFERROR(__xludf.DUMMYFUNCTION("GOOGLETRANSLATE(D3008,""en"",""es"")"),"tic")</f>
        <v>tic</v>
      </c>
      <c r="H3008" s="4" t="s">
        <v>4379</v>
      </c>
    </row>
    <row r="3009">
      <c r="A3009" s="4">
        <v>571.0</v>
      </c>
      <c r="B3009" s="4" t="s">
        <v>8035</v>
      </c>
      <c r="C3009" s="4"/>
      <c r="D3009" s="4" t="s">
        <v>7837</v>
      </c>
      <c r="E3009" s="4" t="s">
        <v>7836</v>
      </c>
      <c r="F3009" s="4" t="s">
        <v>438</v>
      </c>
      <c r="G3009" s="5" t="str">
        <f>IFERROR(__xludf.DUMMYFUNCTION("GOOGLETRANSLATE(D3009,""en"",""es"")"),"garrapata")</f>
        <v>garrapata</v>
      </c>
      <c r="H3009" s="4" t="s">
        <v>7837</v>
      </c>
      <c r="I3009" s="4" t="s">
        <v>7838</v>
      </c>
      <c r="J3009" s="4" t="s">
        <v>7837</v>
      </c>
      <c r="K3009" s="4" t="s">
        <v>7839</v>
      </c>
      <c r="L3009" s="4" t="s">
        <v>2075</v>
      </c>
      <c r="M3009" s="4" t="s">
        <v>7837</v>
      </c>
      <c r="N3009" s="4" t="s">
        <v>7837</v>
      </c>
      <c r="O3009" s="4" t="s">
        <v>7840</v>
      </c>
      <c r="P3009" s="4" t="s">
        <v>7837</v>
      </c>
      <c r="Q3009" s="4" t="s">
        <v>7837</v>
      </c>
      <c r="R3009" s="4" t="s">
        <v>7841</v>
      </c>
      <c r="S3009" s="4" t="s">
        <v>7842</v>
      </c>
      <c r="T3009" s="4" t="s">
        <v>3493</v>
      </c>
      <c r="U3009" s="4" t="s">
        <v>7837</v>
      </c>
      <c r="V3009" s="4" t="s">
        <v>7843</v>
      </c>
      <c r="W3009" s="4" t="s">
        <v>2075</v>
      </c>
      <c r="X3009" s="4" t="s">
        <v>7844</v>
      </c>
      <c r="Y3009" s="4" t="s">
        <v>3008</v>
      </c>
      <c r="Z3009" s="4" t="s">
        <v>7845</v>
      </c>
      <c r="AA3009" s="4" t="s">
        <v>7846</v>
      </c>
      <c r="AB3009" s="4" t="s">
        <v>7837</v>
      </c>
    </row>
    <row r="3010">
      <c r="A3010" s="4">
        <v>572.0</v>
      </c>
      <c r="B3010" s="4" t="s">
        <v>8035</v>
      </c>
      <c r="C3010" s="4"/>
      <c r="D3010" s="4" t="s">
        <v>7847</v>
      </c>
      <c r="E3010" s="4" t="s">
        <v>7848</v>
      </c>
      <c r="F3010" s="4" t="s">
        <v>7847</v>
      </c>
      <c r="G3010" s="5" t="str">
        <f>IFERROR(__xludf.DUMMYFUNCTION("GOOGLETRANSLATE(D3010,""en"",""es"")"),"tiki")</f>
        <v>tiki</v>
      </c>
    </row>
    <row r="3011">
      <c r="A3011" s="4">
        <v>573.0</v>
      </c>
      <c r="B3011" s="4" t="s">
        <v>8035</v>
      </c>
      <c r="C3011" s="4"/>
      <c r="D3011" s="4" t="s">
        <v>7849</v>
      </c>
      <c r="E3011" s="4" t="s">
        <v>7850</v>
      </c>
      <c r="F3011" s="4" t="s">
        <v>7849</v>
      </c>
      <c r="G3011" s="5" t="str">
        <f>IFERROR(__xludf.DUMMYFUNCTION("GOOGLETRANSLATE(D3011,""en"",""es"")"),"til")</f>
        <v>til</v>
      </c>
    </row>
    <row r="3012">
      <c r="A3012" s="4">
        <v>574.0</v>
      </c>
      <c r="B3012" s="4" t="s">
        <v>8035</v>
      </c>
      <c r="C3012" s="4"/>
      <c r="D3012" s="4" t="s">
        <v>7851</v>
      </c>
      <c r="E3012" s="4" t="s">
        <v>7850</v>
      </c>
      <c r="F3012" s="4" t="s">
        <v>7849</v>
      </c>
      <c r="G3012" s="5" t="str">
        <f>IFERROR(__xludf.DUMMYFUNCTION("GOOGLETRANSLATE(D3012,""en"",""es"")"),"hasta")</f>
        <v>hasta</v>
      </c>
      <c r="H3012" s="4" t="s">
        <v>7851</v>
      </c>
      <c r="I3012" s="4" t="s">
        <v>7852</v>
      </c>
      <c r="J3012" s="4" t="s">
        <v>7853</v>
      </c>
      <c r="K3012" s="4" t="s">
        <v>7854</v>
      </c>
      <c r="L3012" s="4" t="s">
        <v>7851</v>
      </c>
      <c r="M3012" s="4" t="s">
        <v>7855</v>
      </c>
      <c r="N3012" s="4" t="s">
        <v>7856</v>
      </c>
      <c r="O3012" s="4" t="s">
        <v>7851</v>
      </c>
      <c r="P3012" s="4" t="s">
        <v>7851</v>
      </c>
    </row>
    <row r="3013">
      <c r="A3013" s="4">
        <v>575.0</v>
      </c>
      <c r="B3013" s="4" t="s">
        <v>8035</v>
      </c>
      <c r="C3013" s="4"/>
      <c r="D3013" s="4" t="s">
        <v>7857</v>
      </c>
      <c r="E3013" s="4" t="s">
        <v>7858</v>
      </c>
      <c r="F3013" s="4" t="s">
        <v>7859</v>
      </c>
      <c r="G3013" s="5" t="str">
        <f>IFERROR(__xludf.DUMMYFUNCTION("GOOGLETRANSLATE(D3013,""en"",""es"")"),"tillis")</f>
        <v>tillis</v>
      </c>
    </row>
    <row r="3014">
      <c r="A3014" s="4">
        <v>576.0</v>
      </c>
      <c r="B3014" s="4" t="s">
        <v>8035</v>
      </c>
      <c r="C3014" s="4"/>
      <c r="D3014" s="4" t="s">
        <v>7860</v>
      </c>
      <c r="E3014" s="4" t="s">
        <v>7861</v>
      </c>
      <c r="F3014" s="4" t="s">
        <v>7862</v>
      </c>
      <c r="G3014" s="5" t="str">
        <f>IFERROR(__xludf.DUMMYFUNCTION("GOOGLETRANSLATE(D3014,""en"",""es"")"),"tillado")</f>
        <v>tillado</v>
      </c>
    </row>
    <row r="3015">
      <c r="A3015" s="4">
        <v>577.0</v>
      </c>
      <c r="B3015" s="4" t="s">
        <v>8035</v>
      </c>
      <c r="C3015" s="4"/>
      <c r="D3015" s="4" t="s">
        <v>4381</v>
      </c>
      <c r="E3015" s="4" t="s">
        <v>7863</v>
      </c>
      <c r="F3015" s="4" t="s">
        <v>4381</v>
      </c>
      <c r="G3015" s="5" t="str">
        <f>IFERROR(__xludf.DUMMYFUNCTION("GOOGLETRANSLATE(D3015,""en"",""es"")"),"Tim")</f>
        <v>Tim</v>
      </c>
    </row>
    <row r="3016">
      <c r="A3016" s="4">
        <v>578.0</v>
      </c>
      <c r="B3016" s="4" t="s">
        <v>8035</v>
      </c>
      <c r="C3016" s="4"/>
      <c r="D3016" s="4" t="s">
        <v>7864</v>
      </c>
      <c r="E3016" s="4" t="s">
        <v>7865</v>
      </c>
      <c r="F3016" s="4" t="s">
        <v>5606</v>
      </c>
      <c r="G3016" s="5" t="str">
        <f>IFERROR(__xludf.DUMMYFUNCTION("GOOGLETRANSLATE(D3016,""en"",""es"")"),"timmy")</f>
        <v>timmy</v>
      </c>
    </row>
    <row r="3017">
      <c r="A3017" s="4">
        <v>579.0</v>
      </c>
      <c r="B3017" s="4" t="s">
        <v>8035</v>
      </c>
      <c r="C3017" s="4"/>
      <c r="D3017" s="4" t="s">
        <v>5944</v>
      </c>
      <c r="E3017" s="4" t="s">
        <v>7866</v>
      </c>
      <c r="F3017" s="4" t="s">
        <v>5944</v>
      </c>
      <c r="G3017" s="5" t="str">
        <f>IFERROR(__xludf.DUMMYFUNCTION("GOOGLETRANSLATE(D3017,""en"",""es"")"),"estaño")</f>
        <v>estaño</v>
      </c>
      <c r="H3017" s="4" t="s">
        <v>5944</v>
      </c>
      <c r="I3017" s="4" t="s">
        <v>7867</v>
      </c>
      <c r="J3017" s="4" t="s">
        <v>7868</v>
      </c>
      <c r="K3017" s="4" t="s">
        <v>5944</v>
      </c>
      <c r="L3017" s="4" t="s">
        <v>7869</v>
      </c>
      <c r="M3017" s="4" t="s">
        <v>7870</v>
      </c>
      <c r="N3017" s="4" t="s">
        <v>5944</v>
      </c>
      <c r="O3017" s="4" t="s">
        <v>1120</v>
      </c>
      <c r="P3017" s="4" t="s">
        <v>5944</v>
      </c>
      <c r="Q3017" s="4" t="s">
        <v>5945</v>
      </c>
      <c r="R3017" s="4" t="s">
        <v>5944</v>
      </c>
      <c r="S3017" s="4" t="s">
        <v>1120</v>
      </c>
      <c r="T3017" s="4" t="s">
        <v>5944</v>
      </c>
      <c r="U3017" s="4" t="s">
        <v>2996</v>
      </c>
      <c r="V3017" s="4" t="s">
        <v>5944</v>
      </c>
    </row>
    <row r="3018">
      <c r="A3018" s="4">
        <v>580.0</v>
      </c>
      <c r="B3018" s="4" t="s">
        <v>8035</v>
      </c>
      <c r="C3018" s="4"/>
      <c r="D3018" s="4" t="s">
        <v>7871</v>
      </c>
      <c r="E3018" s="4" t="s">
        <v>7872</v>
      </c>
      <c r="F3018" s="4" t="s">
        <v>5593</v>
      </c>
      <c r="G3018" s="5" t="str">
        <f>IFERROR(__xludf.DUMMYFUNCTION("GOOGLETRANSLATE(D3018,""en"",""es"")"),"cascado")</f>
        <v>cascado</v>
      </c>
      <c r="H3018" s="4" t="s">
        <v>7871</v>
      </c>
      <c r="I3018" s="4" t="s">
        <v>1147</v>
      </c>
      <c r="J3018" s="4" t="s">
        <v>7697</v>
      </c>
      <c r="K3018" s="4" t="s">
        <v>7873</v>
      </c>
      <c r="L3018" s="4" t="s">
        <v>7874</v>
      </c>
      <c r="M3018" s="4" t="s">
        <v>7875</v>
      </c>
      <c r="N3018" s="4" t="s">
        <v>7876</v>
      </c>
      <c r="O3018" s="4" t="s">
        <v>7877</v>
      </c>
      <c r="P3018" s="4" t="s">
        <v>7871</v>
      </c>
      <c r="Q3018" s="4" t="s">
        <v>7871</v>
      </c>
    </row>
    <row r="3019">
      <c r="A3019" s="4">
        <v>581.0</v>
      </c>
      <c r="B3019" s="4" t="s">
        <v>8035</v>
      </c>
      <c r="C3019" s="4"/>
      <c r="D3019" s="4" t="s">
        <v>425</v>
      </c>
      <c r="E3019" s="4" t="s">
        <v>7878</v>
      </c>
      <c r="F3019" s="4" t="s">
        <v>425</v>
      </c>
      <c r="G3019" s="5" t="str">
        <f>IFERROR(__xludf.DUMMYFUNCTION("GOOGLETRANSLATE(D3019,""en"",""es"")"),"propina")</f>
        <v>propina</v>
      </c>
      <c r="H3019" s="4" t="s">
        <v>425</v>
      </c>
      <c r="I3019" s="4" t="s">
        <v>7879</v>
      </c>
      <c r="J3019" s="4" t="s">
        <v>425</v>
      </c>
      <c r="K3019" s="4" t="s">
        <v>7880</v>
      </c>
      <c r="L3019" s="4" t="s">
        <v>7881</v>
      </c>
      <c r="M3019" s="4" t="s">
        <v>7882</v>
      </c>
      <c r="N3019" s="4" t="s">
        <v>7883</v>
      </c>
      <c r="O3019" s="4" t="s">
        <v>7884</v>
      </c>
      <c r="P3019" s="4" t="s">
        <v>425</v>
      </c>
      <c r="Q3019" s="4" t="s">
        <v>648</v>
      </c>
      <c r="R3019" s="4" t="s">
        <v>7885</v>
      </c>
      <c r="S3019" s="4" t="s">
        <v>7886</v>
      </c>
      <c r="T3019" s="4" t="s">
        <v>1801</v>
      </c>
      <c r="U3019" s="4" t="s">
        <v>7887</v>
      </c>
      <c r="V3019" s="4" t="s">
        <v>3705</v>
      </c>
      <c r="W3019" s="4" t="s">
        <v>425</v>
      </c>
      <c r="X3019" s="4" t="s">
        <v>1400</v>
      </c>
      <c r="Y3019" s="4" t="s">
        <v>1400</v>
      </c>
      <c r="Z3019" s="4" t="s">
        <v>1401</v>
      </c>
      <c r="AA3019" s="4" t="s">
        <v>1402</v>
      </c>
      <c r="AB3019" s="4" t="s">
        <v>1403</v>
      </c>
      <c r="AC3019" s="4" t="s">
        <v>425</v>
      </c>
      <c r="AD3019" s="4" t="s">
        <v>1404</v>
      </c>
      <c r="AE3019" s="4" t="s">
        <v>425</v>
      </c>
      <c r="AF3019" s="4" t="s">
        <v>425</v>
      </c>
      <c r="AG3019" s="4" t="s">
        <v>425</v>
      </c>
      <c r="AH3019" s="4" t="s">
        <v>1811</v>
      </c>
      <c r="AI3019" s="4" t="s">
        <v>7888</v>
      </c>
      <c r="AJ3019" s="4" t="s">
        <v>7889</v>
      </c>
      <c r="AK3019" s="4" t="s">
        <v>7890</v>
      </c>
      <c r="AL3019" s="4" t="s">
        <v>425</v>
      </c>
      <c r="AM3019" s="4" t="s">
        <v>7828</v>
      </c>
      <c r="AN3019" s="4" t="s">
        <v>7891</v>
      </c>
      <c r="AO3019" s="4" t="s">
        <v>425</v>
      </c>
      <c r="AP3019" s="4" t="s">
        <v>7892</v>
      </c>
      <c r="AQ3019" s="4" t="s">
        <v>7893</v>
      </c>
      <c r="AR3019" s="4" t="s">
        <v>7894</v>
      </c>
      <c r="AS3019" s="4" t="s">
        <v>425</v>
      </c>
      <c r="AT3019" s="4" t="s">
        <v>7895</v>
      </c>
      <c r="AU3019" s="4" t="s">
        <v>4321</v>
      </c>
      <c r="AV3019" s="4" t="s">
        <v>425</v>
      </c>
      <c r="AW3019" s="4" t="s">
        <v>7896</v>
      </c>
      <c r="AX3019" s="4" t="s">
        <v>425</v>
      </c>
      <c r="AY3019" s="4" t="s">
        <v>425</v>
      </c>
    </row>
    <row r="3020">
      <c r="A3020" s="4">
        <v>582.0</v>
      </c>
      <c r="B3020" s="4" t="s">
        <v>8035</v>
      </c>
      <c r="C3020" s="4"/>
      <c r="D3020" s="4" t="s">
        <v>7897</v>
      </c>
      <c r="E3020" s="4" t="s">
        <v>7898</v>
      </c>
      <c r="F3020" s="4" t="s">
        <v>7899</v>
      </c>
      <c r="G3020" s="5" t="str">
        <f>IFERROR(__xludf.DUMMYFUNCTION("GOOGLETRANSLATE(D3020,""en"",""es"")"),"tejido")</f>
        <v>tejido</v>
      </c>
      <c r="H3020" s="4" t="s">
        <v>7897</v>
      </c>
      <c r="I3020" s="4" t="s">
        <v>7897</v>
      </c>
      <c r="J3020" s="4" t="s">
        <v>7900</v>
      </c>
      <c r="K3020" s="4" t="s">
        <v>7901</v>
      </c>
      <c r="L3020" s="4" t="s">
        <v>7897</v>
      </c>
    </row>
    <row r="3021">
      <c r="A3021" s="4">
        <v>583.0</v>
      </c>
      <c r="B3021" s="4" t="s">
        <v>8035</v>
      </c>
      <c r="C3021" s="4"/>
      <c r="D3021" s="4" t="s">
        <v>7902</v>
      </c>
      <c r="E3021" s="4" t="s">
        <v>7903</v>
      </c>
      <c r="F3021" s="4" t="s">
        <v>4490</v>
      </c>
      <c r="G3021" s="5" t="str">
        <f>IFERROR(__xludf.DUMMYFUNCTION("GOOGLETRANSLATE(D3021,""en"",""es"")"),"titty")</f>
        <v>titty</v>
      </c>
      <c r="H3021" s="4" t="s">
        <v>7904</v>
      </c>
      <c r="I3021" s="4" t="s">
        <v>4759</v>
      </c>
      <c r="J3021" s="4" t="s">
        <v>7905</v>
      </c>
      <c r="K3021" s="4" t="s">
        <v>3240</v>
      </c>
      <c r="L3021" s="4" t="s">
        <v>7097</v>
      </c>
      <c r="M3021" s="4" t="s">
        <v>7902</v>
      </c>
    </row>
    <row r="3022">
      <c r="A3022" s="4">
        <v>584.0</v>
      </c>
      <c r="B3022" s="4" t="s">
        <v>8035</v>
      </c>
      <c r="C3022" s="4"/>
      <c r="D3022" s="4" t="s">
        <v>8836</v>
      </c>
      <c r="E3022" s="4" t="s">
        <v>4556</v>
      </c>
      <c r="F3022" s="4" t="s">
        <v>4555</v>
      </c>
      <c r="G3022" s="5" t="str">
        <f>IFERROR(__xludf.DUMMYFUNCTION("GOOGLETRANSLATE(D3022,""en"",""es"")"),"a")</f>
        <v>a</v>
      </c>
    </row>
    <row r="3023">
      <c r="A3023" s="4">
        <v>585.0</v>
      </c>
      <c r="B3023" s="4" t="s">
        <v>8035</v>
      </c>
      <c r="C3023" s="4"/>
      <c r="D3023" s="4" t="s">
        <v>8837</v>
      </c>
      <c r="E3023" s="4" t="s">
        <v>8838</v>
      </c>
      <c r="F3023" s="4" t="s">
        <v>7735</v>
      </c>
      <c r="G3023" s="5" t="str">
        <f>IFERROR(__xludf.DUMMYFUNCTION("GOOGLETRANSLATE(D3023,""en"",""es"")"),"Tomás")</f>
        <v>Tomás</v>
      </c>
      <c r="H3023" s="4" t="s">
        <v>8839</v>
      </c>
      <c r="I3023" s="4" t="s">
        <v>8840</v>
      </c>
      <c r="J3023" s="4" t="s">
        <v>8837</v>
      </c>
      <c r="K3023" s="4" t="s">
        <v>8841</v>
      </c>
      <c r="L3023" s="4" t="s">
        <v>8842</v>
      </c>
      <c r="M3023" s="4" t="s">
        <v>8843</v>
      </c>
      <c r="N3023" s="4" t="s">
        <v>8837</v>
      </c>
      <c r="O3023" s="4" t="s">
        <v>8844</v>
      </c>
    </row>
    <row r="3024">
      <c r="A3024" s="4">
        <v>586.0</v>
      </c>
      <c r="B3024" s="4" t="s">
        <v>8035</v>
      </c>
      <c r="C3024" s="4"/>
      <c r="D3024" s="4" t="s">
        <v>8845</v>
      </c>
      <c r="E3024" s="4" t="s">
        <v>8846</v>
      </c>
      <c r="F3024" s="4" t="s">
        <v>8847</v>
      </c>
      <c r="G3024" s="5" t="str">
        <f>IFERROR(__xludf.DUMMYFUNCTION("GOOGLETRANSLATE(D3024,""en"",""es"")"),"tumba")</f>
        <v>tumba</v>
      </c>
      <c r="H3024" s="4" t="s">
        <v>8848</v>
      </c>
      <c r="I3024" s="4" t="s">
        <v>8845</v>
      </c>
    </row>
    <row r="3025">
      <c r="A3025" s="4">
        <v>587.0</v>
      </c>
      <c r="B3025" s="4" t="s">
        <v>8035</v>
      </c>
      <c r="C3025" s="4"/>
      <c r="D3025" s="4" t="s">
        <v>8849</v>
      </c>
      <c r="E3025" s="4" t="s">
        <v>8850</v>
      </c>
      <c r="F3025" s="4" t="s">
        <v>7734</v>
      </c>
      <c r="G3025" s="5" t="str">
        <f>IFERROR(__xludf.DUMMYFUNCTION("GOOGLETRANSLATE(D3025,""en"",""es"")"),"tommy")</f>
        <v>tommy</v>
      </c>
    </row>
    <row r="3026">
      <c r="A3026" s="4">
        <v>588.0</v>
      </c>
      <c r="B3026" s="4" t="s">
        <v>8035</v>
      </c>
      <c r="C3026" s="4"/>
      <c r="D3026" s="4" t="s">
        <v>8851</v>
      </c>
      <c r="E3026" s="4" t="s">
        <v>4556</v>
      </c>
      <c r="F3026" s="4" t="s">
        <v>4555</v>
      </c>
      <c r="G3026" s="5" t="str">
        <f>IFERROR(__xludf.DUMMYFUNCTION("GOOGLETRANSLATE(D3026,""en"",""es"")"),"también")</f>
        <v>también</v>
      </c>
      <c r="H3026" s="4" t="s">
        <v>8852</v>
      </c>
      <c r="I3026" s="4" t="s">
        <v>8853</v>
      </c>
      <c r="J3026" s="4" t="s">
        <v>8854</v>
      </c>
      <c r="K3026" s="4" t="s">
        <v>8851</v>
      </c>
      <c r="L3026" s="4" t="s">
        <v>8855</v>
      </c>
      <c r="M3026" s="4" t="s">
        <v>8851</v>
      </c>
      <c r="N3026" s="4" t="s">
        <v>8856</v>
      </c>
      <c r="O3026" s="4" t="s">
        <v>8857</v>
      </c>
      <c r="P3026" s="4" t="s">
        <v>8858</v>
      </c>
    </row>
    <row r="3027">
      <c r="A3027" s="4">
        <v>589.0</v>
      </c>
      <c r="B3027" s="4" t="s">
        <v>8035</v>
      </c>
      <c r="C3027" s="4"/>
      <c r="D3027" s="4" t="s">
        <v>7906</v>
      </c>
      <c r="E3027" s="4" t="s">
        <v>7907</v>
      </c>
      <c r="F3027" s="4" t="s">
        <v>456</v>
      </c>
      <c r="G3027" s="5" t="str">
        <f>IFERROR(__xludf.DUMMYFUNCTION("GOOGLETRANSLATE(D3027,""en"",""es"")"),"tomó")</f>
        <v>tomó</v>
      </c>
      <c r="H3027" s="4" t="s">
        <v>887</v>
      </c>
      <c r="I3027" s="4" t="s">
        <v>887</v>
      </c>
      <c r="J3027" s="4" t="s">
        <v>3082</v>
      </c>
      <c r="K3027" s="4" t="s">
        <v>7908</v>
      </c>
      <c r="L3027" s="4" t="s">
        <v>648</v>
      </c>
      <c r="M3027" s="4" t="s">
        <v>887</v>
      </c>
      <c r="N3027" s="4" t="s">
        <v>7909</v>
      </c>
      <c r="O3027" s="4" t="s">
        <v>7910</v>
      </c>
      <c r="P3027" s="4" t="s">
        <v>3413</v>
      </c>
      <c r="Q3027" s="4" t="s">
        <v>887</v>
      </c>
      <c r="R3027" s="4" t="s">
        <v>7911</v>
      </c>
      <c r="S3027" s="4" t="s">
        <v>883</v>
      </c>
      <c r="T3027" s="4" t="s">
        <v>884</v>
      </c>
      <c r="U3027" s="4" t="s">
        <v>885</v>
      </c>
      <c r="V3027" s="4" t="s">
        <v>886</v>
      </c>
      <c r="W3027" s="4" t="s">
        <v>887</v>
      </c>
      <c r="X3027" s="4" t="s">
        <v>887</v>
      </c>
      <c r="Y3027" s="4" t="s">
        <v>7912</v>
      </c>
      <c r="Z3027" s="4" t="s">
        <v>7913</v>
      </c>
      <c r="AA3027" s="4" t="s">
        <v>1500</v>
      </c>
      <c r="AB3027" s="4" t="s">
        <v>887</v>
      </c>
      <c r="AC3027" s="4" t="s">
        <v>887</v>
      </c>
      <c r="AD3027" s="4" t="s">
        <v>887</v>
      </c>
      <c r="AE3027" s="4" t="s">
        <v>7914</v>
      </c>
      <c r="AF3027" s="4" t="s">
        <v>887</v>
      </c>
      <c r="AG3027" s="4" t="s">
        <v>7915</v>
      </c>
      <c r="AH3027" s="4" t="s">
        <v>7916</v>
      </c>
      <c r="AI3027" s="4" t="s">
        <v>7917</v>
      </c>
      <c r="AJ3027" s="4" t="s">
        <v>887</v>
      </c>
      <c r="AK3027" s="4" t="s">
        <v>311</v>
      </c>
      <c r="AL3027" s="4" t="s">
        <v>3086</v>
      </c>
      <c r="AM3027" s="4" t="s">
        <v>887</v>
      </c>
      <c r="AN3027" s="4" t="s">
        <v>3082</v>
      </c>
      <c r="AO3027" s="4" t="s">
        <v>7918</v>
      </c>
      <c r="AP3027" s="4" t="s">
        <v>887</v>
      </c>
      <c r="AQ3027" s="4" t="s">
        <v>1737</v>
      </c>
      <c r="AR3027" s="4" t="s">
        <v>7919</v>
      </c>
      <c r="AS3027" s="4" t="s">
        <v>7920</v>
      </c>
      <c r="AT3027" s="4" t="s">
        <v>7921</v>
      </c>
      <c r="AU3027" s="4" t="s">
        <v>7922</v>
      </c>
      <c r="AV3027" s="4" t="s">
        <v>7923</v>
      </c>
      <c r="AW3027" s="4" t="s">
        <v>7924</v>
      </c>
      <c r="AX3027" s="4" t="s">
        <v>887</v>
      </c>
      <c r="AY3027" s="4" t="s">
        <v>7925</v>
      </c>
      <c r="AZ3027" s="4" t="s">
        <v>7926</v>
      </c>
      <c r="BA3027" s="4" t="s">
        <v>7927</v>
      </c>
      <c r="BB3027" s="4" t="s">
        <v>887</v>
      </c>
      <c r="BC3027" s="4" t="s">
        <v>1240</v>
      </c>
      <c r="BD3027" s="4" t="s">
        <v>4430</v>
      </c>
      <c r="BE3027" s="4" t="s">
        <v>887</v>
      </c>
      <c r="BF3027" s="4" t="s">
        <v>538</v>
      </c>
      <c r="BG3027" s="4" t="s">
        <v>887</v>
      </c>
      <c r="BH3027" s="4" t="s">
        <v>7928</v>
      </c>
      <c r="BI3027" s="4" t="s">
        <v>7929</v>
      </c>
      <c r="BJ3027" s="4" t="s">
        <v>7930</v>
      </c>
      <c r="BK3027" s="4" t="s">
        <v>879</v>
      </c>
      <c r="BL3027" s="4" t="s">
        <v>486</v>
      </c>
      <c r="BM3027" s="4" t="s">
        <v>887</v>
      </c>
      <c r="BN3027" s="4" t="s">
        <v>311</v>
      </c>
      <c r="BO3027" s="4" t="s">
        <v>887</v>
      </c>
      <c r="BP3027" s="4" t="s">
        <v>7931</v>
      </c>
      <c r="BQ3027" s="4" t="s">
        <v>887</v>
      </c>
      <c r="BR3027" s="4" t="s">
        <v>7917</v>
      </c>
      <c r="BS3027" s="4" t="s">
        <v>887</v>
      </c>
      <c r="BT3027" s="4" t="s">
        <v>883</v>
      </c>
      <c r="BU3027" s="4" t="s">
        <v>887</v>
      </c>
      <c r="BV3027" s="4" t="s">
        <v>903</v>
      </c>
      <c r="BW3027" s="4" t="s">
        <v>7932</v>
      </c>
      <c r="BX3027" s="4" t="s">
        <v>7917</v>
      </c>
      <c r="BY3027" s="4" t="s">
        <v>7933</v>
      </c>
      <c r="BZ3027" s="4" t="s">
        <v>887</v>
      </c>
      <c r="CA3027" s="4" t="s">
        <v>886</v>
      </c>
      <c r="CB3027" s="4" t="s">
        <v>887</v>
      </c>
      <c r="CC3027" s="4" t="s">
        <v>7934</v>
      </c>
      <c r="CD3027" s="4" t="s">
        <v>1074</v>
      </c>
      <c r="CE3027" s="4" t="s">
        <v>7912</v>
      </c>
      <c r="CF3027" s="4" t="s">
        <v>887</v>
      </c>
      <c r="CG3027" s="4" t="s">
        <v>7935</v>
      </c>
      <c r="CH3027" s="4" t="s">
        <v>887</v>
      </c>
      <c r="CI3027" s="4" t="s">
        <v>7936</v>
      </c>
      <c r="CJ3027" s="4" t="s">
        <v>887</v>
      </c>
      <c r="CK3027" s="4" t="s">
        <v>3000</v>
      </c>
      <c r="CL3027" s="4" t="s">
        <v>7937</v>
      </c>
      <c r="CM3027" s="4" t="s">
        <v>887</v>
      </c>
      <c r="CN3027" s="4" t="s">
        <v>7938</v>
      </c>
      <c r="CO3027" s="4" t="s">
        <v>7939</v>
      </c>
      <c r="CP3027" s="4" t="s">
        <v>7909</v>
      </c>
      <c r="CQ3027" s="4" t="s">
        <v>887</v>
      </c>
      <c r="CR3027" s="4" t="s">
        <v>7048</v>
      </c>
      <c r="CS3027" s="4" t="s">
        <v>2543</v>
      </c>
      <c r="CT3027" s="4" t="s">
        <v>887</v>
      </c>
      <c r="CU3027" s="4" t="s">
        <v>7940</v>
      </c>
      <c r="CV3027" s="4" t="s">
        <v>7941</v>
      </c>
      <c r="CW3027" s="4" t="s">
        <v>3084</v>
      </c>
      <c r="CX3027" s="4" t="s">
        <v>7942</v>
      </c>
      <c r="CY3027" s="4" t="s">
        <v>3081</v>
      </c>
      <c r="CZ3027" s="4" t="s">
        <v>887</v>
      </c>
      <c r="DA3027" s="4" t="s">
        <v>7943</v>
      </c>
      <c r="DB3027" s="4" t="s">
        <v>7944</v>
      </c>
      <c r="DC3027" s="4" t="s">
        <v>887</v>
      </c>
      <c r="DD3027" s="4" t="s">
        <v>887</v>
      </c>
      <c r="DE3027" s="4" t="s">
        <v>887</v>
      </c>
      <c r="DF3027" s="4" t="s">
        <v>887</v>
      </c>
      <c r="DG3027" s="4" t="s">
        <v>311</v>
      </c>
      <c r="DH3027" s="4" t="s">
        <v>7935</v>
      </c>
      <c r="DI3027" s="4" t="s">
        <v>887</v>
      </c>
      <c r="DJ3027" s="4" t="s">
        <v>7917</v>
      </c>
      <c r="DK3027" s="4" t="s">
        <v>887</v>
      </c>
      <c r="DL3027" s="4" t="s">
        <v>2074</v>
      </c>
      <c r="DM3027" s="4" t="s">
        <v>887</v>
      </c>
      <c r="DN3027" s="4" t="s">
        <v>313</v>
      </c>
      <c r="DO3027" s="4" t="s">
        <v>887</v>
      </c>
      <c r="DP3027" s="4" t="s">
        <v>7337</v>
      </c>
      <c r="DQ3027" s="4" t="s">
        <v>887</v>
      </c>
      <c r="DR3027" s="4" t="s">
        <v>887</v>
      </c>
      <c r="DS3027" s="4" t="s">
        <v>7945</v>
      </c>
      <c r="DT3027" s="4" t="s">
        <v>887</v>
      </c>
      <c r="DU3027" s="4" t="s">
        <v>7946</v>
      </c>
    </row>
    <row r="3028">
      <c r="A3028" s="4">
        <v>590.0</v>
      </c>
      <c r="B3028" s="4" t="s">
        <v>8035</v>
      </c>
      <c r="C3028" s="4"/>
      <c r="D3028" s="4" t="s">
        <v>4858</v>
      </c>
      <c r="E3028" s="4" t="s">
        <v>8859</v>
      </c>
      <c r="F3028" s="4" t="s">
        <v>8860</v>
      </c>
      <c r="G3028" s="5" t="str">
        <f>IFERROR(__xludf.DUMMYFUNCTION("GOOGLETRANSLATE(D3028,""en"",""es"")"),"diente")</f>
        <v>diente</v>
      </c>
      <c r="H3028" s="4" t="s">
        <v>4858</v>
      </c>
      <c r="I3028" s="4" t="s">
        <v>4858</v>
      </c>
      <c r="J3028" s="4" t="s">
        <v>4858</v>
      </c>
      <c r="K3028" s="4" t="s">
        <v>4858</v>
      </c>
      <c r="L3028" s="4" t="s">
        <v>4858</v>
      </c>
    </row>
    <row r="3029">
      <c r="A3029" s="4">
        <v>591.0</v>
      </c>
      <c r="B3029" s="4" t="s">
        <v>8035</v>
      </c>
      <c r="C3029" s="4"/>
      <c r="D3029" s="4" t="s">
        <v>1403</v>
      </c>
      <c r="E3029" s="4" t="s">
        <v>8861</v>
      </c>
      <c r="F3029" s="4" t="s">
        <v>4321</v>
      </c>
      <c r="G3029" s="5" t="str">
        <f>IFERROR(__xludf.DUMMYFUNCTION("GOOGLETRANSLATE(D3029,""en"",""es"")"),"parte superior")</f>
        <v>parte superior</v>
      </c>
      <c r="H3029" s="4" t="s">
        <v>1403</v>
      </c>
      <c r="I3029" s="4" t="s">
        <v>1403</v>
      </c>
      <c r="J3029" s="4" t="s">
        <v>8862</v>
      </c>
      <c r="K3029" s="4" t="s">
        <v>8863</v>
      </c>
      <c r="L3029" s="4" t="s">
        <v>8864</v>
      </c>
      <c r="M3029" s="4" t="s">
        <v>1400</v>
      </c>
      <c r="N3029" s="4" t="s">
        <v>1401</v>
      </c>
      <c r="O3029" s="4" t="s">
        <v>1402</v>
      </c>
      <c r="P3029" s="4" t="s">
        <v>1403</v>
      </c>
      <c r="Q3029" s="4" t="s">
        <v>425</v>
      </c>
      <c r="R3029" s="4" t="s">
        <v>1404</v>
      </c>
      <c r="S3029" s="4" t="s">
        <v>1403</v>
      </c>
      <c r="T3029" s="4" t="s">
        <v>8865</v>
      </c>
      <c r="U3029" s="4" t="s">
        <v>1407</v>
      </c>
      <c r="V3029" s="4" t="s">
        <v>1409</v>
      </c>
      <c r="W3029" s="4" t="s">
        <v>1410</v>
      </c>
      <c r="X3029" s="4" t="s">
        <v>1400</v>
      </c>
      <c r="Y3029" s="4" t="s">
        <v>1411</v>
      </c>
      <c r="Z3029" s="4" t="s">
        <v>1404</v>
      </c>
      <c r="AA3029" s="4" t="s">
        <v>1412</v>
      </c>
      <c r="AB3029" s="4" t="s">
        <v>1413</v>
      </c>
      <c r="AC3029" s="4" t="s">
        <v>1414</v>
      </c>
      <c r="AD3029" s="4" t="s">
        <v>1403</v>
      </c>
      <c r="AE3029" s="4" t="s">
        <v>1403</v>
      </c>
      <c r="AF3029" s="4" t="s">
        <v>1403</v>
      </c>
      <c r="AG3029" s="4" t="s">
        <v>1403</v>
      </c>
      <c r="AH3029" s="4" t="s">
        <v>8866</v>
      </c>
      <c r="AI3029" s="4" t="s">
        <v>8867</v>
      </c>
      <c r="AJ3029" s="4" t="s">
        <v>8868</v>
      </c>
      <c r="AK3029" s="4" t="s">
        <v>1403</v>
      </c>
      <c r="AL3029" s="4" t="s">
        <v>4332</v>
      </c>
      <c r="AM3029" s="4" t="s">
        <v>1403</v>
      </c>
      <c r="AN3029" s="4" t="s">
        <v>8869</v>
      </c>
      <c r="AO3029" s="4" t="s">
        <v>8870</v>
      </c>
      <c r="AP3029" s="4" t="s">
        <v>8871</v>
      </c>
      <c r="AQ3029" s="4" t="s">
        <v>1403</v>
      </c>
      <c r="AR3029" s="4" t="s">
        <v>7134</v>
      </c>
      <c r="AS3029" s="4" t="s">
        <v>7135</v>
      </c>
      <c r="AT3029" s="4" t="s">
        <v>7136</v>
      </c>
      <c r="AU3029" s="4" t="s">
        <v>647</v>
      </c>
      <c r="AV3029" s="4" t="s">
        <v>3420</v>
      </c>
      <c r="AW3029" s="4" t="s">
        <v>1403</v>
      </c>
      <c r="AX3029" s="4" t="s">
        <v>2682</v>
      </c>
      <c r="AY3029" s="4" t="s">
        <v>1403</v>
      </c>
      <c r="AZ3029" s="4" t="s">
        <v>1403</v>
      </c>
      <c r="BA3029" s="4" t="s">
        <v>648</v>
      </c>
      <c r="BB3029" s="4" t="s">
        <v>1403</v>
      </c>
      <c r="BC3029" s="4" t="s">
        <v>1403</v>
      </c>
      <c r="BD3029" s="4" t="s">
        <v>8872</v>
      </c>
      <c r="BE3029" s="4" t="s">
        <v>1403</v>
      </c>
      <c r="BF3029" s="4" t="s">
        <v>1403</v>
      </c>
      <c r="BG3029" s="4" t="s">
        <v>1403</v>
      </c>
      <c r="BH3029" s="4" t="s">
        <v>6302</v>
      </c>
      <c r="BI3029" s="4" t="s">
        <v>1401</v>
      </c>
      <c r="BJ3029" s="4" t="s">
        <v>1403</v>
      </c>
      <c r="BK3029" s="4" t="s">
        <v>1403</v>
      </c>
      <c r="BL3029" s="4" t="s">
        <v>8873</v>
      </c>
      <c r="BM3029" s="4" t="s">
        <v>1403</v>
      </c>
    </row>
    <row r="3030">
      <c r="A3030" s="4">
        <v>592.0</v>
      </c>
      <c r="B3030" s="4" t="s">
        <v>8035</v>
      </c>
      <c r="C3030" s="4"/>
      <c r="D3030" s="4" t="s">
        <v>8874</v>
      </c>
      <c r="E3030" s="4" t="s">
        <v>8875</v>
      </c>
      <c r="F3030" s="4" t="s">
        <v>8876</v>
      </c>
      <c r="G3030" s="5" t="str">
        <f>IFERROR(__xludf.DUMMYFUNCTION("GOOGLETRANSLATE(D3030,""en"",""es"")"),"tema")</f>
        <v>tema</v>
      </c>
      <c r="H3030" s="4" t="s">
        <v>1069</v>
      </c>
      <c r="I3030" s="4" t="s">
        <v>8874</v>
      </c>
      <c r="J3030" s="4" t="s">
        <v>8877</v>
      </c>
      <c r="K3030" s="4" t="s">
        <v>8874</v>
      </c>
      <c r="L3030" s="4" t="s">
        <v>1069</v>
      </c>
      <c r="M3030" s="4" t="s">
        <v>8878</v>
      </c>
      <c r="N3030" s="4" t="s">
        <v>8879</v>
      </c>
    </row>
    <row r="3031">
      <c r="A3031" s="4">
        <v>593.0</v>
      </c>
      <c r="B3031" s="4" t="s">
        <v>8035</v>
      </c>
      <c r="C3031" s="4"/>
      <c r="D3031" s="4" t="s">
        <v>7947</v>
      </c>
      <c r="E3031" s="4" t="s">
        <v>7948</v>
      </c>
      <c r="F3031" s="4" t="s">
        <v>7949</v>
      </c>
      <c r="G3031" s="5" t="str">
        <f>IFERROR(__xludf.DUMMYFUNCTION("GOOGLETRANSLATE(D3031,""en"",""es"")"),"touloulou")</f>
        <v>touloulou</v>
      </c>
    </row>
    <row r="3032">
      <c r="A3032" s="4">
        <v>594.0</v>
      </c>
      <c r="B3032" s="4" t="s">
        <v>8035</v>
      </c>
      <c r="C3032" s="4"/>
      <c r="D3032" s="4" t="s">
        <v>7950</v>
      </c>
      <c r="E3032" s="4" t="s">
        <v>400</v>
      </c>
      <c r="F3032" s="4" t="s">
        <v>401</v>
      </c>
      <c r="G3032" s="5" t="str">
        <f>IFERROR(__xludf.DUMMYFUNCTION("GOOGLETRANSLATE(D3032,""en"",""es"")"),"TSE")</f>
        <v>TSE</v>
      </c>
    </row>
    <row r="3033">
      <c r="A3033" s="4">
        <v>595.0</v>
      </c>
      <c r="B3033" s="4" t="s">
        <v>8035</v>
      </c>
      <c r="C3033" s="4"/>
      <c r="D3033" s="4" t="s">
        <v>8880</v>
      </c>
      <c r="E3033" s="4" t="s">
        <v>8881</v>
      </c>
      <c r="F3033" s="4" t="s">
        <v>8882</v>
      </c>
      <c r="G3033" s="5" t="str">
        <f>IFERROR(__xludf.DUMMYFUNCTION("GOOGLETRANSLATE(D3033,""en"",""es"")"),"tsunami")</f>
        <v>tsunami</v>
      </c>
      <c r="H3033" s="4" t="s">
        <v>8880</v>
      </c>
    </row>
    <row r="3034">
      <c r="A3034" s="4">
        <v>596.0</v>
      </c>
      <c r="B3034" s="4" t="s">
        <v>8035</v>
      </c>
      <c r="C3034" s="4"/>
      <c r="D3034" s="4" t="s">
        <v>8883</v>
      </c>
      <c r="E3034" s="4" t="s">
        <v>8884</v>
      </c>
      <c r="F3034" s="4" t="s">
        <v>8883</v>
      </c>
      <c r="G3034" s="5" t="str">
        <f>IFERROR(__xludf.DUMMYFUNCTION("GOOGLETRANSLATE(D3034,""en"",""es"")"),"tulipán")</f>
        <v>tulipán</v>
      </c>
      <c r="H3034" s="4" t="s">
        <v>8883</v>
      </c>
    </row>
    <row r="3035">
      <c r="A3035" s="4">
        <v>597.0</v>
      </c>
      <c r="B3035" s="4" t="s">
        <v>8035</v>
      </c>
      <c r="C3035" s="4"/>
      <c r="D3035" s="4" t="s">
        <v>1622</v>
      </c>
      <c r="E3035" s="4" t="s">
        <v>7953</v>
      </c>
      <c r="F3035" s="4" t="s">
        <v>1622</v>
      </c>
      <c r="G3035" s="5" t="str">
        <f>IFERROR(__xludf.DUMMYFUNCTION("GOOGLETRANSLATE(D3035,""en"",""es"")"),"tosh")</f>
        <v>tosh</v>
      </c>
      <c r="H3035" s="4" t="s">
        <v>1602</v>
      </c>
      <c r="I3035" s="4" t="s">
        <v>1603</v>
      </c>
      <c r="J3035" s="4" t="s">
        <v>1604</v>
      </c>
      <c r="K3035" s="4" t="s">
        <v>1605</v>
      </c>
      <c r="L3035" s="4" t="s">
        <v>1606</v>
      </c>
      <c r="M3035" s="4" t="s">
        <v>1147</v>
      </c>
      <c r="N3035" s="4" t="s">
        <v>1607</v>
      </c>
      <c r="O3035" s="4" t="s">
        <v>1120</v>
      </c>
      <c r="P3035" s="4" t="s">
        <v>1608</v>
      </c>
      <c r="Q3035" s="4" t="s">
        <v>1609</v>
      </c>
      <c r="R3035" s="4" t="s">
        <v>1610</v>
      </c>
      <c r="S3035" s="4" t="s">
        <v>1611</v>
      </c>
      <c r="T3035" s="4" t="s">
        <v>1612</v>
      </c>
      <c r="U3035" s="4" t="s">
        <v>1613</v>
      </c>
      <c r="V3035" s="4" t="s">
        <v>1614</v>
      </c>
      <c r="W3035" s="4" t="s">
        <v>1615</v>
      </c>
      <c r="X3035" s="4" t="s">
        <v>1616</v>
      </c>
      <c r="Y3035" s="4" t="s">
        <v>1617</v>
      </c>
      <c r="Z3035" s="4" t="s">
        <v>1618</v>
      </c>
      <c r="AA3035" s="4" t="s">
        <v>1619</v>
      </c>
      <c r="AB3035" s="4" t="s">
        <v>1620</v>
      </c>
      <c r="AC3035" s="4" t="s">
        <v>1621</v>
      </c>
      <c r="AD3035" s="4" t="s">
        <v>1622</v>
      </c>
      <c r="AE3035" s="4" t="s">
        <v>1623</v>
      </c>
      <c r="AF3035" s="4" t="s">
        <v>1624</v>
      </c>
      <c r="AG3035" s="4" t="s">
        <v>1625</v>
      </c>
      <c r="AH3035" s="4" t="s">
        <v>1626</v>
      </c>
      <c r="AI3035" s="4" t="s">
        <v>1627</v>
      </c>
    </row>
    <row r="3036">
      <c r="A3036" s="4">
        <v>598.0</v>
      </c>
      <c r="B3036" s="4" t="s">
        <v>8035</v>
      </c>
      <c r="C3036" s="4"/>
      <c r="D3036" s="4" t="s">
        <v>7954</v>
      </c>
      <c r="E3036" s="4" t="s">
        <v>7955</v>
      </c>
      <c r="F3036" s="4" t="s">
        <v>7956</v>
      </c>
      <c r="G3036" s="5" t="str">
        <f>IFERROR(__xludf.DUMMYFUNCTION("GOOGLETRANSLATE(D3036,""en"",""es"")"),"tushie")</f>
        <v>tushie</v>
      </c>
    </row>
    <row r="3037">
      <c r="A3037" s="4">
        <v>599.0</v>
      </c>
      <c r="B3037" s="4" t="s">
        <v>8035</v>
      </c>
      <c r="C3037" s="4"/>
      <c r="D3037" s="4" t="s">
        <v>4579</v>
      </c>
      <c r="E3037" s="4" t="s">
        <v>4578</v>
      </c>
      <c r="F3037" s="4" t="s">
        <v>4579</v>
      </c>
      <c r="G3037" s="5" t="str">
        <f>IFERROR(__xludf.DUMMYFUNCTION("GOOGLETRANSLATE(D3037,""en"",""es"")"),"tutú")</f>
        <v>tutú</v>
      </c>
      <c r="H3037" s="4" t="s">
        <v>7957</v>
      </c>
      <c r="I3037" s="4" t="s">
        <v>7958</v>
      </c>
      <c r="J3037" s="4" t="s">
        <v>4580</v>
      </c>
      <c r="K3037" s="4" t="s">
        <v>4579</v>
      </c>
    </row>
    <row r="3038">
      <c r="A3038" s="4">
        <v>600.0</v>
      </c>
      <c r="B3038" s="4" t="s">
        <v>8035</v>
      </c>
      <c r="C3038" s="4"/>
      <c r="D3038" s="4" t="s">
        <v>8885</v>
      </c>
      <c r="E3038" s="4" t="s">
        <v>4556</v>
      </c>
      <c r="F3038" s="4" t="s">
        <v>4555</v>
      </c>
      <c r="G3038" s="5" t="str">
        <f>IFERROR(__xludf.DUMMYFUNCTION("GOOGLETRANSLATE(D3038,""en"",""es"")"),"dos")</f>
        <v>dos</v>
      </c>
      <c r="H3038" s="4" t="s">
        <v>8885</v>
      </c>
      <c r="I3038" s="4">
        <v>2.0</v>
      </c>
      <c r="J3038" s="4" t="s">
        <v>8886</v>
      </c>
      <c r="K3038" s="4" t="s">
        <v>8887</v>
      </c>
      <c r="L3038" s="4" t="s">
        <v>8887</v>
      </c>
      <c r="M3038" s="4" t="s">
        <v>8885</v>
      </c>
      <c r="N3038" s="4" t="s">
        <v>8885</v>
      </c>
      <c r="O3038" s="4">
        <v>2.0</v>
      </c>
      <c r="P3038" s="4" t="s">
        <v>8888</v>
      </c>
    </row>
    <row r="3039">
      <c r="A3039" s="4">
        <v>601.0</v>
      </c>
      <c r="B3039" s="4" t="s">
        <v>8035</v>
      </c>
      <c r="C3039" s="4"/>
      <c r="D3039" s="4" t="s">
        <v>7959</v>
      </c>
      <c r="E3039" s="4" t="s">
        <v>7960</v>
      </c>
      <c r="F3039" s="4" t="s">
        <v>4559</v>
      </c>
      <c r="G3039" s="5" t="str">
        <f>IFERROR(__xludf.DUMMYFUNCTION("GOOGLETRANSLATE(D3039,""en"",""es"")"),"twp")</f>
        <v>twp</v>
      </c>
    </row>
    <row r="3040">
      <c r="A3040" s="4">
        <v>602.0</v>
      </c>
      <c r="B3040" s="4" t="s">
        <v>8035</v>
      </c>
      <c r="C3040" s="4"/>
      <c r="D3040" s="4" t="s">
        <v>7961</v>
      </c>
      <c r="E3040" s="4" t="s">
        <v>7962</v>
      </c>
      <c r="F3040" s="4" t="s">
        <v>7963</v>
      </c>
      <c r="G3040" s="5" t="str">
        <f>IFERROR(__xludf.DUMMYFUNCTION("GOOGLETRANSLATE(D3040,""en"",""es"")"),"UConn")</f>
        <v>UConn</v>
      </c>
    </row>
    <row r="3041">
      <c r="A3041" s="4">
        <v>603.0</v>
      </c>
      <c r="B3041" s="4" t="s">
        <v>8035</v>
      </c>
      <c r="C3041" s="4"/>
      <c r="D3041" s="4" t="s">
        <v>8889</v>
      </c>
      <c r="E3041" s="4" t="s">
        <v>8890</v>
      </c>
      <c r="F3041" s="4" t="s">
        <v>8891</v>
      </c>
      <c r="G3041" s="5" t="str">
        <f>IFERROR(__xludf.DUMMYFUNCTION("GOOGLETRANSLATE(D3041,""en"",""es"")"),"Umich")</f>
        <v>Umich</v>
      </c>
    </row>
    <row r="3042">
      <c r="A3042" s="4">
        <v>604.0</v>
      </c>
      <c r="B3042" s="4" t="s">
        <v>8035</v>
      </c>
      <c r="C3042" s="4"/>
      <c r="D3042" s="4" t="s">
        <v>8892</v>
      </c>
      <c r="E3042" s="4" t="s">
        <v>8893</v>
      </c>
      <c r="F3042" s="4" t="s">
        <v>8894</v>
      </c>
      <c r="G3042" s="5" t="str">
        <f>IFERROR(__xludf.DUMMYFUNCTION("GOOGLETRANSLATE(D3042,""en"",""es"")"),"unidad")</f>
        <v>unidad</v>
      </c>
      <c r="H3042" s="4" t="s">
        <v>8895</v>
      </c>
      <c r="I3042" s="4" t="s">
        <v>8892</v>
      </c>
      <c r="J3042" s="4" t="s">
        <v>8896</v>
      </c>
      <c r="K3042" s="4" t="s">
        <v>4635</v>
      </c>
      <c r="L3042" s="4">
        <v>1.0</v>
      </c>
      <c r="M3042" s="4" t="s">
        <v>8897</v>
      </c>
      <c r="N3042" s="4" t="s">
        <v>833</v>
      </c>
      <c r="O3042" s="4" t="s">
        <v>8898</v>
      </c>
      <c r="P3042" s="4" t="s">
        <v>8892</v>
      </c>
      <c r="Q3042" s="4" t="s">
        <v>8899</v>
      </c>
      <c r="R3042" s="4" t="s">
        <v>8892</v>
      </c>
    </row>
    <row r="3043">
      <c r="A3043" s="4">
        <v>605.0</v>
      </c>
      <c r="B3043" s="4" t="s">
        <v>8035</v>
      </c>
      <c r="C3043" s="4"/>
      <c r="D3043" s="4" t="s">
        <v>7964</v>
      </c>
      <c r="E3043" s="4" t="s">
        <v>6181</v>
      </c>
      <c r="F3043" s="4" t="s">
        <v>6182</v>
      </c>
      <c r="G3043" s="5" t="str">
        <f>IFERROR(__xludf.DUMMYFUNCTION("GOOGLETRANSLATE(D3043,""en"",""es"")"),"xe")</f>
        <v>xe</v>
      </c>
      <c r="H3043" s="4" t="s">
        <v>7965</v>
      </c>
      <c r="I3043" s="4" t="s">
        <v>7966</v>
      </c>
      <c r="J3043" s="4" t="s">
        <v>7967</v>
      </c>
    </row>
    <row r="3044">
      <c r="A3044" s="4">
        <v>606.0</v>
      </c>
      <c r="B3044" s="4" t="s">
        <v>8035</v>
      </c>
      <c r="C3044" s="4"/>
      <c r="D3044" s="4" t="s">
        <v>2011</v>
      </c>
      <c r="E3044" s="4" t="s">
        <v>7968</v>
      </c>
      <c r="F3044" s="4" t="s">
        <v>2011</v>
      </c>
      <c r="G3044" s="5" t="str">
        <f>IFERROR(__xludf.DUMMYFUNCTION("GOOGLETRANSLATE(D3044,""en"",""es"")"),"ya")</f>
        <v>ya</v>
      </c>
    </row>
    <row r="3045">
      <c r="A3045" s="4">
        <v>607.0</v>
      </c>
      <c r="B3045" s="4" t="s">
        <v>8035</v>
      </c>
      <c r="C3045" s="4"/>
      <c r="D3045" s="4" t="s">
        <v>7969</v>
      </c>
      <c r="E3045" s="4" t="s">
        <v>1870</v>
      </c>
      <c r="F3045" s="4" t="s">
        <v>1871</v>
      </c>
      <c r="G3045" s="5" t="str">
        <f>IFERROR(__xludf.DUMMYFUNCTION("GOOGLETRANSLATE(D3045,""en"",""es"")"),"quemar")</f>
        <v>quemar</v>
      </c>
      <c r="H3045" s="4" t="s">
        <v>1871</v>
      </c>
      <c r="I3045" s="4" t="s">
        <v>7969</v>
      </c>
      <c r="J3045" s="4" t="s">
        <v>7970</v>
      </c>
      <c r="K3045" s="4" t="s">
        <v>7971</v>
      </c>
      <c r="L3045" s="4" t="s">
        <v>7972</v>
      </c>
      <c r="M3045" s="4" t="s">
        <v>7969</v>
      </c>
      <c r="N3045" s="4" t="s">
        <v>7973</v>
      </c>
      <c r="O3045" s="4" t="s">
        <v>7974</v>
      </c>
      <c r="P3045" s="4" t="s">
        <v>7975</v>
      </c>
      <c r="Q3045" s="4" t="s">
        <v>7976</v>
      </c>
    </row>
    <row r="3046">
      <c r="A3046" s="4">
        <v>608.0</v>
      </c>
      <c r="B3046" s="4" t="s">
        <v>8035</v>
      </c>
      <c r="C3046" s="4"/>
      <c r="D3046" s="4" t="s">
        <v>7969</v>
      </c>
      <c r="E3046" s="4" t="s">
        <v>7977</v>
      </c>
      <c r="F3046" s="4" t="s">
        <v>1871</v>
      </c>
      <c r="G3046" s="5" t="str">
        <f>IFERROR(__xludf.DUMMYFUNCTION("GOOGLETRANSLATE(D3046,""en"",""es"")"),"quemar")</f>
        <v>quemar</v>
      </c>
      <c r="H3046" s="4" t="s">
        <v>1871</v>
      </c>
      <c r="I3046" s="4" t="s">
        <v>7969</v>
      </c>
      <c r="J3046" s="4" t="s">
        <v>7970</v>
      </c>
      <c r="K3046" s="4" t="s">
        <v>7971</v>
      </c>
      <c r="L3046" s="4" t="s">
        <v>7972</v>
      </c>
      <c r="M3046" s="4" t="s">
        <v>7969</v>
      </c>
      <c r="N3046" s="4" t="s">
        <v>7973</v>
      </c>
      <c r="O3046" s="4" t="s">
        <v>7974</v>
      </c>
      <c r="P3046" s="4" t="s">
        <v>7975</v>
      </c>
      <c r="Q3046" s="4" t="s">
        <v>7976</v>
      </c>
    </row>
    <row r="3047">
      <c r="A3047" s="4">
        <v>609.0</v>
      </c>
      <c r="B3047" s="4" t="s">
        <v>8035</v>
      </c>
      <c r="C3047" s="4"/>
      <c r="D3047" s="4" t="s">
        <v>1871</v>
      </c>
      <c r="E3047" s="4" t="s">
        <v>7977</v>
      </c>
      <c r="F3047" s="4" t="s">
        <v>1871</v>
      </c>
      <c r="G3047" s="5" t="str">
        <f>IFERROR(__xludf.DUMMYFUNCTION("GOOGLETRANSLATE(D3047,""en"",""es"")"),"yak")</f>
        <v>yak</v>
      </c>
      <c r="H3047" s="4" t="s">
        <v>1871</v>
      </c>
      <c r="I3047" s="4" t="s">
        <v>7969</v>
      </c>
      <c r="J3047" s="4" t="s">
        <v>7970</v>
      </c>
      <c r="K3047" s="4" t="s">
        <v>7971</v>
      </c>
      <c r="L3047" s="4" t="s">
        <v>7972</v>
      </c>
      <c r="M3047" s="4" t="s">
        <v>1871</v>
      </c>
      <c r="N3047" s="4" t="s">
        <v>1872</v>
      </c>
      <c r="O3047" s="4" t="s">
        <v>1871</v>
      </c>
      <c r="P3047" s="4" t="s">
        <v>7978</v>
      </c>
    </row>
    <row r="3048">
      <c r="A3048" s="4">
        <v>610.0</v>
      </c>
      <c r="B3048" s="4" t="s">
        <v>8035</v>
      </c>
      <c r="C3048" s="4"/>
      <c r="D3048" s="4" t="s">
        <v>7979</v>
      </c>
      <c r="E3048" s="4" t="s">
        <v>7980</v>
      </c>
      <c r="F3048" s="4" t="s">
        <v>7979</v>
      </c>
      <c r="G3048" s="5" t="str">
        <f>IFERROR(__xludf.DUMMYFUNCTION("GOOGLETRANSLATE(D3048,""en"",""es"")"),"yakima")</f>
        <v>yakima</v>
      </c>
      <c r="H3048" s="4" t="s">
        <v>7981</v>
      </c>
    </row>
    <row r="3049">
      <c r="A3049" s="4">
        <v>611.0</v>
      </c>
      <c r="B3049" s="4" t="s">
        <v>8035</v>
      </c>
      <c r="C3049" s="4"/>
      <c r="D3049" s="4" t="s">
        <v>7982</v>
      </c>
      <c r="E3049" s="4" t="s">
        <v>7983</v>
      </c>
      <c r="F3049" s="4" t="s">
        <v>7984</v>
      </c>
      <c r="G3049" s="5" t="str">
        <f>IFERROR(__xludf.DUMMYFUNCTION("GOOGLETRANSLATE(D3049,""en"",""es"")"),"yakky")</f>
        <v>yakky</v>
      </c>
    </row>
    <row r="3050">
      <c r="A3050" s="4">
        <v>612.0</v>
      </c>
      <c r="B3050" s="4" t="s">
        <v>8035</v>
      </c>
      <c r="C3050" s="4"/>
      <c r="D3050" s="4" t="s">
        <v>3056</v>
      </c>
      <c r="E3050" s="4" t="s">
        <v>7985</v>
      </c>
      <c r="F3050" s="4" t="s">
        <v>3056</v>
      </c>
      <c r="G3050" s="5" t="str">
        <f>IFERROR(__xludf.DUMMYFUNCTION("GOOGLETRANSLATE(D3050,""en"",""es"")"),"batata")</f>
        <v>batata</v>
      </c>
      <c r="H3050" s="4" t="s">
        <v>3056</v>
      </c>
      <c r="I3050" s="4" t="s">
        <v>3056</v>
      </c>
      <c r="J3050" s="4" t="s">
        <v>7986</v>
      </c>
      <c r="K3050" s="4" t="s">
        <v>3056</v>
      </c>
      <c r="L3050" s="4" t="s">
        <v>3056</v>
      </c>
    </row>
    <row r="3051">
      <c r="A3051" s="4">
        <v>613.0</v>
      </c>
      <c r="B3051" s="4" t="s">
        <v>8035</v>
      </c>
      <c r="C3051" s="4"/>
      <c r="D3051" s="4" t="s">
        <v>6388</v>
      </c>
      <c r="E3051" s="4" t="s">
        <v>6387</v>
      </c>
      <c r="F3051" s="4" t="s">
        <v>6388</v>
      </c>
      <c r="G3051" s="5" t="str">
        <f>IFERROR(__xludf.DUMMYFUNCTION("GOOGLETRANSLATE(D3051,""en"",""es"")"),"yan")</f>
        <v>yan</v>
      </c>
    </row>
    <row r="3052">
      <c r="A3052" s="4">
        <v>614.0</v>
      </c>
      <c r="B3052" s="4" t="s">
        <v>8035</v>
      </c>
      <c r="C3052" s="4"/>
      <c r="D3052" s="4" t="s">
        <v>7987</v>
      </c>
      <c r="E3052" s="4" t="s">
        <v>7988</v>
      </c>
      <c r="F3052" s="4" t="s">
        <v>7987</v>
      </c>
      <c r="G3052" s="5" t="str">
        <f>IFERROR(__xludf.DUMMYFUNCTION("GOOGLETRANSLATE(D3052,""en"",""es"")"),"ladrar")</f>
        <v>ladrar</v>
      </c>
      <c r="H3052" s="4" t="s">
        <v>7219</v>
      </c>
      <c r="I3052" s="4" t="s">
        <v>7989</v>
      </c>
      <c r="J3052" s="4" t="s">
        <v>7990</v>
      </c>
      <c r="K3052" s="4" t="s">
        <v>7991</v>
      </c>
      <c r="L3052" s="4" t="s">
        <v>7987</v>
      </c>
      <c r="M3052" s="4" t="s">
        <v>2514</v>
      </c>
      <c r="N3052" s="4" t="s">
        <v>7992</v>
      </c>
      <c r="O3052" s="4" t="s">
        <v>7993</v>
      </c>
      <c r="P3052" s="4" t="s">
        <v>7987</v>
      </c>
    </row>
    <row r="3053">
      <c r="A3053" s="4">
        <v>615.0</v>
      </c>
      <c r="B3053" s="4" t="s">
        <v>8035</v>
      </c>
      <c r="C3053" s="4"/>
      <c r="D3053" s="4" t="s">
        <v>7994</v>
      </c>
      <c r="E3053" s="4" t="s">
        <v>7988</v>
      </c>
      <c r="F3053" s="4" t="s">
        <v>7987</v>
      </c>
      <c r="G3053" s="5" t="str">
        <f>IFERROR(__xludf.DUMMYFUNCTION("GOOGLETRANSLATE(D3053,""en"",""es"")"),"yapp")</f>
        <v>yapp</v>
      </c>
    </row>
    <row r="3054">
      <c r="A3054" s="4">
        <v>616.0</v>
      </c>
      <c r="B3054" s="4" t="s">
        <v>8035</v>
      </c>
      <c r="C3054" s="4"/>
      <c r="D3054" s="4" t="s">
        <v>8900</v>
      </c>
      <c r="E3054" s="4" t="s">
        <v>8901</v>
      </c>
      <c r="F3054" s="4" t="s">
        <v>8902</v>
      </c>
      <c r="G3054" s="5" t="str">
        <f>IFERROR(__xludf.DUMMYFUNCTION("GOOGLETRANSLATE(D3054,""en"",""es"")"),"yatta")</f>
        <v>yatta</v>
      </c>
    </row>
    <row r="3055">
      <c r="A3055" s="4">
        <v>617.0</v>
      </c>
      <c r="B3055" s="4" t="s">
        <v>8035</v>
      </c>
      <c r="C3055" s="4"/>
      <c r="D3055" s="4" t="s">
        <v>7995</v>
      </c>
      <c r="E3055" s="4" t="s">
        <v>7996</v>
      </c>
      <c r="F3055" s="4" t="s">
        <v>7997</v>
      </c>
      <c r="G3055" s="5" t="str">
        <f>IFERROR(__xludf.DUMMYFUNCTION("GOOGLETRANSLATE(D3055,""en"",""es"")"),"yee")</f>
        <v>yee</v>
      </c>
    </row>
    <row r="3056">
      <c r="A3056" s="4">
        <v>618.0</v>
      </c>
      <c r="B3056" s="4" t="s">
        <v>8035</v>
      </c>
      <c r="C3056" s="4"/>
      <c r="D3056" s="4" t="s">
        <v>7998</v>
      </c>
      <c r="E3056" s="4" t="s">
        <v>7999</v>
      </c>
      <c r="F3056" s="4" t="s">
        <v>7998</v>
      </c>
      <c r="G3056" s="5" t="str">
        <f>IFERROR(__xludf.DUMMYFUNCTION("GOOGLETRANSLATE(D3056,""en"",""es"")"),"yin")</f>
        <v>yin</v>
      </c>
      <c r="H3056" s="4" t="s">
        <v>7998</v>
      </c>
    </row>
    <row r="3057">
      <c r="A3057" s="4">
        <v>619.0</v>
      </c>
      <c r="B3057" s="4" t="s">
        <v>8035</v>
      </c>
      <c r="C3057" s="4"/>
      <c r="D3057" s="4" t="s">
        <v>7993</v>
      </c>
      <c r="E3057" s="4" t="s">
        <v>8000</v>
      </c>
      <c r="F3057" s="4" t="s">
        <v>7993</v>
      </c>
      <c r="G3057" s="5" t="str">
        <f>IFERROR(__xludf.DUMMYFUNCTION("GOOGLETRANSLATE(D3057,""en"",""es"")"),"cárcel")</f>
        <v>cárcel</v>
      </c>
      <c r="H3057" s="4" t="s">
        <v>7993</v>
      </c>
      <c r="I3057" s="4" t="s">
        <v>7992</v>
      </c>
      <c r="J3057" s="4" t="s">
        <v>8001</v>
      </c>
      <c r="K3057" s="4" t="s">
        <v>7992</v>
      </c>
      <c r="L3057" s="4" t="s">
        <v>7993</v>
      </c>
      <c r="M3057" s="4" t="s">
        <v>7987</v>
      </c>
    </row>
    <row r="3058">
      <c r="A3058" s="4">
        <v>620.0</v>
      </c>
      <c r="B3058" s="4" t="s">
        <v>8035</v>
      </c>
      <c r="C3058" s="4"/>
      <c r="D3058" s="4" t="s">
        <v>8903</v>
      </c>
      <c r="E3058" s="4" t="s">
        <v>8904</v>
      </c>
      <c r="F3058" s="4" t="s">
        <v>8905</v>
      </c>
      <c r="G3058" s="5" t="str">
        <f>IFERROR(__xludf.DUMMYFUNCTION("GOOGLETRANSLATE(D3058,""en"",""es"")"),"yippee")</f>
        <v>yippee</v>
      </c>
    </row>
    <row r="3059">
      <c r="A3059" s="4">
        <v>621.0</v>
      </c>
      <c r="B3059" s="4" t="s">
        <v>8035</v>
      </c>
      <c r="C3059" s="4"/>
      <c r="D3059" s="4" t="s">
        <v>8906</v>
      </c>
      <c r="E3059" s="4" t="s">
        <v>8904</v>
      </c>
      <c r="F3059" s="4" t="s">
        <v>8905</v>
      </c>
      <c r="G3059" s="5" t="str">
        <f>IFERROR(__xludf.DUMMYFUNCTION("GOOGLETRANSLATE(D3059,""en"",""es"")"),"yippie")</f>
        <v>yippie</v>
      </c>
    </row>
    <row r="3060">
      <c r="A3060" s="4">
        <v>622.0</v>
      </c>
      <c r="B3060" s="4" t="s">
        <v>8035</v>
      </c>
      <c r="C3060" s="4"/>
      <c r="D3060" s="4" t="s">
        <v>8907</v>
      </c>
      <c r="E3060" s="4" t="s">
        <v>8904</v>
      </c>
      <c r="F3060" s="4" t="s">
        <v>8905</v>
      </c>
      <c r="G3060" s="5" t="str">
        <f>IFERROR(__xludf.DUMMYFUNCTION("GOOGLETRANSLATE(D3060,""en"",""es"")"),"yippy")</f>
        <v>yippy</v>
      </c>
    </row>
    <row r="3061">
      <c r="A3061" s="4">
        <v>623.0</v>
      </c>
      <c r="B3061" s="4" t="s">
        <v>8035</v>
      </c>
      <c r="C3061" s="4"/>
      <c r="D3061" s="4" t="s">
        <v>8908</v>
      </c>
      <c r="E3061" s="4" t="s">
        <v>8909</v>
      </c>
      <c r="F3061" s="4" t="s">
        <v>1871</v>
      </c>
      <c r="G3061" s="5" t="str">
        <f>IFERROR(__xludf.DUMMYFUNCTION("GOOGLETRANSLATE(D3061,""en"",""es"")"),"yoguh")</f>
        <v>yoguh</v>
      </c>
    </row>
    <row r="3062">
      <c r="A3062" s="4">
        <v>624.0</v>
      </c>
      <c r="B3062" s="4" t="s">
        <v>8035</v>
      </c>
      <c r="C3062" s="4"/>
      <c r="D3062" s="4" t="s">
        <v>8910</v>
      </c>
      <c r="E3062" s="4" t="s">
        <v>6391</v>
      </c>
      <c r="F3062" s="4" t="s">
        <v>6388</v>
      </c>
      <c r="G3062" s="5" t="str">
        <f>IFERROR(__xludf.DUMMYFUNCTION("GOOGLETRANSLATE(D3062,""en"",""es"")"),"aquél")</f>
        <v>aquél</v>
      </c>
      <c r="H3062" s="4" t="s">
        <v>8911</v>
      </c>
      <c r="I3062" s="4" t="s">
        <v>8910</v>
      </c>
      <c r="J3062" s="4" t="s">
        <v>8911</v>
      </c>
      <c r="K3062" s="4" t="s">
        <v>8910</v>
      </c>
    </row>
    <row r="3063">
      <c r="A3063" s="4">
        <v>625.0</v>
      </c>
      <c r="B3063" s="4" t="s">
        <v>8035</v>
      </c>
      <c r="C3063" s="4"/>
      <c r="D3063" s="4" t="s">
        <v>8912</v>
      </c>
      <c r="E3063" s="4" t="s">
        <v>6116</v>
      </c>
      <c r="F3063" s="4" t="s">
        <v>6117</v>
      </c>
      <c r="G3063" s="5" t="str">
        <f>IFERROR(__xludf.DUMMYFUNCTION("GOOGLETRANSLATE(D3063,""en"",""es"")"),"juventud")</f>
        <v>juventud</v>
      </c>
      <c r="H3063" s="4" t="s">
        <v>8913</v>
      </c>
      <c r="I3063" s="4" t="s">
        <v>8912</v>
      </c>
      <c r="J3063" s="4" t="s">
        <v>8914</v>
      </c>
      <c r="K3063" s="4" t="s">
        <v>8915</v>
      </c>
      <c r="L3063" s="4" t="s">
        <v>8916</v>
      </c>
      <c r="M3063" s="4" t="s">
        <v>8912</v>
      </c>
      <c r="N3063" s="4" t="s">
        <v>8912</v>
      </c>
      <c r="O3063" s="4" t="s">
        <v>8912</v>
      </c>
      <c r="P3063" s="4" t="s">
        <v>8912</v>
      </c>
      <c r="Q3063" s="4" t="s">
        <v>8917</v>
      </c>
      <c r="R3063" s="4" t="s">
        <v>8912</v>
      </c>
      <c r="S3063" s="4" t="s">
        <v>8918</v>
      </c>
      <c r="T3063" s="4" t="s">
        <v>8919</v>
      </c>
    </row>
    <row r="3064">
      <c r="A3064" s="4">
        <v>626.0</v>
      </c>
      <c r="B3064" s="4" t="s">
        <v>8035</v>
      </c>
      <c r="C3064" s="4"/>
      <c r="D3064" s="4" t="s">
        <v>8003</v>
      </c>
      <c r="E3064" s="4" t="s">
        <v>5877</v>
      </c>
      <c r="F3064" s="4" t="s">
        <v>5876</v>
      </c>
      <c r="G3064" s="5" t="str">
        <f>IFERROR(__xludf.DUMMYFUNCTION("GOOGLETRANSLATE(D3064,""en"",""es"")"),"Æ")</f>
        <v>Æ</v>
      </c>
    </row>
    <row r="3065">
      <c r="A3065" s="4">
        <v>1.0</v>
      </c>
      <c r="B3065" s="4" t="s">
        <v>8920</v>
      </c>
      <c r="C3065" s="4"/>
      <c r="D3065" s="6" t="s">
        <v>5758</v>
      </c>
      <c r="E3065" s="4" t="s">
        <v>5759</v>
      </c>
      <c r="F3065" s="4" t="s">
        <v>304</v>
      </c>
      <c r="G3065" s="5" t="str">
        <f>IFERROR(__xludf.DUMMYFUNCTION("GOOGLETRANSLATE(D3065,""en"",""es"")"),"Em")</f>
        <v>Em</v>
      </c>
    </row>
    <row r="3066">
      <c r="A3066" s="4">
        <v>2.0</v>
      </c>
      <c r="B3066" s="4" t="s">
        <v>8920</v>
      </c>
      <c r="C3066" s="4"/>
      <c r="D3066" s="4" t="s">
        <v>5760</v>
      </c>
      <c r="E3066" s="4" t="s">
        <v>5761</v>
      </c>
      <c r="F3066" s="4" t="s">
        <v>1776</v>
      </c>
      <c r="G3066" s="5" t="str">
        <f>IFERROR(__xludf.DUMMYFUNCTION("GOOGLETRANSLATE(D3066,""en"",""es"")"),"aach")</f>
        <v>aach</v>
      </c>
    </row>
    <row r="3067">
      <c r="A3067" s="4">
        <v>3.0</v>
      </c>
      <c r="B3067" s="4" t="s">
        <v>8920</v>
      </c>
      <c r="C3067" s="4"/>
      <c r="D3067" s="4" t="s">
        <v>5762</v>
      </c>
      <c r="E3067" s="4" t="s">
        <v>5763</v>
      </c>
      <c r="F3067" s="4" t="s">
        <v>4910</v>
      </c>
      <c r="G3067" s="5" t="str">
        <f>IFERROR(__xludf.DUMMYFUNCTION("GOOGLETRANSLATE(D3067,""en"",""es"")"),"aacu")</f>
        <v>aacu</v>
      </c>
    </row>
    <row r="3068">
      <c r="A3068" s="4">
        <v>4.0</v>
      </c>
      <c r="B3068" s="4" t="s">
        <v>8920</v>
      </c>
      <c r="C3068" s="4"/>
      <c r="D3068" s="4" t="s">
        <v>8036</v>
      </c>
      <c r="E3068" s="4" t="s">
        <v>8037</v>
      </c>
      <c r="F3068" s="4" t="s">
        <v>592</v>
      </c>
      <c r="G3068" s="5" t="str">
        <f>IFERROR(__xludf.DUMMYFUNCTION("GOOGLETRANSLATE(D3068,""en"",""es"")"),"aam")</f>
        <v>aam</v>
      </c>
    </row>
    <row r="3069">
      <c r="A3069" s="4">
        <v>5.0</v>
      </c>
      <c r="B3069" s="4" t="s">
        <v>8920</v>
      </c>
      <c r="C3069" s="4"/>
      <c r="D3069" s="4" t="s">
        <v>5764</v>
      </c>
      <c r="E3069" s="4" t="s">
        <v>5765</v>
      </c>
      <c r="F3069" s="4" t="s">
        <v>5766</v>
      </c>
      <c r="G3069" s="5" t="str">
        <f>IFERROR(__xludf.DUMMYFUNCTION("GOOGLETRANSLATE(D3069,""en"",""es"")"),"acetal")</f>
        <v>acetal</v>
      </c>
      <c r="H3069" s="4" t="s">
        <v>5764</v>
      </c>
    </row>
    <row r="3070">
      <c r="A3070" s="4">
        <v>6.0</v>
      </c>
      <c r="B3070" s="4" t="s">
        <v>8920</v>
      </c>
      <c r="C3070" s="4"/>
      <c r="D3070" s="4" t="s">
        <v>5767</v>
      </c>
      <c r="E3070" s="4" t="s">
        <v>5761</v>
      </c>
      <c r="F3070" s="4" t="s">
        <v>1776</v>
      </c>
      <c r="G3070" s="5" t="str">
        <f>IFERROR(__xludf.DUMMYFUNCTION("GOOGLETRANSLATE(D3070,""en"",""es"")"),"ack")</f>
        <v>ack</v>
      </c>
    </row>
    <row r="3071">
      <c r="A3071" s="4">
        <v>7.0</v>
      </c>
      <c r="B3071" s="4" t="s">
        <v>8920</v>
      </c>
      <c r="C3071" s="4"/>
      <c r="D3071" s="4" t="s">
        <v>8038</v>
      </c>
      <c r="E3071" s="4" t="s">
        <v>8039</v>
      </c>
      <c r="F3071" s="4" t="s">
        <v>816</v>
      </c>
      <c r="G3071" s="5" t="str">
        <f>IFERROR(__xludf.DUMMYFUNCTION("GOOGLETRANSLATE(D3071,""en"",""es"")"),"adquirir")</f>
        <v>adquirir</v>
      </c>
    </row>
    <row r="3072">
      <c r="A3072" s="4">
        <v>8.0</v>
      </c>
      <c r="B3072" s="4" t="s">
        <v>8920</v>
      </c>
      <c r="C3072" s="4"/>
      <c r="D3072" s="4" t="s">
        <v>5768</v>
      </c>
      <c r="E3072" s="4" t="s">
        <v>5769</v>
      </c>
      <c r="F3072" s="4" t="s">
        <v>5770</v>
      </c>
      <c r="G3072" s="5" t="str">
        <f>IFERROR(__xludf.DUMMYFUNCTION("GOOGLETRANSLATE(D3072,""en"",""es"")"),"acilo")</f>
        <v>acilo</v>
      </c>
      <c r="H3072" s="4" t="s">
        <v>5768</v>
      </c>
      <c r="I3072" s="4" t="s">
        <v>5771</v>
      </c>
    </row>
    <row r="3073">
      <c r="A3073" s="4">
        <v>9.0</v>
      </c>
      <c r="B3073" s="4" t="s">
        <v>8920</v>
      </c>
      <c r="C3073" s="4"/>
      <c r="D3073" s="4" t="s">
        <v>5777</v>
      </c>
      <c r="E3073" s="4" t="s">
        <v>5778</v>
      </c>
      <c r="F3073" s="4" t="s">
        <v>5777</v>
      </c>
      <c r="G3073" s="5" t="str">
        <f>IFERROR(__xludf.DUMMYFUNCTION("GOOGLETRANSLATE(D3073,""en"",""es"")"),"ahi")</f>
        <v>ahi</v>
      </c>
    </row>
    <row r="3074">
      <c r="A3074" s="4">
        <v>10.0</v>
      </c>
      <c r="B3074" s="4" t="s">
        <v>8920</v>
      </c>
      <c r="C3074" s="4"/>
      <c r="D3074" s="4" t="s">
        <v>5779</v>
      </c>
      <c r="E3074" s="4" t="s">
        <v>5761</v>
      </c>
      <c r="F3074" s="4" t="s">
        <v>1776</v>
      </c>
      <c r="G3074" s="5" t="str">
        <f>IFERROR(__xludf.DUMMYFUNCTION("GOOGLETRANSLATE(D3074,""en"",""es"")"),"akh")</f>
        <v>akh</v>
      </c>
    </row>
    <row r="3075">
      <c r="A3075" s="4">
        <v>11.0</v>
      </c>
      <c r="B3075" s="4" t="s">
        <v>8920</v>
      </c>
      <c r="C3075" s="4"/>
      <c r="D3075" s="4" t="s">
        <v>5780</v>
      </c>
      <c r="E3075" s="4" t="s">
        <v>5781</v>
      </c>
      <c r="F3075" s="4" t="s">
        <v>816</v>
      </c>
      <c r="G3075" s="5" t="str">
        <f>IFERROR(__xludf.DUMMYFUNCTION("GOOGLETRANSLATE(D3075,""en"",""es"")"),"akhi")</f>
        <v>akhi</v>
      </c>
    </row>
    <row r="3076">
      <c r="A3076" s="4">
        <v>12.0</v>
      </c>
      <c r="B3076" s="4" t="s">
        <v>8920</v>
      </c>
      <c r="C3076" s="4"/>
      <c r="D3076" s="4" t="s">
        <v>506</v>
      </c>
      <c r="E3076" s="4" t="s">
        <v>5782</v>
      </c>
      <c r="F3076" s="4" t="s">
        <v>506</v>
      </c>
      <c r="G3076" s="5" t="str">
        <f>IFERROR(__xludf.DUMMYFUNCTION("GOOGLETRANSLATE(D3076,""en"",""es"")"),"Alabama")</f>
        <v>Alabama</v>
      </c>
      <c r="H3076" s="4" t="s">
        <v>556</v>
      </c>
      <c r="I3076" s="4" t="s">
        <v>557</v>
      </c>
      <c r="J3076" s="4" t="s">
        <v>558</v>
      </c>
      <c r="K3076" s="4" t="s">
        <v>559</v>
      </c>
      <c r="L3076" s="4" t="s">
        <v>5783</v>
      </c>
      <c r="M3076" s="4" t="s">
        <v>5784</v>
      </c>
      <c r="N3076" s="4" t="s">
        <v>5785</v>
      </c>
      <c r="O3076" s="4" t="s">
        <v>5786</v>
      </c>
    </row>
    <row r="3077">
      <c r="A3077" s="4">
        <v>13.0</v>
      </c>
      <c r="B3077" s="4" t="s">
        <v>8920</v>
      </c>
      <c r="C3077" s="4"/>
      <c r="D3077" s="4" t="s">
        <v>5787</v>
      </c>
      <c r="E3077" s="4" t="s">
        <v>5788</v>
      </c>
      <c r="F3077" s="4" t="s">
        <v>5789</v>
      </c>
      <c r="G3077" s="5" t="str">
        <f>IFERROR(__xludf.DUMMYFUNCTION("GOOGLETRANSLATE(D3077,""en"",""es"")"),"alec")</f>
        <v>alec</v>
      </c>
    </row>
    <row r="3078">
      <c r="A3078" s="4">
        <v>14.0</v>
      </c>
      <c r="B3078" s="4" t="s">
        <v>8920</v>
      </c>
      <c r="C3078" s="4"/>
      <c r="D3078" s="4" t="s">
        <v>5790</v>
      </c>
      <c r="E3078" s="4" t="s">
        <v>5791</v>
      </c>
      <c r="F3078" s="4" t="s">
        <v>5792</v>
      </c>
      <c r="G3078" s="5" t="str">
        <f>IFERROR(__xludf.DUMMYFUNCTION("GOOGLETRANSLATE(D3078,""en"",""es"")"),"alemánico")</f>
        <v>alemánico</v>
      </c>
    </row>
    <row r="3079">
      <c r="A3079" s="4">
        <v>15.0</v>
      </c>
      <c r="B3079" s="4" t="s">
        <v>8920</v>
      </c>
      <c r="C3079" s="4"/>
      <c r="D3079" s="4" t="s">
        <v>5793</v>
      </c>
      <c r="E3079" s="4" t="s">
        <v>5794</v>
      </c>
      <c r="F3079" s="4" t="s">
        <v>5793</v>
      </c>
      <c r="G3079" s="5" t="str">
        <f>IFERROR(__xludf.DUMMYFUNCTION("GOOGLETRANSLATE(D3079,""en"",""es"")"),"ali")</f>
        <v>ali</v>
      </c>
      <c r="H3079" s="4" t="s">
        <v>5795</v>
      </c>
      <c r="I3079" s="4" t="s">
        <v>5796</v>
      </c>
      <c r="J3079" s="4" t="s">
        <v>5797</v>
      </c>
      <c r="K3079" s="4" t="s">
        <v>5798</v>
      </c>
      <c r="L3079" s="4" t="s">
        <v>5795</v>
      </c>
    </row>
    <row r="3080">
      <c r="A3080" s="4">
        <v>16.0</v>
      </c>
      <c r="B3080" s="4" t="s">
        <v>8920</v>
      </c>
      <c r="C3080" s="4"/>
      <c r="D3080" s="4" t="s">
        <v>5802</v>
      </c>
      <c r="E3080" s="4" t="s">
        <v>5794</v>
      </c>
      <c r="F3080" s="4" t="s">
        <v>5793</v>
      </c>
      <c r="G3080" s="5" t="str">
        <f>IFERROR(__xludf.DUMMYFUNCTION("GOOGLETRANSLATE(D3080,""en"",""es"")"),"callejón")</f>
        <v>callejón</v>
      </c>
      <c r="H3080" s="4" t="s">
        <v>5802</v>
      </c>
      <c r="I3080" s="4" t="s">
        <v>5803</v>
      </c>
      <c r="J3080" s="4" t="s">
        <v>5804</v>
      </c>
      <c r="K3080" s="4" t="s">
        <v>5805</v>
      </c>
      <c r="L3080" s="4" t="s">
        <v>5802</v>
      </c>
      <c r="M3080" s="4" t="s">
        <v>5806</v>
      </c>
    </row>
    <row r="3081">
      <c r="A3081" s="4">
        <v>17.0</v>
      </c>
      <c r="B3081" s="4" t="s">
        <v>8920</v>
      </c>
      <c r="C3081" s="4"/>
      <c r="D3081" s="4" t="s">
        <v>5816</v>
      </c>
      <c r="E3081" s="4" t="s">
        <v>5794</v>
      </c>
      <c r="F3081" s="4" t="s">
        <v>5793</v>
      </c>
      <c r="G3081" s="5" t="str">
        <f>IFERROR(__xludf.DUMMYFUNCTION("GOOGLETRANSLATE(D3081,""en"",""es"")"),"aliado")</f>
        <v>aliado</v>
      </c>
      <c r="H3081" s="4" t="s">
        <v>5816</v>
      </c>
      <c r="I3081" s="4" t="s">
        <v>5816</v>
      </c>
      <c r="J3081" s="4" t="s">
        <v>602</v>
      </c>
      <c r="K3081" s="4" t="s">
        <v>5816</v>
      </c>
    </row>
    <row r="3082">
      <c r="A3082" s="4">
        <v>18.0</v>
      </c>
      <c r="B3082" s="4" t="s">
        <v>8920</v>
      </c>
      <c r="C3082" s="4"/>
      <c r="D3082" s="4" t="s">
        <v>5817</v>
      </c>
      <c r="E3082" s="4" t="s">
        <v>5818</v>
      </c>
      <c r="F3082" s="4" t="s">
        <v>5819</v>
      </c>
      <c r="G3082" s="5" t="str">
        <f>IFERROR(__xludf.DUMMYFUNCTION("GOOGLETRANSLATE(D3082,""en"",""es"")"),"alílico")</f>
        <v>alílico</v>
      </c>
      <c r="H3082" s="4" t="s">
        <v>5817</v>
      </c>
      <c r="I3082" s="4" t="s">
        <v>5820</v>
      </c>
      <c r="J3082" s="4" t="s">
        <v>5821</v>
      </c>
    </row>
    <row r="3083">
      <c r="A3083" s="4">
        <v>19.0</v>
      </c>
      <c r="B3083" s="4" t="s">
        <v>8920</v>
      </c>
      <c r="C3083" s="4"/>
      <c r="D3083" s="4" t="s">
        <v>8040</v>
      </c>
      <c r="E3083" s="4" t="s">
        <v>8041</v>
      </c>
      <c r="F3083" s="4" t="s">
        <v>8040</v>
      </c>
      <c r="G3083" s="5" t="str">
        <f>IFERROR(__xludf.DUMMYFUNCTION("GOOGLETRANSLATE(D3083,""en"",""es"")"),"amati")</f>
        <v>amati</v>
      </c>
      <c r="H3083" s="4" t="s">
        <v>8042</v>
      </c>
      <c r="I3083" s="4" t="s">
        <v>8043</v>
      </c>
      <c r="J3083" s="4" t="s">
        <v>8044</v>
      </c>
      <c r="K3083" s="4" t="s">
        <v>8042</v>
      </c>
    </row>
    <row r="3084">
      <c r="A3084" s="4">
        <v>20.0</v>
      </c>
      <c r="B3084" s="4" t="s">
        <v>8920</v>
      </c>
      <c r="C3084" s="4"/>
      <c r="D3084" s="4" t="s">
        <v>5823</v>
      </c>
      <c r="E3084" s="4" t="s">
        <v>5824</v>
      </c>
      <c r="F3084" s="4" t="s">
        <v>5823</v>
      </c>
      <c r="G3084" s="5" t="str">
        <f>IFERROR(__xludf.DUMMYFUNCTION("GOOGLETRANSLATE(D3084,""en"",""es"")"),"amish")</f>
        <v>amish</v>
      </c>
      <c r="H3084" s="4" t="s">
        <v>5825</v>
      </c>
    </row>
    <row r="3085">
      <c r="A3085" s="4">
        <v>21.0</v>
      </c>
      <c r="B3085" s="4" t="s">
        <v>8920</v>
      </c>
      <c r="C3085" s="4"/>
      <c r="D3085" s="4" t="s">
        <v>8045</v>
      </c>
      <c r="E3085" s="4" t="s">
        <v>8046</v>
      </c>
      <c r="F3085" s="4" t="s">
        <v>8047</v>
      </c>
      <c r="G3085" s="5" t="str">
        <f>IFERROR(__xludf.DUMMYFUNCTION("GOOGLETRANSLATE(D3085,""en"",""es"")"),"amistad")</f>
        <v>amistad</v>
      </c>
      <c r="H3085" s="4" t="s">
        <v>8045</v>
      </c>
      <c r="I3085" s="4" t="s">
        <v>8048</v>
      </c>
      <c r="J3085" s="4" t="s">
        <v>8045</v>
      </c>
    </row>
    <row r="3086">
      <c r="A3086" s="4">
        <v>22.0</v>
      </c>
      <c r="B3086" s="4" t="s">
        <v>8920</v>
      </c>
      <c r="C3086" s="4"/>
      <c r="D3086" s="4" t="s">
        <v>594</v>
      </c>
      <c r="E3086" s="4" t="s">
        <v>5829</v>
      </c>
      <c r="F3086" s="4" t="s">
        <v>594</v>
      </c>
      <c r="G3086" s="5" t="str">
        <f>IFERROR(__xludf.DUMMYFUNCTION("GOOGLETRANSLATE(D3086,""en"",""es"")"),"un")</f>
        <v>un</v>
      </c>
      <c r="H3086" s="4" t="s">
        <v>5830</v>
      </c>
      <c r="I3086" s="4" t="s">
        <v>5831</v>
      </c>
    </row>
    <row r="3087">
      <c r="A3087" s="4">
        <v>23.0</v>
      </c>
      <c r="B3087" s="4" t="s">
        <v>8920</v>
      </c>
      <c r="C3087" s="4"/>
      <c r="D3087" s="4" t="s">
        <v>5832</v>
      </c>
      <c r="E3087" s="4" t="s">
        <v>5829</v>
      </c>
      <c r="F3087" s="4" t="s">
        <v>594</v>
      </c>
      <c r="G3087" s="5" t="str">
        <f>IFERROR(__xludf.DUMMYFUNCTION("GOOGLETRANSLATE(D3087,""en"",""es"")"),"un'")</f>
        <v>un'</v>
      </c>
    </row>
    <row r="3088">
      <c r="A3088" s="4">
        <v>24.0</v>
      </c>
      <c r="B3088" s="4" t="s">
        <v>8920</v>
      </c>
      <c r="C3088" s="4"/>
      <c r="D3088" s="4" t="s">
        <v>5833</v>
      </c>
      <c r="E3088" s="4" t="s">
        <v>5834</v>
      </c>
      <c r="F3088" s="4" t="s">
        <v>5835</v>
      </c>
      <c r="G3088" s="5" t="str">
        <f>IFERROR(__xludf.DUMMYFUNCTION("GOOGLETRANSLATE(D3088,""en"",""es"")"),"animático")</f>
        <v>animático</v>
      </c>
    </row>
    <row r="3089">
      <c r="A3089" s="4">
        <v>25.0</v>
      </c>
      <c r="B3089" s="4" t="s">
        <v>8920</v>
      </c>
      <c r="C3089" s="4"/>
      <c r="D3089" s="4" t="s">
        <v>5836</v>
      </c>
      <c r="E3089" s="4" t="s">
        <v>5837</v>
      </c>
      <c r="F3089" s="4" t="s">
        <v>5836</v>
      </c>
      <c r="G3089" s="5" t="str">
        <f>IFERROR(__xludf.DUMMYFUNCTION("GOOGLETRANSLATE(D3089,""en"",""es"")"),"animu")</f>
        <v>animu</v>
      </c>
    </row>
    <row r="3090">
      <c r="A3090" s="4">
        <v>26.0</v>
      </c>
      <c r="B3090" s="4" t="s">
        <v>8920</v>
      </c>
      <c r="C3090" s="4"/>
      <c r="D3090" s="4" t="s">
        <v>748</v>
      </c>
      <c r="E3090" s="4" t="s">
        <v>8049</v>
      </c>
      <c r="F3090" s="4" t="s">
        <v>747</v>
      </c>
      <c r="G3090" s="5" t="str">
        <f>IFERROR(__xludf.DUMMYFUNCTION("GOOGLETRANSLATE(D3090,""en"",""es"")"),"anís")</f>
        <v>anís</v>
      </c>
      <c r="H3090" s="4" t="s">
        <v>748</v>
      </c>
      <c r="I3090" s="4" t="s">
        <v>753</v>
      </c>
      <c r="J3090" s="4" t="s">
        <v>754</v>
      </c>
      <c r="K3090" s="4" t="s">
        <v>748</v>
      </c>
      <c r="L3090" s="4" t="s">
        <v>749</v>
      </c>
      <c r="M3090" s="4" t="s">
        <v>750</v>
      </c>
    </row>
    <row r="3091">
      <c r="A3091" s="4">
        <v>27.0</v>
      </c>
      <c r="B3091" s="4" t="s">
        <v>8920</v>
      </c>
      <c r="C3091" s="4"/>
      <c r="D3091" s="4" t="s">
        <v>748</v>
      </c>
      <c r="E3091" s="4" t="s">
        <v>5838</v>
      </c>
      <c r="F3091" s="4" t="s">
        <v>747</v>
      </c>
      <c r="G3091" s="5" t="str">
        <f>IFERROR(__xludf.DUMMYFUNCTION("GOOGLETRANSLATE(D3091,""en"",""es"")"),"anís")</f>
        <v>anís</v>
      </c>
      <c r="H3091" s="4" t="s">
        <v>748</v>
      </c>
      <c r="I3091" s="4" t="s">
        <v>753</v>
      </c>
      <c r="J3091" s="4" t="s">
        <v>754</v>
      </c>
      <c r="K3091" s="4" t="s">
        <v>748</v>
      </c>
      <c r="L3091" s="4" t="s">
        <v>749</v>
      </c>
      <c r="M3091" s="4" t="s">
        <v>750</v>
      </c>
    </row>
    <row r="3092">
      <c r="A3092" s="4">
        <v>28.0</v>
      </c>
      <c r="B3092" s="4" t="s">
        <v>8920</v>
      </c>
      <c r="C3092" s="4"/>
      <c r="D3092" s="4" t="s">
        <v>5839</v>
      </c>
      <c r="E3092" s="4" t="s">
        <v>5829</v>
      </c>
      <c r="F3092" s="4" t="s">
        <v>594</v>
      </c>
      <c r="G3092" s="5" t="str">
        <f>IFERROR(__xludf.DUMMYFUNCTION("GOOGLETRANSLATE(D3092,""en"",""es"")"),"Ana")</f>
        <v>Ana</v>
      </c>
    </row>
    <row r="3093">
      <c r="A3093" s="4">
        <v>29.0</v>
      </c>
      <c r="B3093" s="4" t="s">
        <v>8920</v>
      </c>
      <c r="C3093" s="4"/>
      <c r="D3093" s="4" t="s">
        <v>5840</v>
      </c>
      <c r="E3093" s="4" t="s">
        <v>5829</v>
      </c>
      <c r="F3093" s="4" t="s">
        <v>594</v>
      </c>
      <c r="G3093" s="5" t="str">
        <f>IFERROR(__xludf.DUMMYFUNCTION("GOOGLETRANSLATE(D3093,""en"",""es"")"),"Ana")</f>
        <v>Ana</v>
      </c>
      <c r="H3093" s="4" t="s">
        <v>5841</v>
      </c>
    </row>
    <row r="3094">
      <c r="A3094" s="4">
        <v>30.0</v>
      </c>
      <c r="B3094" s="4" t="s">
        <v>8920</v>
      </c>
      <c r="C3094" s="4"/>
      <c r="D3094" s="4" t="s">
        <v>8050</v>
      </c>
      <c r="E3094" s="4" t="s">
        <v>5845</v>
      </c>
      <c r="F3094" s="4" t="s">
        <v>744</v>
      </c>
      <c r="G3094" s="5" t="str">
        <f>IFERROR(__xludf.DUMMYFUNCTION("GOOGLETRANSLATE(D3094,""en"",""es"")"),"Annie")</f>
        <v>Annie</v>
      </c>
    </row>
    <row r="3095">
      <c r="A3095" s="4">
        <v>31.0</v>
      </c>
      <c r="B3095" s="4" t="s">
        <v>8920</v>
      </c>
      <c r="C3095" s="4"/>
      <c r="D3095" s="4" t="s">
        <v>5842</v>
      </c>
      <c r="E3095" s="4" t="s">
        <v>5843</v>
      </c>
      <c r="F3095" s="4" t="s">
        <v>5844</v>
      </c>
      <c r="G3095" s="5" t="str">
        <f>IFERROR(__xludf.DUMMYFUNCTION("GOOGLETRANSLATE(D3095,""en"",""es"")"),"anular")</f>
        <v>anular</v>
      </c>
    </row>
    <row r="3096">
      <c r="A3096" s="4">
        <v>32.0</v>
      </c>
      <c r="B3096" s="4" t="s">
        <v>8920</v>
      </c>
      <c r="C3096" s="4"/>
      <c r="D3096" s="4" t="s">
        <v>733</v>
      </c>
      <c r="E3096" s="4" t="s">
        <v>6367</v>
      </c>
      <c r="F3096" s="4" t="s">
        <v>6368</v>
      </c>
      <c r="G3096" s="5" t="str">
        <f>IFERROR(__xludf.DUMMYFUNCTION("GOOGLETRANSLATE(D3096,""en"",""es"")"),"ningún")</f>
        <v>ningún</v>
      </c>
      <c r="H3096" s="4" t="s">
        <v>733</v>
      </c>
      <c r="I3096" s="4" t="s">
        <v>5846</v>
      </c>
      <c r="J3096" s="4" t="s">
        <v>5847</v>
      </c>
      <c r="K3096" s="4" t="s">
        <v>733</v>
      </c>
    </row>
    <row r="3097">
      <c r="A3097" s="4">
        <v>33.0</v>
      </c>
      <c r="B3097" s="4" t="s">
        <v>8920</v>
      </c>
      <c r="C3097" s="4"/>
      <c r="D3097" s="4" t="s">
        <v>784</v>
      </c>
      <c r="E3097" s="4" t="s">
        <v>5848</v>
      </c>
      <c r="F3097" s="4" t="s">
        <v>475</v>
      </c>
      <c r="G3097" s="5" t="str">
        <f>IFERROR(__xludf.DUMMYFUNCTION("GOOGLETRANSLATE(D3097,""en"",""es"")"),"aplicación")</f>
        <v>aplicación</v>
      </c>
    </row>
    <row r="3098">
      <c r="A3098" s="4">
        <v>34.0</v>
      </c>
      <c r="B3098" s="4" t="s">
        <v>8920</v>
      </c>
      <c r="C3098" s="4"/>
      <c r="D3098" s="4" t="s">
        <v>5849</v>
      </c>
      <c r="E3098" s="4" t="s">
        <v>5850</v>
      </c>
      <c r="F3098" s="4" t="s">
        <v>757</v>
      </c>
      <c r="G3098" s="5" t="str">
        <f>IFERROR(__xludf.DUMMYFUNCTION("GOOGLETRANSLATE(D3098,""en"",""es"")"),"colocar")</f>
        <v>colocar</v>
      </c>
    </row>
    <row r="3099">
      <c r="A3099" s="4">
        <v>35.0</v>
      </c>
      <c r="B3099" s="4" t="s">
        <v>8920</v>
      </c>
      <c r="C3099" s="4"/>
      <c r="D3099" s="4" t="s">
        <v>295</v>
      </c>
      <c r="E3099" s="4" t="s">
        <v>5851</v>
      </c>
      <c r="F3099" s="4" t="s">
        <v>295</v>
      </c>
      <c r="G3099" s="5" t="str">
        <f>IFERROR(__xludf.DUMMYFUNCTION("GOOGLETRANSLATE(D3099,""en"",""es"")"),"como")</f>
        <v>como</v>
      </c>
      <c r="H3099" s="4" t="s">
        <v>5852</v>
      </c>
      <c r="I3099" s="4" t="s">
        <v>5853</v>
      </c>
      <c r="J3099" s="4" t="s">
        <v>5854</v>
      </c>
      <c r="K3099" s="4" t="s">
        <v>5855</v>
      </c>
      <c r="L3099" s="4" t="s">
        <v>5856</v>
      </c>
      <c r="M3099" s="4" t="s">
        <v>5857</v>
      </c>
      <c r="N3099" s="4" t="s">
        <v>5858</v>
      </c>
      <c r="O3099" s="4" t="s">
        <v>5859</v>
      </c>
      <c r="P3099" s="4" t="s">
        <v>5860</v>
      </c>
      <c r="Q3099" s="4" t="s">
        <v>5861</v>
      </c>
      <c r="R3099" s="4" t="s">
        <v>5862</v>
      </c>
      <c r="S3099" s="4" t="s">
        <v>5863</v>
      </c>
      <c r="T3099" s="4" t="s">
        <v>5860</v>
      </c>
      <c r="U3099" s="4" t="s">
        <v>5864</v>
      </c>
      <c r="V3099" s="4" t="s">
        <v>5860</v>
      </c>
      <c r="W3099" s="4" t="s">
        <v>5865</v>
      </c>
      <c r="X3099" s="4" t="s">
        <v>5860</v>
      </c>
      <c r="Y3099" s="4" t="s">
        <v>5866</v>
      </c>
      <c r="Z3099" s="4" t="s">
        <v>5867</v>
      </c>
      <c r="AA3099" s="4" t="s">
        <v>5860</v>
      </c>
      <c r="AB3099" s="4" t="s">
        <v>5860</v>
      </c>
      <c r="AC3099" s="4" t="s">
        <v>5868</v>
      </c>
      <c r="AD3099" s="4" t="s">
        <v>5860</v>
      </c>
      <c r="AE3099" s="4" t="s">
        <v>5869</v>
      </c>
      <c r="AF3099" s="4" t="s">
        <v>5870</v>
      </c>
      <c r="AG3099" s="4" t="s">
        <v>5871</v>
      </c>
      <c r="AH3099" s="4" t="s">
        <v>295</v>
      </c>
      <c r="AI3099" s="4" t="s">
        <v>5872</v>
      </c>
    </row>
    <row r="3100">
      <c r="A3100" s="4">
        <v>36.0</v>
      </c>
      <c r="B3100" s="4" t="s">
        <v>8920</v>
      </c>
      <c r="C3100" s="4"/>
      <c r="D3100" s="4" t="s">
        <v>5873</v>
      </c>
      <c r="E3100" s="4" t="s">
        <v>5874</v>
      </c>
      <c r="F3100" s="4" t="s">
        <v>5875</v>
      </c>
      <c r="G3100" s="5" t="str">
        <f>IFERROR(__xludf.DUMMYFUNCTION("GOOGLETRANSLATE(D3100,""en"",""es"")"),"Asenath")</f>
        <v>Asenath</v>
      </c>
    </row>
    <row r="3101">
      <c r="A3101" s="4">
        <v>37.0</v>
      </c>
      <c r="B3101" s="4" t="s">
        <v>8920</v>
      </c>
      <c r="C3101" s="4"/>
      <c r="D3101" s="4" t="s">
        <v>5876</v>
      </c>
      <c r="E3101" s="4" t="s">
        <v>5877</v>
      </c>
      <c r="F3101" s="4" t="s">
        <v>5876</v>
      </c>
      <c r="G3101" s="5" t="str">
        <f>IFERROR(__xludf.DUMMYFUNCTION("GOOGLETRANSLATE(D3101,""en"",""es"")"),"ceniza")</f>
        <v>ceniza</v>
      </c>
      <c r="H3101" s="4" t="s">
        <v>5876</v>
      </c>
      <c r="I3101" s="4" t="s">
        <v>5876</v>
      </c>
      <c r="J3101" s="4" t="s">
        <v>5878</v>
      </c>
      <c r="K3101" s="4" t="s">
        <v>5876</v>
      </c>
      <c r="L3101" s="4" t="s">
        <v>5876</v>
      </c>
    </row>
    <row r="3102">
      <c r="A3102" s="4">
        <v>38.0</v>
      </c>
      <c r="B3102" s="4" t="s">
        <v>8920</v>
      </c>
      <c r="C3102" s="4"/>
      <c r="D3102" s="4" t="s">
        <v>5879</v>
      </c>
      <c r="E3102" s="4" t="s">
        <v>5880</v>
      </c>
      <c r="F3102" s="4" t="s">
        <v>5881</v>
      </c>
      <c r="G3102" s="5" t="str">
        <f>IFERROR(__xludf.DUMMYFUNCTION("GOOGLETRANSLATE(D3102,""en"",""es"")"),"pálido")</f>
        <v>pálido</v>
      </c>
      <c r="H3102" s="4" t="s">
        <v>5879</v>
      </c>
      <c r="I3102" s="4" t="s">
        <v>5882</v>
      </c>
      <c r="J3102" s="4" t="s">
        <v>5883</v>
      </c>
      <c r="K3102" s="4" t="s">
        <v>5884</v>
      </c>
      <c r="L3102" s="4" t="s">
        <v>5885</v>
      </c>
      <c r="M3102" s="4" t="s">
        <v>5879</v>
      </c>
    </row>
    <row r="3103">
      <c r="A3103" s="4">
        <v>39.0</v>
      </c>
      <c r="B3103" s="4" t="s">
        <v>8920</v>
      </c>
      <c r="C3103" s="4"/>
      <c r="D3103" s="4" t="s">
        <v>5886</v>
      </c>
      <c r="E3103" s="4" t="s">
        <v>5887</v>
      </c>
      <c r="F3103" s="4" t="s">
        <v>5888</v>
      </c>
      <c r="G3103" s="5" t="str">
        <f>IFERROR(__xludf.DUMMYFUNCTION("GOOGLETRANSLATE(D3103,""en"",""es"")"),"ceniciento")</f>
        <v>ceniciento</v>
      </c>
      <c r="H3103" s="4" t="s">
        <v>5889</v>
      </c>
      <c r="I3103" s="4" t="s">
        <v>5890</v>
      </c>
      <c r="J3103" s="4" t="s">
        <v>5886</v>
      </c>
    </row>
    <row r="3104">
      <c r="A3104" s="4">
        <v>40.0</v>
      </c>
      <c r="B3104" s="4" t="s">
        <v>8920</v>
      </c>
      <c r="C3104" s="4"/>
      <c r="D3104" s="4" t="s">
        <v>1627</v>
      </c>
      <c r="E3104" s="4" t="s">
        <v>5851</v>
      </c>
      <c r="F3104" s="4" t="s">
        <v>295</v>
      </c>
      <c r="G3104" s="5" t="str">
        <f>IFERROR(__xludf.DUMMYFUNCTION("GOOGLETRANSLATE(D3104,""en"",""es"")"),"culo")</f>
        <v>culo</v>
      </c>
      <c r="H3104" s="4" t="s">
        <v>1602</v>
      </c>
      <c r="I3104" s="4" t="s">
        <v>1603</v>
      </c>
      <c r="J3104" s="4" t="s">
        <v>1604</v>
      </c>
      <c r="K3104" s="4" t="s">
        <v>1605</v>
      </c>
      <c r="L3104" s="4" t="s">
        <v>1606</v>
      </c>
      <c r="M3104" s="4" t="s">
        <v>1147</v>
      </c>
      <c r="N3104" s="4" t="s">
        <v>1607</v>
      </c>
      <c r="O3104" s="4" t="s">
        <v>1120</v>
      </c>
      <c r="P3104" s="4" t="s">
        <v>1608</v>
      </c>
      <c r="Q3104" s="4" t="s">
        <v>1609</v>
      </c>
      <c r="R3104" s="4" t="s">
        <v>1610</v>
      </c>
      <c r="S3104" s="4" t="s">
        <v>1611</v>
      </c>
      <c r="T3104" s="4" t="s">
        <v>1612</v>
      </c>
      <c r="U3104" s="4" t="s">
        <v>1613</v>
      </c>
      <c r="V3104" s="4" t="s">
        <v>1614</v>
      </c>
      <c r="W3104" s="4" t="s">
        <v>1615</v>
      </c>
      <c r="X3104" s="4" t="s">
        <v>1616</v>
      </c>
      <c r="Y3104" s="4" t="s">
        <v>1617</v>
      </c>
      <c r="Z3104" s="4" t="s">
        <v>1618</v>
      </c>
      <c r="AA3104" s="4" t="s">
        <v>1619</v>
      </c>
      <c r="AB3104" s="4" t="s">
        <v>1620</v>
      </c>
      <c r="AC3104" s="4" t="s">
        <v>1621</v>
      </c>
      <c r="AD3104" s="4" t="s">
        <v>1622</v>
      </c>
      <c r="AE3104" s="4" t="s">
        <v>1623</v>
      </c>
      <c r="AF3104" s="4" t="s">
        <v>1624</v>
      </c>
      <c r="AG3104" s="4" t="s">
        <v>1625</v>
      </c>
      <c r="AH3104" s="4" t="s">
        <v>1626</v>
      </c>
      <c r="AI3104" s="4" t="s">
        <v>1627</v>
      </c>
      <c r="AJ3104" s="4" t="s">
        <v>1627</v>
      </c>
      <c r="AK3104" s="4" t="s">
        <v>1627</v>
      </c>
      <c r="AL3104" s="4" t="s">
        <v>5891</v>
      </c>
      <c r="AM3104" s="4" t="s">
        <v>5892</v>
      </c>
      <c r="AN3104" s="4" t="s">
        <v>5893</v>
      </c>
      <c r="AO3104" s="4" t="s">
        <v>5894</v>
      </c>
      <c r="AP3104" s="4" t="s">
        <v>1627</v>
      </c>
      <c r="AQ3104" s="4" t="s">
        <v>5895</v>
      </c>
      <c r="AR3104" s="4" t="s">
        <v>5896</v>
      </c>
      <c r="AS3104" s="4" t="s">
        <v>5897</v>
      </c>
      <c r="AT3104" s="4" t="s">
        <v>5898</v>
      </c>
      <c r="AU3104" s="4" t="s">
        <v>5899</v>
      </c>
      <c r="AV3104" s="4" t="s">
        <v>5900</v>
      </c>
      <c r="AW3104" s="4" t="s">
        <v>5901</v>
      </c>
      <c r="AX3104" s="4" t="s">
        <v>5852</v>
      </c>
      <c r="AY3104" s="4" t="s">
        <v>5853</v>
      </c>
      <c r="AZ3104" s="4" t="s">
        <v>5854</v>
      </c>
      <c r="BA3104" s="4" t="s">
        <v>5855</v>
      </c>
      <c r="BB3104" s="4" t="s">
        <v>5856</v>
      </c>
      <c r="BC3104" s="4" t="s">
        <v>5857</v>
      </c>
    </row>
    <row r="3105">
      <c r="A3105" s="4">
        <v>41.0</v>
      </c>
      <c r="B3105" s="4" t="s">
        <v>8920</v>
      </c>
      <c r="C3105" s="4"/>
      <c r="D3105" s="4" t="s">
        <v>5902</v>
      </c>
      <c r="E3105" s="4" t="s">
        <v>5903</v>
      </c>
      <c r="F3105" s="4" t="s">
        <v>5904</v>
      </c>
      <c r="G3105" s="5" t="str">
        <f>IFERROR(__xludf.DUMMYFUNCTION("GOOGLETRANSLATE(D3105,""en"",""es"")"),"asalto")</f>
        <v>asalto</v>
      </c>
      <c r="H3105" s="4" t="s">
        <v>5905</v>
      </c>
    </row>
    <row r="3106">
      <c r="A3106" s="4">
        <v>42.0</v>
      </c>
      <c r="B3106" s="4" t="s">
        <v>8920</v>
      </c>
      <c r="C3106" s="4"/>
      <c r="D3106" s="4" t="s">
        <v>5906</v>
      </c>
      <c r="E3106" s="4" t="s">
        <v>5851</v>
      </c>
      <c r="F3106" s="4" t="s">
        <v>295</v>
      </c>
      <c r="G3106" s="5" t="str">
        <f>IFERROR(__xludf.DUMMYFUNCTION("GOOGLETRANSLATE(D3106,""en"",""es"")"),"ASSE")</f>
        <v>ASSE</v>
      </c>
    </row>
    <row r="3107">
      <c r="A3107" s="4">
        <v>43.0</v>
      </c>
      <c r="B3107" s="4" t="s">
        <v>8920</v>
      </c>
      <c r="C3107" s="4"/>
      <c r="D3107" s="4" t="s">
        <v>5907</v>
      </c>
      <c r="E3107" s="4" t="s">
        <v>5908</v>
      </c>
      <c r="F3107" s="4" t="s">
        <v>5909</v>
      </c>
      <c r="G3107" s="5" t="str">
        <f>IFERROR(__xludf.DUMMYFUNCTION("GOOGLETRANSLATE(D3107,""en"",""es"")"),"atormentar")</f>
        <v>atormentar</v>
      </c>
    </row>
    <row r="3108">
      <c r="A3108" s="4">
        <v>44.0</v>
      </c>
      <c r="B3108" s="4" t="s">
        <v>8920</v>
      </c>
      <c r="C3108" s="4"/>
      <c r="D3108" s="4" t="s">
        <v>5910</v>
      </c>
      <c r="E3108" s="4" t="s">
        <v>5911</v>
      </c>
      <c r="F3108" s="4" t="s">
        <v>5912</v>
      </c>
      <c r="G3108" s="5" t="str">
        <f>IFERROR(__xludf.DUMMYFUNCTION("GOOGLETRANSLATE(D3108,""en"",""es"")"),"atimy")</f>
        <v>atimy</v>
      </c>
    </row>
    <row r="3109">
      <c r="A3109" s="4">
        <v>45.0</v>
      </c>
      <c r="B3109" s="4" t="s">
        <v>8920</v>
      </c>
      <c r="C3109" s="4"/>
      <c r="D3109" s="4" t="s">
        <v>8051</v>
      </c>
      <c r="E3109" s="4" t="s">
        <v>8052</v>
      </c>
      <c r="F3109" s="4" t="s">
        <v>8053</v>
      </c>
      <c r="G3109" s="5" t="str">
        <f>IFERROR(__xludf.DUMMYFUNCTION("GOOGLETRANSLATE(D3109,""en"",""es"")"),"atolón")</f>
        <v>atolón</v>
      </c>
      <c r="H3109" s="4" t="s">
        <v>8051</v>
      </c>
    </row>
    <row r="3110">
      <c r="A3110" s="4">
        <v>46.0</v>
      </c>
      <c r="B3110" s="4" t="s">
        <v>8920</v>
      </c>
      <c r="C3110" s="4"/>
      <c r="D3110" s="4" t="s">
        <v>8054</v>
      </c>
      <c r="E3110" s="4" t="s">
        <v>8055</v>
      </c>
      <c r="F3110" s="4" t="s">
        <v>8056</v>
      </c>
      <c r="G3110" s="5" t="str">
        <f>IFERROR(__xludf.DUMMYFUNCTION("GOOGLETRANSLATE(D3110,""en"",""es"")"),"ATTAP")</f>
        <v>ATTAP</v>
      </c>
    </row>
    <row r="3111">
      <c r="A3111" s="4">
        <v>47.0</v>
      </c>
      <c r="B3111" s="4" t="s">
        <v>8920</v>
      </c>
      <c r="C3111" s="4"/>
      <c r="D3111" s="4" t="s">
        <v>5913</v>
      </c>
      <c r="E3111" s="4" t="s">
        <v>5914</v>
      </c>
      <c r="F3111" s="4" t="s">
        <v>4769</v>
      </c>
      <c r="G3111" s="5" t="str">
        <f>IFERROR(__xludf.DUMMYFUNCTION("GOOGLETRANSLATE(D3111,""en"",""es"")"),"ático")</f>
        <v>ático</v>
      </c>
      <c r="H3111" s="4" t="s">
        <v>1473</v>
      </c>
      <c r="I3111" s="4" t="s">
        <v>5913</v>
      </c>
      <c r="J3111" s="4" t="s">
        <v>5915</v>
      </c>
      <c r="K3111" s="4" t="s">
        <v>4770</v>
      </c>
      <c r="L3111" s="4" t="s">
        <v>4771</v>
      </c>
      <c r="M3111" s="4" t="s">
        <v>4772</v>
      </c>
      <c r="N3111" s="4" t="s">
        <v>4773</v>
      </c>
      <c r="O3111" s="4" t="s">
        <v>5913</v>
      </c>
      <c r="P3111" s="4" t="s">
        <v>5916</v>
      </c>
      <c r="Q3111" s="4" t="s">
        <v>5917</v>
      </c>
      <c r="R3111" s="4" t="s">
        <v>5918</v>
      </c>
      <c r="S3111" s="4" t="s">
        <v>5919</v>
      </c>
      <c r="T3111" s="4" t="s">
        <v>5920</v>
      </c>
      <c r="U3111" s="4" t="s">
        <v>5913</v>
      </c>
      <c r="V3111" s="4" t="s">
        <v>4770</v>
      </c>
    </row>
    <row r="3112">
      <c r="A3112" s="4">
        <v>48.0</v>
      </c>
      <c r="B3112" s="4" t="s">
        <v>8920</v>
      </c>
      <c r="C3112" s="4"/>
      <c r="D3112" s="4" t="s">
        <v>8057</v>
      </c>
      <c r="E3112" s="4" t="s">
        <v>8058</v>
      </c>
      <c r="F3112" s="4" t="s">
        <v>502</v>
      </c>
      <c r="G3112" s="5" t="str">
        <f>IFERROR(__xludf.DUMMYFUNCTION("GOOGLETRANSLATE(D3112,""en"",""es"")"),"australiano")</f>
        <v>australiano</v>
      </c>
      <c r="H3112" s="4" t="s">
        <v>8059</v>
      </c>
      <c r="I3112" s="4" t="s">
        <v>8060</v>
      </c>
    </row>
    <row r="3113">
      <c r="A3113" s="4">
        <v>49.0</v>
      </c>
      <c r="B3113" s="4" t="s">
        <v>8920</v>
      </c>
      <c r="C3113" s="4"/>
      <c r="D3113" s="4" t="s">
        <v>8061</v>
      </c>
      <c r="E3113" s="4" t="s">
        <v>8062</v>
      </c>
      <c r="F3113" s="4" t="s">
        <v>8063</v>
      </c>
      <c r="G3113" s="5" t="str">
        <f>IFERROR(__xludf.DUMMYFUNCTION("GOOGLETRANSLATE(D3113,""en"",""es"")"),"autón")</f>
        <v>autón</v>
      </c>
    </row>
    <row r="3114">
      <c r="A3114" s="4">
        <v>50.0</v>
      </c>
      <c r="B3114" s="4" t="s">
        <v>8920</v>
      </c>
      <c r="C3114" s="4"/>
      <c r="D3114" s="4" t="s">
        <v>5921</v>
      </c>
      <c r="E3114" s="4" t="s">
        <v>5922</v>
      </c>
      <c r="F3114" s="4" t="s">
        <v>5921</v>
      </c>
      <c r="G3114" s="5" t="str">
        <f>IFERROR(__xludf.DUMMYFUNCTION("GOOGLETRANSLATE(D3114,""en"",""es"")"),"ayin")</f>
        <v>ayin</v>
      </c>
      <c r="H3114" s="4" t="s">
        <v>5921</v>
      </c>
    </row>
    <row r="3115">
      <c r="A3115" s="4">
        <v>51.0</v>
      </c>
      <c r="B3115" s="4" t="s">
        <v>8920</v>
      </c>
      <c r="C3115" s="4"/>
      <c r="D3115" s="4" t="s">
        <v>496</v>
      </c>
      <c r="E3115" s="4" t="s">
        <v>5923</v>
      </c>
      <c r="F3115" s="4" t="s">
        <v>5924</v>
      </c>
      <c r="G3115" s="5" t="str">
        <f>IFERROR(__xludf.DUMMYFUNCTION("GOOGLETRANSLATE(D3115,""en"",""es"")"),"cache")</f>
        <v>cache</v>
      </c>
      <c r="H3115" s="4" t="s">
        <v>496</v>
      </c>
      <c r="I3115" s="4" t="s">
        <v>494</v>
      </c>
      <c r="J3115" s="4" t="s">
        <v>496</v>
      </c>
      <c r="K3115" s="4" t="s">
        <v>495</v>
      </c>
      <c r="L3115" s="4" t="s">
        <v>496</v>
      </c>
      <c r="M3115" s="4" t="s">
        <v>5925</v>
      </c>
      <c r="N3115" s="4" t="s">
        <v>494</v>
      </c>
      <c r="O3115" s="4" t="s">
        <v>495</v>
      </c>
      <c r="P3115" s="4" t="s">
        <v>496</v>
      </c>
      <c r="Q3115" s="4" t="s">
        <v>497</v>
      </c>
      <c r="R3115" s="4" t="s">
        <v>498</v>
      </c>
      <c r="S3115" s="4" t="s">
        <v>499</v>
      </c>
    </row>
    <row r="3116">
      <c r="A3116" s="4">
        <v>52.0</v>
      </c>
      <c r="B3116" s="4" t="s">
        <v>8920</v>
      </c>
      <c r="C3116" s="4"/>
      <c r="D3116" s="4" t="s">
        <v>5926</v>
      </c>
      <c r="E3116" s="4" t="s">
        <v>5927</v>
      </c>
      <c r="F3116" s="4" t="s">
        <v>319</v>
      </c>
      <c r="G3116" s="5" t="str">
        <f>IFERROR(__xludf.DUMMYFUNCTION("GOOGLETRANSLATE(D3116,""en"",""es"")"),"caca")</f>
        <v>caca</v>
      </c>
    </row>
    <row r="3117">
      <c r="A3117" s="4">
        <v>53.0</v>
      </c>
      <c r="B3117" s="4" t="s">
        <v>8920</v>
      </c>
      <c r="C3117" s="4"/>
      <c r="D3117" s="4" t="s">
        <v>5928</v>
      </c>
      <c r="E3117" s="4" t="s">
        <v>5929</v>
      </c>
      <c r="F3117" s="4" t="s">
        <v>1122</v>
      </c>
      <c r="G3117" s="5" t="str">
        <f>IFERROR(__xludf.DUMMYFUNCTION("GOOGLETRANSLATE(D3117,""en"",""es"")"),"caen")</f>
        <v>caen</v>
      </c>
    </row>
    <row r="3118">
      <c r="A3118" s="4">
        <v>54.0</v>
      </c>
      <c r="B3118" s="4" t="s">
        <v>8920</v>
      </c>
      <c r="C3118" s="4"/>
      <c r="D3118" s="4" t="s">
        <v>973</v>
      </c>
      <c r="E3118" s="4" t="s">
        <v>5930</v>
      </c>
      <c r="F3118" s="4" t="s">
        <v>975</v>
      </c>
      <c r="G3118" s="5" t="str">
        <f>IFERROR(__xludf.DUMMYFUNCTION("GOOGLETRANSLATE(D3118,""en"",""es"")"),"California")</f>
        <v>California</v>
      </c>
    </row>
    <row r="3119">
      <c r="A3119" s="4">
        <v>55.0</v>
      </c>
      <c r="B3119" s="4" t="s">
        <v>8920</v>
      </c>
      <c r="C3119" s="4"/>
      <c r="D3119" s="4" t="s">
        <v>5931</v>
      </c>
      <c r="E3119" s="4" t="s">
        <v>5932</v>
      </c>
      <c r="F3119" s="4" t="s">
        <v>5148</v>
      </c>
      <c r="G3119" s="5" t="str">
        <f>IFERROR(__xludf.DUMMYFUNCTION("GOOGLETRANSLATE(D3119,""en"",""es"")"),"cali")</f>
        <v>cali</v>
      </c>
      <c r="H3119" s="4" t="s">
        <v>5933</v>
      </c>
    </row>
    <row r="3120">
      <c r="A3120" s="4">
        <v>56.0</v>
      </c>
      <c r="B3120" s="4" t="s">
        <v>8920</v>
      </c>
      <c r="C3120" s="4"/>
      <c r="D3120" s="4" t="s">
        <v>5934</v>
      </c>
      <c r="E3120" s="4" t="s">
        <v>5935</v>
      </c>
      <c r="F3120" s="4" t="s">
        <v>5936</v>
      </c>
      <c r="G3120" s="5" t="str">
        <f>IFERROR(__xludf.DUMMYFUNCTION("GOOGLETRANSLATE(D3120,""en"",""es"")"),"calipas")</f>
        <v>calipas</v>
      </c>
    </row>
    <row r="3121">
      <c r="A3121" s="4">
        <v>57.0</v>
      </c>
      <c r="B3121" s="4" t="s">
        <v>8920</v>
      </c>
      <c r="C3121" s="4"/>
      <c r="D3121" s="4" t="s">
        <v>1009</v>
      </c>
      <c r="E3121" s="4" t="s">
        <v>8064</v>
      </c>
      <c r="F3121" s="4" t="s">
        <v>975</v>
      </c>
      <c r="G3121" s="5" t="str">
        <f>IFERROR(__xludf.DUMMYFUNCTION("GOOGLETRANSLATE(D3121,""en"",""es"")"),"llamar")</f>
        <v>llamar</v>
      </c>
      <c r="H3121" s="4" t="s">
        <v>1009</v>
      </c>
      <c r="I3121" s="4" t="s">
        <v>8065</v>
      </c>
      <c r="J3121" s="4" t="s">
        <v>8066</v>
      </c>
      <c r="K3121" s="4" t="s">
        <v>8067</v>
      </c>
      <c r="L3121" s="4" t="s">
        <v>8068</v>
      </c>
      <c r="M3121" s="4" t="s">
        <v>8069</v>
      </c>
      <c r="N3121" s="4" t="s">
        <v>1009</v>
      </c>
      <c r="O3121" s="4" t="s">
        <v>8070</v>
      </c>
      <c r="P3121" s="4" t="s">
        <v>8071</v>
      </c>
      <c r="Q3121" s="4" t="s">
        <v>8072</v>
      </c>
      <c r="R3121" s="4" t="s">
        <v>1009</v>
      </c>
      <c r="S3121" s="4" t="s">
        <v>7935</v>
      </c>
      <c r="T3121" s="4" t="s">
        <v>8073</v>
      </c>
      <c r="U3121" s="4" t="s">
        <v>1009</v>
      </c>
      <c r="V3121" s="4" t="s">
        <v>8074</v>
      </c>
      <c r="W3121" s="4" t="s">
        <v>1183</v>
      </c>
      <c r="X3121" s="4" t="s">
        <v>1009</v>
      </c>
      <c r="Y3121" s="4" t="s">
        <v>8075</v>
      </c>
      <c r="Z3121" s="4" t="s">
        <v>1009</v>
      </c>
      <c r="AA3121" s="4" t="s">
        <v>1009</v>
      </c>
      <c r="AB3121" s="4" t="s">
        <v>1009</v>
      </c>
      <c r="AC3121" s="4" t="s">
        <v>1009</v>
      </c>
      <c r="AD3121" s="4" t="s">
        <v>1009</v>
      </c>
      <c r="AE3121" s="4" t="s">
        <v>1009</v>
      </c>
      <c r="AF3121" s="4" t="s">
        <v>8076</v>
      </c>
      <c r="AG3121" s="4" t="s">
        <v>1009</v>
      </c>
      <c r="AH3121" s="4" t="s">
        <v>1438</v>
      </c>
      <c r="AI3121" s="4" t="s">
        <v>1009</v>
      </c>
      <c r="AJ3121" s="4" t="s">
        <v>1009</v>
      </c>
      <c r="AK3121" s="4" t="s">
        <v>1009</v>
      </c>
      <c r="AL3121" s="4" t="s">
        <v>8077</v>
      </c>
      <c r="AM3121" s="4" t="s">
        <v>8078</v>
      </c>
      <c r="AN3121" s="4" t="s">
        <v>8079</v>
      </c>
      <c r="AO3121" s="4" t="s">
        <v>4080</v>
      </c>
      <c r="AP3121" s="4" t="s">
        <v>8071</v>
      </c>
      <c r="AQ3121" s="4" t="s">
        <v>8080</v>
      </c>
      <c r="AR3121" s="4" t="s">
        <v>8068</v>
      </c>
      <c r="AS3121" s="4" t="s">
        <v>1009</v>
      </c>
      <c r="AT3121" s="4" t="s">
        <v>8070</v>
      </c>
      <c r="AU3121" s="4" t="s">
        <v>8081</v>
      </c>
      <c r="AV3121" s="4" t="s">
        <v>8082</v>
      </c>
      <c r="AW3121" s="4" t="s">
        <v>8083</v>
      </c>
      <c r="AX3121" s="4" t="s">
        <v>8084</v>
      </c>
      <c r="AY3121" s="4" t="s">
        <v>1009</v>
      </c>
      <c r="AZ3121" s="4" t="s">
        <v>8085</v>
      </c>
      <c r="BA3121" s="4" t="s">
        <v>8086</v>
      </c>
      <c r="BB3121" s="4" t="s">
        <v>8087</v>
      </c>
      <c r="BC3121" s="4" t="s">
        <v>1009</v>
      </c>
      <c r="BD3121" s="4" t="s">
        <v>1009</v>
      </c>
      <c r="BE3121" s="4" t="s">
        <v>1009</v>
      </c>
      <c r="BF3121" s="4" t="s">
        <v>1009</v>
      </c>
      <c r="BG3121" s="4" t="s">
        <v>1009</v>
      </c>
      <c r="BH3121" s="4" t="s">
        <v>1009</v>
      </c>
      <c r="BI3121" s="4" t="s">
        <v>8088</v>
      </c>
      <c r="BJ3121" s="4" t="s">
        <v>1009</v>
      </c>
      <c r="BK3121" s="4" t="s">
        <v>1009</v>
      </c>
      <c r="BL3121" s="4" t="s">
        <v>1009</v>
      </c>
      <c r="BM3121" s="4" t="s">
        <v>8087</v>
      </c>
      <c r="BN3121" s="4" t="s">
        <v>8089</v>
      </c>
      <c r="BO3121" s="4" t="s">
        <v>1009</v>
      </c>
      <c r="BP3121" s="4" t="s">
        <v>1009</v>
      </c>
      <c r="BQ3121" s="4" t="s">
        <v>8090</v>
      </c>
      <c r="BR3121" s="4" t="s">
        <v>1009</v>
      </c>
      <c r="BS3121" s="4" t="s">
        <v>8091</v>
      </c>
      <c r="BT3121" s="4" t="s">
        <v>8092</v>
      </c>
      <c r="BU3121" s="4" t="s">
        <v>8093</v>
      </c>
      <c r="BV3121" s="4" t="s">
        <v>1009</v>
      </c>
      <c r="BW3121" s="4" t="s">
        <v>8094</v>
      </c>
      <c r="BX3121" s="4" t="s">
        <v>8095</v>
      </c>
      <c r="BY3121" s="4" t="s">
        <v>8096</v>
      </c>
      <c r="BZ3121" s="4" t="s">
        <v>1009</v>
      </c>
      <c r="CA3121" s="4" t="s">
        <v>1009</v>
      </c>
      <c r="CB3121" s="4" t="s">
        <v>1009</v>
      </c>
      <c r="CC3121" s="4" t="s">
        <v>1009</v>
      </c>
      <c r="CD3121" s="4" t="s">
        <v>1009</v>
      </c>
      <c r="CE3121" s="4" t="s">
        <v>1009</v>
      </c>
      <c r="CF3121" s="4" t="s">
        <v>1009</v>
      </c>
      <c r="CG3121" s="4" t="s">
        <v>1009</v>
      </c>
      <c r="CH3121" s="4" t="s">
        <v>1009</v>
      </c>
      <c r="CI3121" s="4" t="s">
        <v>1009</v>
      </c>
    </row>
    <row r="3122">
      <c r="A3122" s="4">
        <v>58.0</v>
      </c>
      <c r="B3122" s="4" t="s">
        <v>8920</v>
      </c>
      <c r="C3122" s="4"/>
      <c r="D3122" s="4" t="s">
        <v>5937</v>
      </c>
      <c r="E3122" s="4" t="s">
        <v>5935</v>
      </c>
      <c r="F3122" s="4" t="s">
        <v>5936</v>
      </c>
      <c r="G3122" s="5" t="str">
        <f>IFERROR(__xludf.DUMMYFUNCTION("GOOGLETRANSLATE(D3122,""en"",""es"")"),"callipash")</f>
        <v>callipash</v>
      </c>
    </row>
    <row r="3123">
      <c r="A3123" s="4">
        <v>59.0</v>
      </c>
      <c r="B3123" s="4" t="s">
        <v>8920</v>
      </c>
      <c r="C3123" s="4"/>
      <c r="D3123" s="4" t="s">
        <v>8097</v>
      </c>
      <c r="E3123" s="4" t="s">
        <v>8098</v>
      </c>
      <c r="F3123" s="4" t="s">
        <v>1039</v>
      </c>
      <c r="G3123" s="5" t="str">
        <f>IFERROR(__xludf.DUMMYFUNCTION("GOOGLETRANSLATE(D3123,""en"",""es"")"),"calma")</f>
        <v>calma</v>
      </c>
      <c r="H3123" s="4" t="s">
        <v>8099</v>
      </c>
      <c r="I3123" s="4" t="s">
        <v>8097</v>
      </c>
      <c r="J3123" s="4" t="s">
        <v>8100</v>
      </c>
      <c r="K3123" s="4" t="s">
        <v>8101</v>
      </c>
      <c r="L3123" s="4" t="s">
        <v>8102</v>
      </c>
      <c r="M3123" s="4" t="s">
        <v>8097</v>
      </c>
      <c r="N3123" s="4" t="s">
        <v>8097</v>
      </c>
      <c r="O3123" s="4" t="s">
        <v>8103</v>
      </c>
      <c r="P3123" s="4" t="s">
        <v>439</v>
      </c>
      <c r="Q3123" s="4" t="s">
        <v>8104</v>
      </c>
      <c r="R3123" s="4" t="s">
        <v>8105</v>
      </c>
      <c r="S3123" s="4" t="s">
        <v>8106</v>
      </c>
      <c r="T3123" s="4" t="s">
        <v>1026</v>
      </c>
      <c r="U3123" s="4" t="s">
        <v>8107</v>
      </c>
      <c r="V3123" s="4" t="s">
        <v>6319</v>
      </c>
      <c r="W3123" s="4" t="s">
        <v>8108</v>
      </c>
      <c r="X3123" s="4" t="s">
        <v>8097</v>
      </c>
      <c r="Y3123" s="4" t="s">
        <v>8109</v>
      </c>
      <c r="Z3123" s="4" t="s">
        <v>8097</v>
      </c>
      <c r="AA3123" s="4" t="s">
        <v>8103</v>
      </c>
      <c r="AB3123" s="4" t="s">
        <v>8110</v>
      </c>
      <c r="AC3123" s="4" t="s">
        <v>8111</v>
      </c>
      <c r="AD3123" s="4" t="s">
        <v>8112</v>
      </c>
      <c r="AE3123" s="4" t="s">
        <v>8113</v>
      </c>
      <c r="AF3123" s="4" t="s">
        <v>8114</v>
      </c>
      <c r="AG3123" s="4" t="s">
        <v>8115</v>
      </c>
      <c r="AH3123" s="4" t="s">
        <v>8097</v>
      </c>
      <c r="AI3123" s="4" t="s">
        <v>8104</v>
      </c>
      <c r="AJ3123" s="4" t="s">
        <v>8105</v>
      </c>
      <c r="AK3123" s="4" t="s">
        <v>8106</v>
      </c>
      <c r="AL3123" s="4" t="s">
        <v>8097</v>
      </c>
      <c r="AM3123" s="4" t="s">
        <v>8116</v>
      </c>
      <c r="AN3123" s="4" t="s">
        <v>8117</v>
      </c>
      <c r="AO3123" s="4" t="s">
        <v>8118</v>
      </c>
      <c r="AP3123" s="4" t="s">
        <v>8097</v>
      </c>
    </row>
    <row r="3124">
      <c r="A3124" s="4">
        <v>60.0</v>
      </c>
      <c r="B3124" s="4" t="s">
        <v>8920</v>
      </c>
      <c r="C3124" s="4"/>
      <c r="D3124" s="4" t="s">
        <v>5940</v>
      </c>
      <c r="E3124" s="4" t="s">
        <v>5941</v>
      </c>
      <c r="F3124" s="4" t="s">
        <v>5942</v>
      </c>
      <c r="G3124" s="5" t="str">
        <f>IFERROR(__xludf.DUMMYFUNCTION("GOOGLETRANSLATE(D3124,""en"",""es"")"),"camis")</f>
        <v>camis</v>
      </c>
    </row>
    <row r="3125">
      <c r="A3125" s="4">
        <v>61.0</v>
      </c>
      <c r="B3125" s="4" t="s">
        <v>8920</v>
      </c>
      <c r="C3125" s="4"/>
      <c r="D3125" s="4" t="s">
        <v>1120</v>
      </c>
      <c r="E3125" s="4" t="s">
        <v>5943</v>
      </c>
      <c r="F3125" s="4" t="s">
        <v>1122</v>
      </c>
      <c r="G3125" s="5" t="str">
        <f>IFERROR(__xludf.DUMMYFUNCTION("GOOGLETRANSLATE(D3125,""en"",""es"")"),"pueden")</f>
        <v>pueden</v>
      </c>
      <c r="H3125" s="4" t="s">
        <v>1120</v>
      </c>
      <c r="I3125" s="4" t="s">
        <v>5944</v>
      </c>
      <c r="J3125" s="4" t="s">
        <v>5945</v>
      </c>
      <c r="K3125" s="4" t="s">
        <v>1120</v>
      </c>
      <c r="L3125" s="4" t="s">
        <v>5946</v>
      </c>
      <c r="M3125" s="4" t="s">
        <v>1120</v>
      </c>
      <c r="N3125" s="4" t="s">
        <v>5947</v>
      </c>
      <c r="O3125" s="4" t="s">
        <v>1602</v>
      </c>
      <c r="P3125" s="4" t="s">
        <v>1603</v>
      </c>
      <c r="Q3125" s="4" t="s">
        <v>1604</v>
      </c>
      <c r="R3125" s="4" t="s">
        <v>1605</v>
      </c>
      <c r="S3125" s="4" t="s">
        <v>1606</v>
      </c>
      <c r="T3125" s="4" t="s">
        <v>1147</v>
      </c>
      <c r="U3125" s="4" t="s">
        <v>1607</v>
      </c>
      <c r="V3125" s="4" t="s">
        <v>1120</v>
      </c>
      <c r="W3125" s="4" t="s">
        <v>1608</v>
      </c>
      <c r="X3125" s="4" t="s">
        <v>1609</v>
      </c>
      <c r="Y3125" s="4" t="s">
        <v>1610</v>
      </c>
      <c r="Z3125" s="4" t="s">
        <v>1611</v>
      </c>
      <c r="AA3125" s="4" t="s">
        <v>1612</v>
      </c>
      <c r="AB3125" s="4" t="s">
        <v>1613</v>
      </c>
      <c r="AC3125" s="4" t="s">
        <v>1614</v>
      </c>
      <c r="AD3125" s="4" t="s">
        <v>1615</v>
      </c>
      <c r="AE3125" s="4" t="s">
        <v>1616</v>
      </c>
      <c r="AF3125" s="4" t="s">
        <v>1617</v>
      </c>
      <c r="AG3125" s="4" t="s">
        <v>1618</v>
      </c>
      <c r="AH3125" s="4" t="s">
        <v>1619</v>
      </c>
      <c r="AI3125" s="4" t="s">
        <v>1620</v>
      </c>
      <c r="AJ3125" s="4" t="s">
        <v>1621</v>
      </c>
      <c r="AK3125" s="4" t="s">
        <v>1622</v>
      </c>
      <c r="AL3125" s="4" t="s">
        <v>1623</v>
      </c>
      <c r="AM3125" s="4" t="s">
        <v>1624</v>
      </c>
      <c r="AN3125" s="4" t="s">
        <v>1625</v>
      </c>
      <c r="AO3125" s="4" t="s">
        <v>1626</v>
      </c>
      <c r="AP3125" s="4" t="s">
        <v>1627</v>
      </c>
      <c r="AQ3125" s="4" t="s">
        <v>5948</v>
      </c>
      <c r="AR3125" s="4" t="s">
        <v>1120</v>
      </c>
      <c r="AS3125" s="4" t="s">
        <v>5949</v>
      </c>
      <c r="AT3125" s="4" t="s">
        <v>5950</v>
      </c>
      <c r="AU3125" s="4" t="s">
        <v>1752</v>
      </c>
      <c r="AV3125" s="4" t="s">
        <v>5951</v>
      </c>
      <c r="AW3125" s="4" t="s">
        <v>5952</v>
      </c>
      <c r="AX3125" s="4" t="s">
        <v>5953</v>
      </c>
      <c r="AY3125" s="4" t="s">
        <v>5948</v>
      </c>
      <c r="AZ3125" s="4" t="s">
        <v>5954</v>
      </c>
      <c r="BA3125" s="4" t="s">
        <v>5955</v>
      </c>
      <c r="BB3125" s="4" t="s">
        <v>1120</v>
      </c>
      <c r="BC3125" s="4" t="s">
        <v>5956</v>
      </c>
      <c r="BD3125" s="4" t="s">
        <v>5957</v>
      </c>
      <c r="BE3125" s="4" t="s">
        <v>5958</v>
      </c>
      <c r="BF3125" s="4" t="s">
        <v>1120</v>
      </c>
      <c r="BG3125" s="4" t="s">
        <v>5944</v>
      </c>
      <c r="BH3125" s="4" t="s">
        <v>2996</v>
      </c>
      <c r="BI3125" s="4" t="s">
        <v>5959</v>
      </c>
      <c r="BJ3125" s="4" t="s">
        <v>907</v>
      </c>
      <c r="BK3125" s="4" t="s">
        <v>5960</v>
      </c>
      <c r="BL3125" s="4" t="s">
        <v>1120</v>
      </c>
      <c r="BM3125" s="4" t="s">
        <v>5961</v>
      </c>
      <c r="BN3125" s="4" t="s">
        <v>5962</v>
      </c>
      <c r="BO3125" s="4" t="s">
        <v>5963</v>
      </c>
      <c r="BP3125" s="4" t="s">
        <v>1785</v>
      </c>
      <c r="BQ3125" s="4" t="s">
        <v>5964</v>
      </c>
      <c r="BR3125" s="4" t="s">
        <v>5965</v>
      </c>
      <c r="BS3125" s="4" t="s">
        <v>952</v>
      </c>
    </row>
    <row r="3126">
      <c r="A3126" s="4">
        <v>62.0</v>
      </c>
      <c r="B3126" s="4" t="s">
        <v>8920</v>
      </c>
      <c r="C3126" s="4"/>
      <c r="D3126" s="4" t="s">
        <v>5966</v>
      </c>
      <c r="E3126" s="4" t="s">
        <v>5943</v>
      </c>
      <c r="F3126" s="4" t="s">
        <v>1122</v>
      </c>
      <c r="G3126" s="5" t="str">
        <f>IFERROR(__xludf.DUMMYFUNCTION("GOOGLETRANSLATE(D3126,""en"",""es"")"),"Cannes")</f>
        <v>Cannes</v>
      </c>
      <c r="H3126" s="4" t="s">
        <v>5967</v>
      </c>
    </row>
    <row r="3127">
      <c r="A3127" s="4">
        <v>63.0</v>
      </c>
      <c r="B3127" s="4" t="s">
        <v>8920</v>
      </c>
      <c r="C3127" s="4"/>
      <c r="D3127" s="4" t="s">
        <v>5968</v>
      </c>
      <c r="E3127" s="4" t="s">
        <v>5969</v>
      </c>
      <c r="F3127" s="4" t="s">
        <v>1207</v>
      </c>
      <c r="G3127" s="5" t="str">
        <f>IFERROR(__xludf.DUMMYFUNCTION("GOOGLETRANSLATE(D3127,""en"",""es"")"),"astuto")</f>
        <v>astuto</v>
      </c>
      <c r="H3127" s="4" t="s">
        <v>5970</v>
      </c>
      <c r="I3127" s="4" t="s">
        <v>5971</v>
      </c>
      <c r="J3127" s="4" t="s">
        <v>5968</v>
      </c>
      <c r="K3127" s="4" t="s">
        <v>5972</v>
      </c>
    </row>
    <row r="3128">
      <c r="A3128" s="4">
        <v>64.0</v>
      </c>
      <c r="B3128" s="4" t="s">
        <v>8920</v>
      </c>
      <c r="C3128" s="4"/>
      <c r="D3128" s="4" t="s">
        <v>1208</v>
      </c>
      <c r="E3128" s="4" t="s">
        <v>5973</v>
      </c>
      <c r="F3128" s="4" t="s">
        <v>322</v>
      </c>
      <c r="G3128" s="5" t="str">
        <f>IFERROR(__xludf.DUMMYFUNCTION("GOOGLETRANSLATE(D3128,""en"",""es"")"),"gorra")</f>
        <v>gorra</v>
      </c>
      <c r="H3128" s="4" t="s">
        <v>1208</v>
      </c>
      <c r="I3128" s="4" t="s">
        <v>1208</v>
      </c>
      <c r="J3128" s="4" t="s">
        <v>5974</v>
      </c>
      <c r="K3128" s="4" t="s">
        <v>5975</v>
      </c>
      <c r="L3128" s="4" t="s">
        <v>1208</v>
      </c>
      <c r="M3128" s="4" t="s">
        <v>1208</v>
      </c>
      <c r="N3128" s="4" t="s">
        <v>1208</v>
      </c>
      <c r="O3128" s="4" t="s">
        <v>5976</v>
      </c>
      <c r="P3128" s="4" t="s">
        <v>5977</v>
      </c>
      <c r="Q3128" s="4" t="s">
        <v>1208</v>
      </c>
      <c r="R3128" s="4" t="s">
        <v>5978</v>
      </c>
      <c r="S3128" s="4" t="s">
        <v>5979</v>
      </c>
      <c r="T3128" s="4" t="s">
        <v>1208</v>
      </c>
      <c r="U3128" s="4" t="s">
        <v>1401</v>
      </c>
      <c r="V3128" s="4" t="s">
        <v>5980</v>
      </c>
      <c r="W3128" s="4" t="s">
        <v>5981</v>
      </c>
      <c r="X3128" s="4" t="s">
        <v>5982</v>
      </c>
      <c r="Y3128" s="4" t="s">
        <v>1208</v>
      </c>
      <c r="Z3128" s="4" t="s">
        <v>1274</v>
      </c>
      <c r="AA3128" s="4" t="s">
        <v>5983</v>
      </c>
      <c r="AB3128" s="4" t="s">
        <v>1208</v>
      </c>
      <c r="AC3128" s="4" t="s">
        <v>1208</v>
      </c>
      <c r="AD3128" s="4" t="s">
        <v>1402</v>
      </c>
      <c r="AE3128" s="4" t="s">
        <v>1208</v>
      </c>
    </row>
    <row r="3129">
      <c r="A3129" s="4">
        <v>65.0</v>
      </c>
      <c r="B3129" s="4" t="s">
        <v>8920</v>
      </c>
      <c r="C3129" s="4"/>
      <c r="D3129" s="4" t="s">
        <v>5984</v>
      </c>
      <c r="E3129" s="4" t="s">
        <v>5985</v>
      </c>
      <c r="F3129" s="4" t="s">
        <v>5986</v>
      </c>
      <c r="G3129" s="5" t="str">
        <f>IFERROR(__xludf.DUMMYFUNCTION("GOOGLETRANSLATE(D3129,""en"",""es"")"),"capitán")</f>
        <v>capitán</v>
      </c>
    </row>
    <row r="3130">
      <c r="A3130" s="4">
        <v>66.0</v>
      </c>
      <c r="B3130" s="4" t="s">
        <v>8920</v>
      </c>
      <c r="C3130" s="4"/>
      <c r="D3130" s="4" t="s">
        <v>5987</v>
      </c>
      <c r="E3130" s="4" t="s">
        <v>5988</v>
      </c>
      <c r="F3130" s="4" t="s">
        <v>5638</v>
      </c>
      <c r="G3130" s="5" t="str">
        <f>IFERROR(__xludf.DUMMYFUNCTION("GOOGLETRANSLATE(D3130,""en"",""es"")"),"pez")</f>
        <v>pez</v>
      </c>
    </row>
    <row r="3131">
      <c r="A3131" s="4">
        <v>67.0</v>
      </c>
      <c r="B3131" s="4" t="s">
        <v>8920</v>
      </c>
      <c r="C3131" s="4"/>
      <c r="D3131" s="4" t="s">
        <v>5989</v>
      </c>
      <c r="E3131" s="4" t="s">
        <v>5923</v>
      </c>
      <c r="F3131" s="4" t="s">
        <v>5924</v>
      </c>
      <c r="G3131" s="5" t="str">
        <f>IFERROR(__xludf.DUMMYFUNCTION("GOOGLETRANSLATE(D3131,""en"",""es"")"),"dinero")</f>
        <v>dinero</v>
      </c>
      <c r="H3131" s="4" t="s">
        <v>5989</v>
      </c>
      <c r="I3131" s="4" t="s">
        <v>5990</v>
      </c>
      <c r="J3131" s="4" t="s">
        <v>5991</v>
      </c>
      <c r="K3131" s="4" t="s">
        <v>5989</v>
      </c>
      <c r="L3131" s="4" t="s">
        <v>5992</v>
      </c>
      <c r="M3131" s="4" t="s">
        <v>5993</v>
      </c>
      <c r="N3131" s="4" t="s">
        <v>5994</v>
      </c>
      <c r="O3131" s="4" t="s">
        <v>5995</v>
      </c>
      <c r="P3131" s="4" t="s">
        <v>5989</v>
      </c>
      <c r="Q3131" s="4" t="s">
        <v>5996</v>
      </c>
    </row>
    <row r="3132">
      <c r="A3132" s="4">
        <v>68.0</v>
      </c>
      <c r="B3132" s="4" t="s">
        <v>8920</v>
      </c>
      <c r="C3132" s="4"/>
      <c r="D3132" s="4" t="s">
        <v>8119</v>
      </c>
      <c r="E3132" s="4" t="s">
        <v>8120</v>
      </c>
      <c r="F3132" s="4" t="s">
        <v>8121</v>
      </c>
      <c r="G3132" s="5" t="str">
        <f>IFERROR(__xludf.DUMMYFUNCTION("GOOGLETRANSLATE(D3132,""en"",""es"")"),"castaño")</f>
        <v>castaño</v>
      </c>
      <c r="H3132" s="4" t="s">
        <v>8122</v>
      </c>
      <c r="I3132" s="4" t="s">
        <v>8119</v>
      </c>
      <c r="J3132" s="4" t="s">
        <v>8123</v>
      </c>
      <c r="K3132" s="4" t="s">
        <v>8124</v>
      </c>
      <c r="L3132" s="4" t="s">
        <v>8125</v>
      </c>
      <c r="M3132" s="4" t="s">
        <v>8126</v>
      </c>
      <c r="N3132" s="4" t="s">
        <v>8127</v>
      </c>
      <c r="O3132" s="4" t="s">
        <v>8128</v>
      </c>
    </row>
    <row r="3133">
      <c r="A3133" s="4">
        <v>69.0</v>
      </c>
      <c r="B3133" s="4" t="s">
        <v>8920</v>
      </c>
      <c r="C3133" s="4"/>
      <c r="D3133" s="4" t="s">
        <v>5997</v>
      </c>
      <c r="E3133" s="4" t="s">
        <v>5998</v>
      </c>
      <c r="F3133" s="4" t="s">
        <v>5999</v>
      </c>
      <c r="G3133" s="5" t="str">
        <f>IFERROR(__xludf.DUMMYFUNCTION("GOOGLETRANSLATE(D3133,""en"",""es"")"),"cath")</f>
        <v>cath</v>
      </c>
    </row>
    <row r="3134">
      <c r="A3134" s="4">
        <v>70.0</v>
      </c>
      <c r="B3134" s="4" t="s">
        <v>8920</v>
      </c>
      <c r="C3134" s="4"/>
      <c r="D3134" s="4" t="s">
        <v>6000</v>
      </c>
      <c r="E3134" s="4" t="s">
        <v>6001</v>
      </c>
      <c r="F3134" s="4" t="s">
        <v>6002</v>
      </c>
      <c r="G3134" s="5" t="str">
        <f>IFERROR(__xludf.DUMMYFUNCTION("GOOGLETRANSLATE(D3134,""en"",""es"")"),"cathy")</f>
        <v>cathy</v>
      </c>
    </row>
    <row r="3135">
      <c r="A3135" s="4">
        <v>71.0</v>
      </c>
      <c r="B3135" s="4" t="s">
        <v>8920</v>
      </c>
      <c r="C3135" s="4"/>
      <c r="D3135" s="4" t="s">
        <v>8129</v>
      </c>
      <c r="E3135" s="4" t="s">
        <v>8130</v>
      </c>
      <c r="F3135" s="4" t="s">
        <v>8131</v>
      </c>
      <c r="G3135" s="5" t="str">
        <f>IFERROR(__xludf.DUMMYFUNCTION("GOOGLETRANSLATE(D3135,""en"",""es"")"),"malicioso")</f>
        <v>malicioso</v>
      </c>
      <c r="H3135" s="4" t="s">
        <v>8129</v>
      </c>
      <c r="I3135" s="4" t="s">
        <v>8132</v>
      </c>
      <c r="J3135" s="4" t="s">
        <v>8133</v>
      </c>
      <c r="K3135" s="4" t="s">
        <v>8129</v>
      </c>
      <c r="L3135" s="4" t="s">
        <v>8134</v>
      </c>
    </row>
    <row r="3136">
      <c r="A3136" s="4">
        <v>72.0</v>
      </c>
      <c r="B3136" s="4" t="s">
        <v>8920</v>
      </c>
      <c r="C3136" s="4"/>
      <c r="D3136" s="4" t="s">
        <v>8135</v>
      </c>
      <c r="E3136" s="4" t="s">
        <v>8136</v>
      </c>
      <c r="F3136" s="4" t="s">
        <v>8137</v>
      </c>
      <c r="G3136" s="5" t="str">
        <f>IFERROR(__xludf.DUMMYFUNCTION("GOOGLETRANSLATE(D3136,""en"",""es"")"),"Ceilán")</f>
        <v>Ceilán</v>
      </c>
      <c r="H3136" s="4" t="s">
        <v>8138</v>
      </c>
      <c r="I3136" s="4" t="s">
        <v>8139</v>
      </c>
      <c r="J3136" s="4" t="s">
        <v>8140</v>
      </c>
      <c r="K3136" s="4" t="s">
        <v>8138</v>
      </c>
    </row>
    <row r="3137">
      <c r="A3137" s="4">
        <v>73.0</v>
      </c>
      <c r="B3137" s="4" t="s">
        <v>8920</v>
      </c>
      <c r="C3137" s="4"/>
      <c r="D3137" s="4" t="s">
        <v>6003</v>
      </c>
      <c r="E3137" s="4" t="s">
        <v>6004</v>
      </c>
      <c r="F3137" s="4" t="s">
        <v>6005</v>
      </c>
      <c r="G3137" s="5" t="str">
        <f>IFERROR(__xludf.DUMMYFUNCTION("GOOGLETRANSLATE(D3137,""en"",""es"")"),"challis")</f>
        <v>challis</v>
      </c>
      <c r="H3137" s="4" t="s">
        <v>6003</v>
      </c>
    </row>
    <row r="3138">
      <c r="A3138" s="4">
        <v>74.0</v>
      </c>
      <c r="B3138" s="4" t="s">
        <v>8920</v>
      </c>
      <c r="C3138" s="4"/>
      <c r="D3138" s="4" t="s">
        <v>6006</v>
      </c>
      <c r="E3138" s="4" t="s">
        <v>6007</v>
      </c>
      <c r="F3138" s="4" t="s">
        <v>1039</v>
      </c>
      <c r="G3138" s="5" t="str">
        <f>IFERROR(__xludf.DUMMYFUNCTION("GOOGLETRANSLATE(D3138,""en"",""es"")"),"cham")</f>
        <v>cham</v>
      </c>
    </row>
    <row r="3139">
      <c r="A3139" s="4">
        <v>75.0</v>
      </c>
      <c r="B3139" s="4" t="s">
        <v>8920</v>
      </c>
      <c r="C3139" s="4"/>
      <c r="D3139" s="4" t="s">
        <v>6010</v>
      </c>
      <c r="E3139" s="4" t="s">
        <v>6011</v>
      </c>
      <c r="F3139" s="4" t="s">
        <v>6012</v>
      </c>
      <c r="G3139" s="5" t="str">
        <f>IFERROR(__xludf.DUMMYFUNCTION("GOOGLETRANSLATE(D3139,""en"",""es"")"),"chapé")</f>
        <v>chapé</v>
      </c>
    </row>
    <row r="3140">
      <c r="A3140" s="4">
        <v>76.0</v>
      </c>
      <c r="B3140" s="4" t="s">
        <v>8920</v>
      </c>
      <c r="C3140" s="4"/>
      <c r="D3140" s="4" t="s">
        <v>6013</v>
      </c>
      <c r="E3140" s="4" t="s">
        <v>6014</v>
      </c>
      <c r="F3140" s="4" t="s">
        <v>6015</v>
      </c>
      <c r="G3140" s="5" t="str">
        <f>IFERROR(__xludf.DUMMYFUNCTION("GOOGLETRANSLATE(D3140,""en"",""es"")"),"chasse")</f>
        <v>chasse</v>
      </c>
      <c r="H3140" s="4" t="s">
        <v>6013</v>
      </c>
      <c r="I3140" s="4" t="s">
        <v>6016</v>
      </c>
      <c r="J3140" s="4" t="s">
        <v>6013</v>
      </c>
      <c r="K3140" s="4" t="s">
        <v>6016</v>
      </c>
    </row>
    <row r="3141">
      <c r="A3141" s="4">
        <v>77.0</v>
      </c>
      <c r="B3141" s="4" t="s">
        <v>8920</v>
      </c>
      <c r="C3141" s="4"/>
      <c r="D3141" s="4" t="s">
        <v>6017</v>
      </c>
      <c r="E3141" s="4" t="s">
        <v>6018</v>
      </c>
      <c r="F3141" s="4" t="s">
        <v>6019</v>
      </c>
      <c r="G3141" s="5" t="str">
        <f>IFERROR(__xludf.DUMMYFUNCTION("GOOGLETRANSLATE(D3141,""en"",""es"")"),"chasis")</f>
        <v>chasis</v>
      </c>
      <c r="H3141" s="4" t="s">
        <v>6020</v>
      </c>
      <c r="I3141" s="4" t="s">
        <v>6021</v>
      </c>
      <c r="J3141" s="4" t="s">
        <v>6022</v>
      </c>
      <c r="K3141" s="4" t="s">
        <v>6023</v>
      </c>
      <c r="L3141" s="4" t="s">
        <v>6024</v>
      </c>
      <c r="M3141" s="4" t="s">
        <v>4861</v>
      </c>
      <c r="N3141" s="4" t="s">
        <v>6025</v>
      </c>
      <c r="O3141" s="4" t="s">
        <v>6026</v>
      </c>
      <c r="P3141" s="4" t="s">
        <v>6027</v>
      </c>
      <c r="Q3141" s="4" t="s">
        <v>6028</v>
      </c>
      <c r="R3141" s="4" t="s">
        <v>6017</v>
      </c>
      <c r="S3141" s="4" t="s">
        <v>6029</v>
      </c>
      <c r="T3141" s="4" t="s">
        <v>1679</v>
      </c>
      <c r="U3141" s="4" t="s">
        <v>6030</v>
      </c>
      <c r="V3141" s="4" t="s">
        <v>6017</v>
      </c>
      <c r="W3141" s="4" t="s">
        <v>6017</v>
      </c>
    </row>
    <row r="3142">
      <c r="A3142" s="4">
        <v>78.0</v>
      </c>
      <c r="B3142" s="4" t="s">
        <v>8920</v>
      </c>
      <c r="C3142" s="4"/>
      <c r="D3142" s="4" t="s">
        <v>6034</v>
      </c>
      <c r="E3142" s="4" t="s">
        <v>4687</v>
      </c>
      <c r="F3142" s="4" t="s">
        <v>287</v>
      </c>
      <c r="G3142" s="5" t="str">
        <f>IFERROR(__xludf.DUMMYFUNCTION("GOOGLETRANSLATE(D3142,""en"",""es"")"),"elegante")</f>
        <v>elegante</v>
      </c>
      <c r="H3142" s="4" t="s">
        <v>6034</v>
      </c>
      <c r="I3142" s="4" t="s">
        <v>6035</v>
      </c>
      <c r="J3142" s="4" t="s">
        <v>6031</v>
      </c>
      <c r="K3142" s="4" t="s">
        <v>6036</v>
      </c>
      <c r="L3142" s="4" t="s">
        <v>6037</v>
      </c>
      <c r="M3142" s="4" t="s">
        <v>6038</v>
      </c>
      <c r="N3142" s="4" t="s">
        <v>6039</v>
      </c>
      <c r="O3142" s="4" t="s">
        <v>6040</v>
      </c>
      <c r="P3142" s="4" t="s">
        <v>6034</v>
      </c>
      <c r="Q3142" s="4" t="s">
        <v>3502</v>
      </c>
      <c r="R3142" s="4" t="s">
        <v>8141</v>
      </c>
    </row>
    <row r="3143">
      <c r="A3143" s="4">
        <v>79.0</v>
      </c>
      <c r="B3143" s="4" t="s">
        <v>8920</v>
      </c>
      <c r="C3143" s="4"/>
      <c r="D3143" s="4" t="s">
        <v>6031</v>
      </c>
      <c r="E3143" s="4" t="s">
        <v>6032</v>
      </c>
      <c r="F3143" s="4" t="s">
        <v>6033</v>
      </c>
      <c r="G3143" s="5" t="str">
        <f>IFERROR(__xludf.DUMMYFUNCTION("GOOGLETRANSLATE(D3143,""en"",""es"")"),"chichi")</f>
        <v>chichi</v>
      </c>
      <c r="H3143" s="4" t="s">
        <v>6031</v>
      </c>
      <c r="I3143" s="4" t="s">
        <v>6034</v>
      </c>
      <c r="J3143" s="4" t="s">
        <v>6035</v>
      </c>
      <c r="K3143" s="4" t="s">
        <v>6031</v>
      </c>
      <c r="L3143" s="4" t="s">
        <v>6036</v>
      </c>
      <c r="M3143" s="4" t="s">
        <v>6037</v>
      </c>
      <c r="N3143" s="4" t="s">
        <v>6038</v>
      </c>
      <c r="O3143" s="4" t="s">
        <v>6039</v>
      </c>
      <c r="P3143" s="4" t="s">
        <v>6040</v>
      </c>
      <c r="Q3143" s="4" t="s">
        <v>6031</v>
      </c>
    </row>
    <row r="3144">
      <c r="A3144" s="4">
        <v>80.0</v>
      </c>
      <c r="B3144" s="4" t="s">
        <v>8920</v>
      </c>
      <c r="C3144" s="4"/>
      <c r="D3144" s="4" t="s">
        <v>6041</v>
      </c>
      <c r="E3144" s="4" t="s">
        <v>6042</v>
      </c>
      <c r="F3144" s="4" t="s">
        <v>6043</v>
      </c>
      <c r="G3144" s="5" t="str">
        <f>IFERROR(__xludf.DUMMYFUNCTION("GOOGLETRANSLATE(D3144,""en"",""es"")"),"chinook")</f>
        <v>chinook</v>
      </c>
      <c r="H3144" s="4" t="s">
        <v>6041</v>
      </c>
      <c r="I3144" s="4" t="s">
        <v>6044</v>
      </c>
      <c r="J3144" s="4" t="s">
        <v>6045</v>
      </c>
      <c r="K3144" s="4" t="s">
        <v>6046</v>
      </c>
      <c r="L3144" s="4" t="s">
        <v>6047</v>
      </c>
      <c r="M3144" s="4" t="s">
        <v>6041</v>
      </c>
      <c r="N3144" s="4" t="s">
        <v>6048</v>
      </c>
      <c r="O3144" s="4" t="s">
        <v>6049</v>
      </c>
      <c r="P3144" s="4" t="s">
        <v>6046</v>
      </c>
      <c r="Q3144" s="4" t="s">
        <v>6041</v>
      </c>
      <c r="R3144" s="4" t="s">
        <v>6047</v>
      </c>
      <c r="S3144" s="4" t="s">
        <v>6048</v>
      </c>
      <c r="T3144" s="4" t="s">
        <v>6050</v>
      </c>
      <c r="U3144" s="4" t="s">
        <v>6051</v>
      </c>
    </row>
    <row r="3145">
      <c r="A3145" s="4">
        <v>81.0</v>
      </c>
      <c r="B3145" s="4" t="s">
        <v>8920</v>
      </c>
      <c r="C3145" s="4"/>
      <c r="D3145" s="4" t="s">
        <v>8142</v>
      </c>
      <c r="E3145" s="4" t="s">
        <v>8143</v>
      </c>
      <c r="F3145" s="4" t="s">
        <v>8144</v>
      </c>
      <c r="G3145" s="5" t="str">
        <f>IFERROR(__xludf.DUMMYFUNCTION("GOOGLETRANSLATE(D3145,""en"",""es"")"),"choupique")</f>
        <v>choupique</v>
      </c>
    </row>
    <row r="3146">
      <c r="A3146" s="4">
        <v>82.0</v>
      </c>
      <c r="B3146" s="4" t="s">
        <v>8920</v>
      </c>
      <c r="C3146" s="4"/>
      <c r="D3146" s="4" t="s">
        <v>8145</v>
      </c>
      <c r="E3146" s="4" t="s">
        <v>8146</v>
      </c>
      <c r="F3146" s="4" t="s">
        <v>8147</v>
      </c>
      <c r="G3146" s="5" t="str">
        <f>IFERROR(__xludf.DUMMYFUNCTION("GOOGLETRANSLATE(D3146,""en"",""es"")"),"cthónico")</f>
        <v>cthónico</v>
      </c>
      <c r="H3146" s="4" t="s">
        <v>8148</v>
      </c>
      <c r="I3146" s="4" t="s">
        <v>8145</v>
      </c>
      <c r="J3146" s="4" t="s">
        <v>8149</v>
      </c>
    </row>
    <row r="3147">
      <c r="A3147" s="4">
        <v>83.0</v>
      </c>
      <c r="B3147" s="4" t="s">
        <v>8920</v>
      </c>
      <c r="C3147" s="4"/>
      <c r="D3147" s="4" t="s">
        <v>8150</v>
      </c>
      <c r="E3147" s="4" t="s">
        <v>8151</v>
      </c>
      <c r="F3147" s="4" t="s">
        <v>8152</v>
      </c>
      <c r="G3147" s="5" t="str">
        <f>IFERROR(__xludf.DUMMYFUNCTION("GOOGLETRANSLATE(D3147,""en"",""es"")"),"canela")</f>
        <v>canela</v>
      </c>
      <c r="H3147" s="4" t="s">
        <v>8150</v>
      </c>
      <c r="I3147" s="4" t="s">
        <v>8153</v>
      </c>
      <c r="J3147" s="4" t="s">
        <v>8150</v>
      </c>
      <c r="K3147" s="4" t="s">
        <v>8154</v>
      </c>
      <c r="L3147" s="4" t="s">
        <v>8155</v>
      </c>
      <c r="M3147" s="4" t="s">
        <v>8156</v>
      </c>
      <c r="N3147" s="4" t="s">
        <v>8150</v>
      </c>
    </row>
    <row r="3148">
      <c r="A3148" s="4">
        <v>84.0</v>
      </c>
      <c r="B3148" s="4" t="s">
        <v>8920</v>
      </c>
      <c r="C3148" s="4"/>
      <c r="D3148" s="4" t="s">
        <v>6052</v>
      </c>
      <c r="E3148" s="4" t="s">
        <v>6053</v>
      </c>
      <c r="F3148" s="4" t="s">
        <v>4004</v>
      </c>
      <c r="G3148" s="5" t="str">
        <f>IFERROR(__xludf.DUMMYFUNCTION("GOOGLETRANSLATE(D3148,""en"",""es"")"),"cis")</f>
        <v>cis</v>
      </c>
      <c r="H3148" s="4" t="s">
        <v>6054</v>
      </c>
      <c r="I3148" s="4" t="s">
        <v>6055</v>
      </c>
      <c r="J3148" s="4" t="s">
        <v>6056</v>
      </c>
      <c r="K3148" s="4" t="s">
        <v>6057</v>
      </c>
    </row>
    <row r="3149">
      <c r="A3149" s="4">
        <v>85.0</v>
      </c>
      <c r="B3149" s="4" t="s">
        <v>8920</v>
      </c>
      <c r="C3149" s="4"/>
      <c r="D3149" s="4" t="s">
        <v>6058</v>
      </c>
      <c r="E3149" s="4" t="s">
        <v>6053</v>
      </c>
      <c r="F3149" s="4" t="s">
        <v>4004</v>
      </c>
      <c r="G3149" s="5" t="str">
        <f>IFERROR(__xludf.DUMMYFUNCTION("GOOGLETRANSLATE(D3149,""en"",""es"")"),"lata")</f>
        <v>lata</v>
      </c>
      <c r="H3149" s="4" t="s">
        <v>6054</v>
      </c>
      <c r="I3149" s="4" t="s">
        <v>6055</v>
      </c>
    </row>
    <row r="3150">
      <c r="A3150" s="4">
        <v>86.0</v>
      </c>
      <c r="B3150" s="4" t="s">
        <v>8920</v>
      </c>
      <c r="C3150" s="4"/>
      <c r="D3150" s="4" t="s">
        <v>6059</v>
      </c>
      <c r="E3150" s="4" t="s">
        <v>6060</v>
      </c>
      <c r="F3150" s="4" t="s">
        <v>6061</v>
      </c>
      <c r="G3150" s="5" t="str">
        <f>IFERROR(__xludf.DUMMYFUNCTION("GOOGLETRANSLATE(D3150,""en"",""es"")"),"mariquita")</f>
        <v>mariquita</v>
      </c>
      <c r="H3150" s="4" t="s">
        <v>6062</v>
      </c>
      <c r="I3150" s="4" t="s">
        <v>6063</v>
      </c>
      <c r="J3150" s="4" t="s">
        <v>6064</v>
      </c>
      <c r="K3150" s="4" t="s">
        <v>6059</v>
      </c>
      <c r="L3150" s="4" t="s">
        <v>6065</v>
      </c>
      <c r="M3150" s="4" t="s">
        <v>6066</v>
      </c>
      <c r="N3150" s="4" t="s">
        <v>6067</v>
      </c>
    </row>
    <row r="3151">
      <c r="A3151" s="4">
        <v>87.0</v>
      </c>
      <c r="B3151" s="4" t="s">
        <v>8920</v>
      </c>
      <c r="C3151" s="4"/>
      <c r="D3151" s="4" t="s">
        <v>6068</v>
      </c>
      <c r="E3151" s="4" t="s">
        <v>6069</v>
      </c>
      <c r="F3151" s="4" t="s">
        <v>4019</v>
      </c>
      <c r="G3151" s="5" t="str">
        <f>IFERROR(__xludf.DUMMYFUNCTION("GOOGLETRANSLATE(D3151,""en"",""es"")"),"ciudad")</f>
        <v>ciudad</v>
      </c>
      <c r="H3151" s="4" t="s">
        <v>6068</v>
      </c>
      <c r="I3151" s="4" t="s">
        <v>6070</v>
      </c>
      <c r="J3151" s="4" t="s">
        <v>6071</v>
      </c>
      <c r="K3151" s="4" t="s">
        <v>6068</v>
      </c>
      <c r="L3151" s="4" t="s">
        <v>6068</v>
      </c>
      <c r="M3151" s="4" t="s">
        <v>6070</v>
      </c>
    </row>
    <row r="3152">
      <c r="A3152" s="4">
        <v>88.0</v>
      </c>
      <c r="B3152" s="4" t="s">
        <v>8920</v>
      </c>
      <c r="C3152" s="4"/>
      <c r="D3152" s="4" t="s">
        <v>3596</v>
      </c>
      <c r="E3152" s="4" t="s">
        <v>8158</v>
      </c>
      <c r="F3152" s="4" t="s">
        <v>319</v>
      </c>
      <c r="G3152" s="5" t="str">
        <f>IFERROR(__xludf.DUMMYFUNCTION("GOOGLETRANSLATE(D3152,""en"",""es"")"),"polla")</f>
        <v>polla</v>
      </c>
      <c r="H3152" s="4" t="s">
        <v>3596</v>
      </c>
      <c r="I3152" s="4" t="s">
        <v>3497</v>
      </c>
      <c r="J3152" s="4" t="s">
        <v>3597</v>
      </c>
      <c r="K3152" s="4" t="s">
        <v>3598</v>
      </c>
      <c r="L3152" s="4" t="s">
        <v>3599</v>
      </c>
      <c r="M3152" s="4" t="s">
        <v>3600</v>
      </c>
      <c r="N3152" s="4" t="s">
        <v>3601</v>
      </c>
      <c r="O3152" s="4" t="s">
        <v>3602</v>
      </c>
      <c r="P3152" s="4" t="s">
        <v>8159</v>
      </c>
      <c r="Q3152" s="4" t="s">
        <v>3596</v>
      </c>
      <c r="R3152" s="4" t="s">
        <v>8160</v>
      </c>
      <c r="S3152" s="4" t="s">
        <v>8161</v>
      </c>
      <c r="T3152" s="4" t="s">
        <v>3596</v>
      </c>
      <c r="U3152" s="4" t="s">
        <v>3596</v>
      </c>
      <c r="V3152" s="4" t="s">
        <v>8162</v>
      </c>
      <c r="W3152" s="4" t="s">
        <v>3596</v>
      </c>
      <c r="X3152" s="4" t="s">
        <v>3596</v>
      </c>
      <c r="Y3152" s="4" t="s">
        <v>3596</v>
      </c>
      <c r="Z3152" s="4" t="s">
        <v>8163</v>
      </c>
      <c r="AA3152" s="4" t="s">
        <v>8164</v>
      </c>
      <c r="AB3152" s="4" t="s">
        <v>8165</v>
      </c>
      <c r="AC3152" s="4" t="s">
        <v>8166</v>
      </c>
      <c r="AD3152" s="4" t="s">
        <v>8167</v>
      </c>
      <c r="AE3152" s="4" t="s">
        <v>6016</v>
      </c>
      <c r="AF3152" s="4" t="s">
        <v>3596</v>
      </c>
    </row>
    <row r="3153">
      <c r="A3153" s="4">
        <v>89.0</v>
      </c>
      <c r="B3153" s="4" t="s">
        <v>8920</v>
      </c>
      <c r="C3153" s="4"/>
      <c r="D3153" s="4" t="s">
        <v>8168</v>
      </c>
      <c r="E3153" s="4" t="s">
        <v>8169</v>
      </c>
      <c r="F3153" s="4" t="s">
        <v>1297</v>
      </c>
      <c r="G3153" s="5" t="str">
        <f>IFERROR(__xludf.DUMMYFUNCTION("GOOGLETRANSLATE(D3153,""en"",""es"")"),"engreído")</f>
        <v>engreído</v>
      </c>
      <c r="H3153" s="4" t="s">
        <v>8168</v>
      </c>
    </row>
    <row r="3154">
      <c r="A3154" s="4">
        <v>90.0</v>
      </c>
      <c r="B3154" s="4" t="s">
        <v>8920</v>
      </c>
      <c r="C3154" s="4"/>
      <c r="D3154" s="4" t="s">
        <v>8170</v>
      </c>
      <c r="E3154" s="4" t="s">
        <v>8171</v>
      </c>
      <c r="F3154" s="4" t="s">
        <v>8172</v>
      </c>
      <c r="G3154" s="5" t="str">
        <f>IFERROR(__xludf.DUMMYFUNCTION("GOOGLETRANSLATE(D3154,""en"",""es"")"),"colin")</f>
        <v>colin</v>
      </c>
    </row>
    <row r="3155">
      <c r="A3155" s="4">
        <v>91.0</v>
      </c>
      <c r="B3155" s="4" t="s">
        <v>8920</v>
      </c>
      <c r="C3155" s="4"/>
      <c r="D3155" s="4" t="s">
        <v>8173</v>
      </c>
      <c r="E3155" s="4" t="s">
        <v>8174</v>
      </c>
      <c r="F3155" s="4" t="s">
        <v>8172</v>
      </c>
      <c r="G3155" s="5" t="str">
        <f>IFERROR(__xludf.DUMMYFUNCTION("GOOGLETRANSLATE(D3155,""en"",""es"")"),"muchacha")</f>
        <v>muchacha</v>
      </c>
      <c r="H3155" s="4" t="s">
        <v>8173</v>
      </c>
    </row>
    <row r="3156">
      <c r="A3156" s="4">
        <v>92.0</v>
      </c>
      <c r="B3156" s="4" t="s">
        <v>8920</v>
      </c>
      <c r="C3156" s="4"/>
      <c r="D3156" s="4" t="s">
        <v>8175</v>
      </c>
      <c r="E3156" s="4" t="s">
        <v>8176</v>
      </c>
      <c r="F3156" s="4" t="s">
        <v>8177</v>
      </c>
      <c r="G3156" s="5" t="str">
        <f>IFERROR(__xludf.DUMMYFUNCTION("GOOGLETRANSLATE(D3156,""en"",""es"")"),"cómic")</f>
        <v>cómic</v>
      </c>
      <c r="H3156" s="4" t="s">
        <v>8178</v>
      </c>
      <c r="I3156" s="4" t="s">
        <v>8175</v>
      </c>
      <c r="J3156" s="4" t="s">
        <v>8179</v>
      </c>
      <c r="K3156" s="4" t="s">
        <v>8175</v>
      </c>
      <c r="L3156" s="4" t="s">
        <v>8180</v>
      </c>
      <c r="M3156" s="4" t="s">
        <v>8181</v>
      </c>
      <c r="N3156" s="4" t="s">
        <v>8182</v>
      </c>
      <c r="O3156" s="4" t="s">
        <v>8183</v>
      </c>
      <c r="P3156" s="4" t="s">
        <v>8184</v>
      </c>
      <c r="Q3156" s="4" t="s">
        <v>8175</v>
      </c>
    </row>
    <row r="3157">
      <c r="A3157" s="4">
        <v>93.0</v>
      </c>
      <c r="B3157" s="4" t="s">
        <v>8920</v>
      </c>
      <c r="C3157" s="4"/>
      <c r="D3157" s="4" t="s">
        <v>8185</v>
      </c>
      <c r="E3157" s="4" t="s">
        <v>5929</v>
      </c>
      <c r="F3157" s="4" t="s">
        <v>1122</v>
      </c>
      <c r="G3157" s="5" t="str">
        <f>IFERROR(__xludf.DUMMYFUNCTION("GOOGLETRANSLATE(D3157,""en"",""es"")"),"estafa")</f>
        <v>estafa</v>
      </c>
      <c r="H3157" s="4" t="s">
        <v>8185</v>
      </c>
      <c r="I3157" s="4" t="s">
        <v>8186</v>
      </c>
      <c r="J3157" s="4" t="s">
        <v>8185</v>
      </c>
      <c r="K3157" s="4" t="s">
        <v>8187</v>
      </c>
      <c r="L3157" s="4" t="s">
        <v>8188</v>
      </c>
      <c r="M3157" s="4" t="s">
        <v>8189</v>
      </c>
      <c r="N3157" s="4" t="s">
        <v>8190</v>
      </c>
      <c r="O3157" s="4" t="s">
        <v>8191</v>
      </c>
      <c r="P3157" s="4" t="s">
        <v>8192</v>
      </c>
      <c r="Q3157" s="4" t="s">
        <v>8193</v>
      </c>
      <c r="R3157" s="4" t="s">
        <v>8185</v>
      </c>
      <c r="S3157" s="4" t="s">
        <v>8194</v>
      </c>
      <c r="T3157" s="4" t="s">
        <v>8195</v>
      </c>
      <c r="U3157" s="4" t="s">
        <v>8196</v>
      </c>
      <c r="V3157" s="4" t="s">
        <v>8197</v>
      </c>
      <c r="W3157" s="4" t="s">
        <v>8198</v>
      </c>
      <c r="X3157" s="4" t="s">
        <v>3482</v>
      </c>
      <c r="Y3157" s="4" t="s">
        <v>8199</v>
      </c>
      <c r="Z3157" s="4" t="s">
        <v>8200</v>
      </c>
      <c r="AA3157" s="4" t="s">
        <v>8201</v>
      </c>
      <c r="AB3157" s="4" t="s">
        <v>8202</v>
      </c>
      <c r="AC3157" s="4" t="s">
        <v>1977</v>
      </c>
      <c r="AD3157" s="4" t="s">
        <v>6308</v>
      </c>
      <c r="AE3157" s="4" t="s">
        <v>8203</v>
      </c>
      <c r="AF3157" s="4" t="s">
        <v>8190</v>
      </c>
      <c r="AG3157" s="4" t="s">
        <v>8204</v>
      </c>
      <c r="AH3157" s="4" t="s">
        <v>8205</v>
      </c>
      <c r="AI3157" s="4" t="s">
        <v>8206</v>
      </c>
      <c r="AJ3157" s="4" t="s">
        <v>8197</v>
      </c>
      <c r="AK3157" s="4" t="s">
        <v>8207</v>
      </c>
      <c r="AL3157" s="4" t="s">
        <v>8208</v>
      </c>
      <c r="AM3157" s="4" t="s">
        <v>8209</v>
      </c>
      <c r="AN3157" s="4" t="s">
        <v>8185</v>
      </c>
      <c r="AO3157" s="4" t="s">
        <v>8210</v>
      </c>
      <c r="AP3157" s="4" t="s">
        <v>8211</v>
      </c>
      <c r="AQ3157" s="4" t="s">
        <v>8185</v>
      </c>
      <c r="AR3157" s="4" t="s">
        <v>7934</v>
      </c>
      <c r="AS3157" s="4" t="s">
        <v>8185</v>
      </c>
    </row>
    <row r="3158">
      <c r="A3158" s="4">
        <v>94.0</v>
      </c>
      <c r="B3158" s="4" t="s">
        <v>8920</v>
      </c>
      <c r="C3158" s="4"/>
      <c r="D3158" s="4" t="s">
        <v>8212</v>
      </c>
      <c r="E3158" s="4" t="s">
        <v>8213</v>
      </c>
      <c r="F3158" s="4" t="s">
        <v>8214</v>
      </c>
      <c r="G3158" s="5" t="str">
        <f>IFERROR(__xludf.DUMMYFUNCTION("GOOGLETRANSLATE(D3158,""en"",""es"")"),"cónico")</f>
        <v>cónico</v>
      </c>
      <c r="H3158" s="4" t="s">
        <v>8215</v>
      </c>
      <c r="I3158" s="4" t="s">
        <v>8212</v>
      </c>
      <c r="J3158" s="4" t="s">
        <v>8212</v>
      </c>
      <c r="K3158" s="4" t="s">
        <v>8216</v>
      </c>
      <c r="L3158" s="4" t="s">
        <v>8217</v>
      </c>
      <c r="M3158" s="4" t="s">
        <v>8218</v>
      </c>
    </row>
    <row r="3159">
      <c r="A3159" s="4">
        <v>95.0</v>
      </c>
      <c r="B3159" s="4" t="s">
        <v>8920</v>
      </c>
      <c r="C3159" s="4"/>
      <c r="D3159" s="4" t="s">
        <v>8219</v>
      </c>
      <c r="E3159" s="4" t="s">
        <v>5929</v>
      </c>
      <c r="F3159" s="4" t="s">
        <v>1122</v>
      </c>
      <c r="G3159" s="5" t="str">
        <f>IFERROR(__xludf.DUMMYFUNCTION("GOOGLETRANSLATE(D3159,""en"",""es"")"),"conn.")</f>
        <v>conn.</v>
      </c>
      <c r="H3159" s="4" t="s">
        <v>8219</v>
      </c>
    </row>
    <row r="3160">
      <c r="A3160" s="4">
        <v>96.0</v>
      </c>
      <c r="B3160" s="4" t="s">
        <v>8920</v>
      </c>
      <c r="C3160" s="4"/>
      <c r="D3160" s="4" t="s">
        <v>8220</v>
      </c>
      <c r="E3160" s="4" t="s">
        <v>1581</v>
      </c>
      <c r="F3160" s="4" t="s">
        <v>1582</v>
      </c>
      <c r="G3160" s="5" t="str">
        <f>IFERROR(__xludf.DUMMYFUNCTION("GOOGLETRANSLATE(D3160,""en"",""es"")"),"arrullo")</f>
        <v>arrullo</v>
      </c>
      <c r="H3160" s="4" t="s">
        <v>8220</v>
      </c>
      <c r="I3160" s="4" t="s">
        <v>8220</v>
      </c>
      <c r="J3160" s="4" t="s">
        <v>8220</v>
      </c>
    </row>
    <row r="3161">
      <c r="A3161" s="4">
        <v>97.0</v>
      </c>
      <c r="B3161" s="4" t="s">
        <v>8920</v>
      </c>
      <c r="C3161" s="4"/>
      <c r="D3161" s="4" t="s">
        <v>6072</v>
      </c>
      <c r="E3161" s="4" t="s">
        <v>6073</v>
      </c>
      <c r="F3161" s="4" t="s">
        <v>1588</v>
      </c>
      <c r="G3161" s="5" t="str">
        <f>IFERROR(__xludf.DUMMYFUNCTION("GOOGLETRANSLATE(D3161,""en"",""es"")"),"cocinero")</f>
        <v>cocinero</v>
      </c>
      <c r="H3161" s="4" t="s">
        <v>6072</v>
      </c>
      <c r="I3161" s="4" t="s">
        <v>6074</v>
      </c>
      <c r="J3161" s="4" t="s">
        <v>6075</v>
      </c>
      <c r="K3161" s="4" t="s">
        <v>6076</v>
      </c>
      <c r="L3161" s="4" t="s">
        <v>6077</v>
      </c>
      <c r="M3161" s="4" t="s">
        <v>6072</v>
      </c>
      <c r="N3161" s="4" t="s">
        <v>6072</v>
      </c>
      <c r="O3161" s="4" t="s">
        <v>6078</v>
      </c>
      <c r="P3161" s="4" t="s">
        <v>6079</v>
      </c>
      <c r="Q3161" s="4" t="s">
        <v>3000</v>
      </c>
      <c r="R3161" s="4" t="s">
        <v>6080</v>
      </c>
      <c r="S3161" s="4" t="s">
        <v>6072</v>
      </c>
      <c r="T3161" s="4" t="s">
        <v>6081</v>
      </c>
      <c r="U3161" s="4" t="s">
        <v>2424</v>
      </c>
      <c r="V3161" s="4" t="s">
        <v>6082</v>
      </c>
      <c r="W3161" s="4" t="s">
        <v>6083</v>
      </c>
      <c r="X3161" s="4" t="s">
        <v>6072</v>
      </c>
      <c r="Y3161" s="4" t="s">
        <v>6084</v>
      </c>
      <c r="Z3161" s="4" t="s">
        <v>6085</v>
      </c>
      <c r="AA3161" s="4" t="s">
        <v>6072</v>
      </c>
    </row>
    <row r="3162">
      <c r="A3162" s="4">
        <v>98.0</v>
      </c>
      <c r="B3162" s="4" t="s">
        <v>8920</v>
      </c>
      <c r="C3162" s="4"/>
      <c r="D3162" s="4" t="s">
        <v>1554</v>
      </c>
      <c r="E3162" s="4" t="s">
        <v>6086</v>
      </c>
      <c r="F3162" s="4" t="s">
        <v>1556</v>
      </c>
      <c r="G3162" s="5" t="str">
        <f>IFERROR(__xludf.DUMMYFUNCTION("GOOGLETRANSLATE(D3162,""en"",""es"")"),"Galleta")</f>
        <v>Galleta</v>
      </c>
      <c r="H3162" s="4" t="s">
        <v>1554</v>
      </c>
      <c r="I3162" s="4" t="s">
        <v>6087</v>
      </c>
      <c r="J3162" s="4" t="s">
        <v>6088</v>
      </c>
      <c r="K3162" s="4" t="s">
        <v>1554</v>
      </c>
      <c r="L3162" s="4" t="s">
        <v>6087</v>
      </c>
      <c r="M3162" s="4" t="s">
        <v>1554</v>
      </c>
    </row>
    <row r="3163">
      <c r="A3163" s="4">
        <v>99.0</v>
      </c>
      <c r="B3163" s="4" t="s">
        <v>8920</v>
      </c>
      <c r="C3163" s="4"/>
      <c r="D3163" s="4" t="s">
        <v>6089</v>
      </c>
      <c r="E3163" s="4" t="s">
        <v>1479</v>
      </c>
      <c r="F3163" s="4" t="s">
        <v>1480</v>
      </c>
      <c r="G3163" s="5" t="str">
        <f>IFERROR(__xludf.DUMMYFUNCTION("GOOGLETRANSLATE(D3163,""en"",""es"")"),"cooley")</f>
        <v>cooley</v>
      </c>
    </row>
    <row r="3164">
      <c r="A3164" s="4">
        <v>100.0</v>
      </c>
      <c r="B3164" s="4" t="s">
        <v>8920</v>
      </c>
      <c r="C3164" s="4"/>
      <c r="D3164" s="4" t="s">
        <v>8221</v>
      </c>
      <c r="E3164" s="4" t="s">
        <v>8222</v>
      </c>
      <c r="F3164" s="4" t="s">
        <v>8223</v>
      </c>
      <c r="G3164" s="5" t="str">
        <f>IFERROR(__xludf.DUMMYFUNCTION("GOOGLETRANSLATE(D3164,""en"",""es"")"),"mapache")</f>
        <v>mapache</v>
      </c>
      <c r="H3164" s="4" t="s">
        <v>8221</v>
      </c>
      <c r="I3164" s="4" t="s">
        <v>8224</v>
      </c>
      <c r="J3164" s="4" t="s">
        <v>8225</v>
      </c>
      <c r="K3164" s="4" t="s">
        <v>8226</v>
      </c>
      <c r="L3164" s="4" t="s">
        <v>8221</v>
      </c>
      <c r="M3164" s="4" t="s">
        <v>8227</v>
      </c>
      <c r="N3164" s="4" t="s">
        <v>8228</v>
      </c>
      <c r="O3164" s="4" t="s">
        <v>8229</v>
      </c>
      <c r="P3164" s="4" t="s">
        <v>8230</v>
      </c>
      <c r="Q3164" s="4" t="s">
        <v>8221</v>
      </c>
      <c r="R3164" s="4" t="s">
        <v>8231</v>
      </c>
      <c r="S3164" s="4" t="s">
        <v>8232</v>
      </c>
    </row>
    <row r="3165">
      <c r="A3165" s="4">
        <v>101.0</v>
      </c>
      <c r="B3165" s="4" t="s">
        <v>8920</v>
      </c>
      <c r="C3165" s="4"/>
      <c r="D3165" s="4" t="s">
        <v>6296</v>
      </c>
      <c r="E3165" s="4" t="s">
        <v>8233</v>
      </c>
      <c r="F3165" s="4" t="s">
        <v>322</v>
      </c>
      <c r="G3165" s="5" t="str">
        <f>IFERROR(__xludf.DUMMYFUNCTION("GOOGLETRANSLATE(D3165,""en"",""es"")"),"policía")</f>
        <v>policía</v>
      </c>
      <c r="H3165" s="4" t="s">
        <v>8234</v>
      </c>
      <c r="I3165" s="4" t="s">
        <v>6296</v>
      </c>
      <c r="J3165" s="4" t="s">
        <v>8235</v>
      </c>
      <c r="K3165" s="4" t="s">
        <v>5355</v>
      </c>
      <c r="L3165" s="4" t="s">
        <v>5084</v>
      </c>
      <c r="M3165" s="4" t="s">
        <v>6278</v>
      </c>
      <c r="N3165" s="4" t="s">
        <v>6294</v>
      </c>
      <c r="O3165" s="4" t="s">
        <v>6295</v>
      </c>
      <c r="P3165" s="4" t="s">
        <v>6296</v>
      </c>
      <c r="Q3165" s="4" t="s">
        <v>6297</v>
      </c>
      <c r="R3165" s="4" t="s">
        <v>6298</v>
      </c>
      <c r="S3165" s="4" t="s">
        <v>1457</v>
      </c>
      <c r="T3165" s="4" t="s">
        <v>8236</v>
      </c>
      <c r="U3165" s="4" t="s">
        <v>8237</v>
      </c>
      <c r="V3165" s="4" t="s">
        <v>8238</v>
      </c>
      <c r="W3165" s="4" t="s">
        <v>2678</v>
      </c>
      <c r="X3165" s="4" t="s">
        <v>8239</v>
      </c>
      <c r="Y3165" s="4" t="s">
        <v>6296</v>
      </c>
    </row>
    <row r="3166">
      <c r="A3166" s="4">
        <v>102.0</v>
      </c>
      <c r="B3166" s="4" t="s">
        <v>8920</v>
      </c>
      <c r="C3166" s="4"/>
      <c r="D3166" s="4" t="s">
        <v>1910</v>
      </c>
      <c r="E3166" s="4" t="s">
        <v>8240</v>
      </c>
      <c r="F3166" s="4" t="s">
        <v>5638</v>
      </c>
      <c r="G3166" s="5" t="str">
        <f>IFERROR(__xludf.DUMMYFUNCTION("GOOGLETRANSLATE(D3166,""en"",""es"")"),"Copiar")</f>
        <v>Copiar</v>
      </c>
      <c r="H3166" s="4" t="s">
        <v>8241</v>
      </c>
      <c r="I3166" s="4" t="s">
        <v>1910</v>
      </c>
      <c r="J3166" s="4" t="s">
        <v>1910</v>
      </c>
      <c r="K3166" s="4" t="s">
        <v>1910</v>
      </c>
      <c r="L3166" s="4" t="s">
        <v>8242</v>
      </c>
      <c r="M3166" s="4" t="s">
        <v>1910</v>
      </c>
      <c r="N3166" s="4" t="s">
        <v>1910</v>
      </c>
      <c r="O3166" s="4" t="s">
        <v>1909</v>
      </c>
      <c r="P3166" s="4" t="s">
        <v>1910</v>
      </c>
      <c r="Q3166" s="4" t="s">
        <v>1911</v>
      </c>
      <c r="R3166" s="4" t="s">
        <v>8243</v>
      </c>
      <c r="S3166" s="4" t="s">
        <v>1910</v>
      </c>
      <c r="T3166" s="4" t="s">
        <v>1910</v>
      </c>
      <c r="U3166" s="4" t="s">
        <v>8244</v>
      </c>
    </row>
    <row r="3167">
      <c r="A3167" s="4">
        <v>103.0</v>
      </c>
      <c r="B3167" s="4" t="s">
        <v>8920</v>
      </c>
      <c r="C3167" s="4"/>
      <c r="D3167" s="4" t="s">
        <v>8245</v>
      </c>
      <c r="E3167" s="4" t="s">
        <v>8246</v>
      </c>
      <c r="F3167" s="4" t="s">
        <v>1336</v>
      </c>
      <c r="G3167" s="5" t="str">
        <f>IFERROR(__xludf.DUMMYFUNCTION("GOOGLETRANSLATE(D3167,""en"",""es"")"),"costilla")</f>
        <v>costilla</v>
      </c>
      <c r="H3167" s="4" t="s">
        <v>8247</v>
      </c>
      <c r="I3167" s="4" t="s">
        <v>8245</v>
      </c>
      <c r="J3167" s="4" t="s">
        <v>8245</v>
      </c>
      <c r="K3167" s="4" t="s">
        <v>8248</v>
      </c>
      <c r="L3167" s="4" t="s">
        <v>8249</v>
      </c>
      <c r="M3167" s="4" t="s">
        <v>8250</v>
      </c>
      <c r="N3167" s="4" t="s">
        <v>8251</v>
      </c>
      <c r="O3167" s="4" t="s">
        <v>8252</v>
      </c>
      <c r="P3167" s="4" t="s">
        <v>8253</v>
      </c>
      <c r="Q3167" s="4" t="s">
        <v>8254</v>
      </c>
      <c r="R3167" s="4" t="s">
        <v>8255</v>
      </c>
      <c r="S3167" s="4" t="s">
        <v>8256</v>
      </c>
      <c r="T3167" s="4" t="s">
        <v>8257</v>
      </c>
      <c r="U3167" s="4" t="s">
        <v>8253</v>
      </c>
      <c r="V3167" s="4" t="s">
        <v>8258</v>
      </c>
      <c r="W3167" s="4" t="s">
        <v>8259</v>
      </c>
      <c r="X3167" s="4" t="s">
        <v>8253</v>
      </c>
    </row>
    <row r="3168">
      <c r="A3168" s="4">
        <v>104.0</v>
      </c>
      <c r="B3168" s="4" t="s">
        <v>8920</v>
      </c>
      <c r="C3168" s="4"/>
      <c r="D3168" s="4" t="s">
        <v>8260</v>
      </c>
      <c r="E3168" s="4" t="s">
        <v>8261</v>
      </c>
      <c r="F3168" s="4" t="s">
        <v>8262</v>
      </c>
      <c r="G3168" s="5" t="str">
        <f>IFERROR(__xludf.DUMMYFUNCTION("GOOGLETRANSLATE(D3168,""en"",""es"")"),"cosaco")</f>
        <v>cosaco</v>
      </c>
      <c r="H3168" s="4" t="s">
        <v>8263</v>
      </c>
    </row>
    <row r="3169">
      <c r="A3169" s="4">
        <v>105.0</v>
      </c>
      <c r="B3169" s="4" t="s">
        <v>8920</v>
      </c>
      <c r="C3169" s="4"/>
      <c r="D3169" s="4" t="s">
        <v>8264</v>
      </c>
      <c r="E3169" s="4" t="s">
        <v>1479</v>
      </c>
      <c r="F3169" s="4" t="s">
        <v>1480</v>
      </c>
      <c r="G3169" s="5" t="str">
        <f>IFERROR(__xludf.DUMMYFUNCTION("GOOGLETRANSLATE(D3169,""en"",""es"")"),"corriente de lava")</f>
        <v>corriente de lava</v>
      </c>
    </row>
    <row r="3170">
      <c r="A3170" s="4">
        <v>106.0</v>
      </c>
      <c r="B3170" s="4" t="s">
        <v>8920</v>
      </c>
      <c r="C3170" s="4"/>
      <c r="D3170" s="4" t="s">
        <v>8265</v>
      </c>
      <c r="E3170" s="4" t="s">
        <v>8266</v>
      </c>
      <c r="F3170" s="4" t="s">
        <v>8267</v>
      </c>
      <c r="G3170" s="5" t="str">
        <f>IFERROR(__xludf.DUMMYFUNCTION("GOOGLETRANSLATE(D3170,""en"",""es"")"),"culombio")</f>
        <v>culombio</v>
      </c>
      <c r="H3170" s="4" t="s">
        <v>8265</v>
      </c>
      <c r="I3170" s="4" t="s">
        <v>8268</v>
      </c>
      <c r="J3170" s="4" t="s">
        <v>8269</v>
      </c>
      <c r="K3170" s="4" t="s">
        <v>8270</v>
      </c>
      <c r="L3170" s="4" t="s">
        <v>8271</v>
      </c>
    </row>
    <row r="3171">
      <c r="A3171" s="4">
        <v>107.0</v>
      </c>
      <c r="B3171" s="4" t="s">
        <v>8920</v>
      </c>
      <c r="C3171" s="4"/>
      <c r="D3171" s="4" t="s">
        <v>8272</v>
      </c>
      <c r="E3171" s="4" t="s">
        <v>1581</v>
      </c>
      <c r="F3171" s="4" t="s">
        <v>1582</v>
      </c>
      <c r="G3171" s="5" t="str">
        <f>IFERROR(__xludf.DUMMYFUNCTION("GOOGLETRANSLATE(D3171,""en"",""es"")"),"golpe")</f>
        <v>golpe</v>
      </c>
      <c r="H3171" s="4" t="s">
        <v>8273</v>
      </c>
      <c r="I3171" s="4" t="s">
        <v>8272</v>
      </c>
      <c r="J3171" s="4" t="s">
        <v>8274</v>
      </c>
      <c r="K3171" s="4" t="s">
        <v>8275</v>
      </c>
      <c r="L3171" s="4" t="s">
        <v>8272</v>
      </c>
    </row>
    <row r="3172">
      <c r="A3172" s="4">
        <v>108.0</v>
      </c>
      <c r="B3172" s="4" t="s">
        <v>8920</v>
      </c>
      <c r="C3172" s="4"/>
      <c r="D3172" s="4" t="s">
        <v>8276</v>
      </c>
      <c r="E3172" s="4" t="s">
        <v>8277</v>
      </c>
      <c r="F3172" s="4" t="s">
        <v>8278</v>
      </c>
      <c r="G3172" s="5" t="str">
        <f>IFERROR(__xludf.DUMMYFUNCTION("GOOGLETRANSLATE(D3172,""en"",""es"")"),"maleta")</f>
        <v>maleta</v>
      </c>
      <c r="H3172" s="4" t="s">
        <v>8276</v>
      </c>
    </row>
    <row r="3173">
      <c r="A3173" s="4">
        <v>109.0</v>
      </c>
      <c r="B3173" s="4" t="s">
        <v>8920</v>
      </c>
      <c r="C3173" s="4"/>
      <c r="D3173" s="4" t="s">
        <v>8279</v>
      </c>
      <c r="E3173" s="4" t="s">
        <v>8280</v>
      </c>
      <c r="F3173" s="4" t="s">
        <v>8281</v>
      </c>
      <c r="G3173" s="5" t="str">
        <f>IFERROR(__xludf.DUMMYFUNCTION("GOOGLETRANSLATE(D3173,""en"",""es"")"),"chavito")</f>
        <v>chavito</v>
      </c>
      <c r="H3173" s="4" t="s">
        <v>8279</v>
      </c>
    </row>
    <row r="3174">
      <c r="A3174" s="4">
        <v>110.0</v>
      </c>
      <c r="B3174" s="4" t="s">
        <v>8920</v>
      </c>
      <c r="C3174" s="4"/>
      <c r="D3174" s="4" t="s">
        <v>8282</v>
      </c>
      <c r="E3174" s="4" t="s">
        <v>8283</v>
      </c>
      <c r="F3174" s="4" t="s">
        <v>8284</v>
      </c>
      <c r="G3174" s="5" t="str">
        <f>IFERROR(__xludf.DUMMYFUNCTION("GOOGLETRANSLATE(D3174,""en"",""es"")"),"UPC")</f>
        <v>UPC</v>
      </c>
      <c r="H3174" s="4" t="s">
        <v>8285</v>
      </c>
      <c r="I3174" s="4" t="s">
        <v>8286</v>
      </c>
      <c r="J3174" s="4" t="s">
        <v>8287</v>
      </c>
      <c r="K3174" s="4" t="s">
        <v>8288</v>
      </c>
      <c r="L3174" s="4" t="s">
        <v>8289</v>
      </c>
      <c r="M3174" s="4" t="s">
        <v>8290</v>
      </c>
    </row>
    <row r="3175">
      <c r="A3175" s="4">
        <v>111.0</v>
      </c>
      <c r="B3175" s="4" t="s">
        <v>8920</v>
      </c>
      <c r="C3175" s="4"/>
      <c r="D3175" s="4" t="s">
        <v>6090</v>
      </c>
      <c r="E3175" s="4" t="s">
        <v>6091</v>
      </c>
      <c r="F3175" s="4" t="s">
        <v>6092</v>
      </c>
      <c r="G3175" s="5" t="str">
        <f>IFERROR(__xludf.DUMMYFUNCTION("GOOGLETRANSLATE(D3175,""en"",""es"")"),"semen")</f>
        <v>semen</v>
      </c>
      <c r="H3175" s="4" t="s">
        <v>6093</v>
      </c>
      <c r="I3175" s="4" t="s">
        <v>6094</v>
      </c>
      <c r="J3175" s="4" t="s">
        <v>6095</v>
      </c>
      <c r="K3175" s="4" t="s">
        <v>6096</v>
      </c>
      <c r="L3175" s="4" t="s">
        <v>6090</v>
      </c>
      <c r="M3175" s="4" t="s">
        <v>4146</v>
      </c>
    </row>
    <row r="3176">
      <c r="A3176" s="4">
        <v>112.0</v>
      </c>
      <c r="B3176" s="4" t="s">
        <v>8920</v>
      </c>
      <c r="C3176" s="4"/>
      <c r="D3176" s="4" t="s">
        <v>1521</v>
      </c>
      <c r="E3176" s="4" t="s">
        <v>8291</v>
      </c>
      <c r="F3176" s="4" t="s">
        <v>8292</v>
      </c>
      <c r="G3176" s="5" t="str">
        <f>IFERROR(__xludf.DUMMYFUNCTION("GOOGLETRANSLATE(D3176,""en"",""es"")"),"comino")</f>
        <v>comino</v>
      </c>
      <c r="H3176" s="4" t="s">
        <v>1521</v>
      </c>
      <c r="I3176" s="4" t="s">
        <v>1525</v>
      </c>
      <c r="J3176" s="4" t="s">
        <v>1521</v>
      </c>
      <c r="K3176" s="4" t="s">
        <v>1522</v>
      </c>
    </row>
    <row r="3177">
      <c r="A3177" s="4">
        <v>113.0</v>
      </c>
      <c r="B3177" s="4" t="s">
        <v>8920</v>
      </c>
      <c r="C3177" s="4"/>
      <c r="D3177" s="4" t="s">
        <v>1521</v>
      </c>
      <c r="E3177" s="4" t="s">
        <v>8293</v>
      </c>
      <c r="F3177" s="4" t="s">
        <v>8292</v>
      </c>
      <c r="G3177" s="5" t="str">
        <f>IFERROR(__xludf.DUMMYFUNCTION("GOOGLETRANSLATE(D3177,""en"",""es"")"),"comino")</f>
        <v>comino</v>
      </c>
      <c r="H3177" s="4" t="s">
        <v>1521</v>
      </c>
      <c r="I3177" s="4" t="s">
        <v>1525</v>
      </c>
      <c r="J3177" s="4" t="s">
        <v>1521</v>
      </c>
      <c r="K3177" s="4" t="s">
        <v>1522</v>
      </c>
    </row>
    <row r="3178">
      <c r="A3178" s="4">
        <v>114.0</v>
      </c>
      <c r="B3178" s="4" t="s">
        <v>8920</v>
      </c>
      <c r="C3178" s="4"/>
      <c r="D3178" s="4" t="s">
        <v>6097</v>
      </c>
      <c r="E3178" s="4" t="s">
        <v>6098</v>
      </c>
      <c r="F3178" s="4" t="s">
        <v>6099</v>
      </c>
      <c r="G3178" s="5" t="str">
        <f>IFERROR(__xludf.DUMMYFUNCTION("GOOGLETRANSLATE(D3178,""en"",""es"")"),"cusa")</f>
        <v>cusa</v>
      </c>
    </row>
    <row r="3179">
      <c r="A3179" s="4">
        <v>115.0</v>
      </c>
      <c r="B3179" s="4" t="s">
        <v>8920</v>
      </c>
      <c r="C3179" s="4"/>
      <c r="D3179" s="4" t="s">
        <v>6100</v>
      </c>
      <c r="E3179" s="4" t="s">
        <v>6101</v>
      </c>
      <c r="F3179" s="4" t="s">
        <v>1451</v>
      </c>
      <c r="G3179" s="5" t="str">
        <f>IFERROR(__xludf.DUMMYFUNCTION("GOOGLETRANSLATE(D3179,""en"",""es"")"),"fácil")</f>
        <v>fácil</v>
      </c>
      <c r="H3179" s="4" t="s">
        <v>6100</v>
      </c>
      <c r="I3179" s="4" t="s">
        <v>6102</v>
      </c>
      <c r="J3179" s="4" t="s">
        <v>6103</v>
      </c>
    </row>
    <row r="3180">
      <c r="A3180" s="4">
        <v>116.0</v>
      </c>
      <c r="B3180" s="4" t="s">
        <v>8920</v>
      </c>
      <c r="C3180" s="4"/>
      <c r="D3180" s="4" t="s">
        <v>6104</v>
      </c>
      <c r="E3180" s="4" t="s">
        <v>6091</v>
      </c>
      <c r="F3180" s="4" t="s">
        <v>6092</v>
      </c>
      <c r="G3180" s="5" t="str">
        <f>IFERROR(__xludf.DUMMYFUNCTION("GOOGLETRANSLATE(D3180,""en"",""es"")"),"CWM")</f>
        <v>CWM</v>
      </c>
      <c r="H3180" s="4" t="s">
        <v>6105</v>
      </c>
      <c r="I3180" s="4" t="s">
        <v>6106</v>
      </c>
      <c r="J3180" s="4" t="s">
        <v>6104</v>
      </c>
    </row>
    <row r="3181">
      <c r="A3181" s="4">
        <v>117.0</v>
      </c>
      <c r="B3181" s="4" t="s">
        <v>8920</v>
      </c>
      <c r="C3181" s="4"/>
      <c r="D3181" s="4" t="s">
        <v>1716</v>
      </c>
      <c r="E3181" s="4" t="s">
        <v>6107</v>
      </c>
      <c r="F3181" s="4" t="s">
        <v>1712</v>
      </c>
      <c r="G3181" s="5" t="str">
        <f>IFERROR(__xludf.DUMMYFUNCTION("GOOGLETRANSLATE(D3181,""en"",""es"")"),"cínico")</f>
        <v>cínico</v>
      </c>
      <c r="H3181" s="4" t="s">
        <v>1716</v>
      </c>
      <c r="I3181" s="4" t="s">
        <v>1717</v>
      </c>
      <c r="J3181" s="4" t="s">
        <v>6108</v>
      </c>
    </row>
    <row r="3182">
      <c r="A3182" s="4">
        <v>118.0</v>
      </c>
      <c r="B3182" s="4" t="s">
        <v>8920</v>
      </c>
      <c r="C3182" s="4"/>
      <c r="D3182" s="4" t="s">
        <v>8294</v>
      </c>
      <c r="E3182" s="4" t="s">
        <v>8295</v>
      </c>
      <c r="F3182" s="4" t="s">
        <v>6328</v>
      </c>
      <c r="G3182" s="5" t="str">
        <f>IFERROR(__xludf.DUMMYFUNCTION("GOOGLETRANSLATE(D3182,""en"",""es"")"),"eek")</f>
        <v>eek</v>
      </c>
    </row>
    <row r="3183">
      <c r="A3183" s="4">
        <v>119.0</v>
      </c>
      <c r="B3183" s="4" t="s">
        <v>8920</v>
      </c>
      <c r="C3183" s="4"/>
      <c r="D3183" s="4" t="s">
        <v>6109</v>
      </c>
      <c r="E3183" s="4" t="s">
        <v>6110</v>
      </c>
      <c r="F3183" s="4" t="s">
        <v>6111</v>
      </c>
      <c r="G3183" s="5" t="str">
        <f>IFERROR(__xludf.DUMMYFUNCTION("GOOGLETRANSLATE(D3183,""en"",""es"")"),"EEP")</f>
        <v>EEP</v>
      </c>
    </row>
    <row r="3184">
      <c r="A3184" s="4">
        <v>120.0</v>
      </c>
      <c r="B3184" s="4" t="s">
        <v>8920</v>
      </c>
      <c r="C3184" s="4"/>
      <c r="D3184" s="4" t="s">
        <v>8296</v>
      </c>
      <c r="E3184" s="4" t="s">
        <v>8295</v>
      </c>
      <c r="F3184" s="4" t="s">
        <v>6328</v>
      </c>
      <c r="G3184" s="5" t="str">
        <f>IFERROR(__xludf.DUMMYFUNCTION("GOOGLETRANSLATE(D3184,""en"",""es"")"),"suplir las deficiencias")</f>
        <v>suplir las deficiencias</v>
      </c>
    </row>
    <row r="3185">
      <c r="A3185" s="4">
        <v>121.0</v>
      </c>
      <c r="B3185" s="4" t="s">
        <v>8920</v>
      </c>
      <c r="C3185" s="4"/>
      <c r="D3185" s="4" t="s">
        <v>8297</v>
      </c>
      <c r="E3185" s="4" t="s">
        <v>8298</v>
      </c>
      <c r="F3185" s="4" t="s">
        <v>8299</v>
      </c>
      <c r="G3185" s="5" t="str">
        <f>IFERROR(__xludf.DUMMYFUNCTION("GOOGLETRANSLATE(D3185,""en"",""es"")"),"época")</f>
        <v>época</v>
      </c>
      <c r="H3185" s="4" t="s">
        <v>8300</v>
      </c>
      <c r="I3185" s="4" t="s">
        <v>8297</v>
      </c>
      <c r="J3185" s="4" t="s">
        <v>8297</v>
      </c>
      <c r="K3185" s="4" t="s">
        <v>8301</v>
      </c>
      <c r="L3185" s="4" t="s">
        <v>8297</v>
      </c>
    </row>
    <row r="3186">
      <c r="A3186" s="4">
        <v>122.0</v>
      </c>
      <c r="B3186" s="4" t="s">
        <v>8920</v>
      </c>
      <c r="C3186" s="4"/>
      <c r="D3186" s="4" t="s">
        <v>8302</v>
      </c>
      <c r="E3186" s="4" t="s">
        <v>8303</v>
      </c>
      <c r="F3186" s="4" t="s">
        <v>8304</v>
      </c>
      <c r="G3186" s="5" t="str">
        <f>IFERROR(__xludf.DUMMYFUNCTION("GOOGLETRANSLATE(D3186,""en"",""es"")"),"evitar")</f>
        <v>evitar</v>
      </c>
      <c r="H3186" s="4" t="s">
        <v>8305</v>
      </c>
      <c r="I3186" s="4" t="s">
        <v>8302</v>
      </c>
    </row>
    <row r="3187">
      <c r="A3187" s="4">
        <v>123.0</v>
      </c>
      <c r="B3187" s="4" t="s">
        <v>8920</v>
      </c>
      <c r="C3187" s="4"/>
      <c r="D3187" s="4" t="s">
        <v>6112</v>
      </c>
      <c r="E3187" s="4" t="s">
        <v>6113</v>
      </c>
      <c r="F3187" s="4" t="s">
        <v>6114</v>
      </c>
      <c r="G3187" s="5" t="str">
        <f>IFERROR(__xludf.DUMMYFUNCTION("GOOGLETRANSLATE(D3187,""en"",""es"")"),"eunice")</f>
        <v>eunice</v>
      </c>
    </row>
    <row r="3188">
      <c r="A3188" s="4">
        <v>124.0</v>
      </c>
      <c r="B3188" s="4" t="s">
        <v>8920</v>
      </c>
      <c r="C3188" s="4"/>
      <c r="D3188" s="4" t="s">
        <v>6115</v>
      </c>
      <c r="E3188" s="4" t="s">
        <v>6116</v>
      </c>
      <c r="F3188" s="4" t="s">
        <v>6117</v>
      </c>
      <c r="G3188" s="5" t="str">
        <f>IFERROR(__xludf.DUMMYFUNCTION("GOOGLETRANSLATE(D3188,""en"",""es"")"),"expediente")</f>
        <v>expediente</v>
      </c>
    </row>
    <row r="3189">
      <c r="A3189" s="4">
        <v>125.0</v>
      </c>
      <c r="B3189" s="4" t="s">
        <v>8920</v>
      </c>
      <c r="C3189" s="4"/>
      <c r="D3189" s="4" t="s">
        <v>6118</v>
      </c>
      <c r="E3189" s="4" t="s">
        <v>6119</v>
      </c>
      <c r="F3189" s="4" t="s">
        <v>6120</v>
      </c>
      <c r="G3189" s="5" t="str">
        <f>IFERROR(__xludf.DUMMYFUNCTION("GOOGLETRANSLATE(D3189,""en"",""es"")"),"Eyak")</f>
        <v>Eyak</v>
      </c>
    </row>
    <row r="3190">
      <c r="A3190" s="4">
        <v>126.0</v>
      </c>
      <c r="B3190" s="4" t="s">
        <v>8920</v>
      </c>
      <c r="C3190" s="4"/>
      <c r="D3190" s="4" t="s">
        <v>6121</v>
      </c>
      <c r="E3190" s="4" t="s">
        <v>6122</v>
      </c>
      <c r="F3190" s="4" t="s">
        <v>383</v>
      </c>
      <c r="G3190" s="5" t="str">
        <f>IFERROR(__xludf.DUMMYFUNCTION("GOOGLETRANSLATE(D3190,""en"",""es"")"),"rechinar")</f>
        <v>rechinar</v>
      </c>
      <c r="H3190" s="4" t="s">
        <v>6121</v>
      </c>
    </row>
    <row r="3191">
      <c r="A3191" s="4">
        <v>127.0</v>
      </c>
      <c r="B3191" s="4" t="s">
        <v>8920</v>
      </c>
      <c r="C3191" s="4"/>
      <c r="D3191" s="4" t="s">
        <v>3492</v>
      </c>
      <c r="E3191" s="4" t="s">
        <v>6126</v>
      </c>
      <c r="F3191" s="4" t="s">
        <v>6127</v>
      </c>
      <c r="G3191" s="5" t="str">
        <f>IFERROR(__xludf.DUMMYFUNCTION("GOOGLETRANSLATE(D3191,""en"",""es"")"),"cortar a tajos")</f>
        <v>cortar a tajos</v>
      </c>
      <c r="H3191" s="4" t="s">
        <v>3492</v>
      </c>
      <c r="I3191" s="4" t="s">
        <v>6128</v>
      </c>
      <c r="J3191" s="4" t="s">
        <v>6129</v>
      </c>
      <c r="K3191" s="4" t="s">
        <v>6130</v>
      </c>
      <c r="L3191" s="4" t="s">
        <v>6131</v>
      </c>
      <c r="M3191" s="4" t="s">
        <v>6132</v>
      </c>
      <c r="N3191" s="4" t="s">
        <v>3492</v>
      </c>
      <c r="O3191" s="4" t="s">
        <v>3492</v>
      </c>
      <c r="P3191" s="4" t="s">
        <v>6133</v>
      </c>
      <c r="Q3191" s="4" t="s">
        <v>6134</v>
      </c>
      <c r="R3191" s="4" t="s">
        <v>3492</v>
      </c>
      <c r="S3191" s="4" t="s">
        <v>6135</v>
      </c>
      <c r="T3191" s="4" t="s">
        <v>3492</v>
      </c>
      <c r="U3191" s="4" t="s">
        <v>6136</v>
      </c>
      <c r="V3191" s="4" t="s">
        <v>6137</v>
      </c>
      <c r="W3191" s="4" t="s">
        <v>3492</v>
      </c>
      <c r="X3191" s="4" t="s">
        <v>6138</v>
      </c>
      <c r="Y3191" s="4" t="s">
        <v>6139</v>
      </c>
      <c r="Z3191" s="4" t="s">
        <v>4323</v>
      </c>
      <c r="AA3191" s="4" t="s">
        <v>3492</v>
      </c>
      <c r="AB3191" s="4" t="s">
        <v>3492</v>
      </c>
      <c r="AC3191" s="4" t="s">
        <v>3491</v>
      </c>
      <c r="AD3191" s="4" t="s">
        <v>3492</v>
      </c>
      <c r="AE3191" s="4" t="s">
        <v>3492</v>
      </c>
      <c r="AF3191" s="4" t="s">
        <v>1250</v>
      </c>
      <c r="AG3191" s="4" t="s">
        <v>3492</v>
      </c>
      <c r="AH3191" s="4" t="s">
        <v>3492</v>
      </c>
      <c r="AI3191" s="4" t="s">
        <v>3492</v>
      </c>
      <c r="AJ3191" s="4" t="s">
        <v>3492</v>
      </c>
      <c r="AK3191" s="4" t="s">
        <v>6140</v>
      </c>
      <c r="AL3191" s="4" t="s">
        <v>3492</v>
      </c>
      <c r="AM3191" s="4" t="s">
        <v>4288</v>
      </c>
      <c r="AN3191" s="4" t="s">
        <v>3492</v>
      </c>
      <c r="AO3191" s="4" t="s">
        <v>6141</v>
      </c>
    </row>
    <row r="3192">
      <c r="A3192" s="4">
        <v>128.0</v>
      </c>
      <c r="B3192" s="4" t="s">
        <v>8920</v>
      </c>
      <c r="C3192" s="4"/>
      <c r="D3192" s="4" t="s">
        <v>6142</v>
      </c>
      <c r="E3192" s="4" t="s">
        <v>4874</v>
      </c>
      <c r="F3192" s="4" t="s">
        <v>4812</v>
      </c>
      <c r="G3192" s="5" t="str">
        <f>IFERROR(__xludf.DUMMYFUNCTION("GOOGLETRANSLATE(D3192,""en"",""es"")"),"jajaja")</f>
        <v>jajaja</v>
      </c>
    </row>
    <row r="3193">
      <c r="A3193" s="4">
        <v>129.0</v>
      </c>
      <c r="B3193" s="4" t="s">
        <v>8920</v>
      </c>
      <c r="C3193" s="4"/>
      <c r="D3193" s="4" t="s">
        <v>8310</v>
      </c>
      <c r="E3193" s="4" t="s">
        <v>8311</v>
      </c>
      <c r="F3193" s="4" t="s">
        <v>1786</v>
      </c>
      <c r="G3193" s="5" t="str">
        <f>IFERROR(__xludf.DUMMYFUNCTION("GOOGLETRANSLATE(D3193,""en"",""es"")"),"Hahn")</f>
        <v>Hahn</v>
      </c>
      <c r="H3193" s="4" t="s">
        <v>8312</v>
      </c>
      <c r="I3193" s="4" t="s">
        <v>8313</v>
      </c>
    </row>
    <row r="3194">
      <c r="A3194" s="4">
        <v>130.0</v>
      </c>
      <c r="B3194" s="4" t="s">
        <v>8920</v>
      </c>
      <c r="C3194" s="4"/>
      <c r="D3194" s="4" t="s">
        <v>4814</v>
      </c>
      <c r="E3194" s="4" t="s">
        <v>6143</v>
      </c>
      <c r="F3194" s="4" t="s">
        <v>4814</v>
      </c>
      <c r="G3194" s="5" t="str">
        <f>IFERROR(__xludf.DUMMYFUNCTION("GOOGLETRANSLATE(D3194,""en"",""es"")"),"Hal")</f>
        <v>Hal</v>
      </c>
    </row>
    <row r="3195">
      <c r="A3195" s="4">
        <v>131.0</v>
      </c>
      <c r="B3195" s="4" t="s">
        <v>8920</v>
      </c>
      <c r="C3195" s="4"/>
      <c r="D3195" s="4" t="s">
        <v>6144</v>
      </c>
      <c r="E3195" s="4" t="s">
        <v>6145</v>
      </c>
      <c r="F3195" s="4" t="s">
        <v>6146</v>
      </c>
      <c r="G3195" s="5" t="str">
        <f>IFERROR(__xludf.DUMMYFUNCTION("GOOGLETRANSLATE(D3195,""en"",""es"")"),"halley")</f>
        <v>halley</v>
      </c>
      <c r="H3195" s="4" t="s">
        <v>6147</v>
      </c>
      <c r="I3195" s="4" t="s">
        <v>6148</v>
      </c>
      <c r="J3195" s="4" t="s">
        <v>6149</v>
      </c>
    </row>
    <row r="3196">
      <c r="A3196" s="4">
        <v>132.0</v>
      </c>
      <c r="B3196" s="4" t="s">
        <v>8920</v>
      </c>
      <c r="C3196" s="4"/>
      <c r="D3196" s="4" t="s">
        <v>6150</v>
      </c>
      <c r="E3196" s="4" t="s">
        <v>6145</v>
      </c>
      <c r="F3196" s="4" t="s">
        <v>6146</v>
      </c>
      <c r="G3196" s="5" t="str">
        <f>IFERROR(__xludf.DUMMYFUNCTION("GOOGLETRANSLATE(D3196,""en"",""es"")"),"Hally")</f>
        <v>Hally</v>
      </c>
    </row>
    <row r="3197">
      <c r="A3197" s="4">
        <v>133.0</v>
      </c>
      <c r="B3197" s="4" t="s">
        <v>8920</v>
      </c>
      <c r="C3197" s="4"/>
      <c r="D3197" s="4" t="s">
        <v>1778</v>
      </c>
      <c r="E3197" s="4" t="s">
        <v>6151</v>
      </c>
      <c r="F3197" s="4" t="s">
        <v>1778</v>
      </c>
      <c r="G3197" s="5" t="str">
        <f>IFERROR(__xludf.DUMMYFUNCTION("GOOGLETRANSLATE(D3197,""en"",""es"")"),"jamón")</f>
        <v>jamón</v>
      </c>
      <c r="H3197" s="4" t="s">
        <v>1778</v>
      </c>
      <c r="I3197" s="4" t="s">
        <v>6152</v>
      </c>
      <c r="J3197" s="4" t="s">
        <v>6153</v>
      </c>
      <c r="K3197" s="4" t="s">
        <v>6154</v>
      </c>
      <c r="L3197" s="4" t="s">
        <v>1778</v>
      </c>
      <c r="M3197" s="4" t="s">
        <v>1778</v>
      </c>
      <c r="N3197" s="4" t="s">
        <v>6155</v>
      </c>
      <c r="O3197" s="4" t="s">
        <v>6156</v>
      </c>
      <c r="P3197" s="4" t="s">
        <v>6157</v>
      </c>
      <c r="Q3197" s="4" t="s">
        <v>1778</v>
      </c>
      <c r="R3197" s="4" t="s">
        <v>6158</v>
      </c>
    </row>
    <row r="3198">
      <c r="A3198" s="4">
        <v>134.0</v>
      </c>
      <c r="B3198" s="4" t="s">
        <v>8920</v>
      </c>
      <c r="C3198" s="4"/>
      <c r="D3198" s="4" t="s">
        <v>1786</v>
      </c>
      <c r="E3198" s="4" t="s">
        <v>4876</v>
      </c>
      <c r="F3198" s="4" t="s">
        <v>1786</v>
      </c>
      <c r="G3198" s="5" t="str">
        <f>IFERROR(__xludf.DUMMYFUNCTION("GOOGLETRANSLATE(D3198,""en"",""es"")"),"Han")</f>
        <v>Han</v>
      </c>
      <c r="H3198" s="4" t="s">
        <v>6159</v>
      </c>
      <c r="I3198" s="4" t="s">
        <v>6160</v>
      </c>
    </row>
    <row r="3199">
      <c r="A3199" s="4">
        <v>135.0</v>
      </c>
      <c r="B3199" s="4" t="s">
        <v>8920</v>
      </c>
      <c r="C3199" s="4"/>
      <c r="D3199" s="4" t="s">
        <v>1786</v>
      </c>
      <c r="E3199" s="4" t="s">
        <v>8311</v>
      </c>
      <c r="F3199" s="4" t="s">
        <v>1786</v>
      </c>
      <c r="G3199" s="5" t="str">
        <f>IFERROR(__xludf.DUMMYFUNCTION("GOOGLETRANSLATE(D3199,""en"",""es"")"),"Han")</f>
        <v>Han</v>
      </c>
      <c r="H3199" s="4" t="s">
        <v>6159</v>
      </c>
      <c r="I3199" s="4" t="s">
        <v>6160</v>
      </c>
    </row>
    <row r="3200">
      <c r="A3200" s="4">
        <v>136.0</v>
      </c>
      <c r="B3200" s="4" t="s">
        <v>8920</v>
      </c>
      <c r="C3200" s="4"/>
      <c r="D3200" s="4" t="s">
        <v>3399</v>
      </c>
      <c r="E3200" s="4" t="s">
        <v>6161</v>
      </c>
      <c r="F3200" s="4" t="s">
        <v>3399</v>
      </c>
      <c r="G3200" s="5" t="str">
        <f>IFERROR(__xludf.DUMMYFUNCTION("GOOGLETRANSLATE(D3200,""en"",""es"")"),"tener suerte")</f>
        <v>tener suerte</v>
      </c>
      <c r="H3200" s="4" t="s">
        <v>3399</v>
      </c>
      <c r="I3200" s="4" t="s">
        <v>3398</v>
      </c>
      <c r="J3200" s="4" t="s">
        <v>3399</v>
      </c>
      <c r="K3200" s="4" t="s">
        <v>3400</v>
      </c>
      <c r="L3200" s="4" t="s">
        <v>3401</v>
      </c>
      <c r="M3200" s="4" t="s">
        <v>3402</v>
      </c>
      <c r="N3200" s="4" t="s">
        <v>647</v>
      </c>
      <c r="O3200" s="4" t="s">
        <v>3403</v>
      </c>
      <c r="P3200" s="4" t="s">
        <v>3404</v>
      </c>
      <c r="Q3200" s="4" t="s">
        <v>3405</v>
      </c>
    </row>
    <row r="3201">
      <c r="A3201" s="4">
        <v>137.0</v>
      </c>
      <c r="B3201" s="4" t="s">
        <v>8920</v>
      </c>
      <c r="C3201" s="4"/>
      <c r="D3201" s="4" t="s">
        <v>6162</v>
      </c>
      <c r="E3201" s="4" t="s">
        <v>6163</v>
      </c>
      <c r="F3201" s="4" t="s">
        <v>6164</v>
      </c>
      <c r="G3201" s="5" t="str">
        <f>IFERROR(__xludf.DUMMYFUNCTION("GOOGLETRANSLATE(D3201,""en"",""es"")"),"felicidad")</f>
        <v>felicidad</v>
      </c>
      <c r="H3201" s="4" t="s">
        <v>6162</v>
      </c>
      <c r="I3201" s="4" t="s">
        <v>6165</v>
      </c>
      <c r="J3201" s="4" t="s">
        <v>6162</v>
      </c>
    </row>
    <row r="3202">
      <c r="A3202" s="4">
        <v>138.0</v>
      </c>
      <c r="B3202" s="4" t="s">
        <v>8920</v>
      </c>
      <c r="C3202" s="4"/>
      <c r="D3202" s="4" t="s">
        <v>6166</v>
      </c>
      <c r="E3202" s="4" t="s">
        <v>6167</v>
      </c>
      <c r="F3202" s="4" t="s">
        <v>6168</v>
      </c>
      <c r="G3202" s="5" t="str">
        <f>IFERROR(__xludf.DUMMYFUNCTION("GOOGLETRANSLATE(D3202,""en"",""es"")"),"contento")</f>
        <v>contento</v>
      </c>
      <c r="H3202" s="4" t="s">
        <v>6166</v>
      </c>
      <c r="I3202" s="4" t="s">
        <v>6169</v>
      </c>
      <c r="J3202" s="4" t="s">
        <v>6166</v>
      </c>
      <c r="K3202" s="4" t="s">
        <v>6170</v>
      </c>
      <c r="L3202" s="4" t="s">
        <v>6166</v>
      </c>
      <c r="M3202" s="4" t="s">
        <v>6166</v>
      </c>
      <c r="N3202" s="4" t="s">
        <v>6171</v>
      </c>
    </row>
    <row r="3203">
      <c r="A3203" s="4">
        <v>139.0</v>
      </c>
      <c r="B3203" s="4" t="s">
        <v>8920</v>
      </c>
      <c r="C3203" s="4"/>
      <c r="D3203" s="4" t="s">
        <v>6172</v>
      </c>
      <c r="E3203" s="4" t="s">
        <v>6173</v>
      </c>
      <c r="F3203" s="4" t="s">
        <v>6172</v>
      </c>
      <c r="G3203" s="5" t="str">
        <f>IFERROR(__xludf.DUMMYFUNCTION("GOOGLETRANSLATE(D3203,""en"",""es"")"),"picadillo")</f>
        <v>picadillo</v>
      </c>
      <c r="H3203" s="4" t="s">
        <v>6172</v>
      </c>
      <c r="I3203" s="4" t="s">
        <v>6174</v>
      </c>
      <c r="J3203" s="4" t="s">
        <v>6175</v>
      </c>
      <c r="K3203" s="4" t="s">
        <v>6176</v>
      </c>
      <c r="L3203" s="4" t="s">
        <v>6172</v>
      </c>
      <c r="M3203" s="4" t="s">
        <v>6172</v>
      </c>
    </row>
    <row r="3204">
      <c r="A3204" s="4">
        <v>140.0</v>
      </c>
      <c r="B3204" s="4" t="s">
        <v>8920</v>
      </c>
      <c r="C3204" s="4"/>
      <c r="D3204" s="4" t="s">
        <v>6174</v>
      </c>
      <c r="E3204" s="4" t="s">
        <v>6177</v>
      </c>
      <c r="F3204" s="4" t="s">
        <v>6174</v>
      </c>
      <c r="G3204" s="5" t="str">
        <f>IFERROR(__xludf.DUMMYFUNCTION("GOOGLETRANSLATE(D3204,""en"",""es"")"),"hachís")</f>
        <v>hachís</v>
      </c>
      <c r="H3204" s="4" t="s">
        <v>6174</v>
      </c>
      <c r="I3204" s="4" t="s">
        <v>6175</v>
      </c>
      <c r="J3204" s="4" t="s">
        <v>6176</v>
      </c>
      <c r="K3204" s="4" t="s">
        <v>6172</v>
      </c>
    </row>
    <row r="3205">
      <c r="A3205" s="4">
        <v>141.0</v>
      </c>
      <c r="B3205" s="4" t="s">
        <v>8920</v>
      </c>
      <c r="C3205" s="4"/>
      <c r="D3205" s="4" t="s">
        <v>6178</v>
      </c>
      <c r="E3205" s="4" t="s">
        <v>6179</v>
      </c>
      <c r="F3205" s="4" t="s">
        <v>6178</v>
      </c>
      <c r="G3205" s="5" t="str">
        <f>IFERROR(__xludf.DUMMYFUNCTION("GOOGLETRANSLATE(D3205,""en"",""es"")"),"ha")</f>
        <v>ha</v>
      </c>
    </row>
    <row r="3206">
      <c r="A3206" s="4">
        <v>142.0</v>
      </c>
      <c r="B3206" s="4" t="s">
        <v>8920</v>
      </c>
      <c r="C3206" s="4"/>
      <c r="D3206" s="4" t="s">
        <v>6180</v>
      </c>
      <c r="E3206" s="4" t="s">
        <v>6181</v>
      </c>
      <c r="F3206" s="4" t="s">
        <v>6182</v>
      </c>
      <c r="G3206" s="5" t="str">
        <f>IFERROR(__xludf.DUMMYFUNCTION("GOOGLETRANSLATE(D3206,""en"",""es"")"),"él")</f>
        <v>él</v>
      </c>
      <c r="H3206" s="4" t="s">
        <v>6183</v>
      </c>
      <c r="I3206" s="4" t="s">
        <v>6184</v>
      </c>
      <c r="J3206" s="4" t="s">
        <v>6185</v>
      </c>
      <c r="K3206" s="4" t="s">
        <v>6180</v>
      </c>
    </row>
    <row r="3207">
      <c r="A3207" s="4">
        <v>143.0</v>
      </c>
      <c r="B3207" s="4" t="s">
        <v>8920</v>
      </c>
      <c r="C3207" s="4"/>
      <c r="D3207" s="4" t="s">
        <v>6186</v>
      </c>
      <c r="E3207" s="4" t="s">
        <v>6187</v>
      </c>
      <c r="F3207" s="4" t="s">
        <v>6188</v>
      </c>
      <c r="G3207" s="5" t="str">
        <f>IFERROR(__xludf.DUMMYFUNCTION("GOOGLETRANSLATE(D3207,""en"",""es"")"),"infierno")</f>
        <v>infierno</v>
      </c>
    </row>
    <row r="3208">
      <c r="A3208" s="4">
        <v>144.0</v>
      </c>
      <c r="B3208" s="4" t="s">
        <v>8920</v>
      </c>
      <c r="C3208" s="4"/>
      <c r="D3208" s="4" t="s">
        <v>6189</v>
      </c>
      <c r="E3208" s="4" t="s">
        <v>6190</v>
      </c>
      <c r="F3208" s="4" t="s">
        <v>6191</v>
      </c>
      <c r="G3208" s="5" t="str">
        <f>IFERROR(__xludf.DUMMYFUNCTION("GOOGLETRANSLATE(D3208,""en"",""es"")"),"dobladillo")</f>
        <v>dobladillo</v>
      </c>
      <c r="H3208" s="4" t="s">
        <v>6189</v>
      </c>
      <c r="I3208" s="4" t="s">
        <v>6189</v>
      </c>
      <c r="J3208" s="4" t="s">
        <v>6192</v>
      </c>
      <c r="K3208" s="4" t="s">
        <v>6189</v>
      </c>
      <c r="L3208" s="4" t="s">
        <v>6189</v>
      </c>
    </row>
    <row r="3209">
      <c r="A3209" s="4">
        <v>145.0</v>
      </c>
      <c r="B3209" s="4" t="s">
        <v>8920</v>
      </c>
      <c r="C3209" s="4"/>
      <c r="D3209" s="4" t="s">
        <v>6193</v>
      </c>
      <c r="E3209" s="4" t="s">
        <v>6194</v>
      </c>
      <c r="F3209" s="4" t="s">
        <v>6195</v>
      </c>
      <c r="G3209" s="5" t="str">
        <f>IFERROR(__xludf.DUMMYFUNCTION("GOOGLETRANSLATE(D3209,""en"",""es"")"),"hemítico")</f>
        <v>hemítico</v>
      </c>
      <c r="H3209" s="4" t="s">
        <v>6193</v>
      </c>
      <c r="I3209" s="4" t="s">
        <v>6196</v>
      </c>
      <c r="J3209" s="4" t="s">
        <v>6197</v>
      </c>
      <c r="K3209" s="4" t="s">
        <v>6198</v>
      </c>
    </row>
    <row r="3210">
      <c r="A3210" s="4">
        <v>146.0</v>
      </c>
      <c r="B3210" s="4" t="s">
        <v>8920</v>
      </c>
      <c r="C3210" s="4"/>
      <c r="D3210" s="4" t="s">
        <v>6199</v>
      </c>
      <c r="E3210" s="4" t="s">
        <v>6200</v>
      </c>
      <c r="F3210" s="4" t="s">
        <v>6201</v>
      </c>
      <c r="G3210" s="5" t="str">
        <f>IFERROR(__xludf.DUMMYFUNCTION("GOOGLETRANSLATE(D3210,""en"",""es"")"),"hemina")</f>
        <v>hemina</v>
      </c>
      <c r="H3210" s="4" t="s">
        <v>6199</v>
      </c>
      <c r="I3210" s="4" t="s">
        <v>6202</v>
      </c>
    </row>
    <row r="3211">
      <c r="A3211" s="4">
        <v>147.0</v>
      </c>
      <c r="B3211" s="4" t="s">
        <v>8920</v>
      </c>
      <c r="C3211" s="4"/>
      <c r="D3211" s="4" t="s">
        <v>6203</v>
      </c>
      <c r="E3211" s="4" t="s">
        <v>6204</v>
      </c>
      <c r="F3211" s="4" t="s">
        <v>6205</v>
      </c>
      <c r="G3211" s="5" t="str">
        <f>IFERROR(__xludf.DUMMYFUNCTION("GOOGLETRANSLATE(D3211,""en"",""es"")"),"hepático")</f>
        <v>hepático</v>
      </c>
      <c r="H3211" s="4" t="s">
        <v>6206</v>
      </c>
      <c r="I3211" s="4" t="s">
        <v>6203</v>
      </c>
      <c r="J3211" s="4" t="s">
        <v>6203</v>
      </c>
    </row>
    <row r="3212">
      <c r="A3212" s="4">
        <v>148.0</v>
      </c>
      <c r="B3212" s="4" t="s">
        <v>8920</v>
      </c>
      <c r="C3212" s="4"/>
      <c r="D3212" s="4" t="s">
        <v>8314</v>
      </c>
      <c r="E3212" s="4" t="s">
        <v>6208</v>
      </c>
      <c r="F3212" s="4" t="s">
        <v>6209</v>
      </c>
      <c r="G3212" s="5" t="str">
        <f>IFERROR(__xludf.DUMMYFUNCTION("GOOGLETRANSLATE(D3212,""en"",""es"")"),"HIC")</f>
        <v>HIC</v>
      </c>
    </row>
    <row r="3213">
      <c r="A3213" s="4">
        <v>149.0</v>
      </c>
      <c r="B3213" s="4" t="s">
        <v>8920</v>
      </c>
      <c r="C3213" s="4"/>
      <c r="D3213" s="4" t="s">
        <v>6207</v>
      </c>
      <c r="E3213" s="4" t="s">
        <v>6208</v>
      </c>
      <c r="F3213" s="4" t="s">
        <v>6209</v>
      </c>
      <c r="G3213" s="5" t="str">
        <f>IFERROR(__xludf.DUMMYFUNCTION("GOOGLETRANSLATE(D3213,""en"",""es"")"),"paleto")</f>
        <v>paleto</v>
      </c>
      <c r="H3213" s="4" t="s">
        <v>6210</v>
      </c>
      <c r="I3213" s="4" t="s">
        <v>6211</v>
      </c>
      <c r="J3213" s="4" t="s">
        <v>6207</v>
      </c>
      <c r="K3213" s="4" t="s">
        <v>6212</v>
      </c>
      <c r="L3213" s="4" t="s">
        <v>6213</v>
      </c>
      <c r="M3213" s="4" t="s">
        <v>6214</v>
      </c>
      <c r="N3213" s="4" t="s">
        <v>6215</v>
      </c>
      <c r="O3213" s="4" t="s">
        <v>6216</v>
      </c>
      <c r="P3213" s="4" t="s">
        <v>6207</v>
      </c>
      <c r="Q3213" s="4" t="s">
        <v>6217</v>
      </c>
      <c r="R3213" s="4" t="s">
        <v>6218</v>
      </c>
    </row>
    <row r="3214">
      <c r="A3214" s="4">
        <v>150.0</v>
      </c>
      <c r="B3214" s="4" t="s">
        <v>8920</v>
      </c>
      <c r="C3214" s="4"/>
      <c r="D3214" s="4" t="s">
        <v>4536</v>
      </c>
      <c r="E3214" s="4" t="s">
        <v>6187</v>
      </c>
      <c r="F3214" s="4" t="s">
        <v>6188</v>
      </c>
      <c r="G3214" s="5" t="str">
        <f>IFERROR(__xludf.DUMMYFUNCTION("GOOGLETRANSLATE(D3214,""en"",""es"")"),"Cerro")</f>
        <v>Cerro</v>
      </c>
      <c r="H3214" s="4" t="s">
        <v>4536</v>
      </c>
      <c r="I3214" s="4" t="s">
        <v>2824</v>
      </c>
      <c r="J3214" s="4" t="s">
        <v>4536</v>
      </c>
      <c r="K3214" s="4" t="s">
        <v>6225</v>
      </c>
      <c r="L3214" s="4" t="s">
        <v>6226</v>
      </c>
      <c r="M3214" s="4" t="s">
        <v>6227</v>
      </c>
      <c r="N3214" s="4" t="s">
        <v>6225</v>
      </c>
      <c r="O3214" s="4" t="s">
        <v>6228</v>
      </c>
      <c r="P3214" s="4" t="s">
        <v>6229</v>
      </c>
      <c r="Q3214" s="4" t="s">
        <v>2824</v>
      </c>
      <c r="R3214" s="4" t="s">
        <v>4536</v>
      </c>
      <c r="S3214" s="4" t="s">
        <v>6230</v>
      </c>
      <c r="T3214" s="4" t="s">
        <v>4536</v>
      </c>
    </row>
    <row r="3215">
      <c r="A3215" s="4">
        <v>151.0</v>
      </c>
      <c r="B3215" s="4" t="s">
        <v>8920</v>
      </c>
      <c r="C3215" s="4"/>
      <c r="D3215" s="4" t="s">
        <v>6231</v>
      </c>
      <c r="E3215" s="4" t="s">
        <v>6232</v>
      </c>
      <c r="F3215" s="4" t="s">
        <v>6233</v>
      </c>
      <c r="G3215" s="5" t="str">
        <f>IFERROR(__xludf.DUMMYFUNCTION("GOOGLETRANSLATE(D3215,""en"",""es"")"),"montañoso")</f>
        <v>montañoso</v>
      </c>
      <c r="H3215" s="4" t="s">
        <v>6234</v>
      </c>
      <c r="I3215" s="4" t="s">
        <v>6235</v>
      </c>
      <c r="J3215" s="4" t="s">
        <v>6231</v>
      </c>
      <c r="K3215" s="4" t="s">
        <v>6236</v>
      </c>
    </row>
    <row r="3216">
      <c r="A3216" s="4">
        <v>152.0</v>
      </c>
      <c r="B3216" s="4" t="s">
        <v>8920</v>
      </c>
      <c r="C3216" s="4"/>
      <c r="D3216" s="4" t="s">
        <v>6191</v>
      </c>
      <c r="E3216" s="4" t="s">
        <v>6190</v>
      </c>
      <c r="F3216" s="4" t="s">
        <v>6191</v>
      </c>
      <c r="G3216" s="5" t="str">
        <f>IFERROR(__xludf.DUMMYFUNCTION("GOOGLETRANSLATE(D3216,""en"",""es"")"),"a él")</f>
        <v>a él</v>
      </c>
    </row>
    <row r="3217">
      <c r="A3217" s="4">
        <v>153.0</v>
      </c>
      <c r="B3217" s="4" t="s">
        <v>8920</v>
      </c>
      <c r="C3217" s="4"/>
      <c r="D3217" s="4" t="s">
        <v>6237</v>
      </c>
      <c r="E3217" s="4" t="s">
        <v>6238</v>
      </c>
      <c r="F3217" s="4" t="s">
        <v>6239</v>
      </c>
      <c r="G3217" s="5" t="str">
        <f>IFERROR(__xludf.DUMMYFUNCTION("GOOGLETRANSLATE(D3217,""en"",""es"")"),"Hinny")</f>
        <v>Hinny</v>
      </c>
      <c r="H3217" s="4" t="s">
        <v>6237</v>
      </c>
    </row>
    <row r="3218">
      <c r="A3218" s="4">
        <v>154.0</v>
      </c>
      <c r="B3218" s="4" t="s">
        <v>8920</v>
      </c>
      <c r="C3218" s="4"/>
      <c r="D3218" s="4" t="s">
        <v>2377</v>
      </c>
      <c r="E3218" s="4" t="s">
        <v>6240</v>
      </c>
      <c r="F3218" s="4" t="s">
        <v>2377</v>
      </c>
      <c r="G3218" s="5" t="str">
        <f>IFERROR(__xludf.DUMMYFUNCTION("GOOGLETRANSLATE(D3218,""en"",""es"")"),"cadera")</f>
        <v>cadera</v>
      </c>
      <c r="H3218" s="4" t="s">
        <v>2377</v>
      </c>
      <c r="I3218" s="4" t="s">
        <v>6241</v>
      </c>
      <c r="J3218" s="4" t="s">
        <v>6242</v>
      </c>
      <c r="K3218" s="4" t="s">
        <v>6243</v>
      </c>
      <c r="L3218" s="4" t="s">
        <v>2377</v>
      </c>
      <c r="M3218" s="4" t="s">
        <v>2377</v>
      </c>
      <c r="N3218" s="4" t="s">
        <v>2378</v>
      </c>
      <c r="O3218" s="4" t="s">
        <v>2379</v>
      </c>
      <c r="P3218" s="4" t="s">
        <v>2380</v>
      </c>
      <c r="Q3218" s="4" t="s">
        <v>2377</v>
      </c>
      <c r="R3218" s="4" t="s">
        <v>2377</v>
      </c>
      <c r="S3218" s="4" t="s">
        <v>6244</v>
      </c>
      <c r="T3218" s="4" t="s">
        <v>6245</v>
      </c>
      <c r="U3218" s="4" t="s">
        <v>6246</v>
      </c>
      <c r="V3218" s="4" t="s">
        <v>2377</v>
      </c>
      <c r="W3218" s="4" t="s">
        <v>6247</v>
      </c>
    </row>
    <row r="3219">
      <c r="A3219" s="4">
        <v>155.0</v>
      </c>
      <c r="B3219" s="4" t="s">
        <v>8920</v>
      </c>
      <c r="C3219" s="4"/>
      <c r="D3219" s="4" t="s">
        <v>6248</v>
      </c>
      <c r="E3219" s="4" t="s">
        <v>6249</v>
      </c>
      <c r="F3219" s="4" t="s">
        <v>6250</v>
      </c>
      <c r="G3219" s="5" t="str">
        <f>IFERROR(__xludf.DUMMYFUNCTION("GOOGLETRANSLATE(D3219,""en"",""es"")"),"hippico")</f>
        <v>hippico</v>
      </c>
    </row>
    <row r="3220">
      <c r="A3220" s="4">
        <v>156.0</v>
      </c>
      <c r="B3220" s="4" t="s">
        <v>8920</v>
      </c>
      <c r="C3220" s="4"/>
      <c r="D3220" s="4" t="s">
        <v>6251</v>
      </c>
      <c r="E3220" s="4" t="s">
        <v>6252</v>
      </c>
      <c r="F3220" s="4" t="s">
        <v>6253</v>
      </c>
      <c r="G3220" s="5" t="str">
        <f>IFERROR(__xludf.DUMMYFUNCTION("GOOGLETRANSLATE(D3220,""en"",""es"")"),"hippie")</f>
        <v>hippie</v>
      </c>
      <c r="H3220" s="4" t="s">
        <v>6251</v>
      </c>
      <c r="I3220" s="4" t="s">
        <v>6254</v>
      </c>
      <c r="J3220" s="4" t="s">
        <v>6255</v>
      </c>
      <c r="K3220" s="4" t="s">
        <v>6256</v>
      </c>
    </row>
    <row r="3221">
      <c r="A3221" s="4">
        <v>157.0</v>
      </c>
      <c r="B3221" s="4" t="s">
        <v>8920</v>
      </c>
      <c r="C3221" s="4"/>
      <c r="D3221" s="4" t="s">
        <v>6254</v>
      </c>
      <c r="E3221" s="4" t="s">
        <v>6252</v>
      </c>
      <c r="F3221" s="4" t="s">
        <v>6253</v>
      </c>
      <c r="G3221" s="5" t="str">
        <f>IFERROR(__xludf.DUMMYFUNCTION("GOOGLETRANSLATE(D3221,""en"",""es"")"),"hippy")</f>
        <v>hippy</v>
      </c>
      <c r="H3221" s="4" t="s">
        <v>6251</v>
      </c>
      <c r="I3221" s="4" t="s">
        <v>6254</v>
      </c>
      <c r="J3221" s="4" t="s">
        <v>6255</v>
      </c>
      <c r="K3221" s="4" t="s">
        <v>6256</v>
      </c>
    </row>
    <row r="3222">
      <c r="A3222" s="4">
        <v>158.0</v>
      </c>
      <c r="B3222" s="4" t="s">
        <v>8920</v>
      </c>
      <c r="C3222" s="4"/>
      <c r="D3222" s="4" t="s">
        <v>6257</v>
      </c>
      <c r="E3222" s="4" t="s">
        <v>6258</v>
      </c>
      <c r="F3222" s="4" t="s">
        <v>6259</v>
      </c>
      <c r="G3222" s="5" t="str">
        <f>IFERROR(__xludf.DUMMYFUNCTION("GOOGLETRANSLATE(D3222,""en"",""es"")"),"silbido")</f>
        <v>silbido</v>
      </c>
      <c r="H3222" s="4" t="s">
        <v>6257</v>
      </c>
      <c r="I3222" s="4" t="s">
        <v>6260</v>
      </c>
      <c r="J3222" s="4" t="s">
        <v>6261</v>
      </c>
      <c r="K3222" s="4" t="s">
        <v>6262</v>
      </c>
      <c r="L3222" s="4" t="s">
        <v>6263</v>
      </c>
      <c r="M3222" s="4" t="s">
        <v>6264</v>
      </c>
      <c r="N3222" s="4" t="s">
        <v>6265</v>
      </c>
      <c r="O3222" s="4" t="s">
        <v>6266</v>
      </c>
      <c r="P3222" s="4" t="s">
        <v>6257</v>
      </c>
      <c r="Q3222" s="4" t="s">
        <v>6267</v>
      </c>
      <c r="R3222" s="4" t="s">
        <v>6268</v>
      </c>
      <c r="S3222" s="4" t="s">
        <v>6269</v>
      </c>
      <c r="T3222" s="4" t="s">
        <v>6270</v>
      </c>
      <c r="U3222" s="4" t="s">
        <v>5515</v>
      </c>
      <c r="V3222" s="4" t="s">
        <v>6257</v>
      </c>
      <c r="W3222" s="4" t="s">
        <v>6271</v>
      </c>
      <c r="X3222" s="4" t="s">
        <v>6272</v>
      </c>
      <c r="Y3222" s="4" t="s">
        <v>6273</v>
      </c>
      <c r="Z3222" s="4" t="s">
        <v>6257</v>
      </c>
      <c r="AA3222" s="4" t="s">
        <v>6274</v>
      </c>
      <c r="AB3222" s="4" t="s">
        <v>6257</v>
      </c>
      <c r="AC3222" s="4" t="s">
        <v>6272</v>
      </c>
      <c r="AD3222" s="4" t="s">
        <v>6271</v>
      </c>
      <c r="AE3222" s="4" t="s">
        <v>6273</v>
      </c>
      <c r="AF3222" s="4" t="s">
        <v>6264</v>
      </c>
      <c r="AG3222" s="4" t="s">
        <v>6257</v>
      </c>
    </row>
    <row r="3223">
      <c r="A3223" s="4">
        <v>159.0</v>
      </c>
      <c r="B3223" s="4" t="s">
        <v>8920</v>
      </c>
      <c r="C3223" s="4"/>
      <c r="D3223" s="4" t="s">
        <v>6275</v>
      </c>
      <c r="E3223" s="4" t="s">
        <v>6276</v>
      </c>
      <c r="F3223" s="4" t="s">
        <v>6277</v>
      </c>
      <c r="G3223" s="5" t="str">
        <f>IFERROR(__xludf.DUMMYFUNCTION("GOOGLETRANSLATE(D3223,""en"",""es"")"),"hiseño")</f>
        <v>hiseño</v>
      </c>
    </row>
    <row r="3224">
      <c r="A3224" s="4">
        <v>160.0</v>
      </c>
      <c r="B3224" s="4" t="s">
        <v>8920</v>
      </c>
      <c r="C3224" s="4"/>
      <c r="D3224" s="4" t="s">
        <v>8315</v>
      </c>
      <c r="E3224" s="4" t="s">
        <v>8316</v>
      </c>
      <c r="F3224" s="4" t="s">
        <v>6127</v>
      </c>
      <c r="G3224" s="5" t="str">
        <f>IFERROR(__xludf.DUMMYFUNCTION("GOOGLETRANSLATE(D3224,""en"",""es"")"),"corvejón")</f>
        <v>corvejón</v>
      </c>
      <c r="H3224" s="4" t="s">
        <v>8317</v>
      </c>
      <c r="I3224" s="4" t="s">
        <v>8318</v>
      </c>
      <c r="J3224" s="4" t="s">
        <v>8315</v>
      </c>
      <c r="K3224" s="4" t="s">
        <v>8315</v>
      </c>
      <c r="L3224" s="4" t="s">
        <v>8319</v>
      </c>
      <c r="M3224" s="4" t="s">
        <v>8320</v>
      </c>
      <c r="N3224" s="4" t="s">
        <v>579</v>
      </c>
      <c r="O3224" s="4" t="s">
        <v>8315</v>
      </c>
      <c r="P3224" s="4" t="s">
        <v>8315</v>
      </c>
    </row>
    <row r="3225">
      <c r="A3225" s="4">
        <v>161.0</v>
      </c>
      <c r="B3225" s="4" t="s">
        <v>8920</v>
      </c>
      <c r="C3225" s="4"/>
      <c r="D3225" s="4" t="s">
        <v>8321</v>
      </c>
      <c r="E3225" s="4" t="s">
        <v>8322</v>
      </c>
      <c r="F3225" s="4" t="s">
        <v>6146</v>
      </c>
      <c r="G3225" s="5" t="str">
        <f>IFERROR(__xludf.DUMMYFUNCTION("GOOGLETRANSLATE(D3225,""en"",""es"")"),"acebo")</f>
        <v>acebo</v>
      </c>
      <c r="H3225" s="4" t="s">
        <v>8321</v>
      </c>
      <c r="I3225" s="4" t="s">
        <v>8323</v>
      </c>
      <c r="J3225" s="4" t="s">
        <v>8324</v>
      </c>
      <c r="K3225" s="4" t="s">
        <v>8325</v>
      </c>
    </row>
    <row r="3226">
      <c r="A3226" s="4">
        <v>162.0</v>
      </c>
      <c r="B3226" s="4" t="s">
        <v>8920</v>
      </c>
      <c r="C3226" s="4"/>
      <c r="D3226" s="4" t="s">
        <v>8326</v>
      </c>
      <c r="E3226" s="4" t="s">
        <v>8327</v>
      </c>
      <c r="F3226" s="4" t="s">
        <v>8328</v>
      </c>
      <c r="G3226" s="5" t="str">
        <f>IFERROR(__xludf.DUMMYFUNCTION("GOOGLETRANSLATE(D3226,""en"",""es"")"),"malva loca")</f>
        <v>malva loca</v>
      </c>
      <c r="H3226" s="4" t="s">
        <v>8329</v>
      </c>
      <c r="I3226" s="4" t="s">
        <v>8330</v>
      </c>
      <c r="J3226" s="4" t="s">
        <v>8326</v>
      </c>
      <c r="K3226" s="4" t="s">
        <v>8326</v>
      </c>
    </row>
    <row r="3227">
      <c r="A3227" s="4">
        <v>163.0</v>
      </c>
      <c r="B3227" s="4" t="s">
        <v>8920</v>
      </c>
      <c r="C3227" s="4"/>
      <c r="D3227" s="4" t="s">
        <v>8331</v>
      </c>
      <c r="E3227" s="4" t="s">
        <v>8332</v>
      </c>
      <c r="F3227" s="4" t="s">
        <v>8333</v>
      </c>
      <c r="G3227" s="5" t="str">
        <f>IFERROR(__xludf.DUMMYFUNCTION("GOOGLETRANSLATE(D3227,""en"",""es"")"),"homenado")</f>
        <v>homenado</v>
      </c>
    </row>
    <row r="3228">
      <c r="A3228" s="4">
        <v>164.0</v>
      </c>
      <c r="B3228" s="4" t="s">
        <v>8920</v>
      </c>
      <c r="C3228" s="4"/>
      <c r="D3228" s="4" t="s">
        <v>8334</v>
      </c>
      <c r="E3228" s="4" t="s">
        <v>8335</v>
      </c>
      <c r="F3228" s="4" t="s">
        <v>8336</v>
      </c>
      <c r="G3228" s="5" t="str">
        <f>IFERROR(__xludf.DUMMYFUNCTION("GOOGLETRANSLATE(D3228,""en"",""es"")"),"homilía")</f>
        <v>homilía</v>
      </c>
      <c r="H3228" s="4" t="s">
        <v>8334</v>
      </c>
      <c r="I3228" s="4" t="s">
        <v>8337</v>
      </c>
    </row>
    <row r="3229">
      <c r="A3229" s="4">
        <v>165.0</v>
      </c>
      <c r="B3229" s="4" t="s">
        <v>8920</v>
      </c>
      <c r="C3229" s="4"/>
      <c r="D3229" s="4" t="s">
        <v>6278</v>
      </c>
      <c r="E3229" s="4" t="s">
        <v>6279</v>
      </c>
      <c r="F3229" s="4" t="s">
        <v>6280</v>
      </c>
      <c r="G3229" s="5" t="str">
        <f>IFERROR(__xludf.DUMMYFUNCTION("GOOGLETRANSLATE(D3229,""en"",""es"")"),"gancho")</f>
        <v>gancho</v>
      </c>
      <c r="H3229" s="4" t="s">
        <v>6278</v>
      </c>
      <c r="I3229" s="4" t="s">
        <v>6278</v>
      </c>
      <c r="J3229" s="4" t="s">
        <v>6281</v>
      </c>
      <c r="K3229" s="4" t="s">
        <v>3334</v>
      </c>
      <c r="L3229" s="4" t="s">
        <v>6282</v>
      </c>
      <c r="M3229" s="4" t="s">
        <v>6278</v>
      </c>
      <c r="N3229" s="4" t="s">
        <v>3336</v>
      </c>
      <c r="O3229" s="4" t="s">
        <v>6283</v>
      </c>
      <c r="P3229" s="4" t="s">
        <v>6278</v>
      </c>
      <c r="Q3229" s="4" t="s">
        <v>6284</v>
      </c>
      <c r="R3229" s="4" t="s">
        <v>6278</v>
      </c>
      <c r="S3229" s="4" t="s">
        <v>6278</v>
      </c>
      <c r="T3229" s="4" t="s">
        <v>3414</v>
      </c>
      <c r="U3229" s="4" t="s">
        <v>6285</v>
      </c>
      <c r="V3229" s="4" t="s">
        <v>6278</v>
      </c>
      <c r="W3229" s="4" t="s">
        <v>6286</v>
      </c>
      <c r="X3229" s="4" t="s">
        <v>6278</v>
      </c>
      <c r="Y3229" s="4" t="s">
        <v>6278</v>
      </c>
      <c r="Z3229" s="4" t="s">
        <v>6287</v>
      </c>
      <c r="AA3229" s="4" t="s">
        <v>579</v>
      </c>
      <c r="AB3229" s="4" t="s">
        <v>6288</v>
      </c>
      <c r="AC3229" s="4" t="s">
        <v>6289</v>
      </c>
      <c r="AD3229" s="4" t="s">
        <v>2110</v>
      </c>
      <c r="AE3229" s="4" t="s">
        <v>6290</v>
      </c>
      <c r="AF3229" s="4" t="s">
        <v>6291</v>
      </c>
      <c r="AG3229" s="4" t="s">
        <v>6292</v>
      </c>
      <c r="AH3229" s="4" t="s">
        <v>6278</v>
      </c>
      <c r="AI3229" s="4" t="s">
        <v>6293</v>
      </c>
      <c r="AJ3229" s="4" t="s">
        <v>6278</v>
      </c>
      <c r="AK3229" s="4" t="s">
        <v>6278</v>
      </c>
      <c r="AL3229" s="4" t="s">
        <v>6278</v>
      </c>
      <c r="AM3229" s="4" t="s">
        <v>6294</v>
      </c>
      <c r="AN3229" s="4" t="s">
        <v>6295</v>
      </c>
      <c r="AO3229" s="4" t="s">
        <v>6296</v>
      </c>
      <c r="AP3229" s="4" t="s">
        <v>6297</v>
      </c>
      <c r="AQ3229" s="4" t="s">
        <v>6298</v>
      </c>
      <c r="AR3229" s="4" t="s">
        <v>6299</v>
      </c>
      <c r="AS3229" s="4" t="s">
        <v>6300</v>
      </c>
      <c r="AT3229" s="4" t="s">
        <v>6301</v>
      </c>
      <c r="AU3229" s="4" t="s">
        <v>6302</v>
      </c>
      <c r="AV3229" s="4" t="s">
        <v>6303</v>
      </c>
      <c r="AW3229" s="4" t="s">
        <v>6304</v>
      </c>
      <c r="AX3229" s="4" t="s">
        <v>6305</v>
      </c>
      <c r="AY3229" s="4" t="s">
        <v>6278</v>
      </c>
      <c r="AZ3229" s="4" t="s">
        <v>6306</v>
      </c>
      <c r="BA3229" s="4" t="s">
        <v>6307</v>
      </c>
      <c r="BB3229" s="4" t="s">
        <v>6308</v>
      </c>
      <c r="BC3229" s="4" t="s">
        <v>1800</v>
      </c>
      <c r="BD3229" s="4" t="s">
        <v>6278</v>
      </c>
      <c r="BE3229" s="4" t="s">
        <v>6278</v>
      </c>
      <c r="BF3229" s="4" t="s">
        <v>6309</v>
      </c>
      <c r="BG3229" s="4" t="s">
        <v>6278</v>
      </c>
      <c r="BH3229" s="4" t="s">
        <v>6278</v>
      </c>
      <c r="BI3229" s="4" t="s">
        <v>6278</v>
      </c>
      <c r="BJ3229" s="4" t="s">
        <v>6310</v>
      </c>
      <c r="BK3229" s="4" t="s">
        <v>6278</v>
      </c>
      <c r="BL3229" s="4" t="s">
        <v>6311</v>
      </c>
      <c r="BM3229" s="4" t="s">
        <v>6312</v>
      </c>
    </row>
    <row r="3230">
      <c r="A3230" s="4">
        <v>166.0</v>
      </c>
      <c r="B3230" s="4" t="s">
        <v>8920</v>
      </c>
      <c r="C3230" s="4"/>
      <c r="D3230" s="4" t="s">
        <v>6313</v>
      </c>
      <c r="E3230" s="4" t="s">
        <v>6314</v>
      </c>
      <c r="F3230" s="4" t="s">
        <v>6315</v>
      </c>
      <c r="G3230" s="5" t="str">
        <f>IFERROR(__xludf.DUMMYFUNCTION("GOOGLETRANSLATE(D3230,""en"",""es"")"),"gancho")</f>
        <v>gancho</v>
      </c>
      <c r="H3230" s="4" t="s">
        <v>6316</v>
      </c>
      <c r="I3230" s="4" t="s">
        <v>6313</v>
      </c>
    </row>
    <row r="3231">
      <c r="A3231" s="4">
        <v>167.0</v>
      </c>
      <c r="B3231" s="4" t="s">
        <v>8920</v>
      </c>
      <c r="C3231" s="4"/>
      <c r="D3231" s="4" t="s">
        <v>8338</v>
      </c>
      <c r="E3231" s="4" t="s">
        <v>4882</v>
      </c>
      <c r="F3231" s="4" t="s">
        <v>1858</v>
      </c>
      <c r="G3231" s="5" t="str">
        <f>IFERROR(__xludf.DUMMYFUNCTION("GOOGLETRANSLATE(D3231,""en"",""es"")"),"choque")</f>
        <v>choque</v>
      </c>
    </row>
    <row r="3232">
      <c r="A3232" s="4">
        <v>168.0</v>
      </c>
      <c r="B3232" s="4" t="s">
        <v>8920</v>
      </c>
      <c r="C3232" s="4"/>
      <c r="D3232" s="4" t="s">
        <v>8339</v>
      </c>
      <c r="E3232" s="4" t="s">
        <v>8340</v>
      </c>
      <c r="F3232" s="4" t="s">
        <v>8341</v>
      </c>
      <c r="G3232" s="5" t="str">
        <f>IFERROR(__xludf.DUMMYFUNCTION("GOOGLETRANSLATE(D3232,""en"",""es"")"),"abubilla")</f>
        <v>abubilla</v>
      </c>
      <c r="H3232" s="4" t="s">
        <v>8339</v>
      </c>
      <c r="I3232" s="4" t="s">
        <v>8342</v>
      </c>
    </row>
    <row r="3233">
      <c r="A3233" s="4">
        <v>169.0</v>
      </c>
      <c r="B3233" s="4" t="s">
        <v>8920</v>
      </c>
      <c r="C3233" s="4"/>
      <c r="D3233" s="4" t="s">
        <v>3924</v>
      </c>
      <c r="E3233" s="4" t="s">
        <v>8343</v>
      </c>
      <c r="F3233" s="4" t="s">
        <v>3399</v>
      </c>
      <c r="G3233" s="5" t="str">
        <f>IFERROR(__xludf.DUMMYFUNCTION("GOOGLETRANSLATE(D3233,""en"",""es"")"),"saltar")</f>
        <v>saltar</v>
      </c>
      <c r="H3233" s="4" t="s">
        <v>3924</v>
      </c>
      <c r="I3233" s="4" t="s">
        <v>3924</v>
      </c>
      <c r="J3233" s="4" t="s">
        <v>8344</v>
      </c>
      <c r="K3233" s="4" t="s">
        <v>3924</v>
      </c>
      <c r="L3233" s="4" t="s">
        <v>8345</v>
      </c>
      <c r="M3233" s="4" t="s">
        <v>3924</v>
      </c>
      <c r="N3233" s="4" t="s">
        <v>8346</v>
      </c>
      <c r="O3233" s="4" t="s">
        <v>8347</v>
      </c>
      <c r="P3233" s="4" t="s">
        <v>3924</v>
      </c>
      <c r="Q3233" s="4" t="s">
        <v>3924</v>
      </c>
      <c r="R3233" s="4" t="s">
        <v>3924</v>
      </c>
      <c r="S3233" s="4" t="s">
        <v>3924</v>
      </c>
      <c r="T3233" s="4" t="s">
        <v>3924</v>
      </c>
    </row>
    <row r="3234">
      <c r="A3234" s="4">
        <v>170.0</v>
      </c>
      <c r="B3234" s="4" t="s">
        <v>8920</v>
      </c>
      <c r="C3234" s="4"/>
      <c r="D3234" s="4" t="s">
        <v>2590</v>
      </c>
      <c r="E3234" s="4" t="s">
        <v>289</v>
      </c>
      <c r="F3234" s="4" t="s">
        <v>290</v>
      </c>
      <c r="G3234" s="5" t="str">
        <f>IFERROR(__xludf.DUMMYFUNCTION("GOOGLETRANSLATE(D3234,""en"",""es"")"),"matiz")</f>
        <v>matiz</v>
      </c>
      <c r="H3234" s="4" t="s">
        <v>2590</v>
      </c>
      <c r="I3234" s="4" t="s">
        <v>2591</v>
      </c>
      <c r="J3234" s="4" t="s">
        <v>2590</v>
      </c>
      <c r="K3234" s="4" t="s">
        <v>580</v>
      </c>
      <c r="L3234" s="4" t="s">
        <v>2590</v>
      </c>
    </row>
    <row r="3235">
      <c r="A3235" s="4">
        <v>171.0</v>
      </c>
      <c r="B3235" s="4" t="s">
        <v>8920</v>
      </c>
      <c r="C3235" s="4"/>
      <c r="D3235" s="4" t="s">
        <v>1017</v>
      </c>
      <c r="E3235" s="4" t="s">
        <v>6317</v>
      </c>
      <c r="F3235" s="4" t="s">
        <v>1017</v>
      </c>
      <c r="G3235" s="5" t="str">
        <f>IFERROR(__xludf.DUMMYFUNCTION("GOOGLETRANSLATE(D3235,""en"",""es"")"),"Cállate")</f>
        <v>Cállate</v>
      </c>
      <c r="H3235" s="4" t="s">
        <v>1017</v>
      </c>
      <c r="I3235" s="4" t="s">
        <v>6318</v>
      </c>
      <c r="J3235" s="4" t="s">
        <v>6319</v>
      </c>
      <c r="K3235" s="4" t="s">
        <v>1017</v>
      </c>
      <c r="L3235" s="4" t="s">
        <v>1017</v>
      </c>
      <c r="M3235" s="4" t="s">
        <v>1026</v>
      </c>
      <c r="N3235" s="4" t="s">
        <v>443</v>
      </c>
      <c r="O3235" s="4" t="s">
        <v>6319</v>
      </c>
      <c r="P3235" s="4" t="s">
        <v>1021</v>
      </c>
      <c r="Q3235" s="4" t="s">
        <v>6320</v>
      </c>
      <c r="R3235" s="4" t="s">
        <v>1026</v>
      </c>
      <c r="S3235" s="4" t="s">
        <v>1017</v>
      </c>
      <c r="T3235" s="4" t="s">
        <v>439</v>
      </c>
      <c r="U3235" s="4" t="s">
        <v>1027</v>
      </c>
      <c r="V3235" s="4" t="s">
        <v>1028</v>
      </c>
      <c r="W3235" s="4" t="s">
        <v>1029</v>
      </c>
      <c r="X3235" s="4" t="s">
        <v>1017</v>
      </c>
      <c r="Y3235" s="4" t="s">
        <v>1017</v>
      </c>
    </row>
    <row r="3236">
      <c r="A3236" s="4">
        <v>172.0</v>
      </c>
      <c r="B3236" s="4" t="s">
        <v>8920</v>
      </c>
      <c r="C3236" s="4"/>
      <c r="D3236" s="4" t="s">
        <v>6321</v>
      </c>
      <c r="E3236" s="4" t="s">
        <v>6190</v>
      </c>
      <c r="F3236" s="4" t="s">
        <v>6191</v>
      </c>
      <c r="G3236" s="5" t="str">
        <f>IFERROR(__xludf.DUMMYFUNCTION("GOOGLETRANSLATE(D3236,""en"",""es"")"),"himno")</f>
        <v>himno</v>
      </c>
      <c r="H3236" s="4" t="s">
        <v>6321</v>
      </c>
      <c r="I3236" s="4" t="s">
        <v>6322</v>
      </c>
      <c r="J3236" s="4" t="s">
        <v>6321</v>
      </c>
      <c r="K3236" s="4" t="s">
        <v>6321</v>
      </c>
    </row>
    <row r="3237">
      <c r="A3237" s="4">
        <v>173.0</v>
      </c>
      <c r="B3237" s="4" t="s">
        <v>8920</v>
      </c>
      <c r="C3237" s="4"/>
      <c r="D3237" s="4" t="s">
        <v>6323</v>
      </c>
      <c r="E3237" s="4" t="s">
        <v>6240</v>
      </c>
      <c r="F3237" s="4" t="s">
        <v>2377</v>
      </c>
      <c r="G3237" s="5" t="str">
        <f>IFERROR(__xludf.DUMMYFUNCTION("GOOGLETRANSLATE(D3237,""en"",""es"")"),"exagerado")</f>
        <v>exagerado</v>
      </c>
    </row>
    <row r="3238">
      <c r="A3238" s="4">
        <v>174.0</v>
      </c>
      <c r="B3238" s="4" t="s">
        <v>8920</v>
      </c>
      <c r="C3238" s="4"/>
      <c r="D3238" s="4" t="s">
        <v>6324</v>
      </c>
      <c r="E3238" s="4" t="s">
        <v>507</v>
      </c>
      <c r="F3238" s="4" t="s">
        <v>506</v>
      </c>
      <c r="G3238" s="5" t="str">
        <f>IFERROR(__xludf.DUMMYFUNCTION("GOOGLETRANSLATE(D3238,""en"",""es"")"),"voy a")</f>
        <v>voy a</v>
      </c>
    </row>
    <row r="3239">
      <c r="A3239" s="4">
        <v>175.0</v>
      </c>
      <c r="B3239" s="4" t="s">
        <v>8920</v>
      </c>
      <c r="C3239" s="4"/>
      <c r="D3239" s="4" t="s">
        <v>6325</v>
      </c>
      <c r="E3239" s="4" t="s">
        <v>4823</v>
      </c>
      <c r="F3239" s="4" t="s">
        <v>4824</v>
      </c>
      <c r="G3239" s="5" t="str">
        <f>IFERROR(__xludf.DUMMYFUNCTION("GOOGLETRANSLATE(D3239,""en"",""es"")"),"en")</f>
        <v>en</v>
      </c>
    </row>
    <row r="3240">
      <c r="A3240" s="4">
        <v>176.0</v>
      </c>
      <c r="B3240" s="4" t="s">
        <v>8920</v>
      </c>
      <c r="C3240" s="4"/>
      <c r="D3240" s="4" t="s">
        <v>6326</v>
      </c>
      <c r="E3240" s="4" t="s">
        <v>6327</v>
      </c>
      <c r="F3240" s="4" t="s">
        <v>6328</v>
      </c>
      <c r="G3240" s="5" t="str">
        <f>IFERROR(__xludf.DUMMYFUNCTION("GOOGLETRANSLATE(D3240,""en"",""es"")"),"ICH")</f>
        <v>ICH</v>
      </c>
    </row>
    <row r="3241">
      <c r="A3241" s="4">
        <v>177.0</v>
      </c>
      <c r="B3241" s="4" t="s">
        <v>8920</v>
      </c>
      <c r="C3241" s="4"/>
      <c r="D3241" s="4" t="s">
        <v>6329</v>
      </c>
      <c r="E3241" s="4" t="s">
        <v>6327</v>
      </c>
      <c r="F3241" s="4" t="s">
        <v>6328</v>
      </c>
      <c r="G3241" s="5" t="str">
        <f>IFERROR(__xludf.DUMMYFUNCTION("GOOGLETRANSLATE(D3241,""en"",""es"")"),"hurgir")</f>
        <v>hurgir</v>
      </c>
    </row>
    <row r="3242">
      <c r="A3242" s="4">
        <v>178.0</v>
      </c>
      <c r="B3242" s="4" t="s">
        <v>8920</v>
      </c>
      <c r="C3242" s="4"/>
      <c r="D3242" s="4" t="s">
        <v>6330</v>
      </c>
      <c r="E3242" s="4" t="s">
        <v>6331</v>
      </c>
      <c r="F3242" s="4" t="s">
        <v>6332</v>
      </c>
      <c r="G3242" s="5" t="str">
        <f>IFERROR(__xludf.DUMMYFUNCTION("GOOGLETRANSLATE(D3242,""en"",""es"")"),"espeluznante")</f>
        <v>espeluznante</v>
      </c>
      <c r="H3242" s="4" t="s">
        <v>6330</v>
      </c>
      <c r="I3242" s="4" t="s">
        <v>6333</v>
      </c>
      <c r="J3242" s="4" t="s">
        <v>6334</v>
      </c>
      <c r="K3242" s="4" t="s">
        <v>6335</v>
      </c>
      <c r="L3242" s="4" t="s">
        <v>6336</v>
      </c>
      <c r="M3242" s="4" t="s">
        <v>6337</v>
      </c>
      <c r="N3242" s="4" t="s">
        <v>6338</v>
      </c>
      <c r="O3242" s="4" t="s">
        <v>6339</v>
      </c>
      <c r="P3242" s="4" t="s">
        <v>6330</v>
      </c>
    </row>
    <row r="3243">
      <c r="A3243" s="4">
        <v>179.0</v>
      </c>
      <c r="B3243" s="4" t="s">
        <v>8920</v>
      </c>
      <c r="C3243" s="4"/>
      <c r="D3243" s="4" t="s">
        <v>2345</v>
      </c>
      <c r="E3243" s="4" t="s">
        <v>6340</v>
      </c>
      <c r="F3243" s="4" t="s">
        <v>6341</v>
      </c>
      <c r="G3243" s="5" t="str">
        <f>IFERROR(__xludf.DUMMYFUNCTION("GOOGLETRANSLATE(D3243,""en"",""es"")"),"enfermo")</f>
        <v>enfermo</v>
      </c>
      <c r="H3243" s="4" t="s">
        <v>2343</v>
      </c>
      <c r="I3243" s="4" t="s">
        <v>2344</v>
      </c>
      <c r="J3243" s="4" t="s">
        <v>2345</v>
      </c>
      <c r="K3243" s="4" t="s">
        <v>2345</v>
      </c>
      <c r="L3243" s="4" t="s">
        <v>4402</v>
      </c>
      <c r="M3243" s="4" t="s">
        <v>2345</v>
      </c>
      <c r="N3243" s="4" t="s">
        <v>2345</v>
      </c>
      <c r="O3243" s="4" t="s">
        <v>2345</v>
      </c>
      <c r="P3243" s="4" t="s">
        <v>2345</v>
      </c>
      <c r="Q3243" s="4" t="s">
        <v>6342</v>
      </c>
      <c r="R3243" s="4" t="s">
        <v>6343</v>
      </c>
      <c r="S3243" s="4" t="s">
        <v>2345</v>
      </c>
      <c r="T3243" s="4" t="s">
        <v>6344</v>
      </c>
      <c r="U3243" s="4" t="s">
        <v>6345</v>
      </c>
      <c r="V3243" s="4" t="s">
        <v>2345</v>
      </c>
      <c r="W3243" s="4" t="s">
        <v>6344</v>
      </c>
      <c r="X3243" s="4" t="s">
        <v>2345</v>
      </c>
    </row>
    <row r="3244">
      <c r="A3244" s="4">
        <v>180.0</v>
      </c>
      <c r="B3244" s="4" t="s">
        <v>8920</v>
      </c>
      <c r="C3244" s="4"/>
      <c r="D3244" s="4" t="s">
        <v>8348</v>
      </c>
      <c r="E3244" s="4" t="s">
        <v>8349</v>
      </c>
      <c r="F3244" s="4" t="s">
        <v>8350</v>
      </c>
      <c r="G3244" s="5" t="str">
        <f>IFERROR(__xludf.DUMMYFUNCTION("GOOGLETRANSLATE(D3244,""en"",""es"")"),"ily")</f>
        <v>ily</v>
      </c>
    </row>
    <row r="3245">
      <c r="A3245" s="4">
        <v>181.0</v>
      </c>
      <c r="B3245" s="4" t="s">
        <v>8920</v>
      </c>
      <c r="C3245" s="4"/>
      <c r="D3245" s="4" t="s">
        <v>8351</v>
      </c>
      <c r="E3245" s="4" t="s">
        <v>8352</v>
      </c>
      <c r="F3245" s="4" t="s">
        <v>8351</v>
      </c>
      <c r="G3245" s="5" t="str">
        <f>IFERROR(__xludf.DUMMYFUNCTION("GOOGLETRANSLATE(D3245,""en"",""es"")"),"imani")</f>
        <v>imani</v>
      </c>
    </row>
    <row r="3246">
      <c r="A3246" s="4">
        <v>182.0</v>
      </c>
      <c r="B3246" s="4" t="s">
        <v>8920</v>
      </c>
      <c r="C3246" s="4"/>
      <c r="D3246" s="4" t="s">
        <v>4824</v>
      </c>
      <c r="E3246" s="4" t="s">
        <v>4823</v>
      </c>
      <c r="F3246" s="4" t="s">
        <v>4824</v>
      </c>
      <c r="G3246" s="5" t="str">
        <f>IFERROR(__xludf.DUMMYFUNCTION("GOOGLETRANSLATE(D3246,""en"",""es"")"),"en")</f>
        <v>en</v>
      </c>
      <c r="H3246" s="4" t="s">
        <v>6346</v>
      </c>
      <c r="I3246" s="4" t="s">
        <v>4824</v>
      </c>
      <c r="J3246" s="4" t="s">
        <v>6347</v>
      </c>
      <c r="K3246" s="4" t="s">
        <v>6348</v>
      </c>
      <c r="L3246" s="4" t="s">
        <v>6349</v>
      </c>
      <c r="M3246" s="4" t="s">
        <v>6350</v>
      </c>
      <c r="N3246" s="4" t="s">
        <v>6351</v>
      </c>
      <c r="O3246" s="4" t="s">
        <v>6352</v>
      </c>
      <c r="P3246" s="4" t="s">
        <v>4824</v>
      </c>
      <c r="Q3246" s="4" t="s">
        <v>4824</v>
      </c>
      <c r="R3246" s="4" t="s">
        <v>4824</v>
      </c>
      <c r="S3246" s="4" t="s">
        <v>4824</v>
      </c>
      <c r="T3246" s="4" t="s">
        <v>6353</v>
      </c>
      <c r="U3246" s="4" t="s">
        <v>6354</v>
      </c>
    </row>
    <row r="3247">
      <c r="A3247" s="4">
        <v>183.0</v>
      </c>
      <c r="B3247" s="4" t="s">
        <v>8920</v>
      </c>
      <c r="C3247" s="4"/>
      <c r="D3247" s="4" t="s">
        <v>6355</v>
      </c>
      <c r="E3247" s="4" t="s">
        <v>6356</v>
      </c>
      <c r="F3247" s="4" t="s">
        <v>6357</v>
      </c>
      <c r="G3247" s="5" t="str">
        <f>IFERROR(__xludf.DUMMYFUNCTION("GOOGLETRANSLATE(D3247,""en"",""es"")"),"inanidad")</f>
        <v>inanidad</v>
      </c>
      <c r="H3247" s="4" t="s">
        <v>6355</v>
      </c>
      <c r="I3247" s="4" t="s">
        <v>6358</v>
      </c>
      <c r="J3247" s="4" t="s">
        <v>6359</v>
      </c>
      <c r="K3247" s="4" t="s">
        <v>6360</v>
      </c>
      <c r="L3247" s="4" t="s">
        <v>6361</v>
      </c>
    </row>
    <row r="3248">
      <c r="A3248" s="4">
        <v>184.0</v>
      </c>
      <c r="B3248" s="4" t="s">
        <v>8920</v>
      </c>
      <c r="C3248" s="4"/>
      <c r="D3248" s="4" t="s">
        <v>4822</v>
      </c>
      <c r="E3248" s="4" t="s">
        <v>4823</v>
      </c>
      <c r="F3248" s="4" t="s">
        <v>4824</v>
      </c>
      <c r="G3248" s="5" t="str">
        <f>IFERROR(__xludf.DUMMYFUNCTION("GOOGLETRANSLATE(D3248,""en"",""es"")"),"Posada")</f>
        <v>Posada</v>
      </c>
      <c r="H3248" s="4" t="s">
        <v>6362</v>
      </c>
      <c r="I3248" s="4" t="s">
        <v>6363</v>
      </c>
      <c r="J3248" s="4" t="s">
        <v>4822</v>
      </c>
      <c r="K3248" s="4" t="s">
        <v>6364</v>
      </c>
      <c r="L3248" s="4" t="s">
        <v>6365</v>
      </c>
    </row>
    <row r="3249">
      <c r="A3249" s="4">
        <v>185.0</v>
      </c>
      <c r="B3249" s="4" t="s">
        <v>8920</v>
      </c>
      <c r="C3249" s="4"/>
      <c r="D3249" s="4" t="s">
        <v>6366</v>
      </c>
      <c r="E3249" s="4" t="s">
        <v>6367</v>
      </c>
      <c r="F3249" s="4" t="s">
        <v>6368</v>
      </c>
      <c r="G3249" s="5" t="str">
        <f>IFERROR(__xludf.DUMMYFUNCTION("GOOGLETRANSLATE(D3249,""en"",""es"")"),"innie")</f>
        <v>innie</v>
      </c>
    </row>
    <row r="3250">
      <c r="A3250" s="4">
        <v>186.0</v>
      </c>
      <c r="B3250" s="4" t="s">
        <v>8920</v>
      </c>
      <c r="C3250" s="4"/>
      <c r="D3250" s="4" t="s">
        <v>6369</v>
      </c>
      <c r="E3250" s="4" t="s">
        <v>6370</v>
      </c>
      <c r="F3250" s="4" t="s">
        <v>6371</v>
      </c>
      <c r="G3250" s="5" t="str">
        <f>IFERROR(__xludf.DUMMYFUNCTION("GOOGLETRANSLATE(D3250,""en"",""es"")"),"ipecac")</f>
        <v>ipecac</v>
      </c>
      <c r="H3250" s="4" t="s">
        <v>6369</v>
      </c>
    </row>
    <row r="3251">
      <c r="A3251" s="4">
        <v>187.0</v>
      </c>
      <c r="B3251" s="4" t="s">
        <v>8920</v>
      </c>
      <c r="C3251" s="4"/>
      <c r="D3251" s="4" t="s">
        <v>2007</v>
      </c>
      <c r="E3251" s="4" t="s">
        <v>6372</v>
      </c>
      <c r="F3251" s="4" t="s">
        <v>2007</v>
      </c>
      <c r="G3251" s="5" t="str">
        <f>IFERROR(__xludf.DUMMYFUNCTION("GOOGLETRANSLATE(D3251,""en"",""es"")"),"ish")</f>
        <v>ish</v>
      </c>
    </row>
    <row r="3252">
      <c r="A3252" s="4">
        <v>188.0</v>
      </c>
      <c r="B3252" s="4" t="s">
        <v>8920</v>
      </c>
      <c r="C3252" s="4"/>
      <c r="D3252" s="4" t="s">
        <v>6373</v>
      </c>
      <c r="E3252" s="4" t="s">
        <v>6378</v>
      </c>
      <c r="F3252" s="4" t="s">
        <v>6375</v>
      </c>
      <c r="G3252" s="5" t="str">
        <f>IFERROR(__xludf.DUMMYFUNCTION("GOOGLETRANSLATE(D3252,""en"",""es"")"),"itálico")</f>
        <v>itálico</v>
      </c>
      <c r="H3252" s="4" t="s">
        <v>6373</v>
      </c>
      <c r="I3252" s="4" t="s">
        <v>6376</v>
      </c>
      <c r="J3252" s="4" t="s">
        <v>6377</v>
      </c>
      <c r="K3252" s="4" t="s">
        <v>6373</v>
      </c>
      <c r="L3252" s="4" t="s">
        <v>6373</v>
      </c>
      <c r="M3252" s="4" t="s">
        <v>6376</v>
      </c>
    </row>
    <row r="3253">
      <c r="A3253" s="4">
        <v>189.0</v>
      </c>
      <c r="B3253" s="4" t="s">
        <v>8920</v>
      </c>
      <c r="C3253" s="4"/>
      <c r="D3253" s="4" t="s">
        <v>6379</v>
      </c>
      <c r="E3253" s="4" t="s">
        <v>6380</v>
      </c>
      <c r="F3253" s="4" t="s">
        <v>6379</v>
      </c>
      <c r="G3253" s="5" t="str">
        <f>IFERROR(__xludf.DUMMYFUNCTION("GOOGLETRANSLATE(D3253,""en"",""es"")"),"ortuquilizado")</f>
        <v>ortuquilizado</v>
      </c>
    </row>
    <row r="3254">
      <c r="A3254" s="4">
        <v>190.0</v>
      </c>
      <c r="B3254" s="4" t="s">
        <v>8920</v>
      </c>
      <c r="C3254" s="4"/>
      <c r="D3254" s="4" t="s">
        <v>6381</v>
      </c>
      <c r="E3254" s="4" t="s">
        <v>6382</v>
      </c>
      <c r="F3254" s="4" t="s">
        <v>6381</v>
      </c>
      <c r="G3254" s="5" t="str">
        <f>IFERROR(__xludf.DUMMYFUNCTION("GOOGLETRANSLATE(D3254,""en"",""es"")"),"con todo")</f>
        <v>con todo</v>
      </c>
    </row>
    <row r="3255">
      <c r="A3255" s="4">
        <v>191.0</v>
      </c>
      <c r="B3255" s="4" t="s">
        <v>8920</v>
      </c>
      <c r="C3255" s="4"/>
      <c r="D3255" s="4" t="s">
        <v>6383</v>
      </c>
      <c r="E3255" s="4" t="s">
        <v>6384</v>
      </c>
      <c r="F3255" s="4" t="s">
        <v>6385</v>
      </c>
      <c r="G3255" s="5" t="str">
        <f>IFERROR(__xludf.DUMMYFUNCTION("GOOGLETRANSLATE(D3255,""en"",""es"")"),"itty")</f>
        <v>itty</v>
      </c>
    </row>
    <row r="3256">
      <c r="A3256" s="4">
        <v>192.0</v>
      </c>
      <c r="B3256" s="4" t="s">
        <v>8920</v>
      </c>
      <c r="C3256" s="4"/>
      <c r="D3256" s="4" t="s">
        <v>6386</v>
      </c>
      <c r="E3256" s="4" t="s">
        <v>6387</v>
      </c>
      <c r="F3256" s="4" t="s">
        <v>6388</v>
      </c>
      <c r="G3256" s="5" t="str">
        <f>IFERROR(__xludf.DUMMYFUNCTION("GOOGLETRANSLATE(D3256,""en"",""es"")"),"ene")</f>
        <v>ene</v>
      </c>
      <c r="H3256" s="4" t="s">
        <v>6389</v>
      </c>
      <c r="I3256" s="4" t="s">
        <v>6390</v>
      </c>
    </row>
    <row r="3257">
      <c r="A3257" s="4">
        <v>193.0</v>
      </c>
      <c r="B3257" s="4" t="s">
        <v>8920</v>
      </c>
      <c r="C3257" s="4"/>
      <c r="D3257" s="4" t="s">
        <v>6386</v>
      </c>
      <c r="E3257" s="4" t="s">
        <v>6391</v>
      </c>
      <c r="F3257" s="4" t="s">
        <v>6388</v>
      </c>
      <c r="G3257" s="5" t="str">
        <f>IFERROR(__xludf.DUMMYFUNCTION("GOOGLETRANSLATE(D3257,""en"",""es"")"),"ene")</f>
        <v>ene</v>
      </c>
      <c r="H3257" s="4" t="s">
        <v>6389</v>
      </c>
      <c r="I3257" s="4" t="s">
        <v>6390</v>
      </c>
    </row>
    <row r="3258">
      <c r="A3258" s="4">
        <v>194.0</v>
      </c>
      <c r="B3258" s="4" t="s">
        <v>8920</v>
      </c>
      <c r="C3258" s="4"/>
      <c r="D3258" s="4" t="s">
        <v>1297</v>
      </c>
      <c r="E3258" s="4" t="s">
        <v>6395</v>
      </c>
      <c r="F3258" s="4" t="s">
        <v>1297</v>
      </c>
      <c r="G3258" s="5" t="str">
        <f>IFERROR(__xludf.DUMMYFUNCTION("GOOGLETRANSLATE(D3258,""en"",""es"")"),"kaki")</f>
        <v>kaki</v>
      </c>
      <c r="H3258" s="4" t="s">
        <v>6396</v>
      </c>
      <c r="I3258" s="4" t="s">
        <v>1297</v>
      </c>
      <c r="J3258" s="4" t="s">
        <v>6397</v>
      </c>
      <c r="K3258" s="4" t="s">
        <v>1297</v>
      </c>
      <c r="L3258" s="4" t="s">
        <v>6398</v>
      </c>
    </row>
    <row r="3259">
      <c r="A3259" s="4">
        <v>195.0</v>
      </c>
      <c r="B3259" s="4" t="s">
        <v>8920</v>
      </c>
      <c r="C3259" s="4"/>
      <c r="D3259" s="4" t="s">
        <v>6399</v>
      </c>
      <c r="E3259" s="4" t="s">
        <v>5969</v>
      </c>
      <c r="F3259" s="4" t="s">
        <v>1207</v>
      </c>
      <c r="G3259" s="5" t="str">
        <f>IFERROR(__xludf.DUMMYFUNCTION("GOOGLETRANSLATE(D3259,""en"",""es"")"),"kanny")</f>
        <v>kanny</v>
      </c>
    </row>
    <row r="3260">
      <c r="A3260" s="4">
        <v>196.0</v>
      </c>
      <c r="B3260" s="4" t="s">
        <v>8920</v>
      </c>
      <c r="C3260" s="4"/>
      <c r="D3260" s="4" t="s">
        <v>5924</v>
      </c>
      <c r="E3260" s="4" t="s">
        <v>5923</v>
      </c>
      <c r="F3260" s="4" t="s">
        <v>5924</v>
      </c>
      <c r="G3260" s="5" t="str">
        <f>IFERROR(__xludf.DUMMYFUNCTION("GOOGLETRANSLATE(D3260,""en"",""es"")"),"kash")</f>
        <v>kash</v>
      </c>
    </row>
    <row r="3261">
      <c r="A3261" s="4">
        <v>197.0</v>
      </c>
      <c r="B3261" s="4" t="s">
        <v>8920</v>
      </c>
      <c r="C3261" s="4"/>
      <c r="D3261" s="4" t="s">
        <v>8353</v>
      </c>
      <c r="E3261" s="4" t="s">
        <v>3816</v>
      </c>
      <c r="F3261" s="4" t="s">
        <v>3817</v>
      </c>
      <c r="G3261" s="5" t="str">
        <f>IFERROR(__xludf.DUMMYFUNCTION("GOOGLETRANSLATE(D3261,""en"",""es"")"),"entusiasta")</f>
        <v>entusiasta</v>
      </c>
      <c r="H3261" s="4" t="s">
        <v>8353</v>
      </c>
      <c r="I3261" s="4" t="s">
        <v>8354</v>
      </c>
      <c r="J3261" s="4" t="s">
        <v>8353</v>
      </c>
      <c r="K3261" s="4" t="s">
        <v>8355</v>
      </c>
      <c r="L3261" s="4" t="s">
        <v>8356</v>
      </c>
      <c r="M3261" s="4" t="s">
        <v>8357</v>
      </c>
      <c r="N3261" s="4" t="s">
        <v>8353</v>
      </c>
      <c r="O3261" s="4" t="s">
        <v>8358</v>
      </c>
      <c r="P3261" s="4" t="s">
        <v>8359</v>
      </c>
      <c r="Q3261" s="4" t="s">
        <v>8360</v>
      </c>
      <c r="R3261" s="4" t="s">
        <v>8361</v>
      </c>
      <c r="S3261" s="4" t="s">
        <v>8362</v>
      </c>
      <c r="T3261" s="4" t="s">
        <v>8363</v>
      </c>
      <c r="U3261" s="4" t="s">
        <v>8353</v>
      </c>
      <c r="V3261" s="4" t="s">
        <v>8364</v>
      </c>
      <c r="W3261" s="4" t="s">
        <v>8365</v>
      </c>
      <c r="X3261" s="4" t="s">
        <v>8366</v>
      </c>
      <c r="Y3261" s="4" t="s">
        <v>8367</v>
      </c>
      <c r="Z3261" s="4" t="s">
        <v>8368</v>
      </c>
      <c r="AA3261" s="4" t="s">
        <v>1277</v>
      </c>
      <c r="AB3261" s="4" t="s">
        <v>8369</v>
      </c>
      <c r="AC3261" s="4" t="s">
        <v>8353</v>
      </c>
      <c r="AD3261" s="4" t="s">
        <v>8370</v>
      </c>
      <c r="AE3261" s="4" t="s">
        <v>8371</v>
      </c>
      <c r="AF3261" s="4" t="s">
        <v>8372</v>
      </c>
      <c r="AG3261" s="4" t="s">
        <v>8373</v>
      </c>
      <c r="AH3261" s="4" t="s">
        <v>8374</v>
      </c>
      <c r="AI3261" s="4" t="s">
        <v>8375</v>
      </c>
      <c r="AJ3261" s="4" t="s">
        <v>8376</v>
      </c>
      <c r="AK3261" s="4" t="s">
        <v>4267</v>
      </c>
      <c r="AL3261" s="4" t="s">
        <v>8353</v>
      </c>
      <c r="AM3261" s="4" t="s">
        <v>8358</v>
      </c>
      <c r="AN3261" s="4" t="s">
        <v>8361</v>
      </c>
      <c r="AO3261" s="4" t="s">
        <v>8377</v>
      </c>
      <c r="AP3261" s="4" t="s">
        <v>8378</v>
      </c>
      <c r="AQ3261" s="4" t="s">
        <v>8379</v>
      </c>
      <c r="AR3261" s="4" t="s">
        <v>8353</v>
      </c>
    </row>
    <row r="3262">
      <c r="A3262" s="4">
        <v>198.0</v>
      </c>
      <c r="B3262" s="4" t="s">
        <v>8920</v>
      </c>
      <c r="C3262" s="4"/>
      <c r="D3262" s="4" t="s">
        <v>8380</v>
      </c>
      <c r="E3262" s="4" t="s">
        <v>2013</v>
      </c>
      <c r="F3262" s="4" t="s">
        <v>2014</v>
      </c>
      <c r="G3262" s="5" t="str">
        <f>IFERROR(__xludf.DUMMYFUNCTION("GOOGLETRANSLATE(D3262,""en"",""es"")"),"llave")</f>
        <v>llave</v>
      </c>
      <c r="H3262" s="4" t="s">
        <v>8380</v>
      </c>
      <c r="I3262" s="4" t="s">
        <v>8380</v>
      </c>
      <c r="J3262" s="4" t="s">
        <v>8380</v>
      </c>
      <c r="K3262" s="4" t="s">
        <v>8380</v>
      </c>
      <c r="L3262" s="4" t="s">
        <v>8381</v>
      </c>
      <c r="M3262" s="4" t="s">
        <v>8380</v>
      </c>
      <c r="N3262" s="4" t="s">
        <v>8382</v>
      </c>
      <c r="O3262" s="4" t="s">
        <v>8383</v>
      </c>
      <c r="P3262" s="4" t="s">
        <v>8380</v>
      </c>
      <c r="Q3262" s="4" t="s">
        <v>8384</v>
      </c>
      <c r="R3262" s="4" t="s">
        <v>8385</v>
      </c>
      <c r="S3262" s="4" t="s">
        <v>8380</v>
      </c>
      <c r="T3262" s="4" t="s">
        <v>8386</v>
      </c>
      <c r="U3262" s="4" t="s">
        <v>8387</v>
      </c>
      <c r="V3262" s="4" t="s">
        <v>8380</v>
      </c>
      <c r="W3262" s="4" t="s">
        <v>8388</v>
      </c>
      <c r="X3262" s="4" t="s">
        <v>8380</v>
      </c>
      <c r="Y3262" s="4" t="s">
        <v>8380</v>
      </c>
      <c r="Z3262" s="4" t="s">
        <v>8380</v>
      </c>
      <c r="AA3262" s="4" t="s">
        <v>8389</v>
      </c>
      <c r="AB3262" s="4" t="s">
        <v>8380</v>
      </c>
      <c r="AC3262" s="4" t="s">
        <v>8390</v>
      </c>
      <c r="AD3262" s="4" t="s">
        <v>8380</v>
      </c>
      <c r="AE3262" s="4" t="s">
        <v>8391</v>
      </c>
      <c r="AF3262" s="4" t="s">
        <v>8380</v>
      </c>
      <c r="AG3262" s="4" t="s">
        <v>8392</v>
      </c>
      <c r="AH3262" s="4" t="s">
        <v>8393</v>
      </c>
      <c r="AI3262" s="4" t="s">
        <v>8380</v>
      </c>
      <c r="AJ3262" s="4" t="s">
        <v>8394</v>
      </c>
      <c r="AK3262" s="4" t="s">
        <v>8395</v>
      </c>
      <c r="AL3262" s="4" t="s">
        <v>8396</v>
      </c>
      <c r="AM3262" s="4" t="s">
        <v>1438</v>
      </c>
      <c r="AN3262" s="4" t="s">
        <v>8380</v>
      </c>
      <c r="AO3262" s="4" t="s">
        <v>8380</v>
      </c>
      <c r="AP3262" s="4" t="s">
        <v>8380</v>
      </c>
      <c r="AQ3262" s="4" t="s">
        <v>8380</v>
      </c>
      <c r="AR3262" s="4" t="s">
        <v>8397</v>
      </c>
      <c r="AS3262" s="4" t="s">
        <v>8398</v>
      </c>
      <c r="AT3262" s="4" t="s">
        <v>8399</v>
      </c>
      <c r="AU3262" s="4" t="s">
        <v>8380</v>
      </c>
      <c r="AV3262" s="4" t="s">
        <v>8400</v>
      </c>
    </row>
    <row r="3263">
      <c r="A3263" s="4">
        <v>199.0</v>
      </c>
      <c r="B3263" s="4" t="s">
        <v>8920</v>
      </c>
      <c r="C3263" s="4"/>
      <c r="D3263" s="4" t="s">
        <v>1298</v>
      </c>
      <c r="E3263" s="4" t="s">
        <v>6395</v>
      </c>
      <c r="F3263" s="4" t="s">
        <v>1297</v>
      </c>
      <c r="G3263" s="5" t="str">
        <f>IFERROR(__xludf.DUMMYFUNCTION("GOOGLETRANSLATE(D3263,""en"",""es"")"),"caqui")</f>
        <v>caqui</v>
      </c>
      <c r="H3263" s="4" t="s">
        <v>1298</v>
      </c>
      <c r="I3263" s="4" t="s">
        <v>1298</v>
      </c>
    </row>
    <row r="3264">
      <c r="A3264" s="4">
        <v>200.0</v>
      </c>
      <c r="B3264" s="4" t="s">
        <v>8920</v>
      </c>
      <c r="C3264" s="4"/>
      <c r="D3264" s="4" t="s">
        <v>4744</v>
      </c>
      <c r="E3264" s="4" t="s">
        <v>6400</v>
      </c>
      <c r="F3264" s="4" t="s">
        <v>6401</v>
      </c>
      <c r="G3264" s="5" t="str">
        <f>IFERROR(__xludf.DUMMYFUNCTION("GOOGLETRANSLATE(D3264,""en"",""es"")"),"patada")</f>
        <v>patada</v>
      </c>
      <c r="H3264" s="4" t="s">
        <v>4744</v>
      </c>
      <c r="I3264" s="4" t="s">
        <v>6402</v>
      </c>
      <c r="J3264" s="4" t="s">
        <v>6403</v>
      </c>
      <c r="K3264" s="4" t="s">
        <v>6404</v>
      </c>
      <c r="L3264" s="4" t="s">
        <v>6402</v>
      </c>
      <c r="M3264" s="4" t="s">
        <v>917</v>
      </c>
      <c r="N3264" s="4" t="s">
        <v>6405</v>
      </c>
      <c r="O3264" s="4" t="s">
        <v>6406</v>
      </c>
      <c r="P3264" s="4" t="s">
        <v>6407</v>
      </c>
      <c r="Q3264" s="4" t="s">
        <v>4744</v>
      </c>
      <c r="R3264" s="4" t="s">
        <v>6408</v>
      </c>
      <c r="S3264" s="4" t="s">
        <v>4744</v>
      </c>
      <c r="T3264" s="4" t="s">
        <v>6409</v>
      </c>
      <c r="U3264" s="4" t="s">
        <v>4744</v>
      </c>
      <c r="V3264" s="4" t="s">
        <v>6410</v>
      </c>
      <c r="W3264" s="4" t="s">
        <v>6411</v>
      </c>
      <c r="X3264" s="4" t="s">
        <v>6412</v>
      </c>
      <c r="Y3264" s="4" t="s">
        <v>4744</v>
      </c>
      <c r="Z3264" s="4" t="s">
        <v>4744</v>
      </c>
      <c r="AA3264" s="4" t="s">
        <v>6403</v>
      </c>
      <c r="AB3264" s="4" t="s">
        <v>4744</v>
      </c>
      <c r="AC3264" s="4" t="s">
        <v>4744</v>
      </c>
      <c r="AD3264" s="4" t="s">
        <v>4744</v>
      </c>
      <c r="AE3264" s="4" t="s">
        <v>4744</v>
      </c>
      <c r="AF3264" s="4" t="s">
        <v>6413</v>
      </c>
      <c r="AG3264" s="4" t="s">
        <v>6408</v>
      </c>
      <c r="AH3264" s="4" t="s">
        <v>4744</v>
      </c>
      <c r="AI3264" s="4" t="s">
        <v>4744</v>
      </c>
      <c r="AJ3264" s="4" t="s">
        <v>3347</v>
      </c>
      <c r="AK3264" s="4" t="s">
        <v>4744</v>
      </c>
      <c r="AL3264" s="4" t="s">
        <v>6414</v>
      </c>
      <c r="AM3264" s="4" t="s">
        <v>4744</v>
      </c>
      <c r="AN3264" s="4" t="s">
        <v>6415</v>
      </c>
      <c r="AO3264" s="4" t="s">
        <v>6416</v>
      </c>
      <c r="AP3264" s="4" t="s">
        <v>6417</v>
      </c>
      <c r="AQ3264" s="4" t="s">
        <v>6418</v>
      </c>
    </row>
    <row r="3265">
      <c r="A3265" s="4">
        <v>201.0</v>
      </c>
      <c r="B3265" s="4" t="s">
        <v>8920</v>
      </c>
      <c r="C3265" s="4"/>
      <c r="D3265" s="4" t="s">
        <v>6513</v>
      </c>
      <c r="E3265" s="4" t="s">
        <v>8401</v>
      </c>
      <c r="F3265" s="4" t="s">
        <v>6513</v>
      </c>
      <c r="G3265" s="5" t="str">
        <f>IFERROR(__xludf.DUMMYFUNCTION("GOOGLETRANSLATE(D3265,""en"",""es"")"),"kilim")</f>
        <v>kilim</v>
      </c>
    </row>
    <row r="3266">
      <c r="A3266" s="4">
        <v>202.0</v>
      </c>
      <c r="B3266" s="4" t="s">
        <v>8920</v>
      </c>
      <c r="C3266" s="4"/>
      <c r="D3266" s="4" t="s">
        <v>6513</v>
      </c>
      <c r="E3266" s="4" t="s">
        <v>6512</v>
      </c>
      <c r="F3266" s="4" t="s">
        <v>6513</v>
      </c>
      <c r="G3266" s="5" t="str">
        <f>IFERROR(__xludf.DUMMYFUNCTION("GOOGLETRANSLATE(D3266,""en"",""es"")"),"kilim")</f>
        <v>kilim</v>
      </c>
    </row>
    <row r="3267">
      <c r="A3267" s="4">
        <v>203.0</v>
      </c>
      <c r="B3267" s="4" t="s">
        <v>8920</v>
      </c>
      <c r="C3267" s="4"/>
      <c r="D3267" s="4" t="s">
        <v>2570</v>
      </c>
      <c r="E3267" s="4" t="s">
        <v>6419</v>
      </c>
      <c r="F3267" s="4" t="s">
        <v>3801</v>
      </c>
      <c r="G3267" s="5" t="str">
        <f>IFERROR(__xludf.DUMMYFUNCTION("GOOGLETRANSLATE(D3267,""en"",""es"")"),"matar")</f>
        <v>matar</v>
      </c>
      <c r="H3267" s="4" t="s">
        <v>6420</v>
      </c>
      <c r="I3267" s="4" t="s">
        <v>2570</v>
      </c>
      <c r="J3267" s="4" t="s">
        <v>6421</v>
      </c>
      <c r="K3267" s="4" t="s">
        <v>2570</v>
      </c>
      <c r="L3267" s="4" t="s">
        <v>2570</v>
      </c>
      <c r="M3267" s="4" t="s">
        <v>2570</v>
      </c>
      <c r="N3267" s="4" t="s">
        <v>6422</v>
      </c>
      <c r="O3267" s="4" t="s">
        <v>4937</v>
      </c>
      <c r="P3267" s="4" t="s">
        <v>6423</v>
      </c>
      <c r="Q3267" s="4" t="s">
        <v>6424</v>
      </c>
      <c r="R3267" s="4" t="s">
        <v>2569</v>
      </c>
      <c r="S3267" s="4" t="s">
        <v>2570</v>
      </c>
      <c r="T3267" s="4" t="s">
        <v>2570</v>
      </c>
      <c r="U3267" s="4" t="s">
        <v>2570</v>
      </c>
      <c r="V3267" s="4" t="s">
        <v>2570</v>
      </c>
      <c r="W3267" s="4" t="s">
        <v>2570</v>
      </c>
      <c r="X3267" s="4" t="s">
        <v>2570</v>
      </c>
      <c r="Y3267" s="4" t="s">
        <v>2570</v>
      </c>
      <c r="Z3267" s="4" t="s">
        <v>2570</v>
      </c>
      <c r="AA3267" s="4" t="s">
        <v>6425</v>
      </c>
      <c r="AB3267" s="4" t="s">
        <v>3298</v>
      </c>
      <c r="AC3267" s="4" t="s">
        <v>6426</v>
      </c>
      <c r="AD3267" s="4" t="s">
        <v>6427</v>
      </c>
      <c r="AE3267" s="4" t="s">
        <v>6428</v>
      </c>
      <c r="AF3267" s="4" t="s">
        <v>3624</v>
      </c>
      <c r="AG3267" s="4" t="s">
        <v>6429</v>
      </c>
      <c r="AH3267" s="4" t="s">
        <v>2570</v>
      </c>
      <c r="AI3267" s="4" t="s">
        <v>2570</v>
      </c>
      <c r="AJ3267" s="4" t="s">
        <v>6430</v>
      </c>
      <c r="AK3267" s="4" t="s">
        <v>6431</v>
      </c>
      <c r="AL3267" s="4" t="s">
        <v>2570</v>
      </c>
      <c r="AM3267" s="4" t="s">
        <v>2570</v>
      </c>
      <c r="AN3267" s="4" t="s">
        <v>2570</v>
      </c>
    </row>
    <row r="3268">
      <c r="A3268" s="4">
        <v>204.0</v>
      </c>
      <c r="B3268" s="4" t="s">
        <v>8920</v>
      </c>
      <c r="C3268" s="4"/>
      <c r="D3268" s="4" t="s">
        <v>3814</v>
      </c>
      <c r="E3268" s="4" t="s">
        <v>6432</v>
      </c>
      <c r="F3268" s="4" t="s">
        <v>3814</v>
      </c>
      <c r="G3268" s="5" t="str">
        <f>IFERROR(__xludf.DUMMYFUNCTION("GOOGLETRANSLATE(D3268,""en"",""es"")"),"Kim")</f>
        <v>Kim</v>
      </c>
    </row>
    <row r="3269">
      <c r="A3269" s="4">
        <v>205.0</v>
      </c>
      <c r="B3269" s="4" t="s">
        <v>8920</v>
      </c>
      <c r="C3269" s="4"/>
      <c r="D3269" s="4" t="s">
        <v>6433</v>
      </c>
      <c r="E3269" s="4" t="s">
        <v>6434</v>
      </c>
      <c r="F3269" s="4" t="s">
        <v>6435</v>
      </c>
      <c r="G3269" s="5" t="str">
        <f>IFERROR(__xludf.DUMMYFUNCTION("GOOGLETRANSLATE(D3269,""en"",""es"")"),"kimmy")</f>
        <v>kimmy</v>
      </c>
    </row>
    <row r="3270">
      <c r="A3270" s="4">
        <v>206.0</v>
      </c>
      <c r="B3270" s="4" t="s">
        <v>8920</v>
      </c>
      <c r="C3270" s="4"/>
      <c r="D3270" s="4" t="s">
        <v>3817</v>
      </c>
      <c r="E3270" s="4" t="s">
        <v>6436</v>
      </c>
      <c r="F3270" s="4" t="s">
        <v>3817</v>
      </c>
      <c r="G3270" s="5" t="str">
        <f>IFERROR(__xludf.DUMMYFUNCTION("GOOGLETRANSLATE(D3270,""en"",""es"")"),"familiares")</f>
        <v>familiares</v>
      </c>
      <c r="H3270" s="4" t="s">
        <v>3817</v>
      </c>
      <c r="I3270" s="4" t="s">
        <v>6437</v>
      </c>
      <c r="J3270" s="4" t="s">
        <v>2128</v>
      </c>
      <c r="K3270" s="4" t="s">
        <v>3817</v>
      </c>
      <c r="L3270" s="4" t="s">
        <v>6438</v>
      </c>
      <c r="M3270" s="4" t="s">
        <v>6439</v>
      </c>
      <c r="N3270" s="4" t="s">
        <v>6440</v>
      </c>
      <c r="O3270" s="4" t="s">
        <v>6441</v>
      </c>
      <c r="P3270" s="4" t="s">
        <v>6442</v>
      </c>
      <c r="Q3270" s="4" t="s">
        <v>6443</v>
      </c>
      <c r="R3270" s="4" t="s">
        <v>6444</v>
      </c>
      <c r="S3270" s="4" t="s">
        <v>6445</v>
      </c>
      <c r="T3270" s="4" t="s">
        <v>6446</v>
      </c>
      <c r="U3270" s="4" t="s">
        <v>6447</v>
      </c>
      <c r="V3270" s="4" t="s">
        <v>6448</v>
      </c>
      <c r="W3270" s="4" t="s">
        <v>3817</v>
      </c>
    </row>
    <row r="3271">
      <c r="A3271" s="4">
        <v>207.0</v>
      </c>
      <c r="B3271" s="4" t="s">
        <v>8920</v>
      </c>
      <c r="C3271" s="4"/>
      <c r="D3271" s="4" t="s">
        <v>6452</v>
      </c>
      <c r="E3271" s="4" t="s">
        <v>6453</v>
      </c>
      <c r="F3271" s="4" t="s">
        <v>6454</v>
      </c>
      <c r="G3271" s="5" t="str">
        <f>IFERROR(__xludf.DUMMYFUNCTION("GOOGLETRANSLATE(D3271,""en"",""es"")"),"Kinney")</f>
        <v>Kinney</v>
      </c>
    </row>
    <row r="3272">
      <c r="A3272" s="4">
        <v>208.0</v>
      </c>
      <c r="B3272" s="4" t="s">
        <v>8920</v>
      </c>
      <c r="C3272" s="4"/>
      <c r="D3272" s="4" t="s">
        <v>6455</v>
      </c>
      <c r="E3272" s="4" t="s">
        <v>6456</v>
      </c>
      <c r="F3272" s="4" t="s">
        <v>6457</v>
      </c>
      <c r="G3272" s="5" t="str">
        <f>IFERROR(__xludf.DUMMYFUNCTION("GOOGLETRANSLATE(D3272,""en"",""es"")"),"kinnikinnick")</f>
        <v>kinnikinnick</v>
      </c>
    </row>
    <row r="3273">
      <c r="A3273" s="4">
        <v>209.0</v>
      </c>
      <c r="B3273" s="4" t="s">
        <v>8920</v>
      </c>
      <c r="C3273" s="4"/>
      <c r="D3273" s="4" t="s">
        <v>6458</v>
      </c>
      <c r="E3273" s="4" t="s">
        <v>6459</v>
      </c>
      <c r="F3273" s="4" t="s">
        <v>6458</v>
      </c>
      <c r="G3273" s="5" t="str">
        <f>IFERROR(__xludf.DUMMYFUNCTION("GOOGLETRANSLATE(D3273,""en"",""es"")"),"dormir")</f>
        <v>dormir</v>
      </c>
      <c r="H3273" s="4" t="s">
        <v>6458</v>
      </c>
      <c r="I3273" s="4" t="s">
        <v>6458</v>
      </c>
      <c r="J3273" s="4" t="s">
        <v>6458</v>
      </c>
      <c r="K3273" s="4" t="s">
        <v>6460</v>
      </c>
      <c r="L3273" s="4" t="s">
        <v>6461</v>
      </c>
      <c r="M3273" s="4" t="s">
        <v>6458</v>
      </c>
      <c r="N3273" s="4" t="s">
        <v>6462</v>
      </c>
      <c r="O3273" s="4" t="s">
        <v>6463</v>
      </c>
      <c r="P3273" s="4" t="s">
        <v>6464</v>
      </c>
    </row>
    <row r="3274">
      <c r="A3274" s="4">
        <v>210.0</v>
      </c>
      <c r="B3274" s="4" t="s">
        <v>8920</v>
      </c>
      <c r="C3274" s="4"/>
      <c r="D3274" s="4" t="s">
        <v>6465</v>
      </c>
      <c r="E3274" s="4" t="s">
        <v>6466</v>
      </c>
      <c r="F3274" s="4" t="s">
        <v>6465</v>
      </c>
      <c r="G3274" s="5" t="str">
        <f>IFERROR(__xludf.DUMMYFUNCTION("GOOGLETRANSLATE(D3274,""en"",""es"")"),"kish")</f>
        <v>kish</v>
      </c>
    </row>
    <row r="3275">
      <c r="A3275" s="4">
        <v>211.0</v>
      </c>
      <c r="B3275" s="4" t="s">
        <v>8920</v>
      </c>
      <c r="C3275" s="4"/>
      <c r="D3275" s="4" t="s">
        <v>6467</v>
      </c>
      <c r="E3275" s="4" t="s">
        <v>6468</v>
      </c>
      <c r="F3275" s="4" t="s">
        <v>6469</v>
      </c>
      <c r="G3275" s="5" t="str">
        <f>IFERROR(__xludf.DUMMYFUNCTION("GOOGLETRANSLATE(D3275,""en"",""es"")"),"Beso")</f>
        <v>Beso</v>
      </c>
      <c r="H3275" s="4" t="s">
        <v>6467</v>
      </c>
      <c r="I3275" s="4" t="s">
        <v>6470</v>
      </c>
      <c r="J3275" s="4" t="s">
        <v>6471</v>
      </c>
      <c r="K3275" s="4" t="s">
        <v>6467</v>
      </c>
      <c r="L3275" s="4" t="s">
        <v>6467</v>
      </c>
      <c r="M3275" s="4" t="s">
        <v>6472</v>
      </c>
      <c r="N3275" s="4" t="s">
        <v>6467</v>
      </c>
      <c r="O3275" s="4" t="s">
        <v>6473</v>
      </c>
      <c r="P3275" s="4" t="s">
        <v>6467</v>
      </c>
      <c r="Q3275" s="4" t="s">
        <v>6470</v>
      </c>
      <c r="R3275" s="4" t="s">
        <v>6474</v>
      </c>
      <c r="S3275" s="4" t="s">
        <v>6467</v>
      </c>
    </row>
    <row r="3276">
      <c r="A3276" s="4">
        <v>212.0</v>
      </c>
      <c r="B3276" s="4" t="s">
        <v>8920</v>
      </c>
      <c r="C3276" s="4"/>
      <c r="D3276" s="4" t="s">
        <v>6475</v>
      </c>
      <c r="E3276" s="4" t="s">
        <v>6476</v>
      </c>
      <c r="F3276" s="4" t="s">
        <v>6475</v>
      </c>
      <c r="G3276" s="5" t="str">
        <f>IFERROR(__xludf.DUMMYFUNCTION("GOOGLETRANSLATE(D3276,""en"",""es"")"),"kith")</f>
        <v>kith</v>
      </c>
      <c r="H3276" s="4" t="s">
        <v>6475</v>
      </c>
    </row>
    <row r="3277">
      <c r="A3277" s="4">
        <v>213.0</v>
      </c>
      <c r="B3277" s="4" t="s">
        <v>8920</v>
      </c>
      <c r="C3277" s="4"/>
      <c r="D3277" s="4" t="s">
        <v>2722</v>
      </c>
      <c r="E3277" s="4" t="s">
        <v>6477</v>
      </c>
      <c r="F3277" s="4" t="s">
        <v>6478</v>
      </c>
      <c r="G3277" s="5" t="str">
        <f>IFERROR(__xludf.DUMMYFUNCTION("GOOGLETRANSLATE(D3277,""en"",""es"")"),"gatito")</f>
        <v>gatito</v>
      </c>
      <c r="H3277" s="4" t="s">
        <v>6479</v>
      </c>
      <c r="I3277" s="4" t="s">
        <v>2722</v>
      </c>
      <c r="J3277" s="4" t="s">
        <v>1752</v>
      </c>
      <c r="K3277" s="4" t="s">
        <v>6480</v>
      </c>
      <c r="L3277" s="4" t="s">
        <v>2722</v>
      </c>
      <c r="M3277" s="4" t="s">
        <v>6481</v>
      </c>
      <c r="N3277" s="4" t="s">
        <v>2722</v>
      </c>
      <c r="O3277" s="4" t="s">
        <v>2722</v>
      </c>
      <c r="P3277" s="4" t="s">
        <v>2723</v>
      </c>
      <c r="Q3277" s="4" t="s">
        <v>2724</v>
      </c>
      <c r="R3277" s="4" t="s">
        <v>2725</v>
      </c>
      <c r="S3277" s="4" t="s">
        <v>2726</v>
      </c>
    </row>
    <row r="3278">
      <c r="A3278" s="4">
        <v>214.0</v>
      </c>
      <c r="B3278" s="4" t="s">
        <v>8920</v>
      </c>
      <c r="C3278" s="4"/>
      <c r="D3278" s="4" t="s">
        <v>2447</v>
      </c>
      <c r="E3278" s="4" t="s">
        <v>6482</v>
      </c>
      <c r="F3278" s="4" t="s">
        <v>6483</v>
      </c>
      <c r="G3278" s="5" t="str">
        <f>IFERROR(__xludf.DUMMYFUNCTION("GOOGLETRANSLATE(D3278,""en"",""es"")"),"maña")</f>
        <v>maña</v>
      </c>
      <c r="H3278" s="4" t="s">
        <v>2446</v>
      </c>
      <c r="I3278" s="4" t="s">
        <v>2447</v>
      </c>
      <c r="J3278" s="4" t="s">
        <v>2448</v>
      </c>
    </row>
    <row r="3279">
      <c r="A3279" s="4">
        <v>215.0</v>
      </c>
      <c r="B3279" s="4" t="s">
        <v>8920</v>
      </c>
      <c r="C3279" s="4"/>
      <c r="D3279" s="4" t="s">
        <v>6484</v>
      </c>
      <c r="E3279" s="4" t="s">
        <v>6485</v>
      </c>
      <c r="F3279" s="4" t="s">
        <v>2928</v>
      </c>
      <c r="G3279" s="5" t="str">
        <f>IFERROR(__xludf.DUMMYFUNCTION("GOOGLETRANSLATE(D3279,""en"",""es"")"),"mierda")</f>
        <v>mierda</v>
      </c>
      <c r="H3279" s="4" t="s">
        <v>6486</v>
      </c>
      <c r="I3279" s="4" t="s">
        <v>6484</v>
      </c>
      <c r="J3279" s="4" t="s">
        <v>2603</v>
      </c>
      <c r="K3279" s="4" t="s">
        <v>6484</v>
      </c>
      <c r="L3279" s="4" t="s">
        <v>944</v>
      </c>
      <c r="M3279" s="4" t="s">
        <v>6487</v>
      </c>
    </row>
    <row r="3280">
      <c r="A3280" s="4">
        <v>216.0</v>
      </c>
      <c r="B3280" s="4" t="s">
        <v>8920</v>
      </c>
      <c r="C3280" s="4"/>
      <c r="D3280" s="4" t="s">
        <v>8402</v>
      </c>
      <c r="E3280" s="4" t="s">
        <v>388</v>
      </c>
      <c r="F3280" s="4" t="s">
        <v>389</v>
      </c>
      <c r="G3280" s="5" t="str">
        <f>IFERROR(__xludf.DUMMYFUNCTION("GOOGLETRANSLATE(D3280,""en"",""es"")"),"rodilla")</f>
        <v>rodilla</v>
      </c>
      <c r="H3280" s="4" t="s">
        <v>8402</v>
      </c>
      <c r="I3280" s="4" t="s">
        <v>8403</v>
      </c>
      <c r="J3280" s="4" t="s">
        <v>8404</v>
      </c>
      <c r="K3280" s="4" t="s">
        <v>8405</v>
      </c>
      <c r="L3280" s="4" t="s">
        <v>8406</v>
      </c>
      <c r="M3280" s="4" t="s">
        <v>8407</v>
      </c>
      <c r="N3280" s="4" t="s">
        <v>8402</v>
      </c>
      <c r="O3280" s="4" t="s">
        <v>8402</v>
      </c>
    </row>
    <row r="3281">
      <c r="A3281" s="4">
        <v>217.0</v>
      </c>
      <c r="B3281" s="4" t="s">
        <v>8920</v>
      </c>
      <c r="C3281" s="4"/>
      <c r="D3281" s="4" t="s">
        <v>3462</v>
      </c>
      <c r="E3281" s="4" t="s">
        <v>8408</v>
      </c>
      <c r="F3281" s="4" t="s">
        <v>6483</v>
      </c>
      <c r="G3281" s="5" t="str">
        <f>IFERROR(__xludf.DUMMYFUNCTION("GOOGLETRANSLATE(D3281,""en"",""es"")"),"golpear")</f>
        <v>golpear</v>
      </c>
      <c r="H3281" s="4" t="s">
        <v>3462</v>
      </c>
      <c r="I3281" s="4" t="s">
        <v>3463</v>
      </c>
      <c r="J3281" s="4" t="s">
        <v>3462</v>
      </c>
      <c r="K3281" s="4" t="s">
        <v>8409</v>
      </c>
      <c r="L3281" s="4" t="s">
        <v>3462</v>
      </c>
      <c r="M3281" s="4" t="s">
        <v>8410</v>
      </c>
      <c r="N3281" s="4" t="s">
        <v>6404</v>
      </c>
      <c r="O3281" s="4" t="s">
        <v>8411</v>
      </c>
      <c r="P3281" s="4" t="s">
        <v>8412</v>
      </c>
      <c r="Q3281" s="4" t="s">
        <v>3462</v>
      </c>
      <c r="R3281" s="4" t="s">
        <v>3462</v>
      </c>
      <c r="S3281" s="4" t="s">
        <v>8412</v>
      </c>
      <c r="T3281" s="4" t="s">
        <v>6486</v>
      </c>
      <c r="U3281" s="4" t="s">
        <v>8413</v>
      </c>
      <c r="V3281" s="4" t="s">
        <v>8414</v>
      </c>
      <c r="W3281" s="4" t="s">
        <v>3462</v>
      </c>
      <c r="X3281" s="4" t="s">
        <v>8415</v>
      </c>
      <c r="Y3281" s="4" t="s">
        <v>3462</v>
      </c>
      <c r="Z3281" s="4" t="s">
        <v>8416</v>
      </c>
      <c r="AA3281" s="4" t="s">
        <v>3462</v>
      </c>
      <c r="AB3281" s="4" t="s">
        <v>4321</v>
      </c>
      <c r="AC3281" s="4" t="s">
        <v>6486</v>
      </c>
      <c r="AD3281" s="4" t="s">
        <v>3462</v>
      </c>
      <c r="AE3281" s="4" t="s">
        <v>7763</v>
      </c>
      <c r="AF3281" s="4" t="s">
        <v>7763</v>
      </c>
      <c r="AG3281" s="4" t="s">
        <v>8417</v>
      </c>
      <c r="AH3281" s="4" t="s">
        <v>3462</v>
      </c>
      <c r="AI3281" s="4" t="s">
        <v>3462</v>
      </c>
      <c r="AJ3281" s="4" t="s">
        <v>8418</v>
      </c>
      <c r="AK3281" s="4" t="s">
        <v>8419</v>
      </c>
      <c r="AL3281" s="4" t="s">
        <v>8420</v>
      </c>
    </row>
    <row r="3282">
      <c r="A3282" s="4">
        <v>218.0</v>
      </c>
      <c r="B3282" s="4" t="s">
        <v>8920</v>
      </c>
      <c r="C3282" s="4"/>
      <c r="D3282" s="4" t="s">
        <v>8421</v>
      </c>
      <c r="E3282" s="4" t="s">
        <v>6073</v>
      </c>
      <c r="F3282" s="4" t="s">
        <v>1588</v>
      </c>
      <c r="G3282" s="5" t="str">
        <f>IFERROR(__xludf.DUMMYFUNCTION("GOOGLETRANSLATE(D3282,""en"",""es"")"),"koch")</f>
        <v>koch</v>
      </c>
      <c r="H3282" s="4" t="s">
        <v>8423</v>
      </c>
      <c r="I3282" s="4" t="s">
        <v>8424</v>
      </c>
    </row>
    <row r="3283">
      <c r="A3283" s="4">
        <v>219.0</v>
      </c>
      <c r="B3283" s="4" t="s">
        <v>8920</v>
      </c>
      <c r="C3283" s="4"/>
      <c r="D3283" s="4" t="s">
        <v>6488</v>
      </c>
      <c r="E3283" s="4" t="s">
        <v>1555</v>
      </c>
      <c r="F3283" s="4" t="s">
        <v>1556</v>
      </c>
      <c r="G3283" s="5" t="str">
        <f>IFERROR(__xludf.DUMMYFUNCTION("GOOGLETRANSLATE(D3283,""en"",""es"")"),"gooky")</f>
        <v>gooky</v>
      </c>
      <c r="H3283" s="4" t="s">
        <v>6489</v>
      </c>
      <c r="I3283" s="4" t="s">
        <v>6490</v>
      </c>
      <c r="J3283" s="4" t="s">
        <v>6491</v>
      </c>
      <c r="K3283" s="4" t="s">
        <v>6492</v>
      </c>
      <c r="L3283" s="4" t="s">
        <v>6493</v>
      </c>
      <c r="M3283" s="4" t="s">
        <v>6494</v>
      </c>
      <c r="N3283" s="4" t="s">
        <v>6495</v>
      </c>
      <c r="O3283" s="4" t="s">
        <v>6496</v>
      </c>
      <c r="P3283" s="4" t="s">
        <v>6497</v>
      </c>
      <c r="Q3283" s="4" t="s">
        <v>6498</v>
      </c>
      <c r="R3283" s="4" t="s">
        <v>6499</v>
      </c>
      <c r="S3283" s="4" t="s">
        <v>6500</v>
      </c>
      <c r="T3283" s="4" t="s">
        <v>6488</v>
      </c>
      <c r="U3283" s="4" t="s">
        <v>6501</v>
      </c>
      <c r="V3283" s="4" t="s">
        <v>6502</v>
      </c>
      <c r="W3283" s="4" t="s">
        <v>6503</v>
      </c>
      <c r="X3283" s="4" t="s">
        <v>6504</v>
      </c>
      <c r="Y3283" s="4" t="s">
        <v>6505</v>
      </c>
      <c r="Z3283" s="4" t="s">
        <v>6506</v>
      </c>
      <c r="AA3283" s="4" t="s">
        <v>6507</v>
      </c>
      <c r="AB3283" s="4" t="s">
        <v>6508</v>
      </c>
      <c r="AC3283" s="4" t="s">
        <v>6509</v>
      </c>
      <c r="AD3283" s="4" t="s">
        <v>6510</v>
      </c>
    </row>
    <row r="3284">
      <c r="A3284" s="4">
        <v>220.0</v>
      </c>
      <c r="B3284" s="4" t="s">
        <v>8920</v>
      </c>
      <c r="C3284" s="4"/>
      <c r="D3284" s="4" t="s">
        <v>8425</v>
      </c>
      <c r="E3284" s="4" t="s">
        <v>8426</v>
      </c>
      <c r="F3284" s="4" t="s">
        <v>8425</v>
      </c>
      <c r="G3284" s="5" t="str">
        <f>IFERROR(__xludf.DUMMYFUNCTION("GOOGLETRANSLATE(D3284,""en"",""es"")"),"kulak")</f>
        <v>kulak</v>
      </c>
    </row>
    <row r="3285">
      <c r="A3285" s="4">
        <v>221.0</v>
      </c>
      <c r="B3285" s="4" t="s">
        <v>8920</v>
      </c>
      <c r="C3285" s="4"/>
      <c r="D3285" s="4" t="s">
        <v>6099</v>
      </c>
      <c r="E3285" s="4" t="s">
        <v>6098</v>
      </c>
      <c r="F3285" s="4" t="s">
        <v>6099</v>
      </c>
      <c r="G3285" s="5" t="str">
        <f>IFERROR(__xludf.DUMMYFUNCTION("GOOGLETRANSLATE(D3285,""en"",""es"")"),"kush")</f>
        <v>kush</v>
      </c>
    </row>
    <row r="3286">
      <c r="A3286" s="4">
        <v>222.0</v>
      </c>
      <c r="B3286" s="4" t="s">
        <v>8920</v>
      </c>
      <c r="C3286" s="4"/>
      <c r="D3286" s="4" t="s">
        <v>6511</v>
      </c>
      <c r="E3286" s="4" t="s">
        <v>6512</v>
      </c>
      <c r="F3286" s="4" t="s">
        <v>6513</v>
      </c>
      <c r="G3286" s="5" t="str">
        <f>IFERROR(__xludf.DUMMYFUNCTION("GOOGLETRANSLATE(D3286,""en"",""es"")"),"Kylym")</f>
        <v>Kylym</v>
      </c>
    </row>
    <row r="3287">
      <c r="A3287" s="4">
        <v>223.0</v>
      </c>
      <c r="B3287" s="4" t="s">
        <v>8920</v>
      </c>
      <c r="C3287" s="4"/>
      <c r="D3287" s="4" t="s">
        <v>6514</v>
      </c>
      <c r="E3287" s="4" t="s">
        <v>6515</v>
      </c>
      <c r="F3287" s="4" t="s">
        <v>4831</v>
      </c>
      <c r="G3287" s="5" t="str">
        <f>IFERROR(__xludf.DUMMYFUNCTION("GOOGLETRANSLATE(D3287,""en"",""es"")"),"laca")</f>
        <v>laca</v>
      </c>
      <c r="H3287" s="4" t="s">
        <v>6514</v>
      </c>
    </row>
    <row r="3288">
      <c r="A3288" s="4">
        <v>224.0</v>
      </c>
      <c r="B3288" s="4" t="s">
        <v>8920</v>
      </c>
      <c r="C3288" s="4"/>
      <c r="D3288" s="4" t="s">
        <v>6514</v>
      </c>
      <c r="E3288" s="4" t="s">
        <v>6516</v>
      </c>
      <c r="F3288" s="4" t="s">
        <v>6517</v>
      </c>
      <c r="G3288" s="5" t="str">
        <f>IFERROR(__xludf.DUMMYFUNCTION("GOOGLETRANSLATE(D3288,""en"",""es"")"),"laca")</f>
        <v>laca</v>
      </c>
      <c r="H3288" s="4" t="s">
        <v>6514</v>
      </c>
    </row>
    <row r="3289">
      <c r="A3289" s="4">
        <v>225.0</v>
      </c>
      <c r="B3289" s="4" t="s">
        <v>8920</v>
      </c>
      <c r="C3289" s="4"/>
      <c r="D3289" s="4" t="s">
        <v>6518</v>
      </c>
      <c r="E3289" s="4" t="s">
        <v>6519</v>
      </c>
      <c r="F3289" s="4" t="s">
        <v>6520</v>
      </c>
      <c r="G3289" s="5" t="str">
        <f>IFERROR(__xludf.DUMMYFUNCTION("GOOGLETRANSLATE(D3289,""en"",""es"")"),"lacera")</f>
        <v>lacera</v>
      </c>
    </row>
    <row r="3290">
      <c r="A3290" s="4">
        <v>226.0</v>
      </c>
      <c r="B3290" s="4" t="s">
        <v>8920</v>
      </c>
      <c r="C3290" s="4"/>
      <c r="D3290" s="4" t="s">
        <v>6521</v>
      </c>
      <c r="E3290" s="4" t="s">
        <v>6522</v>
      </c>
      <c r="F3290" s="4" t="s">
        <v>6523</v>
      </c>
      <c r="G3290" s="5" t="str">
        <f>IFERROR(__xludf.DUMMYFUNCTION("GOOGLETRANSLATE(D3290,""en"",""es"")"),"Lachesis")</f>
        <v>Lachesis</v>
      </c>
      <c r="H3290" s="4" t="s">
        <v>6524</v>
      </c>
    </row>
    <row r="3291">
      <c r="A3291" s="4">
        <v>227.0</v>
      </c>
      <c r="B3291" s="4" t="s">
        <v>8920</v>
      </c>
      <c r="C3291" s="4"/>
      <c r="D3291" s="4" t="s">
        <v>6526</v>
      </c>
      <c r="E3291" s="4" t="s">
        <v>6515</v>
      </c>
      <c r="F3291" s="4" t="s">
        <v>4831</v>
      </c>
      <c r="G3291" s="5" t="str">
        <f>IFERROR(__xludf.DUMMYFUNCTION("GOOGLETRANSLATE(D3291,""en"",""es"")"),"falta")</f>
        <v>falta</v>
      </c>
      <c r="H3291" s="4" t="s">
        <v>6526</v>
      </c>
      <c r="I3291" s="4" t="s">
        <v>6527</v>
      </c>
      <c r="J3291" s="4" t="s">
        <v>6528</v>
      </c>
      <c r="K3291" s="4" t="s">
        <v>2709</v>
      </c>
      <c r="L3291" s="4" t="s">
        <v>6526</v>
      </c>
    </row>
    <row r="3292">
      <c r="A3292" s="4">
        <v>228.0</v>
      </c>
      <c r="B3292" s="4" t="s">
        <v>8920</v>
      </c>
      <c r="C3292" s="4"/>
      <c r="D3292" s="4" t="s">
        <v>6529</v>
      </c>
      <c r="E3292" s="4" t="s">
        <v>6530</v>
      </c>
      <c r="F3292" s="4" t="s">
        <v>6531</v>
      </c>
      <c r="G3292" s="5" t="str">
        <f>IFERROR(__xludf.DUMMYFUNCTION("GOOGLETRANSLATE(D3292,""en"",""es"")"),"lacayo")</f>
        <v>lacayo</v>
      </c>
      <c r="H3292" s="4" t="s">
        <v>6529</v>
      </c>
      <c r="I3292" s="4" t="s">
        <v>6532</v>
      </c>
      <c r="J3292" s="4" t="s">
        <v>6533</v>
      </c>
      <c r="K3292" s="4" t="s">
        <v>6534</v>
      </c>
      <c r="L3292" s="4" t="s">
        <v>6535</v>
      </c>
      <c r="M3292" s="4" t="s">
        <v>6536</v>
      </c>
      <c r="N3292" s="4" t="s">
        <v>6529</v>
      </c>
      <c r="O3292" s="4" t="s">
        <v>6537</v>
      </c>
    </row>
    <row r="3293">
      <c r="A3293" s="4">
        <v>229.0</v>
      </c>
      <c r="B3293" s="4" t="s">
        <v>8920</v>
      </c>
      <c r="C3293" s="4"/>
      <c r="D3293" s="4" t="s">
        <v>2017</v>
      </c>
      <c r="E3293" s="4" t="s">
        <v>4888</v>
      </c>
      <c r="F3293" s="4" t="s">
        <v>2015</v>
      </c>
      <c r="G3293" s="5" t="str">
        <f>IFERROR(__xludf.DUMMYFUNCTION("GOOGLETRANSLATE(D3293,""en"",""es"")"),"llah")</f>
        <v>llah</v>
      </c>
      <c r="H3293" s="4" t="s">
        <v>2015</v>
      </c>
      <c r="I3293" s="4" t="s">
        <v>2017</v>
      </c>
    </row>
    <row r="3294">
      <c r="A3294" s="4">
        <v>230.0</v>
      </c>
      <c r="B3294" s="4" t="s">
        <v>8920</v>
      </c>
      <c r="C3294" s="4"/>
      <c r="D3294" s="4" t="s">
        <v>8427</v>
      </c>
      <c r="E3294" s="4" t="s">
        <v>6515</v>
      </c>
      <c r="F3294" s="4" t="s">
        <v>4831</v>
      </c>
      <c r="G3294" s="5" t="str">
        <f>IFERROR(__xludf.DUMMYFUNCTION("GOOGLETRANSLATE(D3294,""en"",""es"")"),"lakh")</f>
        <v>lakh</v>
      </c>
      <c r="H3294" s="4" t="s">
        <v>8428</v>
      </c>
      <c r="I3294" s="4">
        <v>100000.0</v>
      </c>
      <c r="J3294" s="4" t="s">
        <v>8427</v>
      </c>
    </row>
    <row r="3295">
      <c r="A3295" s="4">
        <v>231.0</v>
      </c>
      <c r="B3295" s="4" t="s">
        <v>8920</v>
      </c>
      <c r="C3295" s="4"/>
      <c r="D3295" s="4" t="s">
        <v>4836</v>
      </c>
      <c r="E3295" s="4" t="s">
        <v>6538</v>
      </c>
      <c r="F3295" s="4" t="s">
        <v>4836</v>
      </c>
      <c r="G3295" s="5" t="str">
        <f>IFERROR(__xludf.DUMMYFUNCTION("GOOGLETRANSLATE(D3295,""en"",""es"")"),"justicia")</f>
        <v>justicia</v>
      </c>
      <c r="H3295" s="4" t="s">
        <v>6539</v>
      </c>
      <c r="I3295" s="4" t="s">
        <v>4836</v>
      </c>
      <c r="J3295" s="4" t="s">
        <v>6540</v>
      </c>
      <c r="K3295" s="4" t="s">
        <v>646</v>
      </c>
      <c r="L3295" s="4" t="s">
        <v>6541</v>
      </c>
      <c r="M3295" s="4" t="s">
        <v>6542</v>
      </c>
      <c r="N3295" s="4" t="s">
        <v>4836</v>
      </c>
      <c r="O3295" s="4" t="s">
        <v>6543</v>
      </c>
      <c r="P3295" s="4" t="s">
        <v>6544</v>
      </c>
      <c r="Q3295" s="4" t="s">
        <v>6545</v>
      </c>
      <c r="R3295" s="4" t="s">
        <v>6546</v>
      </c>
      <c r="S3295" s="4" t="s">
        <v>6547</v>
      </c>
      <c r="T3295" s="4" t="s">
        <v>6548</v>
      </c>
      <c r="U3295" s="4" t="s">
        <v>6549</v>
      </c>
      <c r="V3295" s="4" t="s">
        <v>4306</v>
      </c>
      <c r="W3295" s="4" t="s">
        <v>6550</v>
      </c>
      <c r="X3295" s="4" t="s">
        <v>6551</v>
      </c>
      <c r="Y3295" s="4" t="s">
        <v>4836</v>
      </c>
      <c r="Z3295" s="4" t="s">
        <v>6552</v>
      </c>
    </row>
    <row r="3296">
      <c r="A3296" s="4">
        <v>232.0</v>
      </c>
      <c r="B3296" s="4" t="s">
        <v>8920</v>
      </c>
      <c r="C3296" s="4"/>
      <c r="D3296" s="4" t="s">
        <v>4678</v>
      </c>
      <c r="E3296" s="4" t="s">
        <v>6538</v>
      </c>
      <c r="F3296" s="4" t="s">
        <v>4836</v>
      </c>
      <c r="G3296" s="5" t="str">
        <f>IFERROR(__xludf.DUMMYFUNCTION("GOOGLETRANSLATE(D3296,""en"",""es"")"),"cordero")</f>
        <v>cordero</v>
      </c>
      <c r="H3296" s="4" t="s">
        <v>4678</v>
      </c>
      <c r="I3296" s="4" t="s">
        <v>6553</v>
      </c>
      <c r="J3296" s="4" t="s">
        <v>6554</v>
      </c>
      <c r="K3296" s="4" t="s">
        <v>6555</v>
      </c>
      <c r="L3296" s="4" t="s">
        <v>4678</v>
      </c>
      <c r="M3296" s="4" t="s">
        <v>4678</v>
      </c>
      <c r="N3296" s="4" t="s">
        <v>6556</v>
      </c>
      <c r="O3296" s="4" t="s">
        <v>4678</v>
      </c>
      <c r="P3296" s="4" t="s">
        <v>4678</v>
      </c>
    </row>
    <row r="3297">
      <c r="A3297" s="4">
        <v>233.0</v>
      </c>
      <c r="B3297" s="4" t="s">
        <v>8920</v>
      </c>
      <c r="C3297" s="4"/>
      <c r="D3297" s="4" t="s">
        <v>6557</v>
      </c>
      <c r="E3297" s="4" t="s">
        <v>6558</v>
      </c>
      <c r="F3297" s="4" t="s">
        <v>6557</v>
      </c>
      <c r="G3297" s="5" t="str">
        <f>IFERROR(__xludf.DUMMYFUNCTION("GOOGLETRANSLATE(D3297,""en"",""es"")"),"lan")</f>
        <v>lan</v>
      </c>
      <c r="H3297" s="4" t="s">
        <v>6559</v>
      </c>
      <c r="I3297" s="4" t="s">
        <v>6560</v>
      </c>
    </row>
    <row r="3298">
      <c r="A3298" s="4">
        <v>234.0</v>
      </c>
      <c r="B3298" s="4" t="s">
        <v>8920</v>
      </c>
      <c r="C3298" s="4"/>
      <c r="D3298" s="4" t="s">
        <v>4724</v>
      </c>
      <c r="E3298" s="4" t="s">
        <v>6561</v>
      </c>
      <c r="F3298" s="4" t="s">
        <v>4724</v>
      </c>
      <c r="G3298" s="5" t="str">
        <f>IFERROR(__xludf.DUMMYFUNCTION("GOOGLETRANSLATE(D3298,""en"",""es"")"),"vuelta")</f>
        <v>vuelta</v>
      </c>
      <c r="H3298" s="4" t="s">
        <v>4724</v>
      </c>
      <c r="I3298" s="4" t="s">
        <v>4724</v>
      </c>
      <c r="J3298" s="4" t="s">
        <v>4724</v>
      </c>
      <c r="K3298" s="4" t="s">
        <v>6562</v>
      </c>
      <c r="L3298" s="4" t="s">
        <v>4724</v>
      </c>
      <c r="M3298" s="4" t="s">
        <v>6563</v>
      </c>
      <c r="N3298" s="4" t="s">
        <v>4724</v>
      </c>
      <c r="O3298" s="4" t="s">
        <v>6564</v>
      </c>
      <c r="P3298" s="4" t="s">
        <v>6565</v>
      </c>
      <c r="Q3298" s="4" t="s">
        <v>6566</v>
      </c>
      <c r="R3298" s="4" t="s">
        <v>4724</v>
      </c>
      <c r="S3298" s="4" t="s">
        <v>4724</v>
      </c>
      <c r="T3298" s="4" t="s">
        <v>6566</v>
      </c>
      <c r="U3298" s="4" t="s">
        <v>4724</v>
      </c>
      <c r="V3298" s="4" t="s">
        <v>4724</v>
      </c>
      <c r="W3298" s="4" t="s">
        <v>4725</v>
      </c>
      <c r="X3298" s="4" t="s">
        <v>4726</v>
      </c>
      <c r="Y3298" s="4" t="s">
        <v>4727</v>
      </c>
      <c r="Z3298" s="4" t="s">
        <v>4724</v>
      </c>
      <c r="AA3298" s="4" t="s">
        <v>6567</v>
      </c>
      <c r="AB3298" s="4" t="s">
        <v>6566</v>
      </c>
      <c r="AC3298" s="4" t="s">
        <v>6568</v>
      </c>
      <c r="AD3298" s="4" t="s">
        <v>4724</v>
      </c>
      <c r="AE3298" s="4" t="s">
        <v>2800</v>
      </c>
    </row>
    <row r="3299">
      <c r="A3299" s="4">
        <v>235.0</v>
      </c>
      <c r="B3299" s="4" t="s">
        <v>8920</v>
      </c>
      <c r="C3299" s="4"/>
      <c r="D3299" s="4" t="s">
        <v>6569</v>
      </c>
      <c r="E3299" s="4" t="s">
        <v>6570</v>
      </c>
      <c r="F3299" s="4" t="s">
        <v>6569</v>
      </c>
      <c r="G3299" s="5" t="str">
        <f>IFERROR(__xludf.DUMMYFUNCTION("GOOGLETRANSLATE(D3299,""en"",""es"")"),"lapis")</f>
        <v>lapis</v>
      </c>
    </row>
    <row r="3300">
      <c r="A3300" s="4">
        <v>236.0</v>
      </c>
      <c r="B3300" s="4" t="s">
        <v>8920</v>
      </c>
      <c r="C3300" s="4"/>
      <c r="D3300" s="4" t="s">
        <v>6520</v>
      </c>
      <c r="E3300" s="4" t="s">
        <v>6519</v>
      </c>
      <c r="F3300" s="4" t="s">
        <v>6520</v>
      </c>
      <c r="G3300" s="5" t="str">
        <f>IFERROR(__xludf.DUMMYFUNCTION("GOOGLETRANSLATE(D3300,""en"",""es"")"),"latigazo")</f>
        <v>latigazo</v>
      </c>
      <c r="H3300" s="4" t="s">
        <v>6571</v>
      </c>
      <c r="I3300" s="4" t="s">
        <v>6520</v>
      </c>
      <c r="J3300" s="4" t="s">
        <v>6572</v>
      </c>
      <c r="K3300" s="4" t="s">
        <v>6520</v>
      </c>
      <c r="L3300" s="4" t="s">
        <v>6573</v>
      </c>
      <c r="M3300" s="4" t="s">
        <v>6574</v>
      </c>
      <c r="N3300" s="4" t="s">
        <v>6520</v>
      </c>
      <c r="O3300" s="4" t="s">
        <v>6575</v>
      </c>
      <c r="P3300" s="4" t="s">
        <v>6576</v>
      </c>
      <c r="Q3300" s="4" t="s">
        <v>6577</v>
      </c>
      <c r="R3300" s="4" t="s">
        <v>6574</v>
      </c>
      <c r="S3300" s="4" t="s">
        <v>6578</v>
      </c>
      <c r="T3300" s="4" t="s">
        <v>6520</v>
      </c>
      <c r="U3300" s="4" t="s">
        <v>4283</v>
      </c>
      <c r="V3300" s="4" t="s">
        <v>6579</v>
      </c>
      <c r="W3300" s="4" t="s">
        <v>6580</v>
      </c>
      <c r="X3300" s="4" t="s">
        <v>6520</v>
      </c>
      <c r="Y3300" s="4" t="s">
        <v>6574</v>
      </c>
      <c r="Z3300" s="4" t="s">
        <v>6520</v>
      </c>
      <c r="AA3300" s="4" t="s">
        <v>6520</v>
      </c>
    </row>
    <row r="3301">
      <c r="A3301" s="4">
        <v>237.0</v>
      </c>
      <c r="B3301" s="4" t="s">
        <v>8920</v>
      </c>
      <c r="C3301" s="4"/>
      <c r="D3301" s="4" t="s">
        <v>6581</v>
      </c>
      <c r="E3301" s="4" t="s">
        <v>6516</v>
      </c>
      <c r="F3301" s="4" t="s">
        <v>6517</v>
      </c>
      <c r="G3301" s="5" t="str">
        <f>IFERROR(__xludf.DUMMYFUNCTION("GOOGLETRANSLATE(D3301,""en"",""es"")"),"muchacha")</f>
        <v>muchacha</v>
      </c>
      <c r="H3301" s="4" t="s">
        <v>6581</v>
      </c>
      <c r="I3301" s="4" t="s">
        <v>6582</v>
      </c>
      <c r="J3301" s="4" t="s">
        <v>6583</v>
      </c>
      <c r="K3301" s="4" t="s">
        <v>6584</v>
      </c>
    </row>
    <row r="3302">
      <c r="A3302" s="4">
        <v>238.0</v>
      </c>
      <c r="B3302" s="4" t="s">
        <v>8920</v>
      </c>
      <c r="C3302" s="4"/>
      <c r="D3302" s="4" t="s">
        <v>6585</v>
      </c>
      <c r="E3302" s="4" t="s">
        <v>6586</v>
      </c>
      <c r="F3302" s="4" t="s">
        <v>2020</v>
      </c>
      <c r="G3302" s="5" t="str">
        <f>IFERROR(__xludf.DUMMYFUNCTION("GOOGLETRANSLATE(D3302,""en"",""es"")"),"lassi")</f>
        <v>lassi</v>
      </c>
    </row>
    <row r="3303">
      <c r="A3303" s="4">
        <v>239.0</v>
      </c>
      <c r="B3303" s="4" t="s">
        <v>8920</v>
      </c>
      <c r="C3303" s="4"/>
      <c r="D3303" s="4" t="s">
        <v>6582</v>
      </c>
      <c r="E3303" s="4" t="s">
        <v>6586</v>
      </c>
      <c r="F3303" s="4" t="s">
        <v>2020</v>
      </c>
      <c r="G3303" s="5" t="str">
        <f>IFERROR(__xludf.DUMMYFUNCTION("GOOGLETRANSLATE(D3303,""en"",""es"")"),"muchacha")</f>
        <v>muchacha</v>
      </c>
      <c r="H3303" s="4" t="s">
        <v>6581</v>
      </c>
      <c r="I3303" s="4" t="s">
        <v>6582</v>
      </c>
      <c r="J3303" s="4" t="s">
        <v>6583</v>
      </c>
      <c r="K3303" s="4" t="s">
        <v>6584</v>
      </c>
    </row>
    <row r="3304">
      <c r="A3304" s="4">
        <v>240.0</v>
      </c>
      <c r="B3304" s="4" t="s">
        <v>8920</v>
      </c>
      <c r="C3304" s="4"/>
      <c r="D3304" s="4" t="s">
        <v>2146</v>
      </c>
      <c r="E3304" s="4" t="s">
        <v>8429</v>
      </c>
      <c r="F3304" s="4" t="s">
        <v>8430</v>
      </c>
      <c r="G3304" s="5" t="str">
        <f>IFERROR(__xludf.DUMMYFUNCTION("GOOGLETRANSLATE(D3304,""en"",""es"")"),"lazo")</f>
        <v>lazo</v>
      </c>
      <c r="H3304" s="4" t="s">
        <v>8431</v>
      </c>
      <c r="I3304" s="4" t="s">
        <v>8432</v>
      </c>
      <c r="J3304" s="4" t="s">
        <v>8433</v>
      </c>
      <c r="K3304" s="4" t="s">
        <v>2146</v>
      </c>
      <c r="L3304" s="4" t="s">
        <v>2147</v>
      </c>
      <c r="M3304" s="4" t="s">
        <v>2148</v>
      </c>
      <c r="N3304" s="4" t="s">
        <v>2149</v>
      </c>
      <c r="O3304" s="4" t="s">
        <v>2146</v>
      </c>
      <c r="P3304" s="4" t="s">
        <v>8434</v>
      </c>
    </row>
    <row r="3305">
      <c r="A3305" s="4">
        <v>241.0</v>
      </c>
      <c r="B3305" s="4" t="s">
        <v>8920</v>
      </c>
      <c r="C3305" s="4"/>
      <c r="D3305" s="4" t="s">
        <v>8435</v>
      </c>
      <c r="E3305" s="4" t="s">
        <v>8436</v>
      </c>
      <c r="F3305" s="4" t="s">
        <v>6589</v>
      </c>
      <c r="G3305" s="5" t="str">
        <f>IFERROR(__xludf.DUMMYFUNCTION("GOOGLETRANSLATE(D3305,""en"",""es"")"),"latino")</f>
        <v>latino</v>
      </c>
      <c r="H3305" s="4" t="s">
        <v>8435</v>
      </c>
      <c r="I3305" s="4" t="s">
        <v>8437</v>
      </c>
      <c r="J3305" s="4" t="s">
        <v>8435</v>
      </c>
      <c r="K3305" s="4" t="s">
        <v>8438</v>
      </c>
    </row>
    <row r="3306">
      <c r="A3306" s="4">
        <v>242.0</v>
      </c>
      <c r="B3306" s="4" t="s">
        <v>8920</v>
      </c>
      <c r="C3306" s="4"/>
      <c r="D3306" s="4" t="s">
        <v>6587</v>
      </c>
      <c r="E3306" s="4" t="s">
        <v>6588</v>
      </c>
      <c r="F3306" s="4" t="s">
        <v>6587</v>
      </c>
      <c r="G3306" s="5" t="str">
        <f>IFERROR(__xludf.DUMMYFUNCTION("GOOGLETRANSLATE(D3306,""en"",""es"")"),"listón")</f>
        <v>listón</v>
      </c>
      <c r="H3306" s="4" t="s">
        <v>6587</v>
      </c>
    </row>
    <row r="3307">
      <c r="A3307" s="4">
        <v>243.0</v>
      </c>
      <c r="B3307" s="4" t="s">
        <v>8920</v>
      </c>
      <c r="C3307" s="4"/>
      <c r="D3307" s="4" t="s">
        <v>6592</v>
      </c>
      <c r="E3307" s="4" t="s">
        <v>6593</v>
      </c>
      <c r="F3307" s="4" t="s">
        <v>6594</v>
      </c>
      <c r="G3307" s="5" t="str">
        <f>IFERROR(__xludf.DUMMYFUNCTION("GOOGLETRANSLATE(D3307,""en"",""es"")"),"enrejado")</f>
        <v>enrejado</v>
      </c>
      <c r="H3307" s="4" t="s">
        <v>6592</v>
      </c>
      <c r="I3307" s="4" t="s">
        <v>6595</v>
      </c>
      <c r="J3307" s="4" t="s">
        <v>6592</v>
      </c>
      <c r="K3307" s="4" t="s">
        <v>6596</v>
      </c>
      <c r="L3307" s="4" t="s">
        <v>6592</v>
      </c>
      <c r="M3307" s="4" t="s">
        <v>6597</v>
      </c>
      <c r="N3307" s="4" t="s">
        <v>6598</v>
      </c>
    </row>
    <row r="3308">
      <c r="A3308" s="4">
        <v>244.0</v>
      </c>
      <c r="B3308" s="4" t="s">
        <v>8920</v>
      </c>
      <c r="C3308" s="4"/>
      <c r="D3308" s="4" t="s">
        <v>6566</v>
      </c>
      <c r="E3308" s="4" t="s">
        <v>6599</v>
      </c>
      <c r="F3308" s="4" t="s">
        <v>6600</v>
      </c>
      <c r="G3308" s="5" t="str">
        <f>IFERROR(__xludf.DUMMYFUNCTION("GOOGLETRANSLATE(D3308,""en"",""es"")"),"lamer")</f>
        <v>lamer</v>
      </c>
      <c r="H3308" s="4" t="s">
        <v>6601</v>
      </c>
      <c r="I3308" s="4" t="s">
        <v>6566</v>
      </c>
      <c r="J3308" s="4" t="s">
        <v>6566</v>
      </c>
      <c r="K3308" s="4" t="s">
        <v>4724</v>
      </c>
      <c r="L3308" s="4" t="s">
        <v>3498</v>
      </c>
      <c r="M3308" s="4" t="s">
        <v>6602</v>
      </c>
      <c r="N3308" s="4" t="s">
        <v>3489</v>
      </c>
      <c r="O3308" s="4" t="s">
        <v>6566</v>
      </c>
      <c r="P3308" s="4" t="s">
        <v>6603</v>
      </c>
      <c r="Q3308" s="4" t="s">
        <v>2170</v>
      </c>
      <c r="R3308" s="4" t="s">
        <v>2937</v>
      </c>
      <c r="S3308" s="4" t="s">
        <v>6604</v>
      </c>
      <c r="T3308" s="4" t="s">
        <v>6605</v>
      </c>
      <c r="U3308" s="4" t="s">
        <v>6606</v>
      </c>
      <c r="V3308" s="4" t="s">
        <v>6550</v>
      </c>
      <c r="W3308" s="4" t="s">
        <v>6566</v>
      </c>
      <c r="X3308" s="4" t="s">
        <v>6566</v>
      </c>
      <c r="Y3308" s="4" t="s">
        <v>4724</v>
      </c>
      <c r="Z3308" s="4" t="s">
        <v>6607</v>
      </c>
      <c r="AA3308" s="4" t="s">
        <v>6608</v>
      </c>
      <c r="AB3308" s="4" t="s">
        <v>6609</v>
      </c>
      <c r="AC3308" s="4" t="s">
        <v>6610</v>
      </c>
      <c r="AD3308" s="4" t="s">
        <v>6566</v>
      </c>
      <c r="AE3308" s="4" t="s">
        <v>6611</v>
      </c>
      <c r="AF3308" s="4" t="s">
        <v>4724</v>
      </c>
      <c r="AG3308" s="4" t="s">
        <v>6567</v>
      </c>
      <c r="AH3308" s="4" t="s">
        <v>6566</v>
      </c>
    </row>
    <row r="3309">
      <c r="A3309" s="4">
        <v>245.0</v>
      </c>
      <c r="B3309" s="4" t="s">
        <v>8920</v>
      </c>
      <c r="C3309" s="4"/>
      <c r="D3309" s="4" t="s">
        <v>6612</v>
      </c>
      <c r="E3309" s="4" t="s">
        <v>6613</v>
      </c>
      <c r="F3309" s="4" t="s">
        <v>6614</v>
      </c>
      <c r="G3309" s="5" t="str">
        <f>IFERROR(__xludf.DUMMYFUNCTION("GOOGLETRANSLATE(D3309,""en"",""es"")"),"lamer")</f>
        <v>lamer</v>
      </c>
    </row>
    <row r="3310">
      <c r="A3310" s="4">
        <v>246.0</v>
      </c>
      <c r="B3310" s="4" t="s">
        <v>8920</v>
      </c>
      <c r="C3310" s="4"/>
      <c r="D3310" s="4" t="s">
        <v>6615</v>
      </c>
      <c r="E3310" s="4" t="s">
        <v>6616</v>
      </c>
      <c r="F3310" s="4" t="s">
        <v>6615</v>
      </c>
      <c r="G3310" s="5" t="str">
        <f>IFERROR(__xludf.DUMMYFUNCTION("GOOGLETRANSLATE(D3310,""en"",""es"")"),"pequeño")</f>
        <v>pequeño</v>
      </c>
    </row>
    <row r="3311">
      <c r="A3311" s="4">
        <v>247.0</v>
      </c>
      <c r="B3311" s="4" t="s">
        <v>8920</v>
      </c>
      <c r="C3311" s="4"/>
      <c r="D3311" s="4" t="s">
        <v>6617</v>
      </c>
      <c r="E3311" s="4" t="s">
        <v>6616</v>
      </c>
      <c r="F3311" s="4" t="s">
        <v>6615</v>
      </c>
      <c r="G3311" s="5" t="str">
        <f>IFERROR(__xludf.DUMMYFUNCTION("GOOGLETRANSLATE(D3311,""en"",""es"")"),"lirio")</f>
        <v>lirio</v>
      </c>
    </row>
    <row r="3312">
      <c r="A3312" s="4">
        <v>248.0</v>
      </c>
      <c r="B3312" s="4" t="s">
        <v>8920</v>
      </c>
      <c r="C3312" s="4"/>
      <c r="D3312" s="4" t="s">
        <v>8439</v>
      </c>
      <c r="E3312" s="4" t="s">
        <v>8440</v>
      </c>
      <c r="F3312" s="4" t="s">
        <v>6615</v>
      </c>
      <c r="G3312" s="5" t="str">
        <f>IFERROR(__xludf.DUMMYFUNCTION("GOOGLETRANSLATE(D3312,""en"",""es"")"),"Lille")</f>
        <v>Lille</v>
      </c>
      <c r="H3312" s="4" t="s">
        <v>8441</v>
      </c>
    </row>
    <row r="3313">
      <c r="A3313" s="4">
        <v>249.0</v>
      </c>
      <c r="B3313" s="4" t="s">
        <v>8920</v>
      </c>
      <c r="C3313" s="4"/>
      <c r="D3313" s="4" t="s">
        <v>6618</v>
      </c>
      <c r="E3313" s="4" t="s">
        <v>6619</v>
      </c>
      <c r="F3313" s="4" t="s">
        <v>6620</v>
      </c>
      <c r="G3313" s="5" t="str">
        <f>IFERROR(__xludf.DUMMYFUNCTION("GOOGLETRANSLATE(D3313,""en"",""es"")"),"lirio")</f>
        <v>lirio</v>
      </c>
      <c r="H3313" s="4" t="s">
        <v>6618</v>
      </c>
    </row>
    <row r="3314">
      <c r="A3314" s="4">
        <v>250.0</v>
      </c>
      <c r="B3314" s="4" t="s">
        <v>8920</v>
      </c>
      <c r="C3314" s="4"/>
      <c r="D3314" s="4" t="s">
        <v>6621</v>
      </c>
      <c r="E3314" s="4" t="s">
        <v>6622</v>
      </c>
      <c r="F3314" s="4" t="s">
        <v>6623</v>
      </c>
      <c r="G3314" s="5" t="str">
        <f>IFERROR(__xludf.DUMMYFUNCTION("GOOGLETRANSLATE(D3314,""en"",""es"")"),"miembro")</f>
        <v>miembro</v>
      </c>
      <c r="H3314" s="4" t="s">
        <v>6621</v>
      </c>
      <c r="I3314" s="4" t="s">
        <v>6621</v>
      </c>
      <c r="J3314" s="4" t="s">
        <v>6624</v>
      </c>
      <c r="K3314" s="4" t="s">
        <v>6621</v>
      </c>
      <c r="L3314" s="4" t="s">
        <v>6621</v>
      </c>
      <c r="M3314" s="4" t="s">
        <v>6621</v>
      </c>
      <c r="N3314" s="4" t="s">
        <v>6625</v>
      </c>
      <c r="O3314" s="4" t="s">
        <v>6626</v>
      </c>
      <c r="P3314" s="4" t="s">
        <v>6621</v>
      </c>
    </row>
    <row r="3315">
      <c r="A3315" s="4">
        <v>251.0</v>
      </c>
      <c r="B3315" s="4" t="s">
        <v>8920</v>
      </c>
      <c r="C3315" s="4"/>
      <c r="D3315" s="4" t="s">
        <v>6627</v>
      </c>
      <c r="E3315" s="4" t="s">
        <v>6628</v>
      </c>
      <c r="F3315" s="4" t="s">
        <v>6629</v>
      </c>
      <c r="G3315" s="5" t="str">
        <f>IFERROR(__xludf.DUMMYFUNCTION("GOOGLETRANSLATE(D3315,""en"",""es"")"),"flojo")</f>
        <v>flojo</v>
      </c>
    </row>
    <row r="3316">
      <c r="A3316" s="4">
        <v>252.0</v>
      </c>
      <c r="B3316" s="4" t="s">
        <v>8920</v>
      </c>
      <c r="C3316" s="4"/>
      <c r="D3316" s="4" t="s">
        <v>6630</v>
      </c>
      <c r="E3316" s="4" t="s">
        <v>6622</v>
      </c>
      <c r="F3316" s="4" t="s">
        <v>6623</v>
      </c>
      <c r="G3316" s="5" t="str">
        <f>IFERROR(__xludf.DUMMYFUNCTION("GOOGLETRANSLATE(D3316,""en"",""es"")"),"manuscrito iluminado")</f>
        <v>manuscrito iluminado</v>
      </c>
      <c r="H3316" s="4" t="s">
        <v>6631</v>
      </c>
      <c r="I3316" s="4" t="s">
        <v>6630</v>
      </c>
      <c r="J3316" s="4" t="s">
        <v>6632</v>
      </c>
      <c r="K3316" s="4" t="s">
        <v>6633</v>
      </c>
      <c r="L3316" s="4" t="s">
        <v>6634</v>
      </c>
      <c r="M3316" s="4" t="s">
        <v>6630</v>
      </c>
    </row>
    <row r="3317">
      <c r="A3317" s="4">
        <v>253.0</v>
      </c>
      <c r="B3317" s="4" t="s">
        <v>8920</v>
      </c>
      <c r="C3317" s="4"/>
      <c r="D3317" s="4" t="s">
        <v>6635</v>
      </c>
      <c r="E3317" s="4" t="s">
        <v>6636</v>
      </c>
      <c r="F3317" s="4" t="s">
        <v>6635</v>
      </c>
      <c r="G3317" s="5" t="str">
        <f>IFERROR(__xludf.DUMMYFUNCTION("GOOGLETRANSLATE(D3317,""en"",""es"")"),"lin")</f>
        <v>lin</v>
      </c>
      <c r="H3317" s="4" t="s">
        <v>6637</v>
      </c>
      <c r="I3317" s="4" t="s">
        <v>6638</v>
      </c>
    </row>
    <row r="3318">
      <c r="A3318" s="4">
        <v>254.0</v>
      </c>
      <c r="B3318" s="4" t="s">
        <v>8920</v>
      </c>
      <c r="C3318" s="4"/>
      <c r="D3318" s="4" t="s">
        <v>6639</v>
      </c>
      <c r="E3318" s="4" t="s">
        <v>6640</v>
      </c>
      <c r="F3318" s="4" t="s">
        <v>6641</v>
      </c>
      <c r="G3318" s="5" t="str">
        <f>IFERROR(__xludf.DUMMYFUNCTION("GOOGLETRANSLATE(D3318,""en"",""es"")"),"lina")</f>
        <v>lina</v>
      </c>
      <c r="H3318" s="4" t="s">
        <v>6642</v>
      </c>
      <c r="I3318" s="4" t="s">
        <v>6639</v>
      </c>
    </row>
    <row r="3319">
      <c r="A3319" s="4">
        <v>255.0</v>
      </c>
      <c r="B3319" s="4" t="s">
        <v>8920</v>
      </c>
      <c r="C3319" s="4"/>
      <c r="D3319" s="4" t="s">
        <v>6643</v>
      </c>
      <c r="E3319" s="4" t="s">
        <v>6644</v>
      </c>
      <c r="F3319" s="4" t="s">
        <v>6645</v>
      </c>
      <c r="G3319" s="5" t="str">
        <f>IFERROR(__xludf.DUMMYFUNCTION("GOOGLETRANSLATE(D3319,""en"",""es"")"),"lino")</f>
        <v>lino</v>
      </c>
      <c r="H3319" s="4" t="s">
        <v>6643</v>
      </c>
      <c r="I3319" s="4" t="s">
        <v>6643</v>
      </c>
      <c r="J3319" s="4" t="s">
        <v>6646</v>
      </c>
      <c r="K3319" s="4" t="s">
        <v>6643</v>
      </c>
    </row>
    <row r="3320">
      <c r="A3320" s="4">
        <v>256.0</v>
      </c>
      <c r="B3320" s="4" t="s">
        <v>8920</v>
      </c>
      <c r="C3320" s="4"/>
      <c r="D3320" s="4" t="s">
        <v>6647</v>
      </c>
      <c r="E3320" s="4" t="s">
        <v>6648</v>
      </c>
      <c r="F3320" s="4" t="s">
        <v>5282</v>
      </c>
      <c r="G3320" s="5" t="str">
        <f>IFERROR(__xludf.DUMMYFUNCTION("GOOGLETRANSLATE(D3320,""en"",""es"")"),"linhay")</f>
        <v>linhay</v>
      </c>
    </row>
    <row r="3321">
      <c r="A3321" s="4">
        <v>257.0</v>
      </c>
      <c r="B3321" s="4" t="s">
        <v>8920</v>
      </c>
      <c r="C3321" s="4"/>
      <c r="D3321" s="4" t="s">
        <v>6649</v>
      </c>
      <c r="E3321" s="4" t="s">
        <v>6636</v>
      </c>
      <c r="F3321" s="4" t="s">
        <v>6635</v>
      </c>
      <c r="G3321" s="5" t="str">
        <f>IFERROR(__xludf.DUMMYFUNCTION("GOOGLETRANSLATE(D3321,""en"",""es"")"),"linn")</f>
        <v>linn</v>
      </c>
    </row>
    <row r="3322">
      <c r="A3322" s="4">
        <v>258.0</v>
      </c>
      <c r="B3322" s="4" t="s">
        <v>8920</v>
      </c>
      <c r="C3322" s="4"/>
      <c r="D3322" s="4" t="s">
        <v>6650</v>
      </c>
      <c r="E3322" s="4" t="s">
        <v>6651</v>
      </c>
      <c r="F3322" s="4" t="s">
        <v>6650</v>
      </c>
      <c r="G3322" s="5" t="str">
        <f>IFERROR(__xludf.DUMMYFUNCTION("GOOGLETRANSLATE(D3322,""en"",""es"")"),"labio")</f>
        <v>labio</v>
      </c>
      <c r="H3322" s="4" t="s">
        <v>6650</v>
      </c>
      <c r="I3322" s="4" t="s">
        <v>6650</v>
      </c>
      <c r="J3322" s="4" t="s">
        <v>6652</v>
      </c>
      <c r="K3322" s="4" t="s">
        <v>6653</v>
      </c>
      <c r="L3322" s="4" t="s">
        <v>6654</v>
      </c>
      <c r="M3322" s="4" t="s">
        <v>6655</v>
      </c>
      <c r="N3322" s="4" t="s">
        <v>6650</v>
      </c>
      <c r="O3322" s="4" t="s">
        <v>6656</v>
      </c>
      <c r="P3322" s="4" t="s">
        <v>6657</v>
      </c>
      <c r="Q3322" s="4" t="s">
        <v>6658</v>
      </c>
      <c r="R3322" s="4" t="s">
        <v>6650</v>
      </c>
      <c r="S3322" s="4" t="s">
        <v>6650</v>
      </c>
    </row>
    <row r="3323">
      <c r="A3323" s="4">
        <v>259.0</v>
      </c>
      <c r="B3323" s="4" t="s">
        <v>8920</v>
      </c>
      <c r="C3323" s="4"/>
      <c r="D3323" s="4" t="s">
        <v>6659</v>
      </c>
      <c r="E3323" s="4" t="s">
        <v>6660</v>
      </c>
      <c r="F3323" s="4" t="s">
        <v>6661</v>
      </c>
      <c r="G3323" s="5" t="str">
        <f>IFERROR(__xludf.DUMMYFUNCTION("GOOGLETRANSLATE(D3323,""en"",""es"")"),"lippy")</f>
        <v>lippy</v>
      </c>
    </row>
    <row r="3324">
      <c r="A3324" s="4">
        <v>260.0</v>
      </c>
      <c r="B3324" s="4" t="s">
        <v>8920</v>
      </c>
      <c r="C3324" s="4"/>
      <c r="D3324" s="4" t="s">
        <v>6662</v>
      </c>
      <c r="E3324" s="4" t="s">
        <v>6663</v>
      </c>
      <c r="F3324" s="4" t="s">
        <v>6662</v>
      </c>
      <c r="G3324" s="5" t="str">
        <f>IFERROR(__xludf.DUMMYFUNCTION("GOOGLETRANSLATE(D3324,""en"",""es"")"),"litas")</f>
        <v>litas</v>
      </c>
      <c r="H3324" s="4" t="s">
        <v>6662</v>
      </c>
    </row>
    <row r="3325">
      <c r="A3325" s="4">
        <v>261.0</v>
      </c>
      <c r="B3325" s="4" t="s">
        <v>8920</v>
      </c>
      <c r="C3325" s="4"/>
      <c r="D3325" s="4" t="s">
        <v>6666</v>
      </c>
      <c r="E3325" s="4" t="s">
        <v>6667</v>
      </c>
      <c r="F3325" s="4" t="s">
        <v>6668</v>
      </c>
      <c r="G3325" s="5" t="str">
        <f>IFERROR(__xludf.DUMMYFUNCTION("GOOGLETRANSLATE(D3325,""en"",""es"")"),"lítico")</f>
        <v>lítico</v>
      </c>
      <c r="H3325" s="4" t="s">
        <v>6666</v>
      </c>
      <c r="I3325" s="4" t="s">
        <v>6666</v>
      </c>
    </row>
    <row r="3326">
      <c r="A3326" s="4">
        <v>262.0</v>
      </c>
      <c r="B3326" s="4" t="s">
        <v>8920</v>
      </c>
      <c r="C3326" s="4"/>
      <c r="D3326" s="4" t="s">
        <v>8442</v>
      </c>
      <c r="E3326" s="4" t="s">
        <v>8443</v>
      </c>
      <c r="F3326" s="4" t="s">
        <v>4831</v>
      </c>
      <c r="G3326" s="5" t="str">
        <f>IFERROR(__xludf.DUMMYFUNCTION("GOOGLETRANSLATE(D3326,""en"",""es"")"),"lago")</f>
        <v>lago</v>
      </c>
      <c r="H3326" s="4" t="s">
        <v>8442</v>
      </c>
      <c r="I3326" s="4" t="s">
        <v>8442</v>
      </c>
    </row>
    <row r="3327">
      <c r="A3327" s="4">
        <v>263.0</v>
      </c>
      <c r="B3327" s="4" t="s">
        <v>8920</v>
      </c>
      <c r="C3327" s="4"/>
      <c r="D3327" s="4" t="s">
        <v>3282</v>
      </c>
      <c r="E3327" s="4" t="s">
        <v>8443</v>
      </c>
      <c r="F3327" s="4" t="s">
        <v>4831</v>
      </c>
      <c r="G3327" s="5" t="str">
        <f>IFERROR(__xludf.DUMMYFUNCTION("GOOGLETRANSLATE(D3327,""en"",""es"")"),"cerrar")</f>
        <v>cerrar</v>
      </c>
      <c r="H3327" s="4" t="s">
        <v>3282</v>
      </c>
      <c r="I3327" s="4" t="s">
        <v>3282</v>
      </c>
      <c r="J3327" s="4" t="s">
        <v>8445</v>
      </c>
      <c r="K3327" s="4" t="s">
        <v>8446</v>
      </c>
      <c r="L3327" s="4" t="s">
        <v>8447</v>
      </c>
      <c r="M3327" s="4" t="s">
        <v>3282</v>
      </c>
      <c r="N3327" s="4" t="s">
        <v>3282</v>
      </c>
      <c r="O3327" s="4" t="s">
        <v>8448</v>
      </c>
      <c r="P3327" s="4" t="s">
        <v>3282</v>
      </c>
      <c r="Q3327" s="4" t="s">
        <v>8449</v>
      </c>
      <c r="R3327" s="4" t="s">
        <v>3282</v>
      </c>
      <c r="S3327" s="4" t="s">
        <v>3282</v>
      </c>
      <c r="T3327" s="4" t="s">
        <v>3081</v>
      </c>
      <c r="U3327" s="4" t="s">
        <v>4648</v>
      </c>
      <c r="V3327" s="4" t="s">
        <v>3282</v>
      </c>
      <c r="W3327" s="4" t="s">
        <v>3406</v>
      </c>
      <c r="X3327" s="4" t="s">
        <v>3282</v>
      </c>
      <c r="Y3327" s="4" t="s">
        <v>3282</v>
      </c>
      <c r="Z3327" s="4" t="s">
        <v>4647</v>
      </c>
      <c r="AA3327" s="4" t="s">
        <v>8450</v>
      </c>
      <c r="AB3327" s="4" t="s">
        <v>4647</v>
      </c>
      <c r="AC3327" s="4" t="s">
        <v>3282</v>
      </c>
      <c r="AD3327" s="4" t="s">
        <v>3282</v>
      </c>
      <c r="AE3327" s="4" t="s">
        <v>8451</v>
      </c>
      <c r="AF3327" s="4" t="s">
        <v>8452</v>
      </c>
      <c r="AG3327" s="4" t="s">
        <v>3282</v>
      </c>
      <c r="AH3327" s="4" t="s">
        <v>8453</v>
      </c>
      <c r="AI3327" s="4" t="s">
        <v>1021</v>
      </c>
      <c r="AJ3327" s="4" t="s">
        <v>8454</v>
      </c>
      <c r="AK3327" s="4" t="s">
        <v>8455</v>
      </c>
      <c r="AL3327" s="4" t="s">
        <v>3282</v>
      </c>
      <c r="AM3327" s="4" t="s">
        <v>3282</v>
      </c>
    </row>
    <row r="3328">
      <c r="A3328" s="4">
        <v>264.0</v>
      </c>
      <c r="B3328" s="4" t="s">
        <v>8920</v>
      </c>
      <c r="C3328" s="4"/>
      <c r="D3328" s="4" t="s">
        <v>8456</v>
      </c>
      <c r="E3328" s="4" t="s">
        <v>8443</v>
      </c>
      <c r="F3328" s="4" t="s">
        <v>4831</v>
      </c>
      <c r="G3328" s="5" t="str">
        <f>IFERROR(__xludf.DUMMYFUNCTION("GOOGLETRANSLATE(D3328,""en"",""es"")"),"Lockke")</f>
        <v>Lockke</v>
      </c>
      <c r="H3328" s="4" t="s">
        <v>8457</v>
      </c>
      <c r="I3328" s="4" t="s">
        <v>8458</v>
      </c>
    </row>
    <row r="3329">
      <c r="A3329" s="4">
        <v>265.0</v>
      </c>
      <c r="B3329" s="4" t="s">
        <v>8920</v>
      </c>
      <c r="C3329" s="4"/>
      <c r="D3329" s="4" t="s">
        <v>8459</v>
      </c>
      <c r="E3329" s="4" t="s">
        <v>8460</v>
      </c>
      <c r="F3329" s="4" t="s">
        <v>8461</v>
      </c>
      <c r="G3329" s="5" t="str">
        <f>IFERROR(__xludf.DUMMYFUNCTION("GOOGLETRANSLATE(D3329,""en"",""es"")"),"jajaja")</f>
        <v>jajaja</v>
      </c>
    </row>
    <row r="3330">
      <c r="A3330" s="4">
        <v>266.0</v>
      </c>
      <c r="B3330" s="4" t="s">
        <v>8920</v>
      </c>
      <c r="C3330" s="4"/>
      <c r="D3330" s="4" t="s">
        <v>8462</v>
      </c>
      <c r="E3330" s="4" t="s">
        <v>8460</v>
      </c>
      <c r="F3330" s="4" t="s">
        <v>8461</v>
      </c>
      <c r="G3330" s="5" t="str">
        <f>IFERROR(__xludf.DUMMYFUNCTION("GOOGLETRANSLATE(D3330,""en"",""es"")"),"recostarse")</f>
        <v>recostarse</v>
      </c>
      <c r="H3330" s="4" t="s">
        <v>8463</v>
      </c>
      <c r="I3330" s="4" t="s">
        <v>8462</v>
      </c>
      <c r="J3330" s="4" t="s">
        <v>1147</v>
      </c>
      <c r="K3330" s="4" t="s">
        <v>8464</v>
      </c>
      <c r="L3330" s="4" t="s">
        <v>8465</v>
      </c>
      <c r="M3330" s="4" t="s">
        <v>8466</v>
      </c>
      <c r="N3330" s="4" t="s">
        <v>8467</v>
      </c>
      <c r="O3330" s="4" t="s">
        <v>8468</v>
      </c>
      <c r="P3330" s="4" t="s">
        <v>8469</v>
      </c>
      <c r="Q3330" s="4" t="s">
        <v>8470</v>
      </c>
      <c r="R3330" s="4" t="s">
        <v>8471</v>
      </c>
      <c r="S3330" s="4" t="s">
        <v>8472</v>
      </c>
      <c r="T3330" s="4" t="s">
        <v>8462</v>
      </c>
      <c r="U3330" s="4" t="s">
        <v>8473</v>
      </c>
      <c r="V3330" s="4" t="s">
        <v>8474</v>
      </c>
    </row>
    <row r="3331">
      <c r="A3331" s="4">
        <v>267.0</v>
      </c>
      <c r="B3331" s="4" t="s">
        <v>8920</v>
      </c>
      <c r="C3331" s="4"/>
      <c r="D3331" s="4" t="s">
        <v>8475</v>
      </c>
      <c r="E3331" s="4" t="s">
        <v>8476</v>
      </c>
      <c r="F3331" s="4" t="s">
        <v>8477</v>
      </c>
      <c r="G3331" s="5" t="str">
        <f>IFERROR(__xludf.DUMMYFUNCTION("GOOGLETRANSLATE(D3331,""en"",""es"")"),"chupete")</f>
        <v>chupete</v>
      </c>
      <c r="H3331" s="4" t="s">
        <v>8478</v>
      </c>
      <c r="I3331" s="4" t="s">
        <v>8479</v>
      </c>
      <c r="J3331" s="4" t="s">
        <v>8475</v>
      </c>
      <c r="K3331" s="4" t="s">
        <v>8480</v>
      </c>
      <c r="L3331" s="4" t="s">
        <v>8475</v>
      </c>
      <c r="M3331" s="4" t="s">
        <v>3234</v>
      </c>
      <c r="N3331" s="4" t="s">
        <v>8481</v>
      </c>
    </row>
    <row r="3332">
      <c r="A3332" s="4">
        <v>268.0</v>
      </c>
      <c r="B3332" s="4" t="s">
        <v>8920</v>
      </c>
      <c r="C3332" s="4"/>
      <c r="D3332" s="4" t="s">
        <v>8482</v>
      </c>
      <c r="E3332" s="4" t="s">
        <v>2240</v>
      </c>
      <c r="F3332" s="4" t="s">
        <v>2241</v>
      </c>
      <c r="G3332" s="5" t="str">
        <f>IFERROR(__xludf.DUMMYFUNCTION("GOOGLETRANSLATE(D3332,""en"",""es"")"),"lavabo")</f>
        <v>lavabo</v>
      </c>
      <c r="H3332" s="4" t="s">
        <v>8483</v>
      </c>
      <c r="I3332" s="4" t="s">
        <v>8484</v>
      </c>
      <c r="J3332" s="4" t="s">
        <v>8485</v>
      </c>
      <c r="K3332" s="4" t="s">
        <v>8482</v>
      </c>
    </row>
    <row r="3333">
      <c r="A3333" s="4">
        <v>269.0</v>
      </c>
      <c r="B3333" s="4" t="s">
        <v>8920</v>
      </c>
      <c r="C3333" s="4"/>
      <c r="D3333" s="4" t="s">
        <v>6669</v>
      </c>
      <c r="E3333" s="4" t="s">
        <v>6670</v>
      </c>
      <c r="F3333" s="4" t="s">
        <v>6671</v>
      </c>
      <c r="G3333" s="5" t="str">
        <f>IFERROR(__xludf.DUMMYFUNCTION("GOOGLETRANSLATE(D3333,""en"",""es"")"),"Mira")</f>
        <v>Mira</v>
      </c>
      <c r="H3333" s="4" t="s">
        <v>6672</v>
      </c>
      <c r="I3333" s="4" t="s">
        <v>6669</v>
      </c>
      <c r="J3333" s="4" t="s">
        <v>2587</v>
      </c>
      <c r="K3333" s="4" t="s">
        <v>6673</v>
      </c>
      <c r="L3333" s="4" t="s">
        <v>1310</v>
      </c>
      <c r="M3333" s="4" t="s">
        <v>6669</v>
      </c>
      <c r="N3333" s="4" t="s">
        <v>6674</v>
      </c>
      <c r="O3333" s="4" t="s">
        <v>6675</v>
      </c>
      <c r="P3333" s="4" t="s">
        <v>6669</v>
      </c>
      <c r="Q3333" s="4" t="s">
        <v>4751</v>
      </c>
      <c r="R3333" s="4" t="s">
        <v>6676</v>
      </c>
      <c r="S3333" s="4" t="s">
        <v>3005</v>
      </c>
      <c r="T3333" s="4" t="s">
        <v>6677</v>
      </c>
      <c r="U3333" s="4" t="s">
        <v>6678</v>
      </c>
      <c r="V3333" s="4" t="s">
        <v>6679</v>
      </c>
      <c r="W3333" s="4" t="s">
        <v>6669</v>
      </c>
      <c r="X3333" s="4" t="s">
        <v>3109</v>
      </c>
      <c r="Y3333" s="4" t="s">
        <v>6669</v>
      </c>
      <c r="Z3333" s="4" t="s">
        <v>6669</v>
      </c>
      <c r="AA3333" s="4" t="s">
        <v>6680</v>
      </c>
      <c r="AB3333" s="4" t="s">
        <v>6681</v>
      </c>
      <c r="AC3333" s="4" t="s">
        <v>6669</v>
      </c>
      <c r="AD3333" s="4" t="s">
        <v>6682</v>
      </c>
      <c r="AE3333" s="4" t="s">
        <v>6669</v>
      </c>
      <c r="AF3333" s="4" t="s">
        <v>6683</v>
      </c>
      <c r="AG3333" s="4" t="s">
        <v>6669</v>
      </c>
      <c r="AH3333" s="4" t="s">
        <v>1310</v>
      </c>
      <c r="AI3333" s="4" t="s">
        <v>6684</v>
      </c>
      <c r="AJ3333" s="4" t="s">
        <v>6685</v>
      </c>
      <c r="AK3333" s="4" t="s">
        <v>6669</v>
      </c>
      <c r="AL3333" s="4" t="s">
        <v>6686</v>
      </c>
      <c r="AM3333" s="4" t="s">
        <v>6669</v>
      </c>
      <c r="AN3333" s="4" t="s">
        <v>6687</v>
      </c>
      <c r="AO3333" s="4" t="s">
        <v>6669</v>
      </c>
      <c r="AP3333" s="4" t="s">
        <v>6688</v>
      </c>
      <c r="AQ3333" s="4" t="s">
        <v>6689</v>
      </c>
      <c r="AR3333" s="4" t="s">
        <v>6669</v>
      </c>
      <c r="AS3333" s="4" t="s">
        <v>6690</v>
      </c>
      <c r="AT3333" s="4" t="s">
        <v>6691</v>
      </c>
      <c r="AU3333" s="4" t="s">
        <v>6692</v>
      </c>
      <c r="AV3333" s="4" t="s">
        <v>6669</v>
      </c>
      <c r="AW3333" s="4" t="s">
        <v>6693</v>
      </c>
      <c r="AX3333" s="4" t="s">
        <v>6694</v>
      </c>
    </row>
    <row r="3334">
      <c r="A3334" s="4">
        <v>270.0</v>
      </c>
      <c r="B3334" s="4" t="s">
        <v>8920</v>
      </c>
      <c r="C3334" s="4"/>
      <c r="D3334" s="4" t="s">
        <v>8486</v>
      </c>
      <c r="E3334" s="4" t="s">
        <v>8487</v>
      </c>
      <c r="F3334" s="4" t="s">
        <v>8488</v>
      </c>
      <c r="G3334" s="5" t="str">
        <f>IFERROR(__xludf.DUMMYFUNCTION("GOOGLETRANSLATE(D3334,""en"",""es"")"),"telar")</f>
        <v>telar</v>
      </c>
      <c r="H3334" s="4" t="s">
        <v>8486</v>
      </c>
      <c r="I3334" s="4" t="s">
        <v>8486</v>
      </c>
      <c r="J3334" s="4" t="s">
        <v>8486</v>
      </c>
      <c r="K3334" s="4" t="s">
        <v>8489</v>
      </c>
      <c r="L3334" s="4" t="s">
        <v>8490</v>
      </c>
      <c r="M3334" s="4" t="s">
        <v>433</v>
      </c>
      <c r="N3334" s="4" t="s">
        <v>8491</v>
      </c>
      <c r="O3334" s="4" t="s">
        <v>4165</v>
      </c>
      <c r="P3334" s="4" t="s">
        <v>8486</v>
      </c>
      <c r="Q3334" s="4" t="s">
        <v>8492</v>
      </c>
      <c r="R3334" s="4" t="s">
        <v>8486</v>
      </c>
    </row>
    <row r="3335">
      <c r="A3335" s="4">
        <v>271.0</v>
      </c>
      <c r="B3335" s="4" t="s">
        <v>8920</v>
      </c>
      <c r="C3335" s="4"/>
      <c r="D3335" s="4" t="s">
        <v>8493</v>
      </c>
      <c r="E3335" s="4" t="s">
        <v>8494</v>
      </c>
      <c r="F3335" s="4" t="s">
        <v>2020</v>
      </c>
      <c r="G3335" s="5" t="str">
        <f>IFERROR(__xludf.DUMMYFUNCTION("GOOGLETRANSLATE(D3335,""en"",""es"")"),"con pérdida")</f>
        <v>con pérdida</v>
      </c>
      <c r="H3335" s="4" t="s">
        <v>8493</v>
      </c>
    </row>
    <row r="3336">
      <c r="A3336" s="4">
        <v>272.0</v>
      </c>
      <c r="B3336" s="4" t="s">
        <v>8920</v>
      </c>
      <c r="C3336" s="4"/>
      <c r="D3336" s="4" t="s">
        <v>8495</v>
      </c>
      <c r="E3336" s="4" t="s">
        <v>8496</v>
      </c>
      <c r="F3336" s="4" t="s">
        <v>8497</v>
      </c>
      <c r="G3336" s="5" t="str">
        <f>IFERROR(__xludf.DUMMYFUNCTION("GOOGLETRANSLATE(D3336,""en"",""es"")"),"louche")</f>
        <v>louche</v>
      </c>
      <c r="H3336" s="4" t="s">
        <v>8495</v>
      </c>
      <c r="I3336" s="4" t="s">
        <v>8498</v>
      </c>
    </row>
    <row r="3337">
      <c r="A3337" s="4">
        <v>273.0</v>
      </c>
      <c r="B3337" s="4" t="s">
        <v>8920</v>
      </c>
      <c r="C3337" s="4"/>
      <c r="D3337" s="4" t="s">
        <v>6695</v>
      </c>
      <c r="E3337" s="4" t="s">
        <v>6696</v>
      </c>
      <c r="F3337" s="4" t="s">
        <v>6695</v>
      </c>
      <c r="G3337" s="5" t="str">
        <f>IFERROR(__xludf.DUMMYFUNCTION("GOOGLETRANSLATE(D3337,""en"",""es"")"),"luma")</f>
        <v>luma</v>
      </c>
    </row>
    <row r="3338">
      <c r="A3338" s="4">
        <v>274.0</v>
      </c>
      <c r="B3338" s="4" t="s">
        <v>8920</v>
      </c>
      <c r="C3338" s="4"/>
      <c r="D3338" s="4" t="s">
        <v>6697</v>
      </c>
      <c r="E3338" s="4" t="s">
        <v>6622</v>
      </c>
      <c r="F3338" s="4" t="s">
        <v>6623</v>
      </c>
      <c r="G3338" s="5" t="str">
        <f>IFERROR(__xludf.DUMMYFUNCTION("GOOGLETRANSLATE(D3338,""en"",""es"")"),"lymm")</f>
        <v>lymm</v>
      </c>
    </row>
    <row r="3339">
      <c r="A3339" s="4">
        <v>275.0</v>
      </c>
      <c r="B3339" s="4" t="s">
        <v>8920</v>
      </c>
      <c r="C3339" s="4"/>
      <c r="D3339" s="4" t="s">
        <v>6698</v>
      </c>
      <c r="E3339" s="4" t="s">
        <v>6636</v>
      </c>
      <c r="F3339" s="4" t="s">
        <v>6635</v>
      </c>
      <c r="G3339" s="5" t="str">
        <f>IFERROR(__xludf.DUMMYFUNCTION("GOOGLETRANSLATE(D3339,""en"",""es"")"),"lynn")</f>
        <v>lynn</v>
      </c>
    </row>
    <row r="3340">
      <c r="A3340" s="4">
        <v>276.0</v>
      </c>
      <c r="B3340" s="4" t="s">
        <v>8920</v>
      </c>
      <c r="C3340" s="4"/>
      <c r="D3340" s="4" t="s">
        <v>6699</v>
      </c>
      <c r="E3340" s="4" t="s">
        <v>6700</v>
      </c>
      <c r="F3340" s="4" t="s">
        <v>6701</v>
      </c>
      <c r="G3340" s="5" t="str">
        <f>IFERROR(__xludf.DUMMYFUNCTION("GOOGLETRANSLATE(D3340,""en"",""es"")"),"señora")</f>
        <v>señora</v>
      </c>
      <c r="H3340" s="4" t="s">
        <v>6702</v>
      </c>
      <c r="I3340" s="4" t="s">
        <v>6703</v>
      </c>
      <c r="J3340" s="4" t="s">
        <v>6699</v>
      </c>
      <c r="K3340" s="4" t="s">
        <v>6704</v>
      </c>
      <c r="L3340" s="4" t="s">
        <v>6705</v>
      </c>
    </row>
    <row r="3341">
      <c r="A3341" s="4">
        <v>277.0</v>
      </c>
      <c r="B3341" s="4" t="s">
        <v>8920</v>
      </c>
      <c r="C3341" s="4"/>
      <c r="D3341" s="4" t="s">
        <v>6706</v>
      </c>
      <c r="E3341" s="4" t="s">
        <v>6707</v>
      </c>
      <c r="F3341" s="4" t="s">
        <v>2301</v>
      </c>
      <c r="G3341" s="5" t="str">
        <f>IFERROR(__xludf.DUMMYFUNCTION("GOOGLETRANSLATE(D3341,""en"",""es"")"),"Mac")</f>
        <v>Mac</v>
      </c>
      <c r="H3341" s="4" t="s">
        <v>6708</v>
      </c>
      <c r="I3341" s="4" t="s">
        <v>6709</v>
      </c>
      <c r="J3341" s="4" t="s">
        <v>6706</v>
      </c>
      <c r="K3341" s="4" t="s">
        <v>6710</v>
      </c>
    </row>
    <row r="3342">
      <c r="A3342" s="4">
        <v>278.0</v>
      </c>
      <c r="B3342" s="4" t="s">
        <v>8920</v>
      </c>
      <c r="C3342" s="4"/>
      <c r="D3342" s="4" t="s">
        <v>6711</v>
      </c>
      <c r="E3342" s="4" t="s">
        <v>6707</v>
      </c>
      <c r="F3342" s="4" t="s">
        <v>2301</v>
      </c>
      <c r="G3342" s="5" t="str">
        <f>IFERROR(__xludf.DUMMYFUNCTION("GOOGLETRANSLATE(D3342,""en"",""es"")"),"machacar")</f>
        <v>machacar</v>
      </c>
      <c r="H3342" s="4" t="s">
        <v>6712</v>
      </c>
      <c r="I3342" s="4" t="s">
        <v>6713</v>
      </c>
    </row>
    <row r="3343">
      <c r="A3343" s="4">
        <v>279.0</v>
      </c>
      <c r="B3343" s="4" t="s">
        <v>8920</v>
      </c>
      <c r="C3343" s="4"/>
      <c r="D3343" s="4" t="s">
        <v>6710</v>
      </c>
      <c r="E3343" s="4" t="s">
        <v>6707</v>
      </c>
      <c r="F3343" s="4" t="s">
        <v>2301</v>
      </c>
      <c r="G3343" s="5" t="str">
        <f>IFERROR(__xludf.DUMMYFUNCTION("GOOGLETRANSLATE(D3343,""en"",""es"")"),"machacar")</f>
        <v>machacar</v>
      </c>
      <c r="H3343" s="4" t="s">
        <v>6708</v>
      </c>
      <c r="I3343" s="4" t="s">
        <v>6709</v>
      </c>
      <c r="J3343" s="4" t="s">
        <v>6706</v>
      </c>
      <c r="K3343" s="4" t="s">
        <v>6710</v>
      </c>
    </row>
    <row r="3344">
      <c r="A3344" s="4">
        <v>280.0</v>
      </c>
      <c r="B3344" s="4" t="s">
        <v>8920</v>
      </c>
      <c r="C3344" s="4"/>
      <c r="D3344" s="4" t="s">
        <v>6714</v>
      </c>
      <c r="E3344" s="4" t="s">
        <v>6715</v>
      </c>
      <c r="F3344" s="4" t="s">
        <v>2463</v>
      </c>
      <c r="G3344" s="5" t="str">
        <f>IFERROR(__xludf.DUMMYFUNCTION("GOOGLETRANSLATE(D3344,""en"",""es"")"),"mackey")</f>
        <v>mackey</v>
      </c>
    </row>
    <row r="3345">
      <c r="A3345" s="4">
        <v>281.0</v>
      </c>
      <c r="B3345" s="4" t="s">
        <v>8920</v>
      </c>
      <c r="C3345" s="4"/>
      <c r="D3345" s="4" t="s">
        <v>6716</v>
      </c>
      <c r="E3345" s="4" t="s">
        <v>6715</v>
      </c>
      <c r="F3345" s="4" t="s">
        <v>2463</v>
      </c>
      <c r="G3345" s="5" t="str">
        <f>IFERROR(__xludf.DUMMYFUNCTION("GOOGLETRANSLATE(D3345,""en"",""es"")"),"mackie")</f>
        <v>mackie</v>
      </c>
    </row>
    <row r="3346">
      <c r="A3346" s="4">
        <v>282.0</v>
      </c>
      <c r="B3346" s="4" t="s">
        <v>8920</v>
      </c>
      <c r="C3346" s="4"/>
      <c r="D3346" s="4" t="s">
        <v>6717</v>
      </c>
      <c r="E3346" s="4" t="s">
        <v>6715</v>
      </c>
      <c r="F3346" s="4" t="s">
        <v>2463</v>
      </c>
      <c r="G3346" s="5" t="str">
        <f>IFERROR(__xludf.DUMMYFUNCTION("GOOGLETRANSLATE(D3346,""en"",""es"")"),"maco")</f>
        <v>maco</v>
      </c>
    </row>
    <row r="3347">
      <c r="A3347" s="4">
        <v>283.0</v>
      </c>
      <c r="B3347" s="4" t="s">
        <v>8920</v>
      </c>
      <c r="C3347" s="4"/>
      <c r="D3347" s="4" t="s">
        <v>6718</v>
      </c>
      <c r="E3347" s="4" t="s">
        <v>6719</v>
      </c>
      <c r="F3347" s="4" t="s">
        <v>2414</v>
      </c>
      <c r="G3347" s="5" t="str">
        <f>IFERROR(__xludf.DUMMYFUNCTION("GOOGLETRANSLATE(D3347,""en"",""es"")"),"Mahoney")</f>
        <v>Mahoney</v>
      </c>
    </row>
    <row r="3348">
      <c r="A3348" s="4">
        <v>284.0</v>
      </c>
      <c r="B3348" s="4" t="s">
        <v>8920</v>
      </c>
      <c r="C3348" s="4"/>
      <c r="D3348" s="4" t="s">
        <v>6720</v>
      </c>
      <c r="E3348" s="4" t="s">
        <v>6719</v>
      </c>
      <c r="F3348" s="4" t="s">
        <v>2414</v>
      </c>
      <c r="G3348" s="5" t="str">
        <f>IFERROR(__xludf.DUMMYFUNCTION("GOOGLETRANSLATE(D3348,""en"",""es"")"),"mahony")</f>
        <v>mahony</v>
      </c>
    </row>
    <row r="3349">
      <c r="A3349" s="4">
        <v>285.0</v>
      </c>
      <c r="B3349" s="4" t="s">
        <v>8920</v>
      </c>
      <c r="C3349" s="4"/>
      <c r="D3349" s="4" t="s">
        <v>2322</v>
      </c>
      <c r="E3349" s="4" t="s">
        <v>6721</v>
      </c>
      <c r="F3349" s="4" t="s">
        <v>2322</v>
      </c>
      <c r="G3349" s="5" t="str">
        <f>IFERROR(__xludf.DUMMYFUNCTION("GOOGLETRANSLATE(D3349,""en"",""es"")"),"mal")</f>
        <v>mal</v>
      </c>
    </row>
    <row r="3350">
      <c r="A3350" s="4">
        <v>286.0</v>
      </c>
      <c r="B3350" s="4" t="s">
        <v>8920</v>
      </c>
      <c r="C3350" s="4"/>
      <c r="D3350" s="4" t="s">
        <v>2351</v>
      </c>
      <c r="E3350" s="4" t="s">
        <v>8499</v>
      </c>
      <c r="F3350" s="4" t="s">
        <v>2351</v>
      </c>
      <c r="G3350" s="5" t="str">
        <f>IFERROR(__xludf.DUMMYFUNCTION("GOOGLETRANSLATE(D3350,""en"",""es"")"),"malla")</f>
        <v>malla</v>
      </c>
    </row>
    <row r="3351">
      <c r="A3351" s="4">
        <v>287.0</v>
      </c>
      <c r="B3351" s="4" t="s">
        <v>8920</v>
      </c>
      <c r="C3351" s="4"/>
      <c r="D3351" s="4" t="s">
        <v>5314</v>
      </c>
      <c r="E3351" s="4" t="s">
        <v>8500</v>
      </c>
      <c r="F3351" s="4" t="s">
        <v>5314</v>
      </c>
      <c r="G3351" s="5" t="str">
        <f>IFERROR(__xludf.DUMMYFUNCTION("GOOGLETRANSLATE(D3351,""en"",""es"")"),"malí")</f>
        <v>malí</v>
      </c>
      <c r="H3351" s="4" t="s">
        <v>5347</v>
      </c>
      <c r="I3351" s="4" t="s">
        <v>5348</v>
      </c>
      <c r="J3351" s="4" t="s">
        <v>5349</v>
      </c>
    </row>
    <row r="3352">
      <c r="A3352" s="4">
        <v>288.0</v>
      </c>
      <c r="B3352" s="4" t="s">
        <v>8920</v>
      </c>
      <c r="C3352" s="4"/>
      <c r="D3352" s="4" t="s">
        <v>6722</v>
      </c>
      <c r="E3352" s="4" t="s">
        <v>6723</v>
      </c>
      <c r="F3352" s="4" t="s">
        <v>6724</v>
      </c>
      <c r="G3352" s="5" t="str">
        <f>IFERROR(__xludf.DUMMYFUNCTION("GOOGLETRANSLATE(D3352,""en"",""es"")"),"málico")</f>
        <v>málico</v>
      </c>
    </row>
    <row r="3353">
      <c r="A3353" s="4">
        <v>289.0</v>
      </c>
      <c r="B3353" s="4" t="s">
        <v>8920</v>
      </c>
      <c r="C3353" s="4"/>
      <c r="D3353" s="4" t="s">
        <v>6725</v>
      </c>
      <c r="E3353" s="4" t="s">
        <v>6726</v>
      </c>
      <c r="F3353" s="4" t="s">
        <v>6727</v>
      </c>
      <c r="G3353" s="5" t="str">
        <f>IFERROR(__xludf.DUMMYFUNCTION("GOOGLETRANSLATE(D3353,""en"",""es"")"),"malicia")</f>
        <v>malicia</v>
      </c>
      <c r="H3353" s="4" t="s">
        <v>6725</v>
      </c>
      <c r="I3353" s="4" t="s">
        <v>6728</v>
      </c>
      <c r="J3353" s="4" t="s">
        <v>6729</v>
      </c>
      <c r="K3353" s="4" t="s">
        <v>6730</v>
      </c>
      <c r="L3353" s="4" t="s">
        <v>6731</v>
      </c>
      <c r="M3353" s="4" t="s">
        <v>6732</v>
      </c>
      <c r="N3353" s="4" t="s">
        <v>6733</v>
      </c>
      <c r="O3353" s="4" t="s">
        <v>6725</v>
      </c>
    </row>
    <row r="3354">
      <c r="A3354" s="4">
        <v>290.0</v>
      </c>
      <c r="B3354" s="4" t="s">
        <v>8920</v>
      </c>
      <c r="C3354" s="4"/>
      <c r="D3354" s="4" t="s">
        <v>6724</v>
      </c>
      <c r="E3354" s="4" t="s">
        <v>8501</v>
      </c>
      <c r="F3354" s="4" t="s">
        <v>6724</v>
      </c>
      <c r="G3354" s="5" t="str">
        <f>IFERROR(__xludf.DUMMYFUNCTION("GOOGLETRANSLATE(D3354,""en"",""es"")"),"Malik")</f>
        <v>Malik</v>
      </c>
      <c r="H3354" s="4" t="s">
        <v>6724</v>
      </c>
    </row>
    <row r="3355">
      <c r="A3355" s="4">
        <v>291.0</v>
      </c>
      <c r="B3355" s="4" t="s">
        <v>8920</v>
      </c>
      <c r="C3355" s="4"/>
      <c r="D3355" s="4" t="s">
        <v>6739</v>
      </c>
      <c r="E3355" s="4" t="s">
        <v>6740</v>
      </c>
      <c r="F3355" s="4" t="s">
        <v>5314</v>
      </c>
      <c r="G3355" s="5" t="str">
        <f>IFERROR(__xludf.DUMMYFUNCTION("GOOGLETRANSLATE(D3355,""en"",""es"")"),"mallee")</f>
        <v>mallee</v>
      </c>
      <c r="H3355" s="4" t="s">
        <v>6739</v>
      </c>
    </row>
    <row r="3356">
      <c r="A3356" s="4">
        <v>292.0</v>
      </c>
      <c r="B3356" s="4" t="s">
        <v>8920</v>
      </c>
      <c r="C3356" s="4"/>
      <c r="D3356" s="4" t="s">
        <v>6739</v>
      </c>
      <c r="E3356" s="4" t="s">
        <v>8500</v>
      </c>
      <c r="F3356" s="4" t="s">
        <v>5314</v>
      </c>
      <c r="G3356" s="5" t="str">
        <f>IFERROR(__xludf.DUMMYFUNCTION("GOOGLETRANSLATE(D3356,""en"",""es"")"),"mallee")</f>
        <v>mallee</v>
      </c>
      <c r="H3356" s="4" t="s">
        <v>6739</v>
      </c>
    </row>
    <row r="3357">
      <c r="A3357" s="4">
        <v>293.0</v>
      </c>
      <c r="B3357" s="4" t="s">
        <v>8920</v>
      </c>
      <c r="C3357" s="4"/>
      <c r="D3357" s="4" t="s">
        <v>1856</v>
      </c>
      <c r="E3357" s="4" t="s">
        <v>6741</v>
      </c>
      <c r="F3357" s="4" t="s">
        <v>1856</v>
      </c>
      <c r="G3357" s="5" t="str">
        <f>IFERROR(__xludf.DUMMYFUNCTION("GOOGLETRANSLATE(D3357,""en"",""es"")"),"hombre")</f>
        <v>hombre</v>
      </c>
      <c r="H3357" s="4" t="s">
        <v>1856</v>
      </c>
      <c r="I3357" s="4" t="s">
        <v>6742</v>
      </c>
      <c r="J3357" s="4" t="s">
        <v>2642</v>
      </c>
      <c r="K3357" s="4" t="s">
        <v>2643</v>
      </c>
      <c r="L3357" s="4" t="s">
        <v>1856</v>
      </c>
      <c r="M3357" s="4" t="s">
        <v>2644</v>
      </c>
      <c r="N3357" s="4" t="s">
        <v>1856</v>
      </c>
      <c r="O3357" s="4" t="s">
        <v>1855</v>
      </c>
      <c r="P3357" s="4" t="s">
        <v>1856</v>
      </c>
      <c r="Q3357" s="4" t="s">
        <v>1857</v>
      </c>
      <c r="R3357" s="4" t="s">
        <v>1854</v>
      </c>
      <c r="S3357" s="4" t="s">
        <v>1856</v>
      </c>
      <c r="T3357" s="4" t="s">
        <v>1856</v>
      </c>
      <c r="U3357" s="4" t="s">
        <v>6743</v>
      </c>
      <c r="V3357" s="4" t="s">
        <v>6744</v>
      </c>
      <c r="W3357" s="4" t="s">
        <v>6745</v>
      </c>
      <c r="X3357" s="4" t="s">
        <v>6746</v>
      </c>
      <c r="Y3357" s="4" t="s">
        <v>1856</v>
      </c>
      <c r="Z3357" s="4" t="s">
        <v>1856</v>
      </c>
      <c r="AA3357" s="4" t="s">
        <v>6747</v>
      </c>
      <c r="AB3357" s="4" t="s">
        <v>6748</v>
      </c>
      <c r="AC3357" s="4" t="s">
        <v>1856</v>
      </c>
      <c r="AD3357" s="4" t="s">
        <v>3486</v>
      </c>
      <c r="AE3357" s="4" t="s">
        <v>2953</v>
      </c>
      <c r="AF3357" s="4" t="s">
        <v>6749</v>
      </c>
      <c r="AG3357" s="4" t="s">
        <v>6750</v>
      </c>
      <c r="AH3357" s="4" t="s">
        <v>6751</v>
      </c>
      <c r="AI3357" s="4" t="s">
        <v>6752</v>
      </c>
      <c r="AJ3357" s="4" t="s">
        <v>6753</v>
      </c>
      <c r="AK3357" s="4" t="s">
        <v>6754</v>
      </c>
      <c r="AL3357" s="4" t="s">
        <v>1856</v>
      </c>
      <c r="AM3357" s="4" t="s">
        <v>1856</v>
      </c>
      <c r="AN3357" s="4" t="s">
        <v>1856</v>
      </c>
    </row>
    <row r="3358">
      <c r="A3358" s="4">
        <v>294.0</v>
      </c>
      <c r="B3358" s="4" t="s">
        <v>8920</v>
      </c>
      <c r="C3358" s="4"/>
      <c r="D3358" s="4" t="s">
        <v>6755</v>
      </c>
      <c r="E3358" s="4" t="s">
        <v>6756</v>
      </c>
      <c r="F3358" s="4" t="s">
        <v>6757</v>
      </c>
      <c r="G3358" s="5" t="str">
        <f>IFERROR(__xludf.DUMMYFUNCTION("GOOGLETRANSLATE(D3358,""en"",""es"")"),"maníaco")</f>
        <v>maníaco</v>
      </c>
      <c r="H3358" s="4" t="s">
        <v>6758</v>
      </c>
      <c r="I3358" s="4" t="s">
        <v>6755</v>
      </c>
    </row>
    <row r="3359">
      <c r="A3359" s="4">
        <v>295.0</v>
      </c>
      <c r="B3359" s="4" t="s">
        <v>8920</v>
      </c>
      <c r="C3359" s="4"/>
      <c r="D3359" s="4" t="s">
        <v>8502</v>
      </c>
      <c r="E3359" s="4" t="s">
        <v>8503</v>
      </c>
      <c r="F3359" s="4" t="s">
        <v>8504</v>
      </c>
      <c r="G3359" s="5" t="str">
        <f>IFERROR(__xludf.DUMMYFUNCTION("GOOGLETRANSLATE(D3359,""en"",""es"")"),"manicotti")</f>
        <v>manicotti</v>
      </c>
      <c r="H3359" s="4" t="s">
        <v>8502</v>
      </c>
    </row>
    <row r="3360">
      <c r="A3360" s="4">
        <v>296.0</v>
      </c>
      <c r="B3360" s="4" t="s">
        <v>8920</v>
      </c>
      <c r="C3360" s="4"/>
      <c r="D3360" s="4" t="s">
        <v>2434</v>
      </c>
      <c r="E3360" s="4" t="s">
        <v>6759</v>
      </c>
      <c r="F3360" s="4" t="s">
        <v>2434</v>
      </c>
      <c r="G3360" s="5" t="str">
        <f>IFERROR(__xludf.DUMMYFUNCTION("GOOGLETRANSLATE(D3360,""en"",""es"")"),"maniquí")</f>
        <v>maniquí</v>
      </c>
      <c r="H3360" s="4" t="s">
        <v>2434</v>
      </c>
      <c r="I3360" s="4" t="s">
        <v>2435</v>
      </c>
      <c r="J3360" s="4" t="s">
        <v>6760</v>
      </c>
      <c r="K3360" s="4" t="s">
        <v>2433</v>
      </c>
      <c r="L3360" s="4" t="s">
        <v>2434</v>
      </c>
      <c r="M3360" s="4" t="s">
        <v>2435</v>
      </c>
      <c r="N3360" s="4" t="s">
        <v>2436</v>
      </c>
      <c r="O3360" s="4" t="s">
        <v>2437</v>
      </c>
      <c r="P3360" s="4" t="s">
        <v>2438</v>
      </c>
      <c r="Q3360" s="4" t="s">
        <v>2433</v>
      </c>
      <c r="R3360" s="4" t="s">
        <v>2434</v>
      </c>
      <c r="S3360" s="4" t="s">
        <v>2435</v>
      </c>
      <c r="T3360" s="4" t="s">
        <v>2436</v>
      </c>
      <c r="U3360" s="4" t="s">
        <v>1679</v>
      </c>
    </row>
    <row r="3361">
      <c r="A3361" s="4">
        <v>297.0</v>
      </c>
      <c r="B3361" s="4" t="s">
        <v>8920</v>
      </c>
      <c r="C3361" s="4"/>
      <c r="D3361" s="4" t="s">
        <v>6761</v>
      </c>
      <c r="E3361" s="4" t="s">
        <v>6762</v>
      </c>
      <c r="F3361" s="4" t="s">
        <v>6763</v>
      </c>
      <c r="G3361" s="5" t="str">
        <f>IFERROR(__xludf.DUMMYFUNCTION("GOOGLETRANSLATE(D3361,""en"",""es"")"),"varonil")</f>
        <v>varonil</v>
      </c>
      <c r="H3361" s="4" t="s">
        <v>6761</v>
      </c>
      <c r="I3361" s="4" t="s">
        <v>6761</v>
      </c>
    </row>
    <row r="3362">
      <c r="A3362" s="4">
        <v>298.0</v>
      </c>
      <c r="B3362" s="4" t="s">
        <v>8920</v>
      </c>
      <c r="C3362" s="4"/>
      <c r="D3362" s="4" t="s">
        <v>8505</v>
      </c>
      <c r="E3362" s="4" t="s">
        <v>6852</v>
      </c>
      <c r="F3362" s="4" t="s">
        <v>6851</v>
      </c>
      <c r="G3362" s="5" t="str">
        <f>IFERROR(__xludf.DUMMYFUNCTION("GOOGLETRANSLATE(D3362,""en"",""es"")"),"muchos")</f>
        <v>muchos</v>
      </c>
      <c r="H3362" s="4" t="s">
        <v>8505</v>
      </c>
    </row>
    <row r="3363">
      <c r="A3363" s="4">
        <v>299.0</v>
      </c>
      <c r="B3363" s="4" t="s">
        <v>8920</v>
      </c>
      <c r="C3363" s="4"/>
      <c r="D3363" s="4" t="s">
        <v>2460</v>
      </c>
      <c r="E3363" s="4" t="s">
        <v>6764</v>
      </c>
      <c r="F3363" s="4" t="s">
        <v>2460</v>
      </c>
      <c r="G3363" s="5" t="str">
        <f>IFERROR(__xludf.DUMMYFUNCTION("GOOGLETRANSLATE(D3363,""en"",""es"")"),"mapa")</f>
        <v>mapa</v>
      </c>
      <c r="H3363" s="4" t="s">
        <v>2460</v>
      </c>
      <c r="I3363" s="4" t="s">
        <v>6765</v>
      </c>
      <c r="J3363" s="4" t="s">
        <v>6766</v>
      </c>
      <c r="K3363" s="4" t="s">
        <v>6767</v>
      </c>
      <c r="L3363" s="4" t="s">
        <v>2460</v>
      </c>
      <c r="M3363" s="4" t="s">
        <v>6768</v>
      </c>
      <c r="N3363" s="4" t="s">
        <v>2460</v>
      </c>
      <c r="O3363" s="4" t="s">
        <v>2460</v>
      </c>
      <c r="P3363" s="4" t="s">
        <v>2460</v>
      </c>
      <c r="Q3363" s="4" t="s">
        <v>2460</v>
      </c>
      <c r="R3363" s="4" t="s">
        <v>6769</v>
      </c>
      <c r="S3363" s="4" t="s">
        <v>2460</v>
      </c>
      <c r="T3363" s="4" t="s">
        <v>2460</v>
      </c>
      <c r="U3363" s="4" t="s">
        <v>6770</v>
      </c>
    </row>
    <row r="3364">
      <c r="A3364" s="4">
        <v>300.0</v>
      </c>
      <c r="B3364" s="4" t="s">
        <v>8920</v>
      </c>
      <c r="C3364" s="4"/>
      <c r="D3364" s="4" t="s">
        <v>6771</v>
      </c>
      <c r="E3364" s="4" t="s">
        <v>6772</v>
      </c>
      <c r="F3364" s="4" t="s">
        <v>6771</v>
      </c>
      <c r="G3364" s="5" t="str">
        <f>IFERROR(__xludf.DUMMYFUNCTION("GOOGLETRANSLATE(D3364,""en"",""es"")"),"mezcla")</f>
        <v>mezcla</v>
      </c>
      <c r="H3364" s="4" t="s">
        <v>6771</v>
      </c>
      <c r="I3364" s="4" t="s">
        <v>6771</v>
      </c>
      <c r="J3364" s="4" t="s">
        <v>6773</v>
      </c>
      <c r="K3364" s="4" t="s">
        <v>6774</v>
      </c>
      <c r="L3364" s="4" t="s">
        <v>6775</v>
      </c>
      <c r="M3364" s="4" t="s">
        <v>6771</v>
      </c>
      <c r="N3364" s="4" t="s">
        <v>6776</v>
      </c>
      <c r="O3364" s="4" t="s">
        <v>6777</v>
      </c>
      <c r="P3364" s="4" t="s">
        <v>6778</v>
      </c>
      <c r="Q3364" s="4" t="s">
        <v>6779</v>
      </c>
      <c r="R3364" s="4" t="s">
        <v>6780</v>
      </c>
      <c r="S3364" s="4" t="s">
        <v>6781</v>
      </c>
      <c r="T3364" s="4" t="s">
        <v>6782</v>
      </c>
      <c r="U3364" s="4" t="s">
        <v>6783</v>
      </c>
      <c r="V3364" s="4" t="s">
        <v>6784</v>
      </c>
      <c r="W3364" s="4" t="s">
        <v>6771</v>
      </c>
      <c r="X3364" s="4" t="s">
        <v>6785</v>
      </c>
      <c r="Y3364" s="4" t="s">
        <v>6771</v>
      </c>
      <c r="Z3364" s="4" t="s">
        <v>6786</v>
      </c>
      <c r="AA3364" s="4" t="s">
        <v>6787</v>
      </c>
      <c r="AB3364" s="4" t="s">
        <v>6788</v>
      </c>
    </row>
    <row r="3365">
      <c r="A3365" s="4">
        <v>301.0</v>
      </c>
      <c r="B3365" s="4" t="s">
        <v>8920</v>
      </c>
      <c r="C3365" s="4"/>
      <c r="D3365" s="4" t="s">
        <v>1743</v>
      </c>
      <c r="E3365" s="4" t="s">
        <v>6789</v>
      </c>
      <c r="F3365" s="4" t="s">
        <v>339</v>
      </c>
      <c r="G3365" s="5" t="str">
        <f>IFERROR(__xludf.DUMMYFUNCTION("GOOGLETRANSLATE(D3365,""en"",""es"")"),"masa")</f>
        <v>masa</v>
      </c>
      <c r="H3365" s="4" t="s">
        <v>1743</v>
      </c>
      <c r="I3365" s="4" t="s">
        <v>1736</v>
      </c>
      <c r="J3365" s="4" t="s">
        <v>1737</v>
      </c>
      <c r="K3365" s="4" t="s">
        <v>1738</v>
      </c>
      <c r="L3365" s="4" t="s">
        <v>1739</v>
      </c>
      <c r="M3365" s="4" t="s">
        <v>1740</v>
      </c>
      <c r="N3365" s="4" t="s">
        <v>1741</v>
      </c>
      <c r="O3365" s="4" t="s">
        <v>484</v>
      </c>
      <c r="P3365" s="4" t="s">
        <v>1742</v>
      </c>
      <c r="Q3365" s="4" t="s">
        <v>1743</v>
      </c>
      <c r="R3365" s="4" t="s">
        <v>1744</v>
      </c>
      <c r="S3365" s="4" t="s">
        <v>1745</v>
      </c>
      <c r="T3365" s="4" t="s">
        <v>1746</v>
      </c>
      <c r="U3365" s="4" t="s">
        <v>1747</v>
      </c>
      <c r="V3365" s="4" t="s">
        <v>1748</v>
      </c>
      <c r="W3365" s="4" t="s">
        <v>1749</v>
      </c>
      <c r="X3365" s="4" t="s">
        <v>1750</v>
      </c>
      <c r="Y3365" s="4" t="s">
        <v>483</v>
      </c>
      <c r="Z3365" s="4" t="s">
        <v>1751</v>
      </c>
      <c r="AA3365" s="4" t="s">
        <v>1752</v>
      </c>
      <c r="AB3365" s="4" t="s">
        <v>1753</v>
      </c>
      <c r="AC3365" s="4" t="s">
        <v>1754</v>
      </c>
      <c r="AD3365" s="4" t="s">
        <v>1755</v>
      </c>
      <c r="AE3365" s="4" t="s">
        <v>1756</v>
      </c>
      <c r="AF3365" s="4" t="s">
        <v>1757</v>
      </c>
      <c r="AG3365" s="4" t="s">
        <v>482</v>
      </c>
      <c r="AH3365" s="4" t="s">
        <v>1758</v>
      </c>
      <c r="AI3365" s="4" t="s">
        <v>780</v>
      </c>
      <c r="AJ3365" s="4" t="s">
        <v>1743</v>
      </c>
      <c r="AK3365" s="4" t="s">
        <v>2715</v>
      </c>
      <c r="AL3365" s="4" t="s">
        <v>1743</v>
      </c>
      <c r="AM3365" s="4" t="s">
        <v>2532</v>
      </c>
      <c r="AN3365" s="4" t="s">
        <v>2533</v>
      </c>
      <c r="AO3365" s="4" t="s">
        <v>1743</v>
      </c>
      <c r="AP3365" s="4" t="s">
        <v>2534</v>
      </c>
      <c r="AQ3365" s="4" t="s">
        <v>2535</v>
      </c>
      <c r="AR3365" s="4" t="s">
        <v>2536</v>
      </c>
      <c r="AS3365" s="4" t="s">
        <v>2526</v>
      </c>
      <c r="AT3365" s="4" t="s">
        <v>1743</v>
      </c>
      <c r="AU3365" s="4" t="s">
        <v>2527</v>
      </c>
      <c r="AV3365" s="4" t="s">
        <v>2715</v>
      </c>
      <c r="AW3365" s="4" t="s">
        <v>2715</v>
      </c>
      <c r="AX3365" s="4" t="s">
        <v>1743</v>
      </c>
      <c r="AY3365" s="4" t="s">
        <v>4554</v>
      </c>
      <c r="AZ3365" s="4" t="s">
        <v>6790</v>
      </c>
      <c r="BA3365" s="4" t="s">
        <v>6791</v>
      </c>
      <c r="BB3365" s="4" t="s">
        <v>1743</v>
      </c>
    </row>
    <row r="3366">
      <c r="A3366" s="4">
        <v>302.0</v>
      </c>
      <c r="B3366" s="4" t="s">
        <v>8920</v>
      </c>
      <c r="C3366" s="4"/>
      <c r="D3366" s="4" t="s">
        <v>8506</v>
      </c>
      <c r="E3366" s="4" t="s">
        <v>8507</v>
      </c>
      <c r="F3366" s="4" t="s">
        <v>8508</v>
      </c>
      <c r="G3366" s="5" t="str">
        <f>IFERROR(__xludf.DUMMYFUNCTION("GOOGLETRANSLATE(D3366,""en"",""es"")"),"Massey")</f>
        <v>Massey</v>
      </c>
    </row>
    <row r="3367">
      <c r="A3367" s="4">
        <v>303.0</v>
      </c>
      <c r="B3367" s="4" t="s">
        <v>8920</v>
      </c>
      <c r="C3367" s="4"/>
      <c r="D3367" s="4" t="s">
        <v>8509</v>
      </c>
      <c r="E3367" s="4" t="s">
        <v>8507</v>
      </c>
      <c r="F3367" s="4" t="s">
        <v>8508</v>
      </c>
      <c r="G3367" s="5" t="str">
        <f>IFERROR(__xludf.DUMMYFUNCTION("GOOGLETRANSLATE(D3367,""en"",""es"")"),"sólido")</f>
        <v>sólido</v>
      </c>
    </row>
    <row r="3368">
      <c r="A3368" s="4">
        <v>304.0</v>
      </c>
      <c r="B3368" s="4" t="s">
        <v>8920</v>
      </c>
      <c r="C3368" s="4"/>
      <c r="D3368" s="4" t="s">
        <v>5338</v>
      </c>
      <c r="E3368" s="4" t="s">
        <v>6792</v>
      </c>
      <c r="F3368" s="4" t="s">
        <v>5338</v>
      </c>
      <c r="G3368" s="5" t="str">
        <f>IFERROR(__xludf.DUMMYFUNCTION("GOOGLETRANSLATE(D3368,""en"",""es"")"),"Matemáticas")</f>
        <v>Matemáticas</v>
      </c>
      <c r="H3368" s="4" t="s">
        <v>5337</v>
      </c>
      <c r="I3368" s="4" t="s">
        <v>5338</v>
      </c>
      <c r="J3368" s="4" t="s">
        <v>5339</v>
      </c>
    </row>
    <row r="3369">
      <c r="A3369" s="4">
        <v>305.0</v>
      </c>
      <c r="B3369" s="4" t="s">
        <v>8920</v>
      </c>
      <c r="C3369" s="4"/>
      <c r="D3369" s="4" t="s">
        <v>6793</v>
      </c>
      <c r="E3369" s="4" t="s">
        <v>6794</v>
      </c>
      <c r="F3369" s="4" t="s">
        <v>2575</v>
      </c>
      <c r="G3369" s="5" t="str">
        <f>IFERROR(__xludf.DUMMYFUNCTION("GOOGLETRANSLATE(D3369,""en"",""es"")"),"mate")</f>
        <v>mate</v>
      </c>
    </row>
    <row r="3370">
      <c r="A3370" s="4">
        <v>306.0</v>
      </c>
      <c r="B3370" s="4" t="s">
        <v>8920</v>
      </c>
      <c r="C3370" s="4"/>
      <c r="D3370" s="4" t="s">
        <v>8510</v>
      </c>
      <c r="E3370" s="4" t="s">
        <v>341</v>
      </c>
      <c r="F3370" s="4" t="s">
        <v>342</v>
      </c>
      <c r="G3370" s="5" t="str">
        <f>IFERROR(__xludf.DUMMYFUNCTION("GOOGLETRANSLATE(D3370,""en"",""es"")"),"yo")</f>
        <v>yo</v>
      </c>
      <c r="H3370" s="4" t="s">
        <v>8511</v>
      </c>
      <c r="I3370" s="4" t="s">
        <v>8512</v>
      </c>
      <c r="J3370" s="4" t="s">
        <v>8513</v>
      </c>
    </row>
    <row r="3371">
      <c r="A3371" s="4">
        <v>307.0</v>
      </c>
      <c r="B3371" s="4" t="s">
        <v>8920</v>
      </c>
      <c r="C3371" s="4"/>
      <c r="D3371" s="4" t="s">
        <v>8514</v>
      </c>
      <c r="E3371" s="4" t="s">
        <v>344</v>
      </c>
      <c r="F3371" s="4" t="s">
        <v>345</v>
      </c>
      <c r="G3371" s="5" t="str">
        <f>IFERROR(__xludf.DUMMYFUNCTION("GOOGLETRANSLATE(D3371,""en"",""es"")"),"manso")</f>
        <v>manso</v>
      </c>
      <c r="H3371" s="4" t="s">
        <v>8514</v>
      </c>
      <c r="I3371" s="4" t="s">
        <v>4844</v>
      </c>
      <c r="J3371" s="4" t="s">
        <v>1840</v>
      </c>
      <c r="K3371" s="4" t="s">
        <v>8514</v>
      </c>
      <c r="L3371" s="4" t="s">
        <v>8515</v>
      </c>
      <c r="M3371" s="4" t="s">
        <v>8514</v>
      </c>
      <c r="N3371" s="4" t="s">
        <v>8516</v>
      </c>
    </row>
    <row r="3372">
      <c r="A3372" s="4">
        <v>308.0</v>
      </c>
      <c r="B3372" s="4" t="s">
        <v>8920</v>
      </c>
      <c r="C3372" s="4"/>
      <c r="D3372" s="4" t="s">
        <v>6795</v>
      </c>
      <c r="E3372" s="4" t="s">
        <v>6796</v>
      </c>
      <c r="F3372" s="4" t="s">
        <v>2878</v>
      </c>
      <c r="G3372" s="5" t="str">
        <f>IFERROR(__xludf.DUMMYFUNCTION("GOOGLETRANSLATE(D3372,""en"",""es"")"),"memoria")</f>
        <v>memoria</v>
      </c>
    </row>
    <row r="3373">
      <c r="A3373" s="4">
        <v>309.0</v>
      </c>
      <c r="B3373" s="4" t="s">
        <v>8920</v>
      </c>
      <c r="C3373" s="4"/>
      <c r="D3373" s="4" t="s">
        <v>6797</v>
      </c>
      <c r="E3373" s="4" t="s">
        <v>6798</v>
      </c>
      <c r="F3373" s="4" t="s">
        <v>6799</v>
      </c>
      <c r="G3373" s="5" t="str">
        <f>IFERROR(__xludf.DUMMYFUNCTION("GOOGLETRANSLATE(D3373,""en"",""es"")"),"malla")</f>
        <v>malla</v>
      </c>
    </row>
    <row r="3374">
      <c r="A3374" s="4">
        <v>310.0</v>
      </c>
      <c r="B3374" s="4" t="s">
        <v>8920</v>
      </c>
      <c r="C3374" s="4"/>
      <c r="D3374" s="4" t="s">
        <v>6800</v>
      </c>
      <c r="E3374" s="4" t="s">
        <v>6801</v>
      </c>
      <c r="F3374" s="4" t="s">
        <v>6802</v>
      </c>
      <c r="G3374" s="5" t="str">
        <f>IFERROR(__xludf.DUMMYFUNCTION("GOOGLETRANSLATE(D3374,""en"",""es"")"),"metálico")</f>
        <v>metálico</v>
      </c>
      <c r="H3374" s="4" t="s">
        <v>6800</v>
      </c>
      <c r="I3374" s="4" t="s">
        <v>6800</v>
      </c>
      <c r="J3374" s="4" t="s">
        <v>6800</v>
      </c>
      <c r="K3374" s="4" t="s">
        <v>6803</v>
      </c>
    </row>
    <row r="3375">
      <c r="A3375" s="4">
        <v>311.0</v>
      </c>
      <c r="B3375" s="4" t="s">
        <v>8920</v>
      </c>
      <c r="C3375" s="4"/>
      <c r="D3375" s="4" t="s">
        <v>6804</v>
      </c>
      <c r="E3375" s="4" t="s">
        <v>6805</v>
      </c>
      <c r="F3375" s="4" t="s">
        <v>345</v>
      </c>
      <c r="G3375" s="5" t="str">
        <f>IFERROR(__xludf.DUMMYFUNCTION("GOOGLETRANSLATE(D3375,""en"",""es"")"),"mick")</f>
        <v>mick</v>
      </c>
      <c r="H3375" s="4" t="s">
        <v>6806</v>
      </c>
      <c r="I3375" s="4" t="s">
        <v>6807</v>
      </c>
      <c r="J3375" s="4" t="s">
        <v>6808</v>
      </c>
    </row>
    <row r="3376">
      <c r="A3376" s="4">
        <v>312.0</v>
      </c>
      <c r="B3376" s="4" t="s">
        <v>8920</v>
      </c>
      <c r="C3376" s="4"/>
      <c r="D3376" s="4" t="s">
        <v>6809</v>
      </c>
      <c r="E3376" s="4" t="s">
        <v>6810</v>
      </c>
      <c r="F3376" s="4" t="s">
        <v>6811</v>
      </c>
      <c r="G3376" s="5" t="str">
        <f>IFERROR(__xludf.DUMMYFUNCTION("GOOGLETRANSLATE(D3376,""en"",""es"")"),"mickey")</f>
        <v>mickey</v>
      </c>
      <c r="H3376" s="4" t="s">
        <v>6806</v>
      </c>
      <c r="I3376" s="4" t="s">
        <v>6807</v>
      </c>
      <c r="J3376" s="4" t="s">
        <v>6808</v>
      </c>
    </row>
    <row r="3377">
      <c r="A3377" s="4">
        <v>313.0</v>
      </c>
      <c r="B3377" s="4" t="s">
        <v>8920</v>
      </c>
      <c r="C3377" s="4"/>
      <c r="D3377" s="4" t="s">
        <v>2622</v>
      </c>
      <c r="E3377" s="4" t="s">
        <v>6814</v>
      </c>
      <c r="F3377" s="4" t="s">
        <v>2622</v>
      </c>
      <c r="G3377" s="5" t="str">
        <f>IFERROR(__xludf.DUMMYFUNCTION("GOOGLETRANSLATE(D3377,""en"",""es"")"),"mil")</f>
        <v>mil</v>
      </c>
      <c r="H3377" s="4" t="s">
        <v>2622</v>
      </c>
      <c r="I3377" s="4" t="s">
        <v>2653</v>
      </c>
      <c r="J3377" s="4" t="s">
        <v>2622</v>
      </c>
      <c r="K3377" s="4" t="s">
        <v>2658</v>
      </c>
      <c r="L3377" s="4" t="s">
        <v>2622</v>
      </c>
      <c r="M3377" s="4" t="s">
        <v>6815</v>
      </c>
      <c r="N3377" s="4" t="s">
        <v>6816</v>
      </c>
      <c r="O3377" s="4" t="s">
        <v>2622</v>
      </c>
      <c r="P3377" s="4" t="s">
        <v>6817</v>
      </c>
      <c r="Q3377" s="4" t="s">
        <v>6818</v>
      </c>
      <c r="R3377" s="4" t="s">
        <v>6819</v>
      </c>
      <c r="S3377" s="4" t="s">
        <v>6820</v>
      </c>
      <c r="T3377" s="4" t="s">
        <v>2622</v>
      </c>
    </row>
    <row r="3378">
      <c r="A3378" s="4">
        <v>314.0</v>
      </c>
      <c r="B3378" s="4" t="s">
        <v>8920</v>
      </c>
      <c r="C3378" s="4"/>
      <c r="D3378" s="4" t="s">
        <v>6821</v>
      </c>
      <c r="E3378" s="4" t="s">
        <v>6822</v>
      </c>
      <c r="F3378" s="4" t="s">
        <v>6821</v>
      </c>
      <c r="G3378" s="5" t="str">
        <f>IFERROR(__xludf.DUMMYFUNCTION("GOOGLETRANSLATE(D3378,""en"",""es"")"),"Milán")</f>
        <v>Milán</v>
      </c>
      <c r="H3378" s="4" t="s">
        <v>6823</v>
      </c>
      <c r="I3378" s="4" t="s">
        <v>6824</v>
      </c>
    </row>
    <row r="3379">
      <c r="A3379" s="4">
        <v>315.0</v>
      </c>
      <c r="B3379" s="4" t="s">
        <v>8920</v>
      </c>
      <c r="C3379" s="4"/>
      <c r="D3379" s="4" t="s">
        <v>2027</v>
      </c>
      <c r="E3379" s="4" t="s">
        <v>6814</v>
      </c>
      <c r="F3379" s="4" t="s">
        <v>2622</v>
      </c>
      <c r="G3379" s="5" t="str">
        <f>IFERROR(__xludf.DUMMYFUNCTION("GOOGLETRANSLATE(D3379,""en"",""es"")"),"molino")</f>
        <v>molino</v>
      </c>
      <c r="H3379" s="4" t="s">
        <v>6825</v>
      </c>
      <c r="I3379" s="4" t="s">
        <v>2027</v>
      </c>
      <c r="J3379" s="4" t="s">
        <v>6826</v>
      </c>
      <c r="K3379" s="4" t="s">
        <v>6827</v>
      </c>
      <c r="L3379" s="4" t="s">
        <v>6828</v>
      </c>
      <c r="M3379" s="4" t="s">
        <v>6829</v>
      </c>
      <c r="N3379" s="4" t="s">
        <v>6828</v>
      </c>
      <c r="O3379" s="4" t="s">
        <v>6830</v>
      </c>
      <c r="P3379" s="4" t="s">
        <v>6831</v>
      </c>
      <c r="Q3379" s="4" t="s">
        <v>2027</v>
      </c>
      <c r="R3379" s="4" t="s">
        <v>6832</v>
      </c>
      <c r="S3379" s="4" t="s">
        <v>6833</v>
      </c>
      <c r="T3379" s="4" t="s">
        <v>6785</v>
      </c>
      <c r="U3379" s="4" t="s">
        <v>2027</v>
      </c>
      <c r="V3379" s="4" t="s">
        <v>6834</v>
      </c>
      <c r="W3379" s="4" t="s">
        <v>6835</v>
      </c>
      <c r="X3379" s="4" t="s">
        <v>2027</v>
      </c>
      <c r="Y3379" s="4" t="s">
        <v>6836</v>
      </c>
      <c r="Z3379" s="4" t="s">
        <v>6837</v>
      </c>
      <c r="AA3379" s="4" t="s">
        <v>2027</v>
      </c>
      <c r="AB3379" s="4" t="s">
        <v>2027</v>
      </c>
      <c r="AC3379" s="4" t="s">
        <v>2027</v>
      </c>
    </row>
    <row r="3380">
      <c r="A3380" s="4">
        <v>316.0</v>
      </c>
      <c r="B3380" s="4" t="s">
        <v>8920</v>
      </c>
      <c r="C3380" s="4"/>
      <c r="D3380" s="4" t="s">
        <v>6838</v>
      </c>
      <c r="E3380" s="4" t="s">
        <v>6839</v>
      </c>
      <c r="F3380" s="4" t="s">
        <v>2878</v>
      </c>
      <c r="G3380" s="5" t="str">
        <f>IFERROR(__xludf.DUMMYFUNCTION("GOOGLETRANSLATE(D3380,""en"",""es"")"),"imitar")</f>
        <v>imitar</v>
      </c>
      <c r="H3380" s="4" t="s">
        <v>6838</v>
      </c>
      <c r="I3380" s="4" t="s">
        <v>6840</v>
      </c>
      <c r="J3380" s="4" t="s">
        <v>6838</v>
      </c>
      <c r="K3380" s="4" t="s">
        <v>2690</v>
      </c>
      <c r="L3380" s="4" t="s">
        <v>6838</v>
      </c>
    </row>
    <row r="3381">
      <c r="A3381" s="4">
        <v>317.0</v>
      </c>
      <c r="B3381" s="4" t="s">
        <v>8920</v>
      </c>
      <c r="C3381" s="4"/>
      <c r="D3381" s="4" t="s">
        <v>6841</v>
      </c>
      <c r="E3381" s="4" t="s">
        <v>6842</v>
      </c>
      <c r="F3381" s="4" t="s">
        <v>6841</v>
      </c>
      <c r="G3381" s="5" t="str">
        <f>IFERROR(__xludf.DUMMYFUNCTION("GOOGLETRANSLATE(D3381,""en"",""es"")"),"mínimo")</f>
        <v>mínimo</v>
      </c>
      <c r="H3381" s="4" t="s">
        <v>6843</v>
      </c>
      <c r="I3381" s="4" t="s">
        <v>6841</v>
      </c>
      <c r="J3381" s="4" t="s">
        <v>6844</v>
      </c>
      <c r="K3381" s="4" t="s">
        <v>6845</v>
      </c>
      <c r="L3381" s="4" t="s">
        <v>6846</v>
      </c>
      <c r="M3381" s="4" t="s">
        <v>6847</v>
      </c>
      <c r="N3381" s="4" t="s">
        <v>6848</v>
      </c>
      <c r="O3381" s="4" t="s">
        <v>6849</v>
      </c>
      <c r="P3381" s="4" t="s">
        <v>6850</v>
      </c>
      <c r="Q3381" s="4" t="s">
        <v>6844</v>
      </c>
    </row>
    <row r="3382">
      <c r="A3382" s="4">
        <v>318.0</v>
      </c>
      <c r="B3382" s="4" t="s">
        <v>8920</v>
      </c>
      <c r="C3382" s="4"/>
      <c r="D3382" s="4" t="s">
        <v>6851</v>
      </c>
      <c r="E3382" s="4" t="s">
        <v>6852</v>
      </c>
      <c r="F3382" s="4" t="s">
        <v>6851</v>
      </c>
      <c r="G3382" s="5" t="str">
        <f>IFERROR(__xludf.DUMMYFUNCTION("GOOGLETRANSLATE(D3382,""en"",""es"")"),"mini")</f>
        <v>mini</v>
      </c>
      <c r="H3382" s="4" t="s">
        <v>6853</v>
      </c>
      <c r="I3382" s="4" t="s">
        <v>6851</v>
      </c>
      <c r="J3382" s="4" t="s">
        <v>6851</v>
      </c>
    </row>
    <row r="3383">
      <c r="A3383" s="4">
        <v>319.0</v>
      </c>
      <c r="B3383" s="4" t="s">
        <v>8920</v>
      </c>
      <c r="C3383" s="4"/>
      <c r="D3383" s="4" t="s">
        <v>2890</v>
      </c>
      <c r="E3383" s="4" t="s">
        <v>6854</v>
      </c>
      <c r="F3383" s="4" t="s">
        <v>2890</v>
      </c>
      <c r="G3383" s="5" t="str">
        <f>IFERROR(__xludf.DUMMYFUNCTION("GOOGLETRANSLATE(D3383,""en"",""es"")"),"blanca")</f>
        <v>blanca</v>
      </c>
      <c r="H3383" s="4" t="s">
        <v>2890</v>
      </c>
      <c r="I3383" s="4" t="s">
        <v>2890</v>
      </c>
      <c r="J3383" s="4" t="s">
        <v>6855</v>
      </c>
      <c r="K3383" s="4" t="s">
        <v>2890</v>
      </c>
    </row>
    <row r="3384">
      <c r="A3384" s="4">
        <v>320.0</v>
      </c>
      <c r="B3384" s="4" t="s">
        <v>8920</v>
      </c>
      <c r="C3384" s="4"/>
      <c r="D3384" s="4" t="s">
        <v>6856</v>
      </c>
      <c r="E3384" s="4" t="s">
        <v>6857</v>
      </c>
      <c r="F3384" s="4" t="s">
        <v>6856</v>
      </c>
      <c r="G3384" s="5" t="str">
        <f>IFERROR(__xludf.DUMMYFUNCTION("GOOGLETRANSLATE(D3384,""en"",""es"")"),"minas")</f>
        <v>minas</v>
      </c>
    </row>
    <row r="3385">
      <c r="A3385" s="4">
        <v>321.0</v>
      </c>
      <c r="B3385" s="4" t="s">
        <v>8920</v>
      </c>
      <c r="C3385" s="4"/>
      <c r="D3385" s="4" t="s">
        <v>6858</v>
      </c>
      <c r="E3385" s="4" t="s">
        <v>6852</v>
      </c>
      <c r="F3385" s="4" t="s">
        <v>6851</v>
      </c>
      <c r="G3385" s="5" t="str">
        <f>IFERROR(__xludf.DUMMYFUNCTION("GOOGLETRANSLATE(D3385,""en"",""es"")"),"Minnie")</f>
        <v>Minnie</v>
      </c>
    </row>
    <row r="3386">
      <c r="A3386" s="4">
        <v>322.0</v>
      </c>
      <c r="B3386" s="4" t="s">
        <v>8920</v>
      </c>
      <c r="C3386" s="4"/>
      <c r="D3386" s="4" t="s">
        <v>6859</v>
      </c>
      <c r="E3386" s="4" t="s">
        <v>6852</v>
      </c>
      <c r="F3386" s="4" t="s">
        <v>6851</v>
      </c>
      <c r="G3386" s="5" t="str">
        <f>IFERROR(__xludf.DUMMYFUNCTION("GOOGLETRANSLATE(D3386,""en"",""es"")"),"miny")</f>
        <v>miny</v>
      </c>
    </row>
    <row r="3387">
      <c r="A3387" s="4">
        <v>323.0</v>
      </c>
      <c r="B3387" s="4" t="s">
        <v>8920</v>
      </c>
      <c r="C3387" s="4"/>
      <c r="D3387" s="4" t="s">
        <v>2709</v>
      </c>
      <c r="E3387" s="4" t="s">
        <v>6860</v>
      </c>
      <c r="F3387" s="4" t="s">
        <v>2711</v>
      </c>
      <c r="G3387" s="5" t="str">
        <f>IFERROR(__xludf.DUMMYFUNCTION("GOOGLETRANSLATE(D3387,""en"",""es"")"),"señorita")</f>
        <v>señorita</v>
      </c>
      <c r="H3387" s="4" t="s">
        <v>6861</v>
      </c>
      <c r="I3387" s="4" t="s">
        <v>2709</v>
      </c>
      <c r="J3387" s="4" t="s">
        <v>6862</v>
      </c>
      <c r="K3387" s="4" t="s">
        <v>6863</v>
      </c>
      <c r="L3387" s="4" t="s">
        <v>6864</v>
      </c>
      <c r="M3387" s="4" t="s">
        <v>6865</v>
      </c>
      <c r="N3387" s="4" t="s">
        <v>2709</v>
      </c>
      <c r="O3387" s="4" t="s">
        <v>6866</v>
      </c>
      <c r="P3387" s="4" t="s">
        <v>6867</v>
      </c>
      <c r="Q3387" s="4" t="s">
        <v>2709</v>
      </c>
      <c r="R3387" s="4" t="s">
        <v>6868</v>
      </c>
      <c r="S3387" s="4" t="s">
        <v>2709</v>
      </c>
      <c r="T3387" s="4" t="s">
        <v>2709</v>
      </c>
      <c r="U3387" s="4" t="s">
        <v>6869</v>
      </c>
      <c r="V3387" s="4" t="s">
        <v>6870</v>
      </c>
      <c r="W3387" s="4" t="s">
        <v>6871</v>
      </c>
      <c r="X3387" s="4" t="s">
        <v>6872</v>
      </c>
      <c r="Y3387" s="4" t="s">
        <v>2709</v>
      </c>
      <c r="Z3387" s="4" t="s">
        <v>6873</v>
      </c>
      <c r="AA3387" s="4" t="s">
        <v>6874</v>
      </c>
      <c r="AB3387" s="4" t="s">
        <v>6875</v>
      </c>
      <c r="AC3387" s="4" t="s">
        <v>2709</v>
      </c>
      <c r="AD3387" s="4" t="s">
        <v>2709</v>
      </c>
      <c r="AE3387" s="4" t="s">
        <v>6526</v>
      </c>
      <c r="AF3387" s="4" t="s">
        <v>2709</v>
      </c>
      <c r="AG3387" s="4" t="s">
        <v>2709</v>
      </c>
      <c r="AH3387" s="4" t="s">
        <v>2709</v>
      </c>
      <c r="AI3387" s="4" t="s">
        <v>6548</v>
      </c>
    </row>
    <row r="3388">
      <c r="A3388" s="4">
        <v>324.0</v>
      </c>
      <c r="B3388" s="4" t="s">
        <v>8920</v>
      </c>
      <c r="C3388" s="4"/>
      <c r="D3388" s="4" t="s">
        <v>6876</v>
      </c>
      <c r="E3388" s="4" t="s">
        <v>6877</v>
      </c>
      <c r="F3388" s="4" t="s">
        <v>6878</v>
      </c>
      <c r="G3388" s="5" t="str">
        <f>IFERROR(__xludf.DUMMYFUNCTION("GOOGLETRANSLATE(D3388,""en"",""es"")"),"Missippi")</f>
        <v>Missippi</v>
      </c>
    </row>
    <row r="3389">
      <c r="A3389" s="4">
        <v>325.0</v>
      </c>
      <c r="B3389" s="4" t="s">
        <v>8920</v>
      </c>
      <c r="C3389" s="4"/>
      <c r="D3389" s="4" t="s">
        <v>8517</v>
      </c>
      <c r="E3389" s="4" t="s">
        <v>8518</v>
      </c>
      <c r="F3389" s="4" t="s">
        <v>2718</v>
      </c>
      <c r="G3389" s="5" t="str">
        <f>IFERROR(__xludf.DUMMYFUNCTION("GOOGLETRANSLATE(D3389,""en"",""es"")"),"Misisipí")</f>
        <v>Misisipí</v>
      </c>
      <c r="H3389" s="4" t="s">
        <v>8519</v>
      </c>
      <c r="I3389" s="4" t="s">
        <v>8520</v>
      </c>
      <c r="J3389" s="4" t="s">
        <v>8519</v>
      </c>
      <c r="K3389" s="4" t="s">
        <v>8521</v>
      </c>
      <c r="L3389" s="4" t="s">
        <v>8522</v>
      </c>
    </row>
    <row r="3390">
      <c r="A3390" s="4">
        <v>326.0</v>
      </c>
      <c r="B3390" s="4" t="s">
        <v>8920</v>
      </c>
      <c r="C3390" s="4"/>
      <c r="D3390" s="4" t="s">
        <v>6862</v>
      </c>
      <c r="E3390" s="4" t="s">
        <v>6879</v>
      </c>
      <c r="F3390" s="4" t="s">
        <v>6880</v>
      </c>
      <c r="G3390" s="5" t="str">
        <f>IFERROR(__xludf.DUMMYFUNCTION("GOOGLETRANSLATE(D3390,""en"",""es"")"),"señorita")</f>
        <v>señorita</v>
      </c>
      <c r="H3390" s="4" t="s">
        <v>6861</v>
      </c>
      <c r="I3390" s="4" t="s">
        <v>2709</v>
      </c>
      <c r="J3390" s="4" t="s">
        <v>6862</v>
      </c>
      <c r="K3390" s="4" t="s">
        <v>6863</v>
      </c>
      <c r="L3390" s="4" t="s">
        <v>6864</v>
      </c>
      <c r="M3390" s="4" t="s">
        <v>6865</v>
      </c>
    </row>
    <row r="3391">
      <c r="A3391" s="4">
        <v>327.0</v>
      </c>
      <c r="B3391" s="4" t="s">
        <v>8920</v>
      </c>
      <c r="C3391" s="4"/>
      <c r="D3391" s="4" t="s">
        <v>6881</v>
      </c>
      <c r="E3391" s="4" t="s">
        <v>6882</v>
      </c>
      <c r="F3391" s="4" t="s">
        <v>6883</v>
      </c>
      <c r="G3391" s="5" t="str">
        <f>IFERROR(__xludf.DUMMYFUNCTION("GOOGLETRANSLATE(D3391,""en"",""es"")"),"mitanni")</f>
        <v>mitanni</v>
      </c>
    </row>
    <row r="3392">
      <c r="A3392" s="4">
        <v>328.0</v>
      </c>
      <c r="B3392" s="4" t="s">
        <v>8920</v>
      </c>
      <c r="C3392" s="4"/>
      <c r="D3392" s="4" t="s">
        <v>8523</v>
      </c>
      <c r="E3392" s="4" t="s">
        <v>8524</v>
      </c>
      <c r="F3392" s="4" t="s">
        <v>2301</v>
      </c>
      <c r="G3392" s="5" t="str">
        <f>IFERROR(__xludf.DUMMYFUNCTION("GOOGLETRANSLATE(D3392,""en"",""es"")"),"imitar")</f>
        <v>imitar</v>
      </c>
      <c r="H3392" s="4" t="s">
        <v>8523</v>
      </c>
      <c r="I3392" s="4" t="s">
        <v>8523</v>
      </c>
      <c r="J3392" s="4" t="s">
        <v>8525</v>
      </c>
      <c r="K3392" s="4" t="s">
        <v>8523</v>
      </c>
      <c r="L3392" s="4" t="s">
        <v>8523</v>
      </c>
    </row>
    <row r="3393">
      <c r="A3393" s="4">
        <v>329.0</v>
      </c>
      <c r="B3393" s="4" t="s">
        <v>8920</v>
      </c>
      <c r="C3393" s="4"/>
      <c r="D3393" s="4" t="s">
        <v>8526</v>
      </c>
      <c r="E3393" s="4" t="s">
        <v>8500</v>
      </c>
      <c r="F3393" s="4" t="s">
        <v>5314</v>
      </c>
      <c r="G3393" s="5" t="str">
        <f>IFERROR(__xludf.DUMMYFUNCTION("GOOGLETRANSLATE(D3393,""en"",""es"")"),"moleque")</f>
        <v>moleque</v>
      </c>
      <c r="H3393" s="4" t="s">
        <v>8526</v>
      </c>
      <c r="I3393" s="4" t="s">
        <v>8527</v>
      </c>
    </row>
    <row r="3394">
      <c r="A3394" s="4">
        <v>330.0</v>
      </c>
      <c r="B3394" s="4" t="s">
        <v>8920</v>
      </c>
      <c r="C3394" s="4"/>
      <c r="D3394" s="4" t="s">
        <v>8527</v>
      </c>
      <c r="E3394" s="4" t="s">
        <v>8500</v>
      </c>
      <c r="F3394" s="4" t="s">
        <v>5314</v>
      </c>
      <c r="G3394" s="5" t="str">
        <f>IFERROR(__xludf.DUMMYFUNCTION("GOOGLETRANSLATE(D3394,""en"",""es"")"),"muchacha")</f>
        <v>muchacha</v>
      </c>
      <c r="H3394" s="4" t="s">
        <v>8526</v>
      </c>
      <c r="I3394" s="4" t="s">
        <v>8527</v>
      </c>
    </row>
    <row r="3395">
      <c r="A3395" s="4">
        <v>331.0</v>
      </c>
      <c r="B3395" s="4" t="s">
        <v>8920</v>
      </c>
      <c r="C3395" s="4"/>
      <c r="D3395" s="4" t="s">
        <v>2385</v>
      </c>
      <c r="E3395" s="4" t="s">
        <v>8528</v>
      </c>
      <c r="F3395" s="4" t="s">
        <v>6701</v>
      </c>
      <c r="G3395" s="5" t="str">
        <f>IFERROR(__xludf.DUMMYFUNCTION("GOOGLETRANSLATE(D3395,""en"",""es"")"),"mamá")</f>
        <v>mamá</v>
      </c>
      <c r="H3395" s="4" t="s">
        <v>2278</v>
      </c>
      <c r="I3395" s="4" t="s">
        <v>2381</v>
      </c>
      <c r="J3395" s="4" t="s">
        <v>2384</v>
      </c>
      <c r="K3395" s="4" t="s">
        <v>2385</v>
      </c>
      <c r="L3395" s="4" t="s">
        <v>2386</v>
      </c>
      <c r="M3395" s="4" t="s">
        <v>2387</v>
      </c>
      <c r="N3395" s="4" t="s">
        <v>2388</v>
      </c>
      <c r="O3395" s="4" t="s">
        <v>2389</v>
      </c>
      <c r="P3395" s="4" t="s">
        <v>2390</v>
      </c>
    </row>
    <row r="3396">
      <c r="A3396" s="4">
        <v>332.0</v>
      </c>
      <c r="B3396" s="4" t="s">
        <v>8920</v>
      </c>
      <c r="C3396" s="4"/>
      <c r="D3396" s="4" t="s">
        <v>2735</v>
      </c>
      <c r="E3396" s="4" t="s">
        <v>8529</v>
      </c>
      <c r="F3396" s="4" t="s">
        <v>1856</v>
      </c>
      <c r="G3396" s="5" t="str">
        <f>IFERROR(__xludf.DUMMYFUNCTION("GOOGLETRANSLATE(D3396,""en"",""es"")"),"lun")</f>
        <v>lun</v>
      </c>
      <c r="H3396" s="4" t="s">
        <v>8530</v>
      </c>
      <c r="I3396" s="4" t="s">
        <v>8531</v>
      </c>
      <c r="J3396" s="4" t="s">
        <v>8531</v>
      </c>
      <c r="K3396" s="4" t="s">
        <v>8531</v>
      </c>
    </row>
    <row r="3397">
      <c r="A3397" s="4">
        <v>333.0</v>
      </c>
      <c r="B3397" s="4" t="s">
        <v>8920</v>
      </c>
      <c r="C3397" s="4"/>
      <c r="D3397" s="4" t="s">
        <v>8532</v>
      </c>
      <c r="E3397" s="4" t="s">
        <v>366</v>
      </c>
      <c r="F3397" s="4" t="s">
        <v>367</v>
      </c>
      <c r="G3397" s="5" t="str">
        <f>IFERROR(__xludf.DUMMYFUNCTION("GOOGLETRANSLATE(D3397,""en"",""es"")"),"mugir")</f>
        <v>mugir</v>
      </c>
      <c r="H3397" s="4" t="s">
        <v>8532</v>
      </c>
      <c r="I3397" s="4" t="s">
        <v>8532</v>
      </c>
      <c r="J3397" s="4" t="s">
        <v>1839</v>
      </c>
    </row>
    <row r="3398">
      <c r="A3398" s="4">
        <v>334.0</v>
      </c>
      <c r="B3398" s="4" t="s">
        <v>8920</v>
      </c>
      <c r="C3398" s="4"/>
      <c r="D3398" s="4" t="s">
        <v>6884</v>
      </c>
      <c r="E3398" s="4" t="s">
        <v>6885</v>
      </c>
      <c r="F3398" s="4" t="s">
        <v>6886</v>
      </c>
      <c r="G3398" s="5" t="str">
        <f>IFERROR(__xludf.DUMMYFUNCTION("GOOGLETRANSLATE(D3398,""en"",""es"")"),"moochin")</f>
        <v>moochin</v>
      </c>
    </row>
    <row r="3399">
      <c r="A3399" s="4">
        <v>335.0</v>
      </c>
      <c r="B3399" s="4" t="s">
        <v>8920</v>
      </c>
      <c r="C3399" s="4"/>
      <c r="D3399" s="4" t="s">
        <v>6888</v>
      </c>
      <c r="E3399" s="4" t="s">
        <v>6889</v>
      </c>
      <c r="F3399" s="4" t="s">
        <v>6890</v>
      </c>
      <c r="G3399" s="5" t="str">
        <f>IFERROR(__xludf.DUMMYFUNCTION("GOOGLETRANSLATE(D3399,""en"",""es"")"),"mugar")</f>
        <v>mugar</v>
      </c>
    </row>
    <row r="3400">
      <c r="A3400" s="4">
        <v>336.0</v>
      </c>
      <c r="B3400" s="4" t="s">
        <v>8920</v>
      </c>
      <c r="C3400" s="4"/>
      <c r="D3400" s="4" t="s">
        <v>6891</v>
      </c>
      <c r="E3400" s="4" t="s">
        <v>2733</v>
      </c>
      <c r="F3400" s="4" t="s">
        <v>2734</v>
      </c>
      <c r="G3400" s="5" t="str">
        <f>IFERROR(__xludf.DUMMYFUNCTION("GOOGLETRANSLATE(D3400,""en"",""es"")"),"mooli")</f>
        <v>mooli</v>
      </c>
    </row>
    <row r="3401">
      <c r="A3401" s="4">
        <v>337.0</v>
      </c>
      <c r="B3401" s="4" t="s">
        <v>8920</v>
      </c>
      <c r="C3401" s="4"/>
      <c r="D3401" s="4" t="s">
        <v>2212</v>
      </c>
      <c r="E3401" s="4" t="s">
        <v>2736</v>
      </c>
      <c r="F3401" s="4" t="s">
        <v>2737</v>
      </c>
      <c r="G3401" s="5" t="str">
        <f>IFERROR(__xludf.DUMMYFUNCTION("GOOGLETRANSLATE(D3401,""en"",""es"")"),"luna")</f>
        <v>luna</v>
      </c>
      <c r="H3401" s="4" t="s">
        <v>2213</v>
      </c>
      <c r="I3401" s="4" t="s">
        <v>2212</v>
      </c>
      <c r="J3401" s="4" t="s">
        <v>2212</v>
      </c>
      <c r="K3401" s="4" t="s">
        <v>2214</v>
      </c>
      <c r="L3401" s="4" t="s">
        <v>2212</v>
      </c>
      <c r="M3401" s="4" t="s">
        <v>2215</v>
      </c>
      <c r="N3401" s="4" t="s">
        <v>2216</v>
      </c>
      <c r="O3401" s="4" t="s">
        <v>8533</v>
      </c>
      <c r="P3401" s="4" t="s">
        <v>8534</v>
      </c>
      <c r="Q3401" s="4" t="s">
        <v>2213</v>
      </c>
      <c r="R3401" s="4" t="s">
        <v>2213</v>
      </c>
      <c r="S3401" s="4" t="s">
        <v>8535</v>
      </c>
      <c r="T3401" s="4" t="s">
        <v>2212</v>
      </c>
      <c r="U3401" s="4" t="s">
        <v>8536</v>
      </c>
      <c r="V3401" s="4" t="s">
        <v>2212</v>
      </c>
      <c r="W3401" s="4" t="s">
        <v>2212</v>
      </c>
      <c r="X3401" s="4" t="s">
        <v>8537</v>
      </c>
      <c r="Y3401" s="4" t="s">
        <v>8538</v>
      </c>
      <c r="Z3401" s="4" t="s">
        <v>2212</v>
      </c>
    </row>
    <row r="3402">
      <c r="A3402" s="4">
        <v>338.0</v>
      </c>
      <c r="B3402" s="4" t="s">
        <v>8920</v>
      </c>
      <c r="C3402" s="4"/>
      <c r="D3402" s="4" t="s">
        <v>8539</v>
      </c>
      <c r="E3402" s="4" t="s">
        <v>8540</v>
      </c>
      <c r="F3402" s="4" t="s">
        <v>2460</v>
      </c>
      <c r="G3402" s="5" t="str">
        <f>IFERROR(__xludf.DUMMYFUNCTION("GOOGLETRANSLATE(D3402,""en"",""es"")"),"fregar")</f>
        <v>fregar</v>
      </c>
      <c r="H3402" s="4" t="s">
        <v>8541</v>
      </c>
      <c r="I3402" s="4" t="s">
        <v>8542</v>
      </c>
      <c r="J3402" s="4" t="s">
        <v>8539</v>
      </c>
      <c r="K3402" s="4" t="s">
        <v>8543</v>
      </c>
      <c r="L3402" s="4" t="s">
        <v>7235</v>
      </c>
      <c r="M3402" s="4" t="s">
        <v>8539</v>
      </c>
      <c r="N3402" s="4" t="s">
        <v>8544</v>
      </c>
      <c r="O3402" s="4" t="s">
        <v>8539</v>
      </c>
      <c r="P3402" s="4" t="s">
        <v>3213</v>
      </c>
    </row>
    <row r="3403">
      <c r="A3403" s="4">
        <v>339.0</v>
      </c>
      <c r="B3403" s="4" t="s">
        <v>8920</v>
      </c>
      <c r="C3403" s="4"/>
      <c r="D3403" s="4" t="s">
        <v>8545</v>
      </c>
      <c r="E3403" s="4" t="s">
        <v>8546</v>
      </c>
      <c r="F3403" s="4" t="s">
        <v>6771</v>
      </c>
      <c r="G3403" s="5" t="str">
        <f>IFERROR(__xludf.DUMMYFUNCTION("GOOGLETRANSLATE(D3403,""en"",""es"")"),"mosh")</f>
        <v>mosh</v>
      </c>
      <c r="H3403" s="4" t="s">
        <v>8547</v>
      </c>
      <c r="I3403" s="4" t="s">
        <v>8548</v>
      </c>
      <c r="J3403" s="4" t="s">
        <v>8545</v>
      </c>
      <c r="K3403" s="4" t="s">
        <v>6550</v>
      </c>
    </row>
    <row r="3404">
      <c r="A3404" s="4">
        <v>340.0</v>
      </c>
      <c r="B3404" s="4" t="s">
        <v>8920</v>
      </c>
      <c r="C3404" s="4"/>
      <c r="D3404" s="4" t="s">
        <v>6892</v>
      </c>
      <c r="E3404" s="4" t="s">
        <v>6893</v>
      </c>
      <c r="F3404" s="4" t="s">
        <v>6894</v>
      </c>
      <c r="G3404" s="5" t="str">
        <f>IFERROR(__xludf.DUMMYFUNCTION("GOOGLETRANSLATE(D3404,""en"",""es"")"),"moussy")</f>
        <v>moussy</v>
      </c>
    </row>
    <row r="3405">
      <c r="A3405" s="4">
        <v>341.0</v>
      </c>
      <c r="B3405" s="4" t="s">
        <v>8920</v>
      </c>
      <c r="C3405" s="4"/>
      <c r="D3405" s="4" t="s">
        <v>6895</v>
      </c>
      <c r="E3405" s="4" t="s">
        <v>6896</v>
      </c>
      <c r="F3405" s="4" t="s">
        <v>6895</v>
      </c>
      <c r="G3405" s="5" t="str">
        <f>IFERROR(__xludf.DUMMYFUNCTION("GOOGLETRANSLATE(D3405,""en"",""es"")"),"gachas")</f>
        <v>gachas</v>
      </c>
      <c r="H3405" s="4" t="s">
        <v>6897</v>
      </c>
      <c r="I3405" s="4" t="s">
        <v>6895</v>
      </c>
      <c r="J3405" s="4" t="s">
        <v>6895</v>
      </c>
      <c r="K3405" s="4" t="s">
        <v>6898</v>
      </c>
      <c r="L3405" s="4" t="s">
        <v>6899</v>
      </c>
      <c r="M3405" s="4" t="s">
        <v>6895</v>
      </c>
      <c r="N3405" s="4" t="s">
        <v>6900</v>
      </c>
      <c r="O3405" s="4" t="s">
        <v>6901</v>
      </c>
      <c r="P3405" s="4" t="s">
        <v>6895</v>
      </c>
      <c r="Q3405" s="4" t="s">
        <v>6895</v>
      </c>
      <c r="R3405" s="4" t="s">
        <v>6902</v>
      </c>
      <c r="S3405" s="4" t="s">
        <v>6895</v>
      </c>
    </row>
    <row r="3406">
      <c r="A3406" s="4">
        <v>342.0</v>
      </c>
      <c r="B3406" s="4" t="s">
        <v>8920</v>
      </c>
      <c r="C3406" s="4"/>
      <c r="D3406" s="4" t="s">
        <v>6903</v>
      </c>
      <c r="E3406" s="4" t="s">
        <v>6904</v>
      </c>
      <c r="F3406" s="4" t="s">
        <v>2731</v>
      </c>
      <c r="G3406" s="5" t="str">
        <f>IFERROR(__xludf.DUMMYFUNCTION("GOOGLETRANSLATE(D3406,""en"",""es"")"),"pulposo")</f>
        <v>pulposo</v>
      </c>
      <c r="H3406" s="4" t="s">
        <v>6903</v>
      </c>
      <c r="I3406" s="4" t="s">
        <v>6905</v>
      </c>
      <c r="J3406" s="4" t="s">
        <v>6906</v>
      </c>
      <c r="K3406" s="4" t="s">
        <v>6907</v>
      </c>
      <c r="L3406" s="4" t="s">
        <v>6908</v>
      </c>
      <c r="M3406" s="4" t="s">
        <v>6909</v>
      </c>
      <c r="N3406" s="4" t="s">
        <v>6910</v>
      </c>
      <c r="O3406" s="4" t="s">
        <v>6903</v>
      </c>
      <c r="P3406" s="4" t="s">
        <v>6911</v>
      </c>
      <c r="Q3406" s="4" t="s">
        <v>6912</v>
      </c>
      <c r="R3406" s="4" t="s">
        <v>6913</v>
      </c>
      <c r="S3406" s="4" t="s">
        <v>6914</v>
      </c>
      <c r="T3406" s="4" t="s">
        <v>6915</v>
      </c>
      <c r="U3406" s="4" t="s">
        <v>6916</v>
      </c>
    </row>
    <row r="3407">
      <c r="A3407" s="4">
        <v>343.0</v>
      </c>
      <c r="B3407" s="4" t="s">
        <v>8920</v>
      </c>
      <c r="C3407" s="4"/>
      <c r="D3407" s="4" t="s">
        <v>6917</v>
      </c>
      <c r="E3407" s="4" t="s">
        <v>6918</v>
      </c>
      <c r="F3407" s="4" t="s">
        <v>6919</v>
      </c>
      <c r="G3407" s="5" t="str">
        <f>IFERROR(__xludf.DUMMYFUNCTION("GOOGLETRANSLATE(D3407,""en"",""es"")"),"mito")</f>
        <v>mito</v>
      </c>
      <c r="H3407" s="4" t="s">
        <v>6917</v>
      </c>
    </row>
    <row r="3408">
      <c r="A3408" s="4">
        <v>344.0</v>
      </c>
      <c r="B3408" s="4" t="s">
        <v>8920</v>
      </c>
      <c r="C3408" s="4"/>
      <c r="D3408" s="4" t="s">
        <v>6920</v>
      </c>
      <c r="E3408" s="4" t="s">
        <v>6921</v>
      </c>
      <c r="F3408" s="4" t="s">
        <v>6922</v>
      </c>
      <c r="G3408" s="5" t="str">
        <f>IFERROR(__xludf.DUMMYFUNCTION("GOOGLETRANSLATE(D3408,""en"",""es"")"),"mítico")</f>
        <v>mítico</v>
      </c>
      <c r="H3408" s="4" t="s">
        <v>6920</v>
      </c>
      <c r="I3408" s="4" t="s">
        <v>6923</v>
      </c>
      <c r="J3408" s="4" t="s">
        <v>6920</v>
      </c>
      <c r="K3408" s="4" t="s">
        <v>6924</v>
      </c>
      <c r="L3408" s="4" t="s">
        <v>6925</v>
      </c>
      <c r="M3408" s="4" t="s">
        <v>6926</v>
      </c>
    </row>
    <row r="3409">
      <c r="A3409" s="4">
        <v>345.0</v>
      </c>
      <c r="B3409" s="4" t="s">
        <v>8920</v>
      </c>
      <c r="C3409" s="4"/>
      <c r="D3409" s="4" t="s">
        <v>6927</v>
      </c>
      <c r="E3409" s="4" t="s">
        <v>8549</v>
      </c>
      <c r="F3409" s="4" t="s">
        <v>2912</v>
      </c>
      <c r="G3409" s="5" t="str">
        <f>IFERROR(__xludf.DUMMYFUNCTION("GOOGLETRANSLATE(D3409,""en"",""es"")"),"naan")</f>
        <v>naan</v>
      </c>
      <c r="I3409" s="4" t="s">
        <v>6927</v>
      </c>
    </row>
    <row r="3410">
      <c r="A3410" s="4">
        <v>346.0</v>
      </c>
      <c r="B3410" s="4" t="s">
        <v>8920</v>
      </c>
      <c r="C3410" s="4"/>
      <c r="D3410" s="4" t="s">
        <v>6929</v>
      </c>
      <c r="E3410" s="4" t="s">
        <v>6482</v>
      </c>
      <c r="F3410" s="4" t="s">
        <v>6483</v>
      </c>
      <c r="G3410" s="5" t="str">
        <f>IFERROR(__xludf.DUMMYFUNCTION("GOOGLETRANSLATE(D3410,""en"",""es"")"),"fastidiar")</f>
        <v>fastidiar</v>
      </c>
    </row>
    <row r="3411">
      <c r="A3411" s="4">
        <v>347.0</v>
      </c>
      <c r="B3411" s="4" t="s">
        <v>8920</v>
      </c>
      <c r="E3411" s="4" t="s">
        <v>6928</v>
      </c>
      <c r="F3411" s="4" t="s">
        <v>2912</v>
      </c>
      <c r="G3411" s="5" t="str">
        <f>IFERROR(__xludf.DUMMYFUNCTION("GOOGLETRANSLATE(D3411,""en"",""es"")"),"#VALUE!")</f>
        <v>#VALUE!</v>
      </c>
      <c r="I3411" s="4" t="s">
        <v>1878</v>
      </c>
      <c r="J3411" s="4" t="s">
        <v>1879</v>
      </c>
      <c r="K3411" s="4" t="s">
        <v>1880</v>
      </c>
      <c r="L3411" s="4" t="s">
        <v>1881</v>
      </c>
      <c r="M3411" s="4" t="s">
        <v>1882</v>
      </c>
      <c r="O3411" s="4" t="s">
        <v>1883</v>
      </c>
      <c r="P3411" s="4" t="s">
        <v>6930</v>
      </c>
      <c r="Q3411" s="4" t="s">
        <v>6931</v>
      </c>
      <c r="S3411" s="4" t="s">
        <v>6927</v>
      </c>
    </row>
    <row r="3412">
      <c r="A3412" s="4">
        <v>348.0</v>
      </c>
      <c r="B3412" s="4" t="s">
        <v>8920</v>
      </c>
      <c r="E3412" s="4" t="s">
        <v>8549</v>
      </c>
      <c r="F3412" s="4" t="s">
        <v>2912</v>
      </c>
      <c r="G3412" s="5" t="str">
        <f>IFERROR(__xludf.DUMMYFUNCTION("GOOGLETRANSLATE(D3412,""en"",""es"")"),"#VALUE!")</f>
        <v>#VALUE!</v>
      </c>
      <c r="I3412" s="4" t="s">
        <v>1878</v>
      </c>
      <c r="J3412" s="4" t="s">
        <v>1879</v>
      </c>
      <c r="K3412" s="4" t="s">
        <v>1880</v>
      </c>
      <c r="L3412" s="4" t="s">
        <v>1881</v>
      </c>
      <c r="M3412" s="4" t="s">
        <v>1882</v>
      </c>
      <c r="O3412" s="4" t="s">
        <v>1883</v>
      </c>
      <c r="P3412" s="4" t="s">
        <v>6930</v>
      </c>
      <c r="Q3412" s="4" t="s">
        <v>6931</v>
      </c>
      <c r="S3412" s="4" t="s">
        <v>6927</v>
      </c>
    </row>
    <row r="3413">
      <c r="A3413" s="4">
        <v>349.0</v>
      </c>
      <c r="B3413" s="4" t="s">
        <v>8920</v>
      </c>
      <c r="C3413" s="4"/>
      <c r="D3413" s="4" t="s">
        <v>6932</v>
      </c>
      <c r="E3413" s="4" t="s">
        <v>6933</v>
      </c>
      <c r="F3413" s="4" t="s">
        <v>6934</v>
      </c>
      <c r="G3413" s="5" t="str">
        <f>IFERROR(__xludf.DUMMYFUNCTION("GOOGLETRANSLATE(D3413,""en"",""es"")"),"niñera")</f>
        <v>niñera</v>
      </c>
      <c r="H3413" s="4" t="s">
        <v>6932</v>
      </c>
      <c r="I3413" s="4" t="s">
        <v>6935</v>
      </c>
      <c r="J3413" s="4" t="s">
        <v>6936</v>
      </c>
      <c r="K3413" s="4" t="s">
        <v>6932</v>
      </c>
      <c r="L3413" s="4" t="s">
        <v>6937</v>
      </c>
      <c r="M3413" s="4" t="s">
        <v>6938</v>
      </c>
    </row>
    <row r="3414">
      <c r="A3414" s="4">
        <v>350.0</v>
      </c>
      <c r="B3414" s="4" t="s">
        <v>8920</v>
      </c>
      <c r="C3414" s="4"/>
      <c r="D3414" s="4" t="s">
        <v>2928</v>
      </c>
      <c r="E3414" s="4" t="s">
        <v>6485</v>
      </c>
      <c r="F3414" s="4" t="s">
        <v>2928</v>
      </c>
      <c r="G3414" s="5" t="str">
        <f>IFERROR(__xludf.DUMMYFUNCTION("GOOGLETRANSLATE(D3414,""en"",""es"")"),"siesta")</f>
        <v>siesta</v>
      </c>
      <c r="H3414" s="4" t="s">
        <v>6461</v>
      </c>
      <c r="I3414" s="4" t="s">
        <v>2928</v>
      </c>
      <c r="J3414" s="4" t="s">
        <v>2928</v>
      </c>
      <c r="K3414" s="4" t="s">
        <v>483</v>
      </c>
      <c r="L3414" s="4" t="s">
        <v>2928</v>
      </c>
      <c r="M3414" s="4" t="s">
        <v>2928</v>
      </c>
      <c r="N3414" s="4" t="s">
        <v>6939</v>
      </c>
      <c r="O3414" s="4" t="s">
        <v>6940</v>
      </c>
      <c r="P3414" s="4" t="s">
        <v>6941</v>
      </c>
      <c r="Q3414" s="4" t="s">
        <v>6942</v>
      </c>
      <c r="R3414" s="4" t="s">
        <v>6943</v>
      </c>
      <c r="S3414" s="4" t="s">
        <v>6944</v>
      </c>
      <c r="T3414" s="4" t="s">
        <v>2928</v>
      </c>
      <c r="U3414" s="4" t="s">
        <v>2928</v>
      </c>
      <c r="V3414" s="4" t="s">
        <v>6939</v>
      </c>
      <c r="W3414" s="4" t="s">
        <v>6945</v>
      </c>
    </row>
    <row r="3415">
      <c r="A3415" s="4">
        <v>351.0</v>
      </c>
      <c r="B3415" s="4" t="s">
        <v>8920</v>
      </c>
      <c r="C3415" s="4"/>
      <c r="D3415" s="4" t="s">
        <v>6947</v>
      </c>
      <c r="E3415" s="4" t="s">
        <v>6948</v>
      </c>
      <c r="F3415" s="4" t="s">
        <v>6949</v>
      </c>
      <c r="G3415" s="5" t="str">
        <f>IFERROR(__xludf.DUMMYFUNCTION("GOOGLETRANSLATE(D3415,""en"",""es"")"),"pañal")</f>
        <v>pañal</v>
      </c>
      <c r="H3415" s="4" t="s">
        <v>6950</v>
      </c>
      <c r="I3415" s="4" t="s">
        <v>6947</v>
      </c>
      <c r="J3415" s="4" t="s">
        <v>6951</v>
      </c>
      <c r="K3415" s="4" t="s">
        <v>6952</v>
      </c>
      <c r="L3415" s="4" t="s">
        <v>6953</v>
      </c>
      <c r="M3415" s="4" t="s">
        <v>6954</v>
      </c>
      <c r="N3415" s="4" t="s">
        <v>6955</v>
      </c>
      <c r="O3415" s="4" t="s">
        <v>6947</v>
      </c>
    </row>
    <row r="3416">
      <c r="A3416" s="4">
        <v>352.0</v>
      </c>
      <c r="B3416" s="4" t="s">
        <v>8920</v>
      </c>
      <c r="C3416" s="4"/>
      <c r="D3416" s="4" t="s">
        <v>383</v>
      </c>
      <c r="E3416" s="4" t="s">
        <v>6122</v>
      </c>
      <c r="F3416" s="4" t="s">
        <v>383</v>
      </c>
      <c r="G3416" s="5" t="str">
        <f>IFERROR(__xludf.DUMMYFUNCTION("GOOGLETRANSLATE(D3416,""en"",""es"")"),"nash")</f>
        <v>nash</v>
      </c>
      <c r="H3416" s="4" t="s">
        <v>6956</v>
      </c>
      <c r="I3416" s="4" t="s">
        <v>6957</v>
      </c>
    </row>
    <row r="3417">
      <c r="A3417" s="4">
        <v>353.0</v>
      </c>
      <c r="B3417" s="4" t="s">
        <v>8920</v>
      </c>
      <c r="C3417" s="4"/>
      <c r="D3417" s="4" t="s">
        <v>3471</v>
      </c>
      <c r="E3417" s="4" t="s">
        <v>8550</v>
      </c>
      <c r="F3417" s="4" t="s">
        <v>6960</v>
      </c>
      <c r="G3417" s="5" t="str">
        <f>IFERROR(__xludf.DUMMYFUNCTION("GOOGLETRANSLATE(D3417,""en"",""es"")"),"travieso")</f>
        <v>travieso</v>
      </c>
      <c r="H3417" s="4" t="s">
        <v>405</v>
      </c>
      <c r="I3417" s="4" t="s">
        <v>3468</v>
      </c>
      <c r="J3417" s="4" t="s">
        <v>3469</v>
      </c>
      <c r="K3417" s="4" t="s">
        <v>3470</v>
      </c>
      <c r="L3417" s="4" t="s">
        <v>3471</v>
      </c>
      <c r="M3417" s="4" t="s">
        <v>3472</v>
      </c>
      <c r="N3417" s="4" t="s">
        <v>3473</v>
      </c>
      <c r="O3417" s="4" t="s">
        <v>3474</v>
      </c>
      <c r="P3417" s="4" t="s">
        <v>3471</v>
      </c>
    </row>
    <row r="3418">
      <c r="A3418" s="4">
        <v>354.0</v>
      </c>
      <c r="B3418" s="4" t="s">
        <v>8920</v>
      </c>
      <c r="C3418" s="4"/>
      <c r="D3418" s="4" t="s">
        <v>8551</v>
      </c>
      <c r="E3418" s="4" t="s">
        <v>8552</v>
      </c>
      <c r="F3418" s="4" t="s">
        <v>8553</v>
      </c>
      <c r="G3418" s="5" t="str">
        <f>IFERROR(__xludf.DUMMYFUNCTION("GOOGLETRANSLATE(D3418,""en"",""es"")"),"recién")</f>
        <v>recién</v>
      </c>
      <c r="H3418" s="4" t="s">
        <v>8551</v>
      </c>
      <c r="I3418" s="4" t="s">
        <v>8554</v>
      </c>
      <c r="J3418" s="4" t="s">
        <v>7438</v>
      </c>
      <c r="K3418" s="4" t="s">
        <v>8555</v>
      </c>
    </row>
    <row r="3419">
      <c r="A3419" s="4">
        <v>355.0</v>
      </c>
      <c r="B3419" s="4" t="s">
        <v>8920</v>
      </c>
      <c r="C3419" s="4"/>
      <c r="D3419" s="4" t="s">
        <v>8556</v>
      </c>
      <c r="E3419" s="4" t="s">
        <v>8557</v>
      </c>
      <c r="F3419" s="4" t="s">
        <v>8558</v>
      </c>
      <c r="G3419" s="5" t="str">
        <f>IFERROR(__xludf.DUMMYFUNCTION("GOOGLETRANSLATE(D3419,""en"",""es"")"),"nicho")</f>
        <v>nicho</v>
      </c>
      <c r="H3419" s="4" t="s">
        <v>8556</v>
      </c>
      <c r="I3419" s="4" t="s">
        <v>983</v>
      </c>
      <c r="J3419" s="4" t="s">
        <v>8559</v>
      </c>
      <c r="K3419" s="4" t="s">
        <v>8556</v>
      </c>
      <c r="L3419" s="4" t="s">
        <v>7029</v>
      </c>
      <c r="M3419" s="4" t="s">
        <v>983</v>
      </c>
      <c r="N3419" s="4" t="s">
        <v>8556</v>
      </c>
      <c r="O3419" s="4" t="s">
        <v>8556</v>
      </c>
      <c r="P3419" s="4" t="s">
        <v>8560</v>
      </c>
    </row>
    <row r="3420">
      <c r="A3420" s="4">
        <v>356.0</v>
      </c>
      <c r="B3420" s="4" t="s">
        <v>8920</v>
      </c>
      <c r="C3420" s="4"/>
      <c r="D3420" s="4" t="s">
        <v>8556</v>
      </c>
      <c r="E3420" s="4" t="s">
        <v>8561</v>
      </c>
      <c r="F3420" s="4" t="s">
        <v>8558</v>
      </c>
      <c r="G3420" s="5" t="str">
        <f>IFERROR(__xludf.DUMMYFUNCTION("GOOGLETRANSLATE(D3420,""en"",""es"")"),"nicho")</f>
        <v>nicho</v>
      </c>
      <c r="H3420" s="4" t="s">
        <v>8556</v>
      </c>
      <c r="I3420" s="4" t="s">
        <v>983</v>
      </c>
      <c r="J3420" s="4" t="s">
        <v>8559</v>
      </c>
      <c r="K3420" s="4" t="s">
        <v>8556</v>
      </c>
      <c r="L3420" s="4" t="s">
        <v>7029</v>
      </c>
      <c r="M3420" s="4" t="s">
        <v>983</v>
      </c>
      <c r="N3420" s="4" t="s">
        <v>8556</v>
      </c>
      <c r="O3420" s="4" t="s">
        <v>8556</v>
      </c>
      <c r="P3420" s="4" t="s">
        <v>8560</v>
      </c>
    </row>
    <row r="3421">
      <c r="A3421" s="4">
        <v>357.0</v>
      </c>
      <c r="B3421" s="4" t="s">
        <v>8920</v>
      </c>
      <c r="C3421" s="4"/>
      <c r="D3421" s="4" t="s">
        <v>4277</v>
      </c>
      <c r="E3421" s="4" t="s">
        <v>6969</v>
      </c>
      <c r="F3421" s="4" t="s">
        <v>6970</v>
      </c>
      <c r="G3421" s="5" t="str">
        <f>IFERROR(__xludf.DUMMYFUNCTION("GOOGLETRANSLATE(D3421,""en"",""es"")"),"mella")</f>
        <v>mella</v>
      </c>
      <c r="H3421" s="4" t="s">
        <v>4275</v>
      </c>
      <c r="I3421" s="4" t="s">
        <v>4082</v>
      </c>
      <c r="J3421" s="4" t="s">
        <v>4276</v>
      </c>
      <c r="K3421" s="4" t="s">
        <v>4277</v>
      </c>
      <c r="L3421" s="4" t="s">
        <v>4277</v>
      </c>
      <c r="M3421" s="4" t="s">
        <v>3383</v>
      </c>
      <c r="N3421" s="4" t="s">
        <v>4277</v>
      </c>
      <c r="O3421" s="4" t="s">
        <v>6971</v>
      </c>
      <c r="P3421" s="4" t="s">
        <v>4277</v>
      </c>
      <c r="Q3421" s="4" t="s">
        <v>6971</v>
      </c>
      <c r="R3421" s="4" t="s">
        <v>4277</v>
      </c>
      <c r="S3421" s="4" t="s">
        <v>2603</v>
      </c>
      <c r="T3421" s="4" t="s">
        <v>4277</v>
      </c>
      <c r="U3421" s="4" t="s">
        <v>4277</v>
      </c>
    </row>
    <row r="3422">
      <c r="A3422" s="4">
        <v>358.0</v>
      </c>
      <c r="B3422" s="4" t="s">
        <v>8920</v>
      </c>
      <c r="C3422" s="4"/>
      <c r="D3422" s="4" t="s">
        <v>8562</v>
      </c>
      <c r="E3422" s="4" t="s">
        <v>8563</v>
      </c>
      <c r="F3422" s="4" t="s">
        <v>8564</v>
      </c>
      <c r="G3422" s="5" t="str">
        <f>IFERROR(__xludf.DUMMYFUNCTION("GOOGLETRANSLATE(D3422,""en"",""es"")"),"sobrina")</f>
        <v>sobrina</v>
      </c>
      <c r="H3422" s="4" t="s">
        <v>8562</v>
      </c>
    </row>
    <row r="3423">
      <c r="A3423" s="4">
        <v>359.0</v>
      </c>
      <c r="B3423" s="4" t="s">
        <v>8920</v>
      </c>
      <c r="C3423" s="4"/>
      <c r="D3423" s="4" t="s">
        <v>6972</v>
      </c>
      <c r="E3423" s="4" t="s">
        <v>6973</v>
      </c>
      <c r="F3423" s="4" t="s">
        <v>6972</v>
      </c>
      <c r="G3423" s="5" t="str">
        <f>IFERROR(__xludf.DUMMYFUNCTION("GOOGLETRANSLATE(D3423,""en"",""es"")"),"nihil")</f>
        <v>nihil</v>
      </c>
      <c r="H3423" s="4" t="s">
        <v>6972</v>
      </c>
    </row>
    <row r="3424">
      <c r="A3424" s="4">
        <v>360.0</v>
      </c>
      <c r="B3424" s="4" t="s">
        <v>8920</v>
      </c>
      <c r="C3424" s="4"/>
      <c r="D3424" s="4" t="s">
        <v>2976</v>
      </c>
      <c r="E3424" s="4" t="s">
        <v>6974</v>
      </c>
      <c r="F3424" s="4" t="s">
        <v>2976</v>
      </c>
      <c r="G3424" s="5" t="str">
        <f>IFERROR(__xludf.DUMMYFUNCTION("GOOGLETRANSLATE(D3424,""en"",""es"")"),"nulo")</f>
        <v>nulo</v>
      </c>
      <c r="H3424" s="4" t="s">
        <v>6975</v>
      </c>
      <c r="I3424" s="4" t="s">
        <v>2976</v>
      </c>
      <c r="J3424" s="4" t="s">
        <v>6976</v>
      </c>
      <c r="K3424" s="4" t="s">
        <v>6977</v>
      </c>
      <c r="M3424" s="4" t="s">
        <v>6978</v>
      </c>
      <c r="N3424" s="4" t="s">
        <v>6979</v>
      </c>
      <c r="O3424" s="4" t="s">
        <v>6980</v>
      </c>
      <c r="P3424" s="4" t="s">
        <v>6981</v>
      </c>
      <c r="Q3424" s="4" t="s">
        <v>6982</v>
      </c>
      <c r="R3424" s="4" t="s">
        <v>6983</v>
      </c>
      <c r="S3424" s="4" t="s">
        <v>6984</v>
      </c>
      <c r="T3424" s="4" t="s">
        <v>6985</v>
      </c>
      <c r="U3424" s="4" t="s">
        <v>6986</v>
      </c>
    </row>
    <row r="3425">
      <c r="A3425" s="4">
        <v>361.0</v>
      </c>
      <c r="B3425" s="4" t="s">
        <v>8920</v>
      </c>
      <c r="C3425" s="4"/>
      <c r="D3425" s="4" t="s">
        <v>6987</v>
      </c>
      <c r="E3425" s="4" t="s">
        <v>6974</v>
      </c>
      <c r="F3425" s="4" t="s">
        <v>2976</v>
      </c>
      <c r="G3425" s="5" t="str">
        <f>IFERROR(__xludf.DUMMYFUNCTION("GOOGLETRANSLATE(D3425,""en"",""es"")"),"altillo")</f>
        <v>altillo</v>
      </c>
    </row>
    <row r="3426">
      <c r="A3426" s="4">
        <v>362.0</v>
      </c>
      <c r="B3426" s="4" t="s">
        <v>8920</v>
      </c>
      <c r="C3426" s="4"/>
      <c r="D3426" s="4" t="s">
        <v>6988</v>
      </c>
      <c r="E3426" s="4" t="s">
        <v>6989</v>
      </c>
      <c r="F3426" s="4" t="s">
        <v>6988</v>
      </c>
      <c r="G3426" s="5" t="str">
        <f>IFERROR(__xludf.DUMMYFUNCTION("GOOGLETRANSLATE(D3426,""en"",""es"")"),"nim")</f>
        <v>nim</v>
      </c>
      <c r="H3426" s="4" t="s">
        <v>6988</v>
      </c>
    </row>
    <row r="3427">
      <c r="A3427" s="4">
        <v>363.0</v>
      </c>
      <c r="B3427" s="4" t="s">
        <v>8920</v>
      </c>
      <c r="C3427" s="4"/>
      <c r="D3427" s="4" t="s">
        <v>6990</v>
      </c>
      <c r="E3427" s="4" t="s">
        <v>6989</v>
      </c>
      <c r="F3427" s="4" t="s">
        <v>6988</v>
      </c>
      <c r="G3427" s="5" t="str">
        <f>IFERROR(__xludf.DUMMYFUNCTION("GOOGLETRANSLATE(D3427,""en"",""es"")"),"niMB")</f>
        <v>niMB</v>
      </c>
    </row>
    <row r="3428">
      <c r="A3428" s="4">
        <v>364.0</v>
      </c>
      <c r="B3428" s="4" t="s">
        <v>8920</v>
      </c>
      <c r="C3428" s="4"/>
      <c r="D3428" s="4" t="s">
        <v>2980</v>
      </c>
      <c r="E3428" s="4" t="s">
        <v>6991</v>
      </c>
      <c r="F3428" s="4" t="s">
        <v>2980</v>
      </c>
      <c r="G3428" s="5" t="str">
        <f>IFERROR(__xludf.DUMMYFUNCTION("GOOGLETRANSLATE(D3428,""en"",""es"")"),"Nin")</f>
        <v>Nin</v>
      </c>
    </row>
    <row r="3429">
      <c r="A3429" s="4">
        <v>365.0</v>
      </c>
      <c r="B3429" s="4" t="s">
        <v>8920</v>
      </c>
      <c r="C3429" s="4"/>
      <c r="D3429" s="4" t="s">
        <v>6992</v>
      </c>
      <c r="E3429" s="4" t="s">
        <v>6993</v>
      </c>
      <c r="F3429" s="4" t="s">
        <v>6994</v>
      </c>
      <c r="G3429" s="5" t="str">
        <f>IFERROR(__xludf.DUMMYFUNCTION("GOOGLETRANSLATE(D3429,""en"",""es"")"),"bobo")</f>
        <v>bobo</v>
      </c>
      <c r="H3429" s="4" t="s">
        <v>6995</v>
      </c>
      <c r="I3429" s="4" t="s">
        <v>6996</v>
      </c>
      <c r="J3429" s="4" t="s">
        <v>6992</v>
      </c>
    </row>
    <row r="3430">
      <c r="A3430" s="4">
        <v>366.0</v>
      </c>
      <c r="B3430" s="4" t="s">
        <v>8920</v>
      </c>
      <c r="C3430" s="4"/>
      <c r="D3430" s="4" t="s">
        <v>4298</v>
      </c>
      <c r="E3430" s="4" t="s">
        <v>6997</v>
      </c>
      <c r="F3430" s="4" t="s">
        <v>4298</v>
      </c>
      <c r="G3430" s="5" t="str">
        <f>IFERROR(__xludf.DUMMYFUNCTION("GOOGLETRANSLATE(D3430,""en"",""es"")"),"cortar")</f>
        <v>cortar</v>
      </c>
      <c r="H3430" s="4" t="s">
        <v>4298</v>
      </c>
      <c r="I3430" s="4" t="s">
        <v>6998</v>
      </c>
      <c r="J3430" s="4" t="s">
        <v>6999</v>
      </c>
      <c r="K3430" s="4" t="s">
        <v>7000</v>
      </c>
      <c r="L3430" s="4" t="s">
        <v>7001</v>
      </c>
      <c r="M3430" s="4" t="s">
        <v>6678</v>
      </c>
      <c r="N3430" s="4" t="s">
        <v>6679</v>
      </c>
      <c r="O3430" s="4" t="s">
        <v>7002</v>
      </c>
      <c r="P3430" s="4" t="s">
        <v>7003</v>
      </c>
      <c r="Q3430" s="4" t="s">
        <v>7004</v>
      </c>
      <c r="R3430" s="4" t="s">
        <v>7005</v>
      </c>
      <c r="S3430" s="4" t="s">
        <v>4298</v>
      </c>
      <c r="T3430" s="4" t="s">
        <v>7006</v>
      </c>
      <c r="U3430" s="4" t="s">
        <v>7007</v>
      </c>
      <c r="V3430" s="4" t="s">
        <v>7008</v>
      </c>
      <c r="W3430" s="4" t="s">
        <v>4298</v>
      </c>
      <c r="X3430" s="4" t="s">
        <v>4298</v>
      </c>
      <c r="Y3430" s="4" t="s">
        <v>7009</v>
      </c>
      <c r="Z3430" s="4" t="s">
        <v>7010</v>
      </c>
      <c r="AA3430" s="4" t="s">
        <v>7011</v>
      </c>
      <c r="AB3430" s="4" t="s">
        <v>7006</v>
      </c>
      <c r="AC3430" s="4" t="s">
        <v>7012</v>
      </c>
      <c r="AD3430" s="4" t="s">
        <v>7013</v>
      </c>
      <c r="AE3430" s="4" t="s">
        <v>4298</v>
      </c>
      <c r="AF3430" s="4" t="s">
        <v>6302</v>
      </c>
      <c r="AG3430" s="4" t="s">
        <v>6302</v>
      </c>
      <c r="AH3430" s="4" t="s">
        <v>6776</v>
      </c>
      <c r="AI3430" s="4" t="s">
        <v>3503</v>
      </c>
      <c r="AJ3430" s="4" t="s">
        <v>7014</v>
      </c>
      <c r="AK3430" s="4" t="s">
        <v>4298</v>
      </c>
      <c r="AL3430" s="4" t="s">
        <v>4435</v>
      </c>
      <c r="AM3430" s="4" t="s">
        <v>4298</v>
      </c>
      <c r="AN3430" s="4" t="s">
        <v>4298</v>
      </c>
      <c r="AO3430" s="4" t="s">
        <v>4299</v>
      </c>
      <c r="AP3430" s="4" t="s">
        <v>928</v>
      </c>
      <c r="AQ3430" s="4" t="s">
        <v>4300</v>
      </c>
      <c r="AR3430" s="4" t="s">
        <v>4301</v>
      </c>
    </row>
    <row r="3431">
      <c r="A3431" s="4">
        <v>367.0</v>
      </c>
      <c r="B3431" s="4" t="s">
        <v>8920</v>
      </c>
      <c r="C3431" s="4"/>
      <c r="D3431" s="4" t="s">
        <v>8565</v>
      </c>
      <c r="E3431" s="4" t="s">
        <v>8566</v>
      </c>
      <c r="F3431" s="4" t="s">
        <v>8567</v>
      </c>
      <c r="G3431" s="5" t="str">
        <f>IFERROR(__xludf.DUMMYFUNCTION("GOOGLETRANSLATE(D3431,""en"",""es"")"),"Japón")</f>
        <v>Japón</v>
      </c>
      <c r="H3431" s="4" t="s">
        <v>8568</v>
      </c>
      <c r="I3431" s="4" t="s">
        <v>8569</v>
      </c>
      <c r="J3431" s="4" t="s">
        <v>8570</v>
      </c>
    </row>
    <row r="3432">
      <c r="A3432" s="4">
        <v>368.0</v>
      </c>
      <c r="B3432" s="4" t="s">
        <v>8920</v>
      </c>
      <c r="C3432" s="4"/>
      <c r="D3432" s="4" t="s">
        <v>7015</v>
      </c>
      <c r="E3432" s="4" t="s">
        <v>7016</v>
      </c>
      <c r="F3432" s="4" t="s">
        <v>7017</v>
      </c>
      <c r="G3432" s="5" t="str">
        <f>IFERROR(__xludf.DUMMYFUNCTION("GOOGLETRANSLATE(D3432,""en"",""es"")"),"ágil")</f>
        <v>ágil</v>
      </c>
      <c r="H3432" s="4" t="s">
        <v>7015</v>
      </c>
      <c r="I3432" s="4" t="s">
        <v>6952</v>
      </c>
      <c r="J3432" s="4" t="s">
        <v>7018</v>
      </c>
      <c r="K3432" s="4" t="s">
        <v>7019</v>
      </c>
      <c r="L3432" s="4" t="s">
        <v>7015</v>
      </c>
      <c r="M3432" s="4" t="s">
        <v>6967</v>
      </c>
    </row>
    <row r="3433">
      <c r="A3433" s="4">
        <v>369.0</v>
      </c>
      <c r="B3433" s="4" t="s">
        <v>8920</v>
      </c>
      <c r="C3433" s="4"/>
      <c r="D3433" s="4" t="s">
        <v>8571</v>
      </c>
      <c r="E3433" s="4" t="s">
        <v>8572</v>
      </c>
      <c r="F3433" s="4" t="s">
        <v>8573</v>
      </c>
      <c r="G3433" s="5" t="str">
        <f>IFERROR(__xludf.DUMMYFUNCTION("GOOGLETRANSLATE(D3433,""en"",""es"")"),"nisenano")</f>
        <v>nisenano</v>
      </c>
    </row>
    <row r="3434">
      <c r="A3434" s="4">
        <v>370.0</v>
      </c>
      <c r="B3434" s="4" t="s">
        <v>8920</v>
      </c>
      <c r="C3434" s="4"/>
      <c r="D3434" s="4" t="s">
        <v>7020</v>
      </c>
      <c r="E3434" s="4" t="s">
        <v>7021</v>
      </c>
      <c r="F3434" s="4" t="s">
        <v>7022</v>
      </c>
      <c r="G3434" s="5" t="str">
        <f>IFERROR(__xludf.DUMMYFUNCTION("GOOGLETRANSLATE(D3434,""en"",""es"")"),"con timbre")</f>
        <v>con timbre</v>
      </c>
    </row>
    <row r="3435">
      <c r="A3435" s="4">
        <v>371.0</v>
      </c>
      <c r="B3435" s="4" t="s">
        <v>8920</v>
      </c>
      <c r="C3435" s="4"/>
      <c r="D3435" s="4" t="s">
        <v>7023</v>
      </c>
      <c r="E3435" s="4" t="s">
        <v>8574</v>
      </c>
      <c r="F3435" s="4" t="s">
        <v>7025</v>
      </c>
      <c r="G3435" s="5" t="str">
        <f>IFERROR(__xludf.DUMMYFUNCTION("GOOGLETRANSLATE(D3435,""en"",""es"")"),"piojoso")</f>
        <v>piojoso</v>
      </c>
    </row>
    <row r="3436">
      <c r="A3436" s="4">
        <v>372.0</v>
      </c>
      <c r="B3436" s="4" t="s">
        <v>8920</v>
      </c>
      <c r="C3436" s="4"/>
      <c r="D3436" s="4" t="s">
        <v>7026</v>
      </c>
      <c r="E3436" s="4" t="s">
        <v>7027</v>
      </c>
      <c r="F3436" s="4" t="s">
        <v>7028</v>
      </c>
      <c r="G3436" s="5" t="str">
        <f>IFERROR(__xludf.DUMMYFUNCTION("GOOGLETRANSLATE(D3436,""en"",""es"")"),"rincón")</f>
        <v>rincón</v>
      </c>
      <c r="H3436" s="4" t="s">
        <v>7026</v>
      </c>
      <c r="I3436" s="4" t="s">
        <v>7029</v>
      </c>
      <c r="J3436" s="4" t="s">
        <v>7026</v>
      </c>
    </row>
    <row r="3437">
      <c r="A3437" s="4">
        <v>373.0</v>
      </c>
      <c r="B3437" s="4" t="s">
        <v>8920</v>
      </c>
      <c r="C3437" s="4"/>
      <c r="D3437" s="4" t="s">
        <v>5896</v>
      </c>
      <c r="E3437" s="4" t="s">
        <v>7030</v>
      </c>
      <c r="F3437" s="4" t="s">
        <v>7031</v>
      </c>
      <c r="G3437" s="5" t="str">
        <f>IFERROR(__xludf.DUMMYFUNCTION("GOOGLETRANSLATE(D3437,""en"",""es"")"),"nokie")</f>
        <v>nokie</v>
      </c>
      <c r="H3437" s="4" t="s">
        <v>5891</v>
      </c>
      <c r="I3437" s="4" t="s">
        <v>5892</v>
      </c>
      <c r="J3437" s="4" t="s">
        <v>5893</v>
      </c>
      <c r="K3437" s="4" t="s">
        <v>5894</v>
      </c>
      <c r="L3437" s="4" t="s">
        <v>1627</v>
      </c>
      <c r="M3437" s="4" t="s">
        <v>5895</v>
      </c>
      <c r="N3437" s="4" t="s">
        <v>5896</v>
      </c>
      <c r="O3437" s="4" t="s">
        <v>5897</v>
      </c>
      <c r="P3437" s="4" t="s">
        <v>5898</v>
      </c>
      <c r="Q3437" s="4" t="s">
        <v>5899</v>
      </c>
      <c r="R3437" s="4" t="s">
        <v>5900</v>
      </c>
      <c r="S3437" s="4" t="s">
        <v>5901</v>
      </c>
    </row>
    <row r="3438">
      <c r="A3438" s="4">
        <v>374.0</v>
      </c>
      <c r="B3438" s="4" t="s">
        <v>8920</v>
      </c>
      <c r="C3438" s="4"/>
      <c r="D3438" s="4" t="s">
        <v>8575</v>
      </c>
      <c r="E3438" s="4" t="s">
        <v>8576</v>
      </c>
      <c r="F3438" s="4" t="s">
        <v>383</v>
      </c>
      <c r="G3438" s="5" t="str">
        <f>IFERROR(__xludf.DUMMYFUNCTION("GOOGLETRANSLATE(D3438,""en"",""es"")"),"comida")</f>
        <v>comida</v>
      </c>
      <c r="H3438" s="4" t="s">
        <v>8575</v>
      </c>
      <c r="I3438" s="4" t="s">
        <v>8575</v>
      </c>
      <c r="J3438" s="4" t="s">
        <v>8577</v>
      </c>
    </row>
    <row r="3439">
      <c r="A3439" s="4">
        <v>375.0</v>
      </c>
      <c r="B3439" s="4" t="s">
        <v>8920</v>
      </c>
      <c r="C3439" s="4"/>
      <c r="D3439" s="4" t="s">
        <v>2972</v>
      </c>
      <c r="E3439" s="4" t="s">
        <v>3018</v>
      </c>
      <c r="F3439" s="4" t="s">
        <v>2972</v>
      </c>
      <c r="G3439" s="5" t="str">
        <f>IFERROR(__xludf.DUMMYFUNCTION("GOOGLETRANSLATE(D3439,""en"",""es"")"),"nu")</f>
        <v>nu</v>
      </c>
      <c r="H3439" s="4" t="s">
        <v>2972</v>
      </c>
    </row>
    <row r="3440">
      <c r="A3440" s="4">
        <v>376.0</v>
      </c>
      <c r="B3440" s="4" t="s">
        <v>8920</v>
      </c>
      <c r="C3440" s="4"/>
      <c r="D3440" s="4" t="s">
        <v>7032</v>
      </c>
      <c r="E3440" s="4" t="s">
        <v>7033</v>
      </c>
      <c r="F3440" s="4" t="s">
        <v>7032</v>
      </c>
      <c r="G3440" s="5" t="str">
        <f>IFERROR(__xludf.DUMMYFUNCTION("GOOGLETRANSLATE(D3440,""en"",""es"")"),"monja")</f>
        <v>monja</v>
      </c>
      <c r="H3440" s="4" t="s">
        <v>7032</v>
      </c>
      <c r="I3440" s="4" t="s">
        <v>7034</v>
      </c>
      <c r="J3440" s="4" t="s">
        <v>7032</v>
      </c>
      <c r="K3440" s="4" t="s">
        <v>7035</v>
      </c>
      <c r="L3440" s="4" t="s">
        <v>7032</v>
      </c>
    </row>
    <row r="3441">
      <c r="A3441" s="4">
        <v>377.0</v>
      </c>
      <c r="B3441" s="4" t="s">
        <v>8920</v>
      </c>
      <c r="C3441" s="4"/>
      <c r="D3441" s="4" t="s">
        <v>7036</v>
      </c>
      <c r="E3441" s="4" t="s">
        <v>6989</v>
      </c>
      <c r="F3441" s="4" t="s">
        <v>6988</v>
      </c>
      <c r="G3441" s="5" t="str">
        <f>IFERROR(__xludf.DUMMYFUNCTION("GOOGLETRANSLATE(D3441,""en"",""es"")"),"nym")</f>
        <v>nym</v>
      </c>
    </row>
    <row r="3442">
      <c r="A3442" s="4">
        <v>378.0</v>
      </c>
      <c r="B3442" s="4" t="s">
        <v>8920</v>
      </c>
      <c r="C3442" s="4"/>
      <c r="D3442" s="4" t="s">
        <v>8578</v>
      </c>
      <c r="E3442" s="4" t="s">
        <v>8039</v>
      </c>
      <c r="F3442" s="4" t="s">
        <v>816</v>
      </c>
      <c r="G3442" s="5" t="str">
        <f>IFERROR(__xludf.DUMMYFUNCTION("GOOGLETRANSLATE(D3442,""en"",""es"")"),"oche")</f>
        <v>oche</v>
      </c>
    </row>
    <row r="3443">
      <c r="A3443" s="4">
        <v>379.0</v>
      </c>
      <c r="B3443" s="4" t="s">
        <v>8920</v>
      </c>
      <c r="C3443" s="4"/>
      <c r="D3443" s="4" t="s">
        <v>7039</v>
      </c>
      <c r="E3443" s="4" t="s">
        <v>7040</v>
      </c>
      <c r="F3443" s="4" t="s">
        <v>7041</v>
      </c>
      <c r="G3443" s="5" t="str">
        <f>IFERROR(__xludf.DUMMYFUNCTION("GOOGLETRANSLATE(D3443,""en"",""es"")"),"oop")</f>
        <v>oop</v>
      </c>
    </row>
    <row r="3444">
      <c r="A3444" s="4">
        <v>380.0</v>
      </c>
      <c r="B3444" s="4" t="s">
        <v>8920</v>
      </c>
      <c r="C3444" s="4"/>
      <c r="D3444" s="4" t="s">
        <v>8579</v>
      </c>
      <c r="E3444" s="4" t="s">
        <v>4669</v>
      </c>
      <c r="F3444" s="4" t="s">
        <v>4668</v>
      </c>
      <c r="G3444" s="5" t="str">
        <f>IFERROR(__xludf.DUMMYFUNCTION("GOOGLETRANSLATE(D3444,""en"",""es"")"),"oos")</f>
        <v>oos</v>
      </c>
    </row>
    <row r="3445">
      <c r="A3445" s="4">
        <v>381.0</v>
      </c>
      <c r="B3445" s="4" t="s">
        <v>8920</v>
      </c>
      <c r="C3445" s="4"/>
      <c r="D3445" s="4" t="s">
        <v>8580</v>
      </c>
      <c r="E3445" s="4" t="s">
        <v>8581</v>
      </c>
      <c r="F3445" s="4" t="s">
        <v>295</v>
      </c>
      <c r="G3445" s="5" t="str">
        <f>IFERROR(__xludf.DUMMYFUNCTION("GOOGLETRANSLATE(D3445,""en"",""es"")"),"OS")</f>
        <v>OS</v>
      </c>
      <c r="H3445" s="4" t="s">
        <v>8580</v>
      </c>
      <c r="I3445" s="4" t="s">
        <v>8582</v>
      </c>
      <c r="J3445" s="4" t="s">
        <v>8583</v>
      </c>
      <c r="K3445" s="4" t="s">
        <v>8584</v>
      </c>
      <c r="L3445" s="4" t="s">
        <v>8585</v>
      </c>
      <c r="M3445" s="4" t="s">
        <v>8586</v>
      </c>
      <c r="N3445" s="4" t="s">
        <v>8587</v>
      </c>
      <c r="O3445" s="4" t="s">
        <v>8586</v>
      </c>
      <c r="P3445" s="4" t="s">
        <v>8588</v>
      </c>
      <c r="Q3445" s="4" t="s">
        <v>8580</v>
      </c>
      <c r="R3445" s="4" t="s">
        <v>8589</v>
      </c>
      <c r="S3445" s="4" t="s">
        <v>8590</v>
      </c>
      <c r="T3445" s="4" t="s">
        <v>8591</v>
      </c>
      <c r="U3445" s="4" t="s">
        <v>8590</v>
      </c>
      <c r="V3445" s="4" t="s">
        <v>8592</v>
      </c>
      <c r="W3445" s="4" t="s">
        <v>8590</v>
      </c>
      <c r="X3445" s="4" t="s">
        <v>8593</v>
      </c>
      <c r="Y3445" s="4" t="s">
        <v>8594</v>
      </c>
    </row>
    <row r="3446">
      <c r="A3446" s="4">
        <v>382.0</v>
      </c>
      <c r="B3446" s="4" t="s">
        <v>8920</v>
      </c>
      <c r="C3446" s="4"/>
      <c r="D3446" s="4" t="s">
        <v>2543</v>
      </c>
      <c r="E3446" s="4" t="s">
        <v>7042</v>
      </c>
      <c r="F3446" s="4" t="s">
        <v>392</v>
      </c>
      <c r="G3446" s="5" t="str">
        <f>IFERROR(__xludf.DUMMYFUNCTION("GOOGLETRANSLATE(D3446,""en"",""es"")"),"paquete")</f>
        <v>paquete</v>
      </c>
      <c r="H3446" s="4" t="s">
        <v>2540</v>
      </c>
      <c r="I3446" s="4" t="s">
        <v>2541</v>
      </c>
      <c r="J3446" s="4" t="s">
        <v>2532</v>
      </c>
      <c r="K3446" s="4" t="s">
        <v>2542</v>
      </c>
      <c r="L3446" s="4" t="s">
        <v>2543</v>
      </c>
      <c r="M3446" s="4" t="s">
        <v>2543</v>
      </c>
      <c r="N3446" s="4" t="s">
        <v>2543</v>
      </c>
      <c r="O3446" s="4" t="s">
        <v>7043</v>
      </c>
      <c r="P3446" s="4" t="s">
        <v>2543</v>
      </c>
      <c r="Q3446" s="4" t="s">
        <v>4080</v>
      </c>
      <c r="R3446" s="4" t="s">
        <v>7044</v>
      </c>
      <c r="S3446" s="4" t="s">
        <v>4385</v>
      </c>
      <c r="T3446" s="4" t="s">
        <v>4386</v>
      </c>
      <c r="U3446" s="4" t="s">
        <v>4387</v>
      </c>
      <c r="V3446" s="4" t="s">
        <v>4388</v>
      </c>
      <c r="W3446" s="4" t="s">
        <v>2543</v>
      </c>
      <c r="X3446" s="4" t="s">
        <v>1058</v>
      </c>
      <c r="Y3446" s="4" t="s">
        <v>2543</v>
      </c>
      <c r="Z3446" s="4" t="s">
        <v>2543</v>
      </c>
      <c r="AA3446" s="4" t="s">
        <v>7045</v>
      </c>
      <c r="AB3446" s="4" t="s">
        <v>2543</v>
      </c>
      <c r="AC3446" s="4" t="s">
        <v>2543</v>
      </c>
      <c r="AD3446" s="4" t="s">
        <v>2543</v>
      </c>
      <c r="AE3446" s="4" t="s">
        <v>2543</v>
      </c>
      <c r="AF3446" s="4" t="s">
        <v>2543</v>
      </c>
      <c r="AG3446" s="4" t="s">
        <v>7046</v>
      </c>
      <c r="AH3446" s="4" t="s">
        <v>780</v>
      </c>
      <c r="AI3446" s="4" t="s">
        <v>7047</v>
      </c>
      <c r="AJ3446" s="4" t="s">
        <v>2543</v>
      </c>
      <c r="AK3446" s="4" t="s">
        <v>2543</v>
      </c>
      <c r="AL3446" s="4" t="s">
        <v>7048</v>
      </c>
      <c r="AM3446" s="4" t="s">
        <v>2543</v>
      </c>
      <c r="AN3446" s="4" t="s">
        <v>887</v>
      </c>
      <c r="AO3446" s="4" t="s">
        <v>2537</v>
      </c>
      <c r="AP3446" s="4" t="s">
        <v>7044</v>
      </c>
      <c r="AQ3446" s="4" t="s">
        <v>2543</v>
      </c>
      <c r="AR3446" s="4" t="s">
        <v>483</v>
      </c>
      <c r="AS3446" s="4" t="s">
        <v>775</v>
      </c>
      <c r="AT3446" s="4" t="s">
        <v>7049</v>
      </c>
      <c r="AU3446" s="4" t="s">
        <v>2543</v>
      </c>
      <c r="AV3446" s="4" t="s">
        <v>3517</v>
      </c>
      <c r="AW3446" s="4" t="s">
        <v>3518</v>
      </c>
      <c r="AX3446" s="4" t="s">
        <v>2543</v>
      </c>
      <c r="AY3446" s="4" t="s">
        <v>2543</v>
      </c>
      <c r="AZ3446" s="4" t="s">
        <v>7047</v>
      </c>
      <c r="BA3446" s="4" t="s">
        <v>2543</v>
      </c>
      <c r="BB3446" s="4" t="s">
        <v>2543</v>
      </c>
      <c r="BC3446" s="4" t="s">
        <v>7050</v>
      </c>
      <c r="BD3446" s="4" t="s">
        <v>2543</v>
      </c>
    </row>
    <row r="3447">
      <c r="A3447" s="4">
        <v>383.0</v>
      </c>
      <c r="B3447" s="4" t="s">
        <v>8920</v>
      </c>
      <c r="C3447" s="4"/>
      <c r="D3447" s="4" t="s">
        <v>7051</v>
      </c>
      <c r="E3447" s="4" t="s">
        <v>7052</v>
      </c>
      <c r="F3447" s="4" t="s">
        <v>7051</v>
      </c>
      <c r="G3447" s="5" t="str">
        <f>IFERROR(__xludf.DUMMYFUNCTION("GOOGLETRANSLATE(D3447,""en"",""es"")"),"paquistaní")</f>
        <v>paquistaní</v>
      </c>
    </row>
    <row r="3448">
      <c r="A3448" s="4">
        <v>384.0</v>
      </c>
      <c r="B3448" s="4" t="s">
        <v>8920</v>
      </c>
      <c r="C3448" s="4"/>
      <c r="D3448" s="4" t="s">
        <v>3161</v>
      </c>
      <c r="E3448" s="4" t="s">
        <v>8595</v>
      </c>
      <c r="F3448" s="4" t="s">
        <v>3161</v>
      </c>
      <c r="G3448" s="5" t="str">
        <f>IFERROR(__xludf.DUMMYFUNCTION("GOOGLETRANSLATE(D3448,""en"",""es"")"),"camarada")</f>
        <v>camarada</v>
      </c>
      <c r="H3448" s="4" t="s">
        <v>7053</v>
      </c>
      <c r="I3448" s="4" t="s">
        <v>7054</v>
      </c>
      <c r="J3448" s="4" t="s">
        <v>7055</v>
      </c>
      <c r="K3448" s="4" t="s">
        <v>7056</v>
      </c>
      <c r="L3448" s="4" t="s">
        <v>3161</v>
      </c>
      <c r="M3448" s="4" t="s">
        <v>7057</v>
      </c>
      <c r="N3448" s="4" t="s">
        <v>3161</v>
      </c>
      <c r="O3448" s="4" t="s">
        <v>7058</v>
      </c>
      <c r="P3448" s="4" t="s">
        <v>7059</v>
      </c>
    </row>
    <row r="3449">
      <c r="A3449" s="4">
        <v>385.0</v>
      </c>
      <c r="B3449" s="4" t="s">
        <v>8920</v>
      </c>
      <c r="C3449" s="4"/>
      <c r="D3449" s="4" t="s">
        <v>7060</v>
      </c>
      <c r="E3449" s="4" t="s">
        <v>7061</v>
      </c>
      <c r="F3449" s="4" t="s">
        <v>7062</v>
      </c>
      <c r="G3449" s="5" t="str">
        <f>IFERROR(__xludf.DUMMYFUNCTION("GOOGLETRANSLATE(D3449,""en"",""es"")"),"palacio")</f>
        <v>palacio</v>
      </c>
      <c r="H3449" s="4" t="s">
        <v>7060</v>
      </c>
      <c r="I3449" s="4" t="s">
        <v>7063</v>
      </c>
      <c r="J3449" s="4" t="s">
        <v>7060</v>
      </c>
      <c r="K3449" s="4" t="s">
        <v>7060</v>
      </c>
      <c r="L3449" s="4" t="s">
        <v>7060</v>
      </c>
    </row>
    <row r="3450">
      <c r="A3450" s="4">
        <v>386.0</v>
      </c>
      <c r="B3450" s="4" t="s">
        <v>8920</v>
      </c>
      <c r="C3450" s="4"/>
      <c r="D3450" s="4" t="s">
        <v>8596</v>
      </c>
      <c r="E3450" s="4" t="s">
        <v>8597</v>
      </c>
      <c r="F3450" s="4" t="s">
        <v>3161</v>
      </c>
      <c r="G3450" s="5" t="str">
        <f>IFERROR(__xludf.DUMMYFUNCTION("GOOGLETRANSLATE(D3450,""en"",""es"")"),"féretro")</f>
        <v>féretro</v>
      </c>
      <c r="H3450" s="4" t="s">
        <v>8598</v>
      </c>
      <c r="I3450" s="4" t="s">
        <v>8596</v>
      </c>
      <c r="J3450" s="4" t="s">
        <v>8596</v>
      </c>
      <c r="K3450" s="4" t="s">
        <v>7677</v>
      </c>
      <c r="L3450" s="4" t="s">
        <v>8599</v>
      </c>
      <c r="M3450" s="4" t="s">
        <v>8600</v>
      </c>
      <c r="N3450" s="4" t="s">
        <v>8601</v>
      </c>
      <c r="O3450" s="4" t="s">
        <v>8602</v>
      </c>
      <c r="P3450" s="4" t="s">
        <v>8603</v>
      </c>
      <c r="Q3450" s="4" t="s">
        <v>8604</v>
      </c>
      <c r="R3450" s="4" t="s">
        <v>1243</v>
      </c>
      <c r="S3450" s="4" t="s">
        <v>8596</v>
      </c>
      <c r="T3450" s="4" t="s">
        <v>8596</v>
      </c>
      <c r="U3450" s="4" t="s">
        <v>3225</v>
      </c>
      <c r="V3450" s="4" t="s">
        <v>8605</v>
      </c>
      <c r="W3450" s="4" t="s">
        <v>8606</v>
      </c>
      <c r="X3450" s="4" t="s">
        <v>8607</v>
      </c>
      <c r="Y3450" s="4" t="s">
        <v>8596</v>
      </c>
      <c r="Z3450" s="4" t="s">
        <v>8608</v>
      </c>
      <c r="AA3450" s="4" t="s">
        <v>8609</v>
      </c>
      <c r="AB3450" s="4" t="s">
        <v>8610</v>
      </c>
      <c r="AC3450" s="4" t="s">
        <v>3794</v>
      </c>
      <c r="AD3450" s="4" t="s">
        <v>8596</v>
      </c>
      <c r="AE3450" s="4" t="s">
        <v>8611</v>
      </c>
      <c r="AF3450" s="4" t="s">
        <v>8596</v>
      </c>
      <c r="AG3450" s="4" t="s">
        <v>8596</v>
      </c>
      <c r="AH3450" s="4" t="s">
        <v>2756</v>
      </c>
      <c r="AI3450" s="4" t="s">
        <v>8596</v>
      </c>
      <c r="AJ3450" s="4" t="s">
        <v>8612</v>
      </c>
      <c r="AK3450" s="4" t="s">
        <v>8596</v>
      </c>
      <c r="AL3450" s="4" t="s">
        <v>7412</v>
      </c>
      <c r="AM3450" s="4" t="s">
        <v>8596</v>
      </c>
      <c r="AN3450" s="4" t="s">
        <v>8613</v>
      </c>
      <c r="AO3450" s="4" t="s">
        <v>8614</v>
      </c>
      <c r="AP3450" s="4" t="s">
        <v>6138</v>
      </c>
    </row>
    <row r="3451">
      <c r="A3451" s="4">
        <v>387.0</v>
      </c>
      <c r="B3451" s="4" t="s">
        <v>8920</v>
      </c>
      <c r="C3451" s="4"/>
      <c r="D3451" s="4" t="s">
        <v>8615</v>
      </c>
      <c r="E3451" s="4" t="s">
        <v>8616</v>
      </c>
      <c r="F3451" s="4" t="s">
        <v>3257</v>
      </c>
      <c r="G3451" s="5" t="str">
        <f>IFERROR(__xludf.DUMMYFUNCTION("GOOGLETRANSLATE(D3451,""en"",""es"")"),"palmera")</f>
        <v>palmera</v>
      </c>
      <c r="H3451" s="4" t="s">
        <v>8615</v>
      </c>
      <c r="I3451" s="4" t="s">
        <v>8617</v>
      </c>
      <c r="J3451" s="4" t="s">
        <v>8615</v>
      </c>
      <c r="K3451" s="4" t="s">
        <v>8615</v>
      </c>
      <c r="L3451" s="4" t="s">
        <v>8618</v>
      </c>
      <c r="M3451" s="4" t="s">
        <v>8619</v>
      </c>
      <c r="N3451" s="4" t="s">
        <v>8620</v>
      </c>
      <c r="O3451" s="4" t="s">
        <v>8621</v>
      </c>
      <c r="P3451" s="4" t="s">
        <v>8622</v>
      </c>
      <c r="Q3451" s="4" t="s">
        <v>8615</v>
      </c>
      <c r="R3451" s="4" t="s">
        <v>8623</v>
      </c>
      <c r="S3451" s="4" t="s">
        <v>2426</v>
      </c>
      <c r="T3451" s="4" t="s">
        <v>8615</v>
      </c>
    </row>
    <row r="3452">
      <c r="A3452" s="4">
        <v>388.0</v>
      </c>
      <c r="B3452" s="4" t="s">
        <v>8920</v>
      </c>
      <c r="C3452" s="4"/>
      <c r="D3452" s="4" t="s">
        <v>3257</v>
      </c>
      <c r="E3452" s="4" t="s">
        <v>7068</v>
      </c>
      <c r="F3452" s="4" t="s">
        <v>3257</v>
      </c>
      <c r="G3452" s="5" t="str">
        <f>IFERROR(__xludf.DUMMYFUNCTION("GOOGLETRANSLATE(D3452,""en"",""es"")"),"pam")</f>
        <v>pam</v>
      </c>
    </row>
    <row r="3453">
      <c r="A3453" s="4">
        <v>389.0</v>
      </c>
      <c r="B3453" s="4" t="s">
        <v>8920</v>
      </c>
      <c r="C3453" s="4"/>
      <c r="D3453" s="4" t="s">
        <v>7069</v>
      </c>
      <c r="E3453" s="4" t="s">
        <v>7070</v>
      </c>
      <c r="F3453" s="4" t="s">
        <v>7069</v>
      </c>
      <c r="G3453" s="5" t="str">
        <f>IFERROR(__xludf.DUMMYFUNCTION("GOOGLETRANSLATE(D3453,""en"",""es"")"),"sartén")</f>
        <v>sartén</v>
      </c>
      <c r="H3453" s="4" t="s">
        <v>7069</v>
      </c>
      <c r="I3453" s="4" t="s">
        <v>7071</v>
      </c>
      <c r="J3453" s="4" t="s">
        <v>7072</v>
      </c>
      <c r="K3453" s="4" t="s">
        <v>7073</v>
      </c>
      <c r="L3453" s="4" t="s">
        <v>7069</v>
      </c>
      <c r="M3453" s="4" t="s">
        <v>7072</v>
      </c>
      <c r="N3453" s="4" t="s">
        <v>7074</v>
      </c>
      <c r="O3453" s="4" t="s">
        <v>7069</v>
      </c>
      <c r="P3453" s="4" t="s">
        <v>7069</v>
      </c>
      <c r="Q3453" s="4" t="s">
        <v>7075</v>
      </c>
      <c r="R3453" s="4" t="s">
        <v>7076</v>
      </c>
      <c r="S3453" s="4" t="s">
        <v>7069</v>
      </c>
      <c r="T3453" s="4" t="s">
        <v>7077</v>
      </c>
      <c r="U3453" s="4" t="s">
        <v>3192</v>
      </c>
    </row>
    <row r="3454">
      <c r="A3454" s="4">
        <v>390.0</v>
      </c>
      <c r="B3454" s="4" t="s">
        <v>8920</v>
      </c>
      <c r="C3454" s="4"/>
      <c r="D3454" s="4" t="s">
        <v>3791</v>
      </c>
      <c r="E3454" s="4" t="s">
        <v>7078</v>
      </c>
      <c r="F3454" s="4" t="s">
        <v>3790</v>
      </c>
      <c r="G3454" s="5" t="str">
        <f>IFERROR(__xludf.DUMMYFUNCTION("GOOGLETRANSLATE(D3454,""en"",""es"")"),"pánico")</f>
        <v>pánico</v>
      </c>
      <c r="H3454" s="4" t="s">
        <v>3791</v>
      </c>
      <c r="I3454" s="4" t="s">
        <v>3792</v>
      </c>
      <c r="J3454" s="4" t="s">
        <v>3793</v>
      </c>
      <c r="K3454" s="4" t="s">
        <v>3791</v>
      </c>
      <c r="L3454" s="4" t="s">
        <v>3794</v>
      </c>
      <c r="M3454" s="4" t="s">
        <v>3791</v>
      </c>
      <c r="N3454" s="4" t="s">
        <v>3791</v>
      </c>
    </row>
    <row r="3455">
      <c r="A3455" s="4">
        <v>391.0</v>
      </c>
      <c r="B3455" s="4" t="s">
        <v>8920</v>
      </c>
      <c r="C3455" s="4"/>
      <c r="D3455" s="4" t="s">
        <v>7079</v>
      </c>
      <c r="E3455" s="4" t="s">
        <v>7080</v>
      </c>
      <c r="F3455" s="4" t="s">
        <v>7081</v>
      </c>
      <c r="G3455" s="5" t="str">
        <f>IFERROR(__xludf.DUMMYFUNCTION("GOOGLETRANSLATE(D3455,""en"",""es"")"),"lleno de pánico")</f>
        <v>lleno de pánico</v>
      </c>
      <c r="H3455" s="4" t="s">
        <v>7079</v>
      </c>
      <c r="I3455" s="4" t="s">
        <v>7082</v>
      </c>
      <c r="J3455" s="4" t="s">
        <v>7083</v>
      </c>
      <c r="K3455" s="4" t="s">
        <v>7084</v>
      </c>
      <c r="L3455" s="4" t="s">
        <v>7085</v>
      </c>
      <c r="M3455" s="4" t="s">
        <v>7086</v>
      </c>
    </row>
    <row r="3456">
      <c r="A3456" s="4">
        <v>392.0</v>
      </c>
      <c r="B3456" s="4" t="s">
        <v>8920</v>
      </c>
      <c r="C3456" s="4"/>
      <c r="D3456" s="4" t="s">
        <v>7087</v>
      </c>
      <c r="E3456" s="4" t="s">
        <v>7070</v>
      </c>
      <c r="F3456" s="4" t="s">
        <v>7069</v>
      </c>
      <c r="G3456" s="5" t="str">
        <f>IFERROR(__xludf.DUMMYFUNCTION("GOOGLETRANSLATE(D3456,""en"",""es"")"),"pana")</f>
        <v>pana</v>
      </c>
    </row>
    <row r="3457">
      <c r="A3457" s="4">
        <v>393.0</v>
      </c>
      <c r="B3457" s="4" t="s">
        <v>8920</v>
      </c>
      <c r="C3457" s="4"/>
      <c r="D3457" s="4" t="s">
        <v>7088</v>
      </c>
      <c r="E3457" s="4" t="s">
        <v>7089</v>
      </c>
      <c r="F3457" s="4" t="s">
        <v>7088</v>
      </c>
      <c r="G3457" s="5" t="str">
        <f>IFERROR(__xludf.DUMMYFUNCTION("GOOGLETRANSLATE(D3457,""en"",""es"")"),"papilla")</f>
        <v>papilla</v>
      </c>
      <c r="H3457" s="4" t="s">
        <v>7088</v>
      </c>
      <c r="I3457" s="4" t="s">
        <v>7090</v>
      </c>
      <c r="J3457" s="4" t="s">
        <v>7091</v>
      </c>
      <c r="K3457" s="4" t="s">
        <v>7088</v>
      </c>
      <c r="L3457" s="4" t="s">
        <v>7092</v>
      </c>
      <c r="M3457" s="4" t="s">
        <v>7093</v>
      </c>
      <c r="N3457" s="4" t="s">
        <v>7094</v>
      </c>
      <c r="O3457" s="4" t="s">
        <v>7095</v>
      </c>
      <c r="P3457" s="4" t="s">
        <v>7088</v>
      </c>
      <c r="Q3457" s="4" t="s">
        <v>7096</v>
      </c>
      <c r="R3457" s="4" t="s">
        <v>7097</v>
      </c>
    </row>
    <row r="3458">
      <c r="A3458" s="4">
        <v>394.0</v>
      </c>
      <c r="B3458" s="4" t="s">
        <v>8920</v>
      </c>
      <c r="C3458" s="4"/>
      <c r="D3458" s="4" t="s">
        <v>7098</v>
      </c>
      <c r="E3458" s="4" t="s">
        <v>7099</v>
      </c>
      <c r="F3458" s="4" t="s">
        <v>7100</v>
      </c>
      <c r="G3458" s="5" t="str">
        <f>IFERROR(__xludf.DUMMYFUNCTION("GOOGLETRANSLATE(D3458,""en"",""es"")"),"papá")</f>
        <v>papá</v>
      </c>
    </row>
    <row r="3459">
      <c r="A3459" s="4">
        <v>395.0</v>
      </c>
      <c r="B3459" s="4" t="s">
        <v>8920</v>
      </c>
      <c r="C3459" s="4"/>
      <c r="D3459" s="4" t="s">
        <v>7101</v>
      </c>
      <c r="E3459" s="4" t="s">
        <v>7102</v>
      </c>
      <c r="F3459" s="4" t="s">
        <v>7101</v>
      </c>
      <c r="G3459" s="5" t="str">
        <f>IFERROR(__xludf.DUMMYFUNCTION("GOOGLETRANSLATE(D3459,""en"",""es"")"),"pash")</f>
        <v>pash</v>
      </c>
    </row>
    <row r="3460">
      <c r="A3460" s="4">
        <v>396.0</v>
      </c>
      <c r="B3460" s="4" t="s">
        <v>8920</v>
      </c>
      <c r="C3460" s="4"/>
      <c r="D3460" s="4" t="s">
        <v>647</v>
      </c>
      <c r="E3460" s="4" t="s">
        <v>7103</v>
      </c>
      <c r="F3460" s="4" t="s">
        <v>3361</v>
      </c>
      <c r="G3460" s="5" t="str">
        <f>IFERROR(__xludf.DUMMYFUNCTION("GOOGLETRANSLATE(D3460,""en"",""es"")"),"pasar")</f>
        <v>pasar</v>
      </c>
      <c r="H3460" s="4" t="s">
        <v>7104</v>
      </c>
      <c r="I3460" s="4" t="s">
        <v>1056</v>
      </c>
      <c r="J3460" s="4" t="s">
        <v>647</v>
      </c>
      <c r="K3460" s="4" t="s">
        <v>647</v>
      </c>
      <c r="L3460" s="4" t="s">
        <v>647</v>
      </c>
      <c r="M3460" s="4" t="s">
        <v>7105</v>
      </c>
      <c r="N3460" s="4" t="s">
        <v>7106</v>
      </c>
      <c r="O3460" s="4" t="s">
        <v>3369</v>
      </c>
      <c r="P3460" s="4" t="s">
        <v>647</v>
      </c>
      <c r="Q3460" s="4" t="s">
        <v>3382</v>
      </c>
      <c r="R3460" s="4" t="s">
        <v>3383</v>
      </c>
      <c r="S3460" s="4" t="s">
        <v>647</v>
      </c>
      <c r="T3460" s="4" t="s">
        <v>7107</v>
      </c>
      <c r="U3460" s="4" t="s">
        <v>647</v>
      </c>
      <c r="V3460" s="4" t="s">
        <v>7108</v>
      </c>
      <c r="W3460" s="4" t="s">
        <v>647</v>
      </c>
      <c r="X3460" s="4" t="s">
        <v>647</v>
      </c>
      <c r="Y3460" s="4" t="s">
        <v>7109</v>
      </c>
      <c r="Z3460" s="4" t="s">
        <v>7110</v>
      </c>
      <c r="AA3460" s="4" t="s">
        <v>647</v>
      </c>
      <c r="AB3460" s="4" t="s">
        <v>1209</v>
      </c>
      <c r="AC3460" s="4" t="s">
        <v>7110</v>
      </c>
      <c r="AD3460" s="4" t="s">
        <v>647</v>
      </c>
      <c r="AE3460" s="4" t="s">
        <v>7111</v>
      </c>
      <c r="AF3460" s="4" t="s">
        <v>647</v>
      </c>
      <c r="AG3460" s="4" t="s">
        <v>647</v>
      </c>
      <c r="AH3460" s="4" t="s">
        <v>7112</v>
      </c>
      <c r="AI3460" s="4" t="s">
        <v>647</v>
      </c>
      <c r="AJ3460" s="4" t="s">
        <v>7113</v>
      </c>
      <c r="AK3460" s="4" t="s">
        <v>7114</v>
      </c>
      <c r="AL3460" s="4" t="s">
        <v>637</v>
      </c>
      <c r="AM3460" s="4" t="s">
        <v>647</v>
      </c>
      <c r="AN3460" s="4" t="s">
        <v>7115</v>
      </c>
      <c r="AO3460" s="4" t="s">
        <v>7116</v>
      </c>
      <c r="AP3460" s="4" t="s">
        <v>647</v>
      </c>
      <c r="AQ3460" s="4" t="s">
        <v>4447</v>
      </c>
      <c r="AR3460" s="4" t="s">
        <v>4431</v>
      </c>
      <c r="AS3460" s="4" t="s">
        <v>3369</v>
      </c>
      <c r="AT3460" s="4" t="s">
        <v>647</v>
      </c>
      <c r="AU3460" s="4" t="s">
        <v>7117</v>
      </c>
      <c r="AV3460" s="4" t="s">
        <v>3361</v>
      </c>
      <c r="AW3460" s="4" t="s">
        <v>647</v>
      </c>
      <c r="AX3460" s="4" t="s">
        <v>7118</v>
      </c>
      <c r="AY3460" s="4" t="s">
        <v>7119</v>
      </c>
      <c r="AZ3460" s="4" t="s">
        <v>3417</v>
      </c>
      <c r="BA3460" s="4" t="s">
        <v>3418</v>
      </c>
      <c r="BB3460" s="4" t="s">
        <v>3419</v>
      </c>
      <c r="BC3460" s="4" t="s">
        <v>3420</v>
      </c>
      <c r="BD3460" s="4" t="s">
        <v>3421</v>
      </c>
      <c r="BE3460" s="4" t="s">
        <v>647</v>
      </c>
      <c r="BF3460" s="4" t="s">
        <v>7120</v>
      </c>
      <c r="BG3460" s="4" t="s">
        <v>647</v>
      </c>
      <c r="BH3460" s="4" t="s">
        <v>7121</v>
      </c>
      <c r="BI3460" s="4" t="s">
        <v>3416</v>
      </c>
      <c r="BJ3460" s="4" t="s">
        <v>647</v>
      </c>
      <c r="BK3460" s="4" t="s">
        <v>7122</v>
      </c>
      <c r="BL3460" s="4" t="s">
        <v>7123</v>
      </c>
      <c r="BM3460" s="4" t="s">
        <v>7124</v>
      </c>
      <c r="BN3460" s="4" t="s">
        <v>3421</v>
      </c>
      <c r="BO3460" s="4" t="s">
        <v>7125</v>
      </c>
      <c r="BP3460" s="4" t="s">
        <v>7126</v>
      </c>
      <c r="BQ3460" s="4" t="s">
        <v>647</v>
      </c>
      <c r="BR3460" s="4" t="s">
        <v>2858</v>
      </c>
      <c r="BS3460" s="4" t="s">
        <v>3423</v>
      </c>
      <c r="BT3460" s="4" t="s">
        <v>1496</v>
      </c>
      <c r="BU3460" s="4" t="s">
        <v>3424</v>
      </c>
      <c r="BV3460" s="4" t="s">
        <v>1503</v>
      </c>
      <c r="BW3460" s="4" t="s">
        <v>646</v>
      </c>
      <c r="BX3460" s="4" t="s">
        <v>637</v>
      </c>
      <c r="BY3460" s="4" t="s">
        <v>647</v>
      </c>
      <c r="BZ3460" s="4" t="s">
        <v>648</v>
      </c>
      <c r="CA3460" s="4" t="s">
        <v>649</v>
      </c>
      <c r="CB3460" s="4" t="s">
        <v>647</v>
      </c>
      <c r="CC3460" s="4" t="s">
        <v>7127</v>
      </c>
      <c r="CD3460" s="4" t="s">
        <v>7128</v>
      </c>
      <c r="CE3460" s="4" t="s">
        <v>3398</v>
      </c>
      <c r="CF3460" s="4" t="s">
        <v>3399</v>
      </c>
      <c r="CG3460" s="4" t="s">
        <v>3400</v>
      </c>
      <c r="CH3460" s="4" t="s">
        <v>3401</v>
      </c>
      <c r="CI3460" s="4" t="s">
        <v>3402</v>
      </c>
      <c r="CJ3460" s="4" t="s">
        <v>647</v>
      </c>
      <c r="CK3460" s="4" t="s">
        <v>3403</v>
      </c>
      <c r="CL3460" s="4" t="s">
        <v>3404</v>
      </c>
      <c r="CM3460" s="4" t="s">
        <v>3405</v>
      </c>
      <c r="CN3460" s="4" t="s">
        <v>647</v>
      </c>
      <c r="CO3460" s="4" t="s">
        <v>2682</v>
      </c>
      <c r="CP3460" s="4" t="s">
        <v>3425</v>
      </c>
      <c r="CQ3460" s="4" t="s">
        <v>647</v>
      </c>
      <c r="CR3460" s="4" t="s">
        <v>3413</v>
      </c>
      <c r="CS3460" s="4" t="s">
        <v>646</v>
      </c>
      <c r="CT3460" s="4" t="s">
        <v>3414</v>
      </c>
      <c r="CU3460" s="4" t="s">
        <v>647</v>
      </c>
      <c r="CV3460" s="4" t="s">
        <v>1494</v>
      </c>
      <c r="CW3460" s="4" t="s">
        <v>1496</v>
      </c>
      <c r="CX3460" s="4" t="s">
        <v>647</v>
      </c>
      <c r="CY3460" s="4" t="s">
        <v>1497</v>
      </c>
      <c r="CZ3460" s="4" t="s">
        <v>1498</v>
      </c>
      <c r="DA3460" s="4" t="s">
        <v>7129</v>
      </c>
      <c r="DB3460" s="4" t="s">
        <v>7130</v>
      </c>
      <c r="DC3460" s="4" t="s">
        <v>7131</v>
      </c>
      <c r="DD3460" s="4" t="s">
        <v>3401</v>
      </c>
      <c r="DE3460" s="4" t="s">
        <v>7132</v>
      </c>
      <c r="DF3460" s="4" t="s">
        <v>647</v>
      </c>
      <c r="DG3460" s="4" t="s">
        <v>647</v>
      </c>
      <c r="DH3460" s="4" t="s">
        <v>7133</v>
      </c>
      <c r="DI3460" s="4" t="s">
        <v>7134</v>
      </c>
      <c r="DJ3460" s="4" t="s">
        <v>7135</v>
      </c>
      <c r="DK3460" s="4" t="s">
        <v>7136</v>
      </c>
      <c r="DL3460" s="4" t="s">
        <v>647</v>
      </c>
      <c r="DM3460" s="4" t="s">
        <v>3420</v>
      </c>
      <c r="DN3460" s="4" t="s">
        <v>1403</v>
      </c>
      <c r="DO3460" s="4" t="s">
        <v>647</v>
      </c>
      <c r="DP3460" s="4" t="s">
        <v>647</v>
      </c>
      <c r="DQ3460" s="4" t="s">
        <v>647</v>
      </c>
      <c r="DR3460" s="4" t="s">
        <v>3415</v>
      </c>
      <c r="DS3460" s="4" t="s">
        <v>647</v>
      </c>
      <c r="DT3460" s="4" t="s">
        <v>3416</v>
      </c>
      <c r="DU3460" s="4" t="s">
        <v>647</v>
      </c>
      <c r="DV3460" s="4" t="s">
        <v>4502</v>
      </c>
      <c r="DW3460" s="4" t="s">
        <v>7137</v>
      </c>
      <c r="DX3460" s="4" t="s">
        <v>647</v>
      </c>
      <c r="DY3460" s="4" t="s">
        <v>7138</v>
      </c>
      <c r="DZ3460" s="4" t="s">
        <v>647</v>
      </c>
      <c r="EA3460" s="4" t="s">
        <v>3422</v>
      </c>
      <c r="EB3460" s="4" t="s">
        <v>7139</v>
      </c>
      <c r="EC3460" s="4" t="s">
        <v>7140</v>
      </c>
      <c r="ED3460" s="4" t="s">
        <v>647</v>
      </c>
      <c r="EE3460" s="4" t="s">
        <v>2682</v>
      </c>
      <c r="EF3460" s="4" t="s">
        <v>2756</v>
      </c>
      <c r="EG3460" s="4" t="s">
        <v>2762</v>
      </c>
      <c r="EH3460" s="4" t="s">
        <v>2763</v>
      </c>
      <c r="EI3460" s="4" t="s">
        <v>637</v>
      </c>
      <c r="EJ3460" s="4" t="s">
        <v>2764</v>
      </c>
      <c r="EK3460" s="4" t="s">
        <v>2765</v>
      </c>
      <c r="EL3460" s="4" t="s">
        <v>2766</v>
      </c>
      <c r="EM3460" s="4" t="s">
        <v>647</v>
      </c>
      <c r="EN3460" s="4" t="s">
        <v>2767</v>
      </c>
      <c r="EO3460" s="4" t="s">
        <v>2768</v>
      </c>
      <c r="EP3460" s="4" t="s">
        <v>2769</v>
      </c>
      <c r="EQ3460" s="4" t="s">
        <v>2770</v>
      </c>
      <c r="ER3460" s="4" t="s">
        <v>2771</v>
      </c>
      <c r="ES3460" s="4" t="s">
        <v>2772</v>
      </c>
      <c r="ET3460" s="4" t="s">
        <v>2773</v>
      </c>
      <c r="EU3460" s="4" t="s">
        <v>2774</v>
      </c>
      <c r="EV3460" s="4" t="s">
        <v>2775</v>
      </c>
      <c r="EW3460" s="4" t="s">
        <v>2776</v>
      </c>
      <c r="EX3460" s="4" t="s">
        <v>7141</v>
      </c>
      <c r="EY3460" s="4" t="s">
        <v>7142</v>
      </c>
      <c r="EZ3460" s="4" t="s">
        <v>7143</v>
      </c>
      <c r="FA3460" s="4" t="s">
        <v>647</v>
      </c>
      <c r="FB3460" s="4" t="s">
        <v>3369</v>
      </c>
      <c r="FC3460" s="4" t="s">
        <v>647</v>
      </c>
    </row>
    <row r="3461">
      <c r="A3461" s="4">
        <v>397.0</v>
      </c>
      <c r="B3461" s="4" t="s">
        <v>8920</v>
      </c>
      <c r="C3461" s="4"/>
      <c r="D3461" s="4" t="s">
        <v>7144</v>
      </c>
      <c r="E3461" s="4" t="s">
        <v>7145</v>
      </c>
      <c r="F3461" s="4" t="s">
        <v>7146</v>
      </c>
      <c r="G3461" s="5" t="str">
        <f>IFERROR(__xludf.DUMMYFUNCTION("GOOGLETRANSLATE(D3461,""en"",""es"")"),"pássim")</f>
        <v>pássim</v>
      </c>
      <c r="H3461" s="4" t="s">
        <v>7144</v>
      </c>
      <c r="I3461" s="4" t="s">
        <v>7147</v>
      </c>
    </row>
    <row r="3462">
      <c r="A3462" s="4">
        <v>398.0</v>
      </c>
      <c r="B3462" s="4" t="s">
        <v>8920</v>
      </c>
      <c r="C3462" s="4"/>
      <c r="D3462" s="4" t="s">
        <v>1112</v>
      </c>
      <c r="E3462" s="4" t="s">
        <v>7148</v>
      </c>
      <c r="F3462" s="4" t="s">
        <v>1112</v>
      </c>
      <c r="G3462" s="5" t="str">
        <f>IFERROR(__xludf.DUMMYFUNCTION("GOOGLETRANSLATE(D3462,""en"",""es"")"),"sendero")</f>
        <v>sendero</v>
      </c>
      <c r="H3462" s="4" t="s">
        <v>1111</v>
      </c>
      <c r="I3462" s="4" t="s">
        <v>1112</v>
      </c>
      <c r="J3462" s="4" t="s">
        <v>1113</v>
      </c>
      <c r="K3462" s="4" t="s">
        <v>1112</v>
      </c>
      <c r="L3462" s="4" t="s">
        <v>1112</v>
      </c>
      <c r="M3462" s="4" t="s">
        <v>1117</v>
      </c>
      <c r="N3462" s="4" t="s">
        <v>1118</v>
      </c>
      <c r="O3462" s="4" t="s">
        <v>1112</v>
      </c>
      <c r="P3462" s="4" t="s">
        <v>1114</v>
      </c>
      <c r="Q3462" s="4" t="s">
        <v>1061</v>
      </c>
    </row>
    <row r="3463">
      <c r="A3463" s="4">
        <v>399.0</v>
      </c>
      <c r="B3463" s="4" t="s">
        <v>8920</v>
      </c>
      <c r="C3463" s="4"/>
      <c r="D3463" s="4" t="s">
        <v>7152</v>
      </c>
      <c r="E3463" s="4" t="s">
        <v>7153</v>
      </c>
      <c r="F3463" s="4" t="s">
        <v>3442</v>
      </c>
      <c r="G3463" s="5" t="str">
        <f>IFERROR(__xludf.DUMMYFUNCTION("GOOGLETRANSLATE(D3463,""en"",""es"")"),"empanada")</f>
        <v>empanada</v>
      </c>
      <c r="H3463" s="4" t="s">
        <v>7152</v>
      </c>
      <c r="I3463" s="4" t="s">
        <v>7154</v>
      </c>
      <c r="J3463" s="4" t="s">
        <v>7152</v>
      </c>
      <c r="K3463" s="4" t="s">
        <v>7152</v>
      </c>
    </row>
    <row r="3464">
      <c r="A3464" s="4">
        <v>400.0</v>
      </c>
      <c r="B3464" s="4" t="s">
        <v>8920</v>
      </c>
      <c r="C3464" s="4"/>
      <c r="D3464" s="4" t="s">
        <v>8624</v>
      </c>
      <c r="E3464" s="4" t="s">
        <v>8625</v>
      </c>
      <c r="F3464" s="4" t="s">
        <v>8626</v>
      </c>
      <c r="G3464" s="5" t="str">
        <f>IFERROR(__xludf.DUMMYFUNCTION("GOOGLETRANSLATE(D3464,""en"",""es"")"),"escasez")</f>
        <v>escasez</v>
      </c>
      <c r="H3464" s="4" t="s">
        <v>8627</v>
      </c>
      <c r="I3464" s="4" t="s">
        <v>8624</v>
      </c>
    </row>
    <row r="3465">
      <c r="A3465" s="4">
        <v>401.0</v>
      </c>
      <c r="B3465" s="4" t="s">
        <v>8920</v>
      </c>
      <c r="C3465" s="4"/>
      <c r="D3465" s="4" t="s">
        <v>8628</v>
      </c>
      <c r="E3465" s="4" t="s">
        <v>8629</v>
      </c>
      <c r="F3465" s="4" t="s">
        <v>251</v>
      </c>
      <c r="G3465" s="5" t="str">
        <f>IFERROR(__xludf.DUMMYFUNCTION("GOOGLETRANSLATE(D3465,""en"",""es"")"),"pavo real")</f>
        <v>pavo real</v>
      </c>
      <c r="H3465" s="4" t="s">
        <v>8628</v>
      </c>
      <c r="I3465" s="4" t="s">
        <v>8630</v>
      </c>
      <c r="J3465" s="4" t="s">
        <v>8631</v>
      </c>
      <c r="K3465" s="4" t="s">
        <v>8628</v>
      </c>
    </row>
    <row r="3466">
      <c r="A3466" s="4">
        <v>402.0</v>
      </c>
      <c r="B3466" s="4" t="s">
        <v>8920</v>
      </c>
      <c r="C3466" s="4"/>
      <c r="D3466" s="4" t="s">
        <v>8632</v>
      </c>
      <c r="E3466" s="4" t="s">
        <v>4852</v>
      </c>
      <c r="F3466" s="4" t="s">
        <v>4851</v>
      </c>
      <c r="G3466" s="5" t="str">
        <f>IFERROR(__xludf.DUMMYFUNCTION("GOOGLETRANSLATE(D3466,""en"",""es"")"),"mirar furtivamente")</f>
        <v>mirar furtivamente</v>
      </c>
      <c r="H3466" s="4" t="s">
        <v>8633</v>
      </c>
      <c r="I3466" s="4" t="s">
        <v>8632</v>
      </c>
      <c r="J3466" s="4" t="s">
        <v>8634</v>
      </c>
      <c r="K3466" s="4" t="s">
        <v>8632</v>
      </c>
      <c r="L3466" s="4" t="s">
        <v>8632</v>
      </c>
      <c r="M3466" s="4" t="s">
        <v>8632</v>
      </c>
      <c r="N3466" s="4" t="s">
        <v>8632</v>
      </c>
      <c r="O3466" s="4" t="s">
        <v>8633</v>
      </c>
      <c r="P3466" s="4" t="s">
        <v>8635</v>
      </c>
      <c r="Q3466" s="4" t="s">
        <v>8636</v>
      </c>
      <c r="R3466" s="4" t="s">
        <v>8632</v>
      </c>
      <c r="S3466" s="4" t="s">
        <v>8632</v>
      </c>
    </row>
    <row r="3467">
      <c r="A3467" s="4">
        <v>403.0</v>
      </c>
      <c r="B3467" s="4" t="s">
        <v>8920</v>
      </c>
      <c r="C3467" s="4"/>
      <c r="D3467" s="4" t="s">
        <v>8637</v>
      </c>
      <c r="E3467" s="4" t="s">
        <v>5503</v>
      </c>
      <c r="F3467" s="4" t="s">
        <v>5504</v>
      </c>
      <c r="G3467" s="5" t="str">
        <f>IFERROR(__xludf.DUMMYFUNCTION("GOOGLETRANSLATE(D3467,""en"",""es"")"),"peepy")</f>
        <v>peepy</v>
      </c>
    </row>
    <row r="3468">
      <c r="A3468" s="4">
        <v>404.0</v>
      </c>
      <c r="B3468" s="4" t="s">
        <v>8920</v>
      </c>
      <c r="C3468" s="4"/>
      <c r="D3468" s="4" t="s">
        <v>7155</v>
      </c>
      <c r="E3468" s="4" t="s">
        <v>7156</v>
      </c>
      <c r="F3468" s="4" t="s">
        <v>3170</v>
      </c>
      <c r="G3468" s="5" t="str">
        <f>IFERROR(__xludf.DUMMYFUNCTION("GOOGLETRANSLATE(D3468,""en"",""es"")"),"lápiz")</f>
        <v>lápiz</v>
      </c>
      <c r="H3468" s="4" t="s">
        <v>7155</v>
      </c>
      <c r="I3468" s="4" t="s">
        <v>7155</v>
      </c>
      <c r="J3468" s="4" t="s">
        <v>7157</v>
      </c>
      <c r="K3468" s="4" t="s">
        <v>7155</v>
      </c>
      <c r="L3468" s="4" t="s">
        <v>7158</v>
      </c>
      <c r="M3468" s="4" t="s">
        <v>7155</v>
      </c>
      <c r="N3468" s="4" t="s">
        <v>7155</v>
      </c>
      <c r="O3468" s="4" t="s">
        <v>7159</v>
      </c>
      <c r="P3468" s="4" t="s">
        <v>7160</v>
      </c>
      <c r="Q3468" s="4" t="s">
        <v>7155</v>
      </c>
      <c r="R3468" s="4" t="s">
        <v>7161</v>
      </c>
    </row>
    <row r="3469">
      <c r="A3469" s="4">
        <v>405.0</v>
      </c>
      <c r="B3469" s="4" t="s">
        <v>8920</v>
      </c>
      <c r="C3469" s="4"/>
      <c r="D3469" s="4" t="s">
        <v>8638</v>
      </c>
      <c r="E3469" s="4" t="s">
        <v>8639</v>
      </c>
      <c r="F3469" s="4" t="s">
        <v>5451</v>
      </c>
      <c r="G3469" s="5" t="str">
        <f>IFERROR(__xludf.DUMMYFUNCTION("GOOGLETRANSLATE(D3469,""en"",""es"")"),"pene")</f>
        <v>pene</v>
      </c>
      <c r="H3469" s="4" t="s">
        <v>8638</v>
      </c>
      <c r="I3469" s="4" t="s">
        <v>8640</v>
      </c>
      <c r="J3469" s="4" t="s">
        <v>8641</v>
      </c>
    </row>
    <row r="3470">
      <c r="A3470" s="4">
        <v>406.0</v>
      </c>
      <c r="B3470" s="4" t="s">
        <v>8920</v>
      </c>
      <c r="C3470" s="4"/>
      <c r="D3470" s="4" t="s">
        <v>3457</v>
      </c>
      <c r="E3470" s="4" t="s">
        <v>7162</v>
      </c>
      <c r="F3470" s="4" t="s">
        <v>266</v>
      </c>
      <c r="G3470" s="5" t="str">
        <f>IFERROR(__xludf.DUMMYFUNCTION("GOOGLETRANSLATE(D3470,""en"",""es"")"),"Foto")</f>
        <v>Foto</v>
      </c>
      <c r="H3470" s="4" t="s">
        <v>7163</v>
      </c>
      <c r="I3470" s="4" t="s">
        <v>1240</v>
      </c>
      <c r="J3470" s="4" t="s">
        <v>7164</v>
      </c>
      <c r="K3470" s="4" t="s">
        <v>7165</v>
      </c>
      <c r="L3470" s="4" t="s">
        <v>7166</v>
      </c>
      <c r="M3470" s="4" t="s">
        <v>7167</v>
      </c>
      <c r="N3470" s="4" t="s">
        <v>7168</v>
      </c>
      <c r="O3470" s="4" t="s">
        <v>7169</v>
      </c>
      <c r="P3470" s="4" t="s">
        <v>3457</v>
      </c>
      <c r="Q3470" s="4" t="s">
        <v>4448</v>
      </c>
      <c r="R3470" s="4" t="s">
        <v>7170</v>
      </c>
      <c r="S3470" s="4" t="s">
        <v>7171</v>
      </c>
      <c r="T3470" s="4" t="s">
        <v>7172</v>
      </c>
      <c r="U3470" s="4" t="s">
        <v>7164</v>
      </c>
      <c r="V3470" s="4" t="s">
        <v>3457</v>
      </c>
    </row>
    <row r="3471">
      <c r="A3471" s="4">
        <v>407.0</v>
      </c>
      <c r="B3471" s="4" t="s">
        <v>8920</v>
      </c>
      <c r="C3471" s="4"/>
      <c r="D3471" s="4" t="s">
        <v>7173</v>
      </c>
      <c r="E3471" s="4" t="s">
        <v>7174</v>
      </c>
      <c r="F3471" s="4" t="s">
        <v>7175</v>
      </c>
      <c r="G3471" s="5" t="str">
        <f>IFERROR(__xludf.DUMMYFUNCTION("GOOGLETRANSLATE(D3471,""en"",""es"")"),"piccy")</f>
        <v>piccy</v>
      </c>
    </row>
    <row r="3472">
      <c r="A3472" s="4">
        <v>408.0</v>
      </c>
      <c r="B3472" s="4" t="s">
        <v>8920</v>
      </c>
      <c r="C3472" s="4"/>
      <c r="D3472" s="4" t="s">
        <v>3459</v>
      </c>
      <c r="E3472" s="4" t="s">
        <v>7162</v>
      </c>
      <c r="F3472" s="4" t="s">
        <v>266</v>
      </c>
      <c r="G3472" s="5" t="str">
        <f>IFERROR(__xludf.DUMMYFUNCTION("GOOGLETRANSLATE(D3472,""en"",""es"")"),"elegir")</f>
        <v>elegir</v>
      </c>
      <c r="H3472" s="4" t="s">
        <v>7176</v>
      </c>
      <c r="I3472" s="4" t="s">
        <v>3459</v>
      </c>
      <c r="J3472" s="4" t="s">
        <v>7177</v>
      </c>
      <c r="K3472" s="4" t="s">
        <v>7178</v>
      </c>
      <c r="L3472" s="4" t="s">
        <v>3459</v>
      </c>
      <c r="M3472" s="4" t="s">
        <v>2937</v>
      </c>
      <c r="N3472" s="4" t="s">
        <v>3459</v>
      </c>
      <c r="O3472" s="4" t="s">
        <v>7179</v>
      </c>
      <c r="P3472" s="4" t="s">
        <v>7180</v>
      </c>
      <c r="Q3472" s="4" t="s">
        <v>7181</v>
      </c>
      <c r="R3472" s="4" t="s">
        <v>3459</v>
      </c>
      <c r="S3472" s="4" t="s">
        <v>3459</v>
      </c>
      <c r="T3472" s="4" t="s">
        <v>7182</v>
      </c>
      <c r="U3472" s="4" t="s">
        <v>7183</v>
      </c>
      <c r="V3472" s="4" t="s">
        <v>3459</v>
      </c>
      <c r="W3472" s="4" t="s">
        <v>3459</v>
      </c>
      <c r="X3472" s="4" t="s">
        <v>3460</v>
      </c>
      <c r="Y3472" s="4" t="s">
        <v>3461</v>
      </c>
      <c r="Z3472" s="4" t="s">
        <v>3459</v>
      </c>
      <c r="AA3472" s="4" t="s">
        <v>7176</v>
      </c>
      <c r="AB3472" s="4" t="s">
        <v>7177</v>
      </c>
      <c r="AC3472" s="4" t="s">
        <v>7184</v>
      </c>
      <c r="AD3472" s="4" t="s">
        <v>3459</v>
      </c>
      <c r="AE3472" s="4" t="s">
        <v>3459</v>
      </c>
      <c r="AF3472" s="4" t="s">
        <v>3459</v>
      </c>
      <c r="AG3472" s="4" t="s">
        <v>6291</v>
      </c>
      <c r="AH3472" s="4" t="s">
        <v>1640</v>
      </c>
      <c r="AI3472" s="4" t="s">
        <v>7185</v>
      </c>
      <c r="AJ3472" s="4" t="s">
        <v>7186</v>
      </c>
      <c r="AK3472" s="4" t="s">
        <v>3459</v>
      </c>
      <c r="AL3472" s="4" t="s">
        <v>3459</v>
      </c>
      <c r="AM3472" s="4" t="s">
        <v>3459</v>
      </c>
      <c r="AN3472" s="4" t="s">
        <v>7187</v>
      </c>
      <c r="AO3472" s="4" t="s">
        <v>3459</v>
      </c>
      <c r="AP3472" s="4" t="s">
        <v>3459</v>
      </c>
      <c r="AQ3472" s="4" t="s">
        <v>7188</v>
      </c>
      <c r="AR3472" s="4" t="s">
        <v>3459</v>
      </c>
      <c r="AS3472" s="4" t="s">
        <v>6291</v>
      </c>
      <c r="AT3472" s="4" t="s">
        <v>7189</v>
      </c>
      <c r="AU3472" s="4" t="s">
        <v>3459</v>
      </c>
      <c r="AV3472" s="4" t="s">
        <v>3459</v>
      </c>
      <c r="AW3472" s="4" t="s">
        <v>943</v>
      </c>
      <c r="AX3472" s="4" t="s">
        <v>1750</v>
      </c>
      <c r="AY3472" s="4" t="s">
        <v>3459</v>
      </c>
      <c r="AZ3472" s="4" t="s">
        <v>7190</v>
      </c>
      <c r="BA3472" s="4" t="s">
        <v>3485</v>
      </c>
      <c r="BB3472" s="4" t="s">
        <v>3459</v>
      </c>
      <c r="BC3472" s="4" t="s">
        <v>3486</v>
      </c>
    </row>
    <row r="3473">
      <c r="A3473" s="4">
        <v>409.0</v>
      </c>
      <c r="B3473" s="4" t="s">
        <v>8920</v>
      </c>
      <c r="C3473" s="4"/>
      <c r="D3473" s="4" t="s">
        <v>7191</v>
      </c>
      <c r="E3473" s="4" t="s">
        <v>7174</v>
      </c>
      <c r="F3473" s="4" t="s">
        <v>7175</v>
      </c>
      <c r="G3473" s="5" t="str">
        <f>IFERROR(__xludf.DUMMYFUNCTION("GOOGLETRANSLATE(D3473,""en"",""es"")"),"quisquilloso")</f>
        <v>quisquilloso</v>
      </c>
      <c r="H3473" s="4" t="s">
        <v>7192</v>
      </c>
      <c r="I3473" s="4" t="s">
        <v>7193</v>
      </c>
      <c r="J3473" s="4" t="s">
        <v>7194</v>
      </c>
      <c r="K3473" s="4" t="s">
        <v>7195</v>
      </c>
      <c r="L3473" s="4" t="s">
        <v>7191</v>
      </c>
    </row>
    <row r="3474">
      <c r="A3474" s="4">
        <v>410.0</v>
      </c>
      <c r="B3474" s="4" t="s">
        <v>8920</v>
      </c>
      <c r="C3474" s="4"/>
      <c r="D3474" s="4" t="s">
        <v>7196</v>
      </c>
      <c r="E3474" s="4" t="s">
        <v>7174</v>
      </c>
      <c r="F3474" s="4" t="s">
        <v>7175</v>
      </c>
      <c r="G3474" s="5" t="str">
        <f>IFERROR(__xludf.DUMMYFUNCTION("GOOGLETRANSLATE(D3474,""en"",""es"")"),"pikkie")</f>
        <v>pikkie</v>
      </c>
    </row>
    <row r="3475">
      <c r="A3475" s="4">
        <v>411.0</v>
      </c>
      <c r="B3475" s="4" t="s">
        <v>8920</v>
      </c>
      <c r="C3475" s="4"/>
      <c r="D3475" s="4" t="s">
        <v>7197</v>
      </c>
      <c r="E3475" s="4" t="s">
        <v>7198</v>
      </c>
      <c r="F3475" s="4" t="s">
        <v>7199</v>
      </c>
      <c r="G3475" s="5" t="str">
        <f>IFERROR(__xludf.DUMMYFUNCTION("GOOGLETRANSLATE(D3475,""en"",""es"")"),"píldora")</f>
        <v>píldora</v>
      </c>
      <c r="H3475" s="4" t="s">
        <v>7197</v>
      </c>
      <c r="I3475" s="4" t="s">
        <v>7197</v>
      </c>
      <c r="J3475" s="4" t="s">
        <v>7200</v>
      </c>
      <c r="K3475" s="4" t="s">
        <v>7201</v>
      </c>
      <c r="L3475" s="4" t="s">
        <v>7202</v>
      </c>
      <c r="M3475" s="4" t="s">
        <v>7197</v>
      </c>
      <c r="N3475" s="4" t="s">
        <v>7197</v>
      </c>
      <c r="O3475" s="4" t="s">
        <v>7197</v>
      </c>
      <c r="P3475" s="4" t="s">
        <v>7203</v>
      </c>
      <c r="Q3475" s="4" t="s">
        <v>7204</v>
      </c>
      <c r="R3475" s="4" t="s">
        <v>7205</v>
      </c>
      <c r="S3475" s="4" t="s">
        <v>7206</v>
      </c>
      <c r="T3475" s="4" t="s">
        <v>7207</v>
      </c>
      <c r="U3475" s="4" t="s">
        <v>7208</v>
      </c>
    </row>
    <row r="3476">
      <c r="A3476" s="4">
        <v>412.0</v>
      </c>
      <c r="B3476" s="4" t="s">
        <v>8920</v>
      </c>
      <c r="C3476" s="4"/>
      <c r="D3476" s="4" t="s">
        <v>3170</v>
      </c>
      <c r="E3476" s="4" t="s">
        <v>7156</v>
      </c>
      <c r="F3476" s="4" t="s">
        <v>3170</v>
      </c>
      <c r="G3476" s="5" t="str">
        <f>IFERROR(__xludf.DUMMYFUNCTION("GOOGLETRANSLATE(D3476,""en"",""es"")"),"alfiler")</f>
        <v>alfiler</v>
      </c>
      <c r="H3476" s="4" t="s">
        <v>3170</v>
      </c>
      <c r="I3476" s="4" t="s">
        <v>4502</v>
      </c>
      <c r="J3476" s="4" t="s">
        <v>3170</v>
      </c>
      <c r="K3476" s="4" t="s">
        <v>3171</v>
      </c>
      <c r="L3476" s="4" t="s">
        <v>3170</v>
      </c>
      <c r="M3476" s="4" t="s">
        <v>7209</v>
      </c>
      <c r="N3476" s="4" t="s">
        <v>7210</v>
      </c>
      <c r="O3476" s="4" t="s">
        <v>7211</v>
      </c>
      <c r="P3476" s="4" t="s">
        <v>3170</v>
      </c>
      <c r="Q3476" s="4" t="s">
        <v>3171</v>
      </c>
      <c r="R3476" s="4" t="s">
        <v>3169</v>
      </c>
      <c r="S3476" s="4" t="s">
        <v>7212</v>
      </c>
      <c r="T3476" s="4" t="s">
        <v>3170</v>
      </c>
      <c r="U3476" s="4" t="s">
        <v>3170</v>
      </c>
      <c r="V3476" s="4" t="s">
        <v>7213</v>
      </c>
      <c r="W3476" s="4" t="s">
        <v>3170</v>
      </c>
      <c r="X3476" s="4" t="s">
        <v>2179</v>
      </c>
      <c r="Y3476" s="4" t="s">
        <v>3170</v>
      </c>
      <c r="Z3476" s="4" t="s">
        <v>3171</v>
      </c>
      <c r="AA3476" s="4" t="s">
        <v>3170</v>
      </c>
      <c r="AB3476" s="4" t="s">
        <v>7214</v>
      </c>
      <c r="AC3476" s="4" t="s">
        <v>7215</v>
      </c>
      <c r="AD3476" s="4" t="s">
        <v>7216</v>
      </c>
      <c r="AE3476" s="4" t="s">
        <v>7217</v>
      </c>
      <c r="AF3476" s="4" t="s">
        <v>7218</v>
      </c>
      <c r="AG3476" s="4" t="s">
        <v>3170</v>
      </c>
      <c r="AH3476" s="4" t="s">
        <v>7219</v>
      </c>
      <c r="AI3476" s="4" t="s">
        <v>3170</v>
      </c>
      <c r="AJ3476" s="4" t="s">
        <v>7220</v>
      </c>
      <c r="AK3476" s="4" t="s">
        <v>7221</v>
      </c>
      <c r="AL3476" s="4" t="s">
        <v>3170</v>
      </c>
      <c r="AM3476" s="4" t="s">
        <v>3170</v>
      </c>
      <c r="AN3476" s="4" t="s">
        <v>3170</v>
      </c>
    </row>
    <row r="3477">
      <c r="A3477" s="4">
        <v>413.0</v>
      </c>
      <c r="B3477" s="4" t="s">
        <v>8920</v>
      </c>
      <c r="C3477" s="4"/>
      <c r="D3477" s="4" t="s">
        <v>7222</v>
      </c>
      <c r="E3477" s="4" t="s">
        <v>7223</v>
      </c>
      <c r="F3477" s="4" t="s">
        <v>5451</v>
      </c>
      <c r="G3477" s="5" t="str">
        <f>IFERROR(__xludf.DUMMYFUNCTION("GOOGLETRANSLATE(D3477,""en"",""es"")"),"pinaza")</f>
        <v>pinaza</v>
      </c>
      <c r="H3477" s="4" t="s">
        <v>7224</v>
      </c>
      <c r="I3477" s="4" t="s">
        <v>7225</v>
      </c>
      <c r="J3477" s="4" t="s">
        <v>7222</v>
      </c>
      <c r="K3477" s="4" t="s">
        <v>7226</v>
      </c>
    </row>
    <row r="3478">
      <c r="A3478" s="4">
        <v>414.0</v>
      </c>
      <c r="B3478" s="4" t="s">
        <v>8920</v>
      </c>
      <c r="C3478" s="4"/>
      <c r="D3478" s="4" t="s">
        <v>7227</v>
      </c>
      <c r="E3478" s="4" t="s">
        <v>7228</v>
      </c>
      <c r="F3478" s="4" t="s">
        <v>5448</v>
      </c>
      <c r="G3478" s="5" t="str">
        <f>IFERROR(__xludf.DUMMYFUNCTION("GOOGLETRANSLATE(D3478,""en"",""es"")"),"delantal")</f>
        <v>delantal</v>
      </c>
      <c r="H3478" s="4" t="s">
        <v>7229</v>
      </c>
      <c r="I3478" s="4" t="s">
        <v>7230</v>
      </c>
      <c r="J3478" s="4" t="s">
        <v>7227</v>
      </c>
    </row>
    <row r="3479">
      <c r="A3479" s="4">
        <v>415.0</v>
      </c>
      <c r="B3479" s="4" t="s">
        <v>8920</v>
      </c>
      <c r="C3479" s="4"/>
      <c r="D3479" s="4" t="s">
        <v>4851</v>
      </c>
      <c r="E3479" s="4" t="s">
        <v>7231</v>
      </c>
      <c r="F3479" s="4" t="s">
        <v>4851</v>
      </c>
      <c r="G3479" s="5" t="str">
        <f>IFERROR(__xludf.DUMMYFUNCTION("GOOGLETRANSLATE(D3479,""en"",""es"")"),"pepita")</f>
        <v>pepita</v>
      </c>
      <c r="H3479" s="4" t="s">
        <v>4851</v>
      </c>
      <c r="I3479" s="4" t="s">
        <v>4851</v>
      </c>
      <c r="J3479" s="4" t="s">
        <v>4851</v>
      </c>
      <c r="K3479" s="4" t="s">
        <v>2298</v>
      </c>
      <c r="L3479" s="4" t="s">
        <v>4851</v>
      </c>
      <c r="M3479" s="4" t="s">
        <v>7232</v>
      </c>
      <c r="N3479" s="4" t="s">
        <v>4851</v>
      </c>
      <c r="O3479" s="4" t="s">
        <v>7233</v>
      </c>
      <c r="P3479" s="4" t="s">
        <v>4430</v>
      </c>
      <c r="Q3479" s="4" t="s">
        <v>4851</v>
      </c>
      <c r="R3479" s="4" t="s">
        <v>4430</v>
      </c>
      <c r="S3479" s="4" t="s">
        <v>856</v>
      </c>
      <c r="T3479" s="4" t="s">
        <v>4851</v>
      </c>
      <c r="U3479" s="4" t="s">
        <v>7234</v>
      </c>
      <c r="V3479" s="4" t="s">
        <v>4851</v>
      </c>
      <c r="W3479" s="4" t="s">
        <v>7235</v>
      </c>
      <c r="X3479" s="4" t="s">
        <v>6574</v>
      </c>
      <c r="Y3479" s="4" t="s">
        <v>7236</v>
      </c>
    </row>
    <row r="3480">
      <c r="A3480" s="4">
        <v>416.0</v>
      </c>
      <c r="B3480" s="4" t="s">
        <v>8920</v>
      </c>
      <c r="C3480" s="4"/>
      <c r="D3480" s="4" t="s">
        <v>7237</v>
      </c>
      <c r="E3480" s="4" t="s">
        <v>7238</v>
      </c>
      <c r="F3480" s="4" t="s">
        <v>7237</v>
      </c>
      <c r="G3480" s="5" t="str">
        <f>IFERROR(__xludf.DUMMYFUNCTION("GOOGLETRANSLATE(D3480,""en"",""es"")"),"pish")</f>
        <v>pish</v>
      </c>
    </row>
    <row r="3481">
      <c r="A3481" s="4">
        <v>417.0</v>
      </c>
      <c r="B3481" s="4" t="s">
        <v>8920</v>
      </c>
      <c r="C3481" s="4"/>
      <c r="D3481" s="4" t="s">
        <v>7239</v>
      </c>
      <c r="E3481" s="4" t="s">
        <v>7240</v>
      </c>
      <c r="F3481" s="4" t="s">
        <v>3570</v>
      </c>
      <c r="G3481" s="5" t="str">
        <f>IFERROR(__xludf.DUMMYFUNCTION("GOOGLETRANSLATE(D3481,""en"",""es"")"),"orinar")</f>
        <v>orinar</v>
      </c>
      <c r="H3481" s="4" t="s">
        <v>7241</v>
      </c>
      <c r="I3481" s="4" t="s">
        <v>7239</v>
      </c>
      <c r="J3481" s="4" t="s">
        <v>7242</v>
      </c>
      <c r="K3481" s="4" t="s">
        <v>7243</v>
      </c>
      <c r="L3481" s="4" t="s">
        <v>7244</v>
      </c>
      <c r="M3481" s="4" t="s">
        <v>7245</v>
      </c>
      <c r="N3481" s="4" t="s">
        <v>7246</v>
      </c>
      <c r="O3481" s="4" t="s">
        <v>7242</v>
      </c>
      <c r="P3481" s="4" t="s">
        <v>7247</v>
      </c>
      <c r="Q3481" s="4" t="s">
        <v>7239</v>
      </c>
      <c r="R3481" s="4" t="s">
        <v>3000</v>
      </c>
      <c r="S3481" s="4" t="s">
        <v>7248</v>
      </c>
      <c r="T3481" s="4" t="s">
        <v>7243</v>
      </c>
      <c r="U3481" s="4" t="s">
        <v>4723</v>
      </c>
      <c r="V3481" s="4" t="s">
        <v>7249</v>
      </c>
      <c r="W3481" s="4" t="s">
        <v>7239</v>
      </c>
      <c r="X3481" s="4" t="s">
        <v>7242</v>
      </c>
      <c r="Y3481" s="4" t="s">
        <v>7250</v>
      </c>
      <c r="Z3481" s="4" t="s">
        <v>7251</v>
      </c>
      <c r="AA3481" s="4" t="s">
        <v>7252</v>
      </c>
      <c r="AB3481" s="4" t="s">
        <v>7253</v>
      </c>
      <c r="AC3481" s="4" t="s">
        <v>7254</v>
      </c>
      <c r="AD3481" s="4" t="s">
        <v>4693</v>
      </c>
      <c r="AE3481" s="4" t="s">
        <v>7255</v>
      </c>
      <c r="AF3481" s="4" t="s">
        <v>7256</v>
      </c>
    </row>
    <row r="3482">
      <c r="A3482" s="4">
        <v>418.0</v>
      </c>
      <c r="B3482" s="4" t="s">
        <v>8920</v>
      </c>
      <c r="C3482" s="4"/>
      <c r="D3482" s="4" t="s">
        <v>7257</v>
      </c>
      <c r="E3482" s="4" t="s">
        <v>7258</v>
      </c>
      <c r="F3482" s="4" t="s">
        <v>7259</v>
      </c>
      <c r="G3482" s="5" t="str">
        <f>IFERROR(__xludf.DUMMYFUNCTION("GOOGLETRANSLATE(D3482,""en"",""es"")"),"pisoteo")</f>
        <v>pisoteo</v>
      </c>
    </row>
    <row r="3483">
      <c r="A3483" s="4">
        <v>419.0</v>
      </c>
      <c r="B3483" s="4" t="s">
        <v>8920</v>
      </c>
      <c r="C3483" s="4"/>
      <c r="D3483" s="4" t="s">
        <v>395</v>
      </c>
      <c r="E3483" s="4" t="s">
        <v>7260</v>
      </c>
      <c r="F3483" s="4" t="s">
        <v>395</v>
      </c>
      <c r="G3483" s="5" t="str">
        <f>IFERROR(__xludf.DUMMYFUNCTION("GOOGLETRANSLATE(D3483,""en"",""es"")"),"Agave")</f>
        <v>Agave</v>
      </c>
      <c r="H3483" s="4" t="s">
        <v>395</v>
      </c>
      <c r="I3483" s="4" t="s">
        <v>3587</v>
      </c>
    </row>
    <row r="3484">
      <c r="A3484" s="4">
        <v>420.0</v>
      </c>
      <c r="B3484" s="4" t="s">
        <v>8920</v>
      </c>
      <c r="C3484" s="4"/>
      <c r="D3484" s="4" t="s">
        <v>7261</v>
      </c>
      <c r="E3484" s="4" t="s">
        <v>7262</v>
      </c>
      <c r="F3484" s="4" t="s">
        <v>7261</v>
      </c>
      <c r="G3484" s="5" t="str">
        <f>IFERROR(__xludf.DUMMYFUNCTION("GOOGLETRANSLATE(D3484,""en"",""es"")"),"médula")</f>
        <v>médula</v>
      </c>
      <c r="H3484" s="4" t="s">
        <v>7261</v>
      </c>
      <c r="I3484" s="4" t="s">
        <v>7263</v>
      </c>
      <c r="J3484" s="4" t="s">
        <v>5326</v>
      </c>
      <c r="K3484" s="4" t="s">
        <v>7264</v>
      </c>
      <c r="L3484" s="4" t="s">
        <v>4621</v>
      </c>
      <c r="M3484" s="4" t="s">
        <v>4622</v>
      </c>
      <c r="N3484" s="4" t="s">
        <v>7265</v>
      </c>
      <c r="O3484" s="4" t="s">
        <v>7266</v>
      </c>
      <c r="P3484" s="4" t="s">
        <v>4624</v>
      </c>
      <c r="Q3484" s="4" t="s">
        <v>7267</v>
      </c>
      <c r="R3484" s="4" t="s">
        <v>7268</v>
      </c>
      <c r="S3484" s="4" t="s">
        <v>7269</v>
      </c>
      <c r="T3484" s="4" t="s">
        <v>7270</v>
      </c>
      <c r="U3484" s="4" t="s">
        <v>7271</v>
      </c>
      <c r="V3484" s="4" t="s">
        <v>7261</v>
      </c>
      <c r="W3484" s="4" t="s">
        <v>4123</v>
      </c>
      <c r="X3484" s="4" t="s">
        <v>7272</v>
      </c>
      <c r="Y3484" s="4" t="s">
        <v>7261</v>
      </c>
    </row>
    <row r="3485">
      <c r="A3485" s="4">
        <v>421.0</v>
      </c>
      <c r="B3485" s="4" t="s">
        <v>8920</v>
      </c>
      <c r="C3485" s="4"/>
      <c r="D3485" s="4" t="s">
        <v>7273</v>
      </c>
      <c r="E3485" s="4" t="s">
        <v>7274</v>
      </c>
      <c r="F3485" s="4" t="s">
        <v>5439</v>
      </c>
      <c r="G3485" s="5" t="str">
        <f>IFERROR(__xludf.DUMMYFUNCTION("GOOGLETRANSLATE(D3485,""en"",""es"")"),"sustancial")</f>
        <v>sustancial</v>
      </c>
      <c r="H3485" s="4" t="s">
        <v>7273</v>
      </c>
      <c r="I3485" s="4" t="s">
        <v>7275</v>
      </c>
    </row>
    <row r="3486">
      <c r="A3486" s="4">
        <v>422.0</v>
      </c>
      <c r="B3486" s="4" t="s">
        <v>8920</v>
      </c>
      <c r="C3486" s="4"/>
      <c r="D3486" s="4" t="s">
        <v>7276</v>
      </c>
      <c r="E3486" s="4" t="s">
        <v>7277</v>
      </c>
      <c r="F3486" s="4" t="s">
        <v>7278</v>
      </c>
      <c r="G3486" s="5" t="str">
        <f>IFERROR(__xludf.DUMMYFUNCTION("GOOGLETRANSLATE(D3486,""en"",""es"")"),"pitty")</f>
        <v>pitty</v>
      </c>
    </row>
    <row r="3487">
      <c r="A3487" s="4">
        <v>423.0</v>
      </c>
      <c r="B3487" s="4" t="s">
        <v>8920</v>
      </c>
      <c r="C3487" s="4"/>
      <c r="D3487" s="4" t="s">
        <v>7279</v>
      </c>
      <c r="E3487" s="4" t="s">
        <v>7277</v>
      </c>
      <c r="F3487" s="4" t="s">
        <v>7278</v>
      </c>
      <c r="G3487" s="5" t="str">
        <f>IFERROR(__xludf.DUMMYFUNCTION("GOOGLETRANSLATE(D3487,""en"",""es"")"),"lástima")</f>
        <v>lástima</v>
      </c>
      <c r="H3487" s="4" t="s">
        <v>7280</v>
      </c>
      <c r="I3487" s="4" t="s">
        <v>7279</v>
      </c>
      <c r="J3487" s="4" t="s">
        <v>7281</v>
      </c>
      <c r="K3487" s="4" t="s">
        <v>7282</v>
      </c>
      <c r="L3487" s="4" t="s">
        <v>7279</v>
      </c>
      <c r="M3487" s="4" t="s">
        <v>7283</v>
      </c>
      <c r="N3487" s="4" t="s">
        <v>7284</v>
      </c>
      <c r="O3487" s="4" t="s">
        <v>7279</v>
      </c>
      <c r="P3487" s="4" t="s">
        <v>7285</v>
      </c>
      <c r="Q3487" s="4" t="s">
        <v>7279</v>
      </c>
      <c r="R3487" s="4" t="s">
        <v>7286</v>
      </c>
      <c r="S3487" s="4" t="s">
        <v>7287</v>
      </c>
      <c r="T3487" s="4" t="s">
        <v>7288</v>
      </c>
    </row>
    <row r="3488">
      <c r="A3488" s="4">
        <v>424.0</v>
      </c>
      <c r="B3488" s="4" t="s">
        <v>8920</v>
      </c>
      <c r="C3488" s="4"/>
      <c r="D3488" s="4" t="s">
        <v>8642</v>
      </c>
      <c r="E3488" s="4" t="s">
        <v>8643</v>
      </c>
      <c r="F3488" s="4" t="s">
        <v>392</v>
      </c>
      <c r="G3488" s="5" t="str">
        <f>IFERROR(__xludf.DUMMYFUNCTION("GOOGLETRANSLATE(D3488,""en"",""es"")"),"picadura")</f>
        <v>picadura</v>
      </c>
      <c r="H3488" s="4" t="s">
        <v>8642</v>
      </c>
      <c r="I3488" s="4" t="s">
        <v>8644</v>
      </c>
      <c r="J3488" s="4" t="s">
        <v>3008</v>
      </c>
      <c r="K3488" s="4" t="s">
        <v>8642</v>
      </c>
      <c r="L3488" s="4" t="s">
        <v>8645</v>
      </c>
    </row>
    <row r="3489">
      <c r="A3489" s="4">
        <v>425.0</v>
      </c>
      <c r="B3489" s="4" t="s">
        <v>8920</v>
      </c>
      <c r="C3489" s="4"/>
      <c r="D3489" s="4" t="s">
        <v>7289</v>
      </c>
      <c r="E3489" s="4" t="s">
        <v>3767</v>
      </c>
      <c r="F3489" s="4" t="s">
        <v>3766</v>
      </c>
      <c r="G3489" s="5" t="str">
        <f>IFERROR(__xludf.DUMMYFUNCTION("GOOGLETRANSLATE(D3489,""en"",""es"")"),"poes")</f>
        <v>poes</v>
      </c>
      <c r="H3489" s="4" t="s">
        <v>7290</v>
      </c>
      <c r="I3489" s="4" t="s">
        <v>7291</v>
      </c>
    </row>
    <row r="3490">
      <c r="A3490" s="4">
        <v>426.0</v>
      </c>
      <c r="B3490" s="4" t="s">
        <v>8920</v>
      </c>
      <c r="C3490" s="4"/>
      <c r="D3490" s="4" t="s">
        <v>3648</v>
      </c>
      <c r="E3490" s="4" t="s">
        <v>8597</v>
      </c>
      <c r="F3490" s="4" t="s">
        <v>3161</v>
      </c>
      <c r="G3490" s="5" t="str">
        <f>IFERROR(__xludf.DUMMYFUNCTION("GOOGLETRANSLATE(D3490,""en"",""es"")"),"polla")</f>
        <v>polla</v>
      </c>
      <c r="H3490" s="4" t="s">
        <v>3646</v>
      </c>
      <c r="I3490" s="4" t="s">
        <v>3647</v>
      </c>
      <c r="J3490" s="4" t="s">
        <v>3648</v>
      </c>
      <c r="K3490" s="4" t="s">
        <v>3649</v>
      </c>
    </row>
    <row r="3491">
      <c r="A3491" s="4">
        <v>427.0</v>
      </c>
      <c r="B3491" s="4" t="s">
        <v>8920</v>
      </c>
      <c r="C3491" s="4"/>
      <c r="D3491" s="4" t="s">
        <v>3617</v>
      </c>
      <c r="E3491" s="4" t="s">
        <v>8646</v>
      </c>
      <c r="F3491" s="4" t="s">
        <v>8647</v>
      </c>
      <c r="G3491" s="5" t="str">
        <f>IFERROR(__xludf.DUMMYFUNCTION("GOOGLETRANSLATE(D3491,""en"",""es"")"),"polaco")</f>
        <v>polaco</v>
      </c>
      <c r="H3491" s="4" t="s">
        <v>3617</v>
      </c>
      <c r="I3491" s="4" t="s">
        <v>2584</v>
      </c>
      <c r="J3491" s="4" t="s">
        <v>8648</v>
      </c>
      <c r="K3491" s="4" t="s">
        <v>3628</v>
      </c>
      <c r="L3491" s="4" t="s">
        <v>3617</v>
      </c>
      <c r="M3491" s="4" t="s">
        <v>2596</v>
      </c>
      <c r="N3491" s="4" t="s">
        <v>8649</v>
      </c>
      <c r="O3491" s="4" t="s">
        <v>8650</v>
      </c>
      <c r="P3491" s="4" t="s">
        <v>951</v>
      </c>
      <c r="Q3491" s="4" t="s">
        <v>3617</v>
      </c>
      <c r="R3491" s="4" t="s">
        <v>8651</v>
      </c>
      <c r="S3491" s="4" t="s">
        <v>3617</v>
      </c>
      <c r="T3491" s="4" t="s">
        <v>3625</v>
      </c>
      <c r="U3491" s="4" t="s">
        <v>3626</v>
      </c>
      <c r="V3491" s="4" t="s">
        <v>3627</v>
      </c>
      <c r="W3491" s="4" t="s">
        <v>3617</v>
      </c>
      <c r="X3491" s="4" t="s">
        <v>3622</v>
      </c>
      <c r="Y3491" s="4" t="s">
        <v>3623</v>
      </c>
      <c r="Z3491" s="4" t="s">
        <v>3624</v>
      </c>
      <c r="AA3491" s="4" t="s">
        <v>3617</v>
      </c>
      <c r="AB3491" s="4" t="s">
        <v>3618</v>
      </c>
      <c r="AC3491" s="4" t="s">
        <v>3619</v>
      </c>
      <c r="AD3491" s="4" t="s">
        <v>3620</v>
      </c>
      <c r="AE3491" s="4" t="s">
        <v>3621</v>
      </c>
      <c r="AF3491" s="4" t="s">
        <v>8651</v>
      </c>
    </row>
    <row r="3492">
      <c r="A3492" s="4">
        <v>428.0</v>
      </c>
      <c r="B3492" s="4" t="s">
        <v>8920</v>
      </c>
      <c r="C3492" s="4"/>
      <c r="D3492" s="4" t="s">
        <v>8652</v>
      </c>
      <c r="E3492" s="4" t="s">
        <v>8653</v>
      </c>
      <c r="F3492" s="4" t="s">
        <v>8654</v>
      </c>
      <c r="G3492" s="5" t="str">
        <f>IFERROR(__xludf.DUMMYFUNCTION("GOOGLETRANSLATE(D3492,""en"",""es"")"),"gobierno")</f>
        <v>gobierno</v>
      </c>
      <c r="H3492" s="4" t="s">
        <v>8655</v>
      </c>
      <c r="I3492" s="4" t="s">
        <v>8652</v>
      </c>
      <c r="J3492" s="4" t="s">
        <v>8652</v>
      </c>
      <c r="K3492" s="4" t="s">
        <v>8652</v>
      </c>
    </row>
    <row r="3493">
      <c r="A3493" s="4">
        <v>429.0</v>
      </c>
      <c r="B3493" s="4" t="s">
        <v>8920</v>
      </c>
      <c r="C3493" s="4"/>
      <c r="D3493" s="4" t="s">
        <v>8656</v>
      </c>
      <c r="E3493" s="4" t="s">
        <v>8657</v>
      </c>
      <c r="F3493" s="4" t="s">
        <v>8658</v>
      </c>
      <c r="G3493" s="5" t="str">
        <f>IFERROR(__xludf.DUMMYFUNCTION("GOOGLETRANSLATE(D3493,""en"",""es"")"),"erudito")</f>
        <v>erudito</v>
      </c>
      <c r="H3493" s="4" t="s">
        <v>8656</v>
      </c>
    </row>
    <row r="3494">
      <c r="A3494" s="4">
        <v>430.0</v>
      </c>
      <c r="B3494" s="4" t="s">
        <v>8920</v>
      </c>
      <c r="C3494" s="4"/>
      <c r="D3494" s="4" t="s">
        <v>8656</v>
      </c>
      <c r="E3494" s="4" t="s">
        <v>8659</v>
      </c>
      <c r="F3494" s="4" t="s">
        <v>8658</v>
      </c>
      <c r="G3494" s="5" t="str">
        <f>IFERROR(__xludf.DUMMYFUNCTION("GOOGLETRANSLATE(D3494,""en"",""es"")"),"erudito")</f>
        <v>erudito</v>
      </c>
      <c r="H3494" s="4" t="s">
        <v>8656</v>
      </c>
    </row>
    <row r="3495">
      <c r="A3495" s="4">
        <v>431.0</v>
      </c>
      <c r="B3495" s="4" t="s">
        <v>8920</v>
      </c>
      <c r="C3495" s="4"/>
      <c r="D3495" s="4" t="s">
        <v>8660</v>
      </c>
      <c r="E3495" s="4" t="s">
        <v>8661</v>
      </c>
      <c r="F3495" s="4" t="s">
        <v>8662</v>
      </c>
      <c r="G3495" s="5" t="str">
        <f>IFERROR(__xludf.DUMMYFUNCTION("GOOGLETRANSLATE(D3495,""en"",""es"")"),"pólipo")</f>
        <v>pólipo</v>
      </c>
      <c r="H3495" s="4" t="s">
        <v>8660</v>
      </c>
      <c r="I3495" s="4" t="s">
        <v>8663</v>
      </c>
      <c r="J3495" s="4" t="s">
        <v>8660</v>
      </c>
    </row>
    <row r="3496">
      <c r="A3496" s="4">
        <v>432.0</v>
      </c>
      <c r="B3496" s="4" t="s">
        <v>8920</v>
      </c>
      <c r="C3496" s="4"/>
      <c r="D3496" s="4" t="s">
        <v>8664</v>
      </c>
      <c r="E3496" s="4" t="s">
        <v>8665</v>
      </c>
      <c r="F3496" s="4" t="s">
        <v>8666</v>
      </c>
      <c r="G3496" s="5" t="str">
        <f>IFERROR(__xludf.DUMMYFUNCTION("GOOGLETRANSLATE(D3496,""en"",""es"")"),"polónyonico")</f>
        <v>polónyonico</v>
      </c>
    </row>
    <row r="3497">
      <c r="A3497" s="4">
        <v>433.0</v>
      </c>
      <c r="B3497" s="4" t="s">
        <v>8920</v>
      </c>
      <c r="C3497" s="4"/>
      <c r="D3497" s="4" t="s">
        <v>8667</v>
      </c>
      <c r="E3497" s="4" t="s">
        <v>8668</v>
      </c>
      <c r="F3497" s="4" t="s">
        <v>8669</v>
      </c>
      <c r="G3497" s="5" t="str">
        <f>IFERROR(__xludf.DUMMYFUNCTION("GOOGLETRANSLATE(D3497,""en"",""es"")"),"pomey")</f>
        <v>pomey</v>
      </c>
    </row>
    <row r="3498">
      <c r="A3498" s="4">
        <v>434.0</v>
      </c>
      <c r="B3498" s="4" t="s">
        <v>8920</v>
      </c>
      <c r="C3498" s="4"/>
      <c r="D3498" s="4" t="s">
        <v>8670</v>
      </c>
      <c r="E3498" s="4" t="s">
        <v>7293</v>
      </c>
      <c r="F3498" s="4" t="s">
        <v>7294</v>
      </c>
      <c r="G3498" s="5" t="str">
        <f>IFERROR(__xludf.DUMMYFUNCTION("GOOGLETRANSLATE(D3498,""en"",""es"")"),"pooh")</f>
        <v>pooh</v>
      </c>
    </row>
    <row r="3499">
      <c r="A3499" s="4">
        <v>435.0</v>
      </c>
      <c r="B3499" s="4" t="s">
        <v>8920</v>
      </c>
      <c r="C3499" s="4"/>
      <c r="D3499" s="4" t="s">
        <v>6479</v>
      </c>
      <c r="E3499" s="4" t="s">
        <v>8671</v>
      </c>
      <c r="F3499" s="4" t="s">
        <v>7296</v>
      </c>
      <c r="G3499" s="5" t="str">
        <f>IFERROR(__xludf.DUMMYFUNCTION("GOOGLETRANSLATE(D3499,""en"",""es"")"),"piscina")</f>
        <v>piscina</v>
      </c>
      <c r="H3499" s="4" t="s">
        <v>6479</v>
      </c>
      <c r="I3499" s="4" t="s">
        <v>8672</v>
      </c>
      <c r="J3499" s="4" t="s">
        <v>6479</v>
      </c>
      <c r="K3499" s="4" t="s">
        <v>6479</v>
      </c>
      <c r="L3499" s="4" t="s">
        <v>8673</v>
      </c>
      <c r="M3499" s="4" t="s">
        <v>6479</v>
      </c>
      <c r="N3499" s="4" t="s">
        <v>8674</v>
      </c>
      <c r="O3499" s="4" t="s">
        <v>6479</v>
      </c>
      <c r="P3499" s="4" t="s">
        <v>6479</v>
      </c>
      <c r="Q3499" s="4" t="s">
        <v>4723</v>
      </c>
      <c r="R3499" s="4" t="s">
        <v>6479</v>
      </c>
      <c r="S3499" s="4" t="s">
        <v>2722</v>
      </c>
      <c r="T3499" s="4" t="s">
        <v>6479</v>
      </c>
      <c r="U3499" s="4" t="s">
        <v>4723</v>
      </c>
      <c r="V3499" s="4" t="s">
        <v>6479</v>
      </c>
      <c r="W3499" s="4" t="s">
        <v>8675</v>
      </c>
      <c r="X3499" s="4" t="s">
        <v>6479</v>
      </c>
      <c r="Y3499" s="4" t="s">
        <v>6479</v>
      </c>
    </row>
    <row r="3500">
      <c r="A3500" s="4">
        <v>436.0</v>
      </c>
      <c r="B3500" s="4" t="s">
        <v>8920</v>
      </c>
      <c r="C3500" s="4"/>
      <c r="D3500" s="4" t="s">
        <v>3298</v>
      </c>
      <c r="E3500" s="4" t="s">
        <v>8676</v>
      </c>
      <c r="F3500" s="4" t="s">
        <v>7088</v>
      </c>
      <c r="G3500" s="5" t="str">
        <f>IFERROR(__xludf.DUMMYFUNCTION("GOOGLETRANSLATE(D3500,""en"",""es"")"),"estallido")</f>
        <v>estallido</v>
      </c>
      <c r="H3500" s="4" t="s">
        <v>3294</v>
      </c>
      <c r="I3500" s="4" t="s">
        <v>3295</v>
      </c>
      <c r="J3500" s="4" t="s">
        <v>3296</v>
      </c>
      <c r="K3500" s="4" t="s">
        <v>3147</v>
      </c>
      <c r="L3500" s="4" t="s">
        <v>3292</v>
      </c>
      <c r="M3500" s="4" t="s">
        <v>3297</v>
      </c>
      <c r="N3500" s="4" t="s">
        <v>3298</v>
      </c>
      <c r="O3500" s="4" t="s">
        <v>3298</v>
      </c>
      <c r="P3500" s="4" t="s">
        <v>8677</v>
      </c>
      <c r="Q3500" s="4" t="s">
        <v>8678</v>
      </c>
      <c r="R3500" s="4" t="s">
        <v>8679</v>
      </c>
      <c r="S3500" s="4" t="s">
        <v>8680</v>
      </c>
      <c r="T3500" s="4" t="s">
        <v>3298</v>
      </c>
      <c r="U3500" s="4" t="s">
        <v>8681</v>
      </c>
      <c r="V3500" s="4" t="s">
        <v>8682</v>
      </c>
      <c r="W3500" s="4" t="s">
        <v>3298</v>
      </c>
      <c r="X3500" s="4" t="s">
        <v>1937</v>
      </c>
      <c r="Y3500" s="4" t="s">
        <v>8683</v>
      </c>
      <c r="Z3500" s="4" t="s">
        <v>3298</v>
      </c>
      <c r="AA3500" s="4" t="s">
        <v>8684</v>
      </c>
      <c r="AB3500" s="4" t="s">
        <v>8685</v>
      </c>
      <c r="AC3500" s="4" t="s">
        <v>8686</v>
      </c>
      <c r="AD3500" s="4" t="s">
        <v>8687</v>
      </c>
      <c r="AE3500" s="4" t="s">
        <v>8688</v>
      </c>
      <c r="AF3500" s="4" t="s">
        <v>3298</v>
      </c>
      <c r="AG3500" s="4" t="s">
        <v>3298</v>
      </c>
      <c r="AH3500" s="4" t="s">
        <v>3298</v>
      </c>
      <c r="AI3500" s="4" t="s">
        <v>3298</v>
      </c>
      <c r="AJ3500" s="4" t="s">
        <v>8689</v>
      </c>
      <c r="AK3500" s="4" t="s">
        <v>8690</v>
      </c>
      <c r="AL3500" s="4" t="s">
        <v>3298</v>
      </c>
      <c r="AM3500" s="4" t="s">
        <v>3298</v>
      </c>
      <c r="AN3500" s="4" t="s">
        <v>3298</v>
      </c>
      <c r="AO3500" s="4" t="s">
        <v>3298</v>
      </c>
      <c r="AP3500" s="4" t="s">
        <v>6425</v>
      </c>
      <c r="AQ3500" s="4" t="s">
        <v>3298</v>
      </c>
      <c r="AR3500" s="4" t="s">
        <v>6426</v>
      </c>
      <c r="AS3500" s="4" t="s">
        <v>6427</v>
      </c>
      <c r="AT3500" s="4" t="s">
        <v>6428</v>
      </c>
      <c r="AU3500" s="4" t="s">
        <v>3624</v>
      </c>
      <c r="AV3500" s="4" t="s">
        <v>6429</v>
      </c>
      <c r="AW3500" s="4" t="s">
        <v>2570</v>
      </c>
      <c r="AX3500" s="4" t="s">
        <v>3298</v>
      </c>
      <c r="AY3500" s="4" t="s">
        <v>3298</v>
      </c>
      <c r="AZ3500" s="4" t="s">
        <v>3298</v>
      </c>
      <c r="BA3500" s="4" t="s">
        <v>8691</v>
      </c>
      <c r="BB3500" s="4" t="s">
        <v>3298</v>
      </c>
      <c r="BC3500" s="4" t="s">
        <v>3298</v>
      </c>
    </row>
    <row r="3501">
      <c r="A3501" s="4">
        <v>437.0</v>
      </c>
      <c r="B3501" s="4" t="s">
        <v>8920</v>
      </c>
      <c r="C3501" s="4"/>
      <c r="D3501" s="4" t="s">
        <v>8692</v>
      </c>
      <c r="E3501" s="4" t="s">
        <v>8693</v>
      </c>
      <c r="F3501" s="4" t="s">
        <v>7100</v>
      </c>
      <c r="G3501" s="5" t="str">
        <f>IFERROR(__xludf.DUMMYFUNCTION("GOOGLETRANSLATE(D3501,""en"",""es"")"),"amapola")</f>
        <v>amapola</v>
      </c>
      <c r="H3501" s="4" t="s">
        <v>8692</v>
      </c>
    </row>
    <row r="3502">
      <c r="A3502" s="4">
        <v>438.0</v>
      </c>
      <c r="B3502" s="4" t="s">
        <v>8920</v>
      </c>
      <c r="C3502" s="4"/>
      <c r="D3502" s="4" t="s">
        <v>8694</v>
      </c>
      <c r="E3502" s="4" t="s">
        <v>8695</v>
      </c>
      <c r="F3502" s="4" t="s">
        <v>7101</v>
      </c>
      <c r="G3502" s="5" t="str">
        <f>IFERROR(__xludf.DUMMYFUNCTION("GOOGLETRANSLATE(D3502,""en"",""es"")"),"elegante")</f>
        <v>elegante</v>
      </c>
      <c r="H3502" s="4" t="s">
        <v>8696</v>
      </c>
      <c r="I3502" s="4" t="s">
        <v>8694</v>
      </c>
      <c r="J3502" s="4" t="s">
        <v>4725</v>
      </c>
    </row>
    <row r="3503">
      <c r="A3503" s="4">
        <v>439.0</v>
      </c>
      <c r="B3503" s="4" t="s">
        <v>8920</v>
      </c>
      <c r="C3503" s="4"/>
      <c r="D3503" s="4" t="s">
        <v>8697</v>
      </c>
      <c r="E3503" s="4" t="s">
        <v>8698</v>
      </c>
      <c r="F3503" s="4" t="s">
        <v>8699</v>
      </c>
      <c r="G3503" s="5" t="str">
        <f>IFERROR(__xludf.DUMMYFUNCTION("GOOGLETRANSLATE(D3503,""en"",""es"")"),"grupo")</f>
        <v>grupo</v>
      </c>
      <c r="H3503" s="4" t="s">
        <v>8697</v>
      </c>
      <c r="I3503" s="4" t="s">
        <v>8700</v>
      </c>
    </row>
    <row r="3504">
      <c r="A3504" s="4">
        <v>440.0</v>
      </c>
      <c r="B3504" s="4" t="s">
        <v>8920</v>
      </c>
      <c r="C3504" s="4"/>
      <c r="D3504" s="4" t="s">
        <v>8701</v>
      </c>
      <c r="E3504" s="4" t="s">
        <v>8702</v>
      </c>
      <c r="F3504" s="4" t="s">
        <v>398</v>
      </c>
      <c r="G3504" s="5" t="str">
        <f>IFERROR(__xludf.DUMMYFUNCTION("GOOGLETRANSLATE(D3504,""en"",""es"")"),"salmo")</f>
        <v>salmo</v>
      </c>
      <c r="H3504" s="4" t="s">
        <v>8703</v>
      </c>
      <c r="I3504" s="4" t="s">
        <v>8701</v>
      </c>
      <c r="J3504" s="4" t="s">
        <v>8701</v>
      </c>
    </row>
    <row r="3505">
      <c r="A3505" s="4">
        <v>441.0</v>
      </c>
      <c r="B3505" s="4" t="s">
        <v>8920</v>
      </c>
      <c r="C3505" s="4"/>
      <c r="D3505" s="4" t="s">
        <v>4433</v>
      </c>
      <c r="E3505" s="4" t="s">
        <v>7295</v>
      </c>
      <c r="F3505" s="4" t="s">
        <v>7296</v>
      </c>
      <c r="G3505" s="5" t="str">
        <f>IFERROR(__xludf.DUMMYFUNCTION("GOOGLETRANSLATE(D3505,""en"",""es"")"),"jalar")</f>
        <v>jalar</v>
      </c>
      <c r="H3505" s="4" t="s">
        <v>4433</v>
      </c>
      <c r="I3505" s="4" t="s">
        <v>7297</v>
      </c>
      <c r="J3505" s="4" t="s">
        <v>4433</v>
      </c>
      <c r="K3505" s="4" t="s">
        <v>4433</v>
      </c>
      <c r="L3505" s="4" t="s">
        <v>6602</v>
      </c>
      <c r="M3505" s="4" t="s">
        <v>4433</v>
      </c>
      <c r="N3505" s="4" t="s">
        <v>7298</v>
      </c>
      <c r="O3505" s="4" t="s">
        <v>7299</v>
      </c>
      <c r="P3505" s="4" t="s">
        <v>4433</v>
      </c>
      <c r="Q3505" s="4" t="s">
        <v>7300</v>
      </c>
      <c r="R3505" s="4" t="s">
        <v>4438</v>
      </c>
      <c r="S3505" s="4" t="s">
        <v>4433</v>
      </c>
      <c r="T3505" s="4" t="s">
        <v>4433</v>
      </c>
      <c r="U3505" s="4" t="s">
        <v>4433</v>
      </c>
      <c r="V3505" s="4" t="s">
        <v>3414</v>
      </c>
      <c r="W3505" s="4" t="s">
        <v>4434</v>
      </c>
      <c r="X3505" s="4" t="s">
        <v>7301</v>
      </c>
      <c r="Y3505" s="4" t="s">
        <v>4433</v>
      </c>
      <c r="Z3505" s="4" t="s">
        <v>7302</v>
      </c>
      <c r="AA3505" s="4" t="s">
        <v>3414</v>
      </c>
      <c r="AB3505" s="4" t="s">
        <v>7303</v>
      </c>
      <c r="AC3505" s="4" t="s">
        <v>4433</v>
      </c>
      <c r="AD3505" s="4" t="s">
        <v>4433</v>
      </c>
      <c r="AE3505" s="4" t="s">
        <v>7304</v>
      </c>
      <c r="AF3505" s="4" t="s">
        <v>7305</v>
      </c>
      <c r="AG3505" s="4" t="s">
        <v>4433</v>
      </c>
      <c r="AH3505" s="4" t="s">
        <v>3414</v>
      </c>
      <c r="AI3505" s="4" t="s">
        <v>4433</v>
      </c>
      <c r="AJ3505" s="4" t="s">
        <v>7306</v>
      </c>
      <c r="AK3505" s="4" t="s">
        <v>7307</v>
      </c>
      <c r="AL3505" s="4" t="s">
        <v>7308</v>
      </c>
      <c r="AM3505" s="4" t="s">
        <v>4433</v>
      </c>
      <c r="AN3505" s="4" t="s">
        <v>4433</v>
      </c>
      <c r="AO3505" s="4" t="s">
        <v>7309</v>
      </c>
      <c r="AP3505" s="4" t="s">
        <v>4433</v>
      </c>
      <c r="AQ3505" s="4" t="s">
        <v>3414</v>
      </c>
      <c r="AR3505" s="4" t="s">
        <v>4433</v>
      </c>
      <c r="AS3505" s="4" t="s">
        <v>4433</v>
      </c>
      <c r="AT3505" s="4" t="s">
        <v>7310</v>
      </c>
      <c r="AU3505" s="4" t="s">
        <v>7311</v>
      </c>
      <c r="AV3505" s="4" t="s">
        <v>4304</v>
      </c>
      <c r="AW3505" s="4" t="s">
        <v>4433</v>
      </c>
      <c r="AX3505" s="4" t="s">
        <v>4433</v>
      </c>
      <c r="AY3505" s="4" t="s">
        <v>6291</v>
      </c>
      <c r="AZ3505" s="4" t="s">
        <v>4433</v>
      </c>
      <c r="BA3505" s="4" t="s">
        <v>7312</v>
      </c>
      <c r="BB3505" s="4" t="s">
        <v>7313</v>
      </c>
      <c r="BC3505" s="4" t="s">
        <v>7314</v>
      </c>
      <c r="BD3505" s="4" t="s">
        <v>7315</v>
      </c>
      <c r="BE3505" s="4" t="s">
        <v>7316</v>
      </c>
      <c r="BF3505" s="4" t="s">
        <v>7306</v>
      </c>
      <c r="BG3505" s="4" t="s">
        <v>4433</v>
      </c>
      <c r="BH3505" s="4" t="s">
        <v>7317</v>
      </c>
      <c r="BI3505" s="4" t="s">
        <v>7308</v>
      </c>
      <c r="BJ3505" s="4" t="s">
        <v>7318</v>
      </c>
      <c r="BK3505" s="4" t="s">
        <v>4433</v>
      </c>
      <c r="BL3505" s="4" t="s">
        <v>7319</v>
      </c>
      <c r="BM3505" s="4" t="s">
        <v>4433</v>
      </c>
    </row>
    <row r="3506">
      <c r="A3506" s="4">
        <v>442.0</v>
      </c>
      <c r="B3506" s="4" t="s">
        <v>8920</v>
      </c>
      <c r="C3506" s="4"/>
      <c r="D3506" s="4" t="s">
        <v>7320</v>
      </c>
      <c r="E3506" s="4" t="s">
        <v>7321</v>
      </c>
      <c r="F3506" s="4" t="s">
        <v>3616</v>
      </c>
      <c r="G3506" s="5" t="str">
        <f>IFERROR(__xludf.DUMMYFUNCTION("GOOGLETRANSLATE(D3506,""en"",""es"")"),"polea")</f>
        <v>polea</v>
      </c>
      <c r="H3506" s="4" t="s">
        <v>7320</v>
      </c>
      <c r="I3506" s="4" t="s">
        <v>7322</v>
      </c>
      <c r="J3506" s="4" t="s">
        <v>7323</v>
      </c>
      <c r="K3506" s="4" t="s">
        <v>326</v>
      </c>
    </row>
    <row r="3507">
      <c r="A3507" s="4">
        <v>443.0</v>
      </c>
      <c r="B3507" s="4" t="s">
        <v>8920</v>
      </c>
      <c r="C3507" s="4"/>
      <c r="D3507" s="4" t="s">
        <v>697</v>
      </c>
      <c r="E3507" s="4" t="s">
        <v>7324</v>
      </c>
      <c r="F3507" s="4" t="s">
        <v>697</v>
      </c>
      <c r="G3507" s="5" t="str">
        <f>IFERROR(__xludf.DUMMYFUNCTION("GOOGLETRANSLATE(D3507,""en"",""es"")"),"empujar")</f>
        <v>empujar</v>
      </c>
      <c r="H3507" s="4" t="s">
        <v>697</v>
      </c>
      <c r="I3507" s="4" t="s">
        <v>7325</v>
      </c>
      <c r="J3507" s="4" t="s">
        <v>697</v>
      </c>
      <c r="K3507" s="4" t="s">
        <v>7326</v>
      </c>
      <c r="L3507" s="4" t="s">
        <v>7327</v>
      </c>
      <c r="M3507" s="4" t="s">
        <v>697</v>
      </c>
      <c r="N3507" s="4" t="s">
        <v>7328</v>
      </c>
      <c r="O3507" s="4" t="s">
        <v>7329</v>
      </c>
      <c r="P3507" s="4" t="s">
        <v>697</v>
      </c>
      <c r="Q3507" s="4" t="s">
        <v>7330</v>
      </c>
      <c r="R3507" s="4" t="s">
        <v>697</v>
      </c>
      <c r="S3507" s="4" t="s">
        <v>697</v>
      </c>
      <c r="T3507" s="4" t="s">
        <v>4434</v>
      </c>
      <c r="U3507" s="4" t="s">
        <v>697</v>
      </c>
      <c r="V3507" s="4" t="s">
        <v>698</v>
      </c>
      <c r="W3507" s="4" t="s">
        <v>7331</v>
      </c>
      <c r="X3507" s="4" t="s">
        <v>7332</v>
      </c>
      <c r="Y3507" s="4" t="s">
        <v>7333</v>
      </c>
      <c r="Z3507" s="4" t="s">
        <v>697</v>
      </c>
      <c r="AA3507" s="4" t="s">
        <v>7334</v>
      </c>
      <c r="AB3507" s="4" t="s">
        <v>7335</v>
      </c>
      <c r="AC3507" s="4" t="s">
        <v>7336</v>
      </c>
      <c r="AD3507" s="4" t="s">
        <v>697</v>
      </c>
      <c r="AE3507" s="4" t="s">
        <v>7337</v>
      </c>
      <c r="AF3507" s="4" t="s">
        <v>697</v>
      </c>
      <c r="AG3507" s="4" t="s">
        <v>697</v>
      </c>
      <c r="AH3507" s="4" t="s">
        <v>781</v>
      </c>
      <c r="AI3507" s="4" t="s">
        <v>7338</v>
      </c>
      <c r="AJ3507" s="4" t="s">
        <v>7339</v>
      </c>
      <c r="AK3507" s="4" t="s">
        <v>7340</v>
      </c>
      <c r="AL3507" s="4" t="s">
        <v>7341</v>
      </c>
      <c r="AM3507" s="4" t="s">
        <v>697</v>
      </c>
      <c r="AN3507" s="4" t="s">
        <v>7342</v>
      </c>
      <c r="AO3507" s="4" t="s">
        <v>697</v>
      </c>
      <c r="AP3507" s="4" t="s">
        <v>697</v>
      </c>
      <c r="AQ3507" s="4" t="s">
        <v>7340</v>
      </c>
      <c r="AR3507" s="4" t="s">
        <v>697</v>
      </c>
    </row>
    <row r="3508">
      <c r="A3508" s="4">
        <v>444.0</v>
      </c>
      <c r="B3508" s="4" t="s">
        <v>8920</v>
      </c>
      <c r="C3508" s="4"/>
      <c r="D3508" s="4" t="s">
        <v>2724</v>
      </c>
      <c r="E3508" s="4" t="s">
        <v>7347</v>
      </c>
      <c r="F3508" s="4" t="s">
        <v>3766</v>
      </c>
      <c r="G3508" s="5" t="str">
        <f>IFERROR(__xludf.DUMMYFUNCTION("GOOGLETRANSLATE(D3508,""en"",""es"")"),"cara")</f>
        <v>cara</v>
      </c>
      <c r="H3508" s="4" t="s">
        <v>3432</v>
      </c>
      <c r="I3508" s="4" t="s">
        <v>2724</v>
      </c>
      <c r="J3508" s="4" t="s">
        <v>2725</v>
      </c>
      <c r="K3508" s="4" t="s">
        <v>3433</v>
      </c>
      <c r="L3508" s="4" t="s">
        <v>3434</v>
      </c>
      <c r="M3508" s="4" t="s">
        <v>3435</v>
      </c>
      <c r="N3508" s="4" t="s">
        <v>2722</v>
      </c>
      <c r="O3508" s="4" t="s">
        <v>2723</v>
      </c>
      <c r="P3508" s="4" t="s">
        <v>2724</v>
      </c>
      <c r="Q3508" s="4" t="s">
        <v>2725</v>
      </c>
      <c r="R3508" s="4" t="s">
        <v>2726</v>
      </c>
      <c r="S3508" s="4" t="s">
        <v>7348</v>
      </c>
      <c r="T3508" s="4" t="s">
        <v>7349</v>
      </c>
      <c r="U3508" s="4" t="s">
        <v>3766</v>
      </c>
      <c r="V3508" s="4" t="s">
        <v>3768</v>
      </c>
      <c r="W3508" s="4" t="s">
        <v>3769</v>
      </c>
      <c r="X3508" s="4" t="s">
        <v>3770</v>
      </c>
      <c r="Y3508" s="4" t="s">
        <v>3771</v>
      </c>
      <c r="Z3508" s="4" t="s">
        <v>3772</v>
      </c>
    </row>
    <row r="3509">
      <c r="A3509" s="4">
        <v>445.0</v>
      </c>
      <c r="B3509" s="4" t="s">
        <v>8920</v>
      </c>
      <c r="C3509" s="4"/>
      <c r="D3509" s="4" t="s">
        <v>2725</v>
      </c>
      <c r="E3509" s="4" t="s">
        <v>8704</v>
      </c>
      <c r="F3509" s="4" t="s">
        <v>7351</v>
      </c>
      <c r="G3509" s="5" t="str">
        <f>IFERROR(__xludf.DUMMYFUNCTION("GOOGLETRANSLATE(D3509,""en"",""es"")"),"coño")</f>
        <v>coño</v>
      </c>
      <c r="H3509" s="4" t="s">
        <v>3432</v>
      </c>
      <c r="I3509" s="4" t="s">
        <v>2724</v>
      </c>
      <c r="J3509" s="4" t="s">
        <v>2725</v>
      </c>
      <c r="K3509" s="4" t="s">
        <v>3433</v>
      </c>
      <c r="L3509" s="4" t="s">
        <v>3434</v>
      </c>
      <c r="M3509" s="4" t="s">
        <v>3435</v>
      </c>
      <c r="N3509" s="4" t="s">
        <v>2722</v>
      </c>
      <c r="O3509" s="4" t="s">
        <v>2723</v>
      </c>
      <c r="P3509" s="4" t="s">
        <v>2724</v>
      </c>
      <c r="Q3509" s="4" t="s">
        <v>2725</v>
      </c>
      <c r="R3509" s="4" t="s">
        <v>2726</v>
      </c>
      <c r="S3509" s="4" t="s">
        <v>7352</v>
      </c>
      <c r="T3509" s="4" t="s">
        <v>2725</v>
      </c>
    </row>
    <row r="3510">
      <c r="A3510" s="4">
        <v>446.0</v>
      </c>
      <c r="B3510" s="4" t="s">
        <v>8920</v>
      </c>
      <c r="C3510" s="4"/>
      <c r="D3510" s="4" t="s">
        <v>8705</v>
      </c>
      <c r="E3510" s="4" t="s">
        <v>2013</v>
      </c>
      <c r="F3510" s="4" t="s">
        <v>2014</v>
      </c>
      <c r="G3510" s="5" t="str">
        <f>IFERROR(__xludf.DUMMYFUNCTION("GOOGLETRANSLATE(D3510,""en"",""es"")"),"muelle")</f>
        <v>muelle</v>
      </c>
      <c r="H3510" s="4" t="s">
        <v>8705</v>
      </c>
    </row>
    <row r="3511">
      <c r="A3511" s="4">
        <v>447.0</v>
      </c>
      <c r="B3511" s="4" t="s">
        <v>8920</v>
      </c>
      <c r="C3511" s="4"/>
      <c r="D3511" s="4" t="s">
        <v>3815</v>
      </c>
      <c r="E3511" s="4" t="s">
        <v>3816</v>
      </c>
      <c r="F3511" s="4" t="s">
        <v>3817</v>
      </c>
      <c r="G3511" s="5" t="str">
        <f>IFERROR(__xludf.DUMMYFUNCTION("GOOGLETRANSLATE(D3511,""en"",""es"")"),"quin")</f>
        <v>quin</v>
      </c>
      <c r="H3511" s="4" t="s">
        <v>7356</v>
      </c>
      <c r="I3511" s="4" t="s">
        <v>3825</v>
      </c>
      <c r="J3511" s="4" t="s">
        <v>3815</v>
      </c>
    </row>
    <row r="3512">
      <c r="A3512" s="4">
        <v>448.0</v>
      </c>
      <c r="B3512" s="4" t="s">
        <v>8920</v>
      </c>
      <c r="C3512" s="4"/>
      <c r="D3512" s="4" t="s">
        <v>8706</v>
      </c>
      <c r="E3512" s="4" t="s">
        <v>8707</v>
      </c>
      <c r="F3512" s="4" t="s">
        <v>8708</v>
      </c>
      <c r="G3512" s="5" t="str">
        <f>IFERROR(__xludf.DUMMYFUNCTION("GOOGLETRANSLATE(D3512,""en"",""es"")"),"quinina")</f>
        <v>quinina</v>
      </c>
      <c r="H3512" s="4" t="s">
        <v>8706</v>
      </c>
    </row>
    <row r="3513">
      <c r="A3513" s="4">
        <v>449.0</v>
      </c>
      <c r="B3513" s="4" t="s">
        <v>8920</v>
      </c>
      <c r="C3513" s="4"/>
      <c r="D3513" s="4" t="s">
        <v>7357</v>
      </c>
      <c r="E3513" s="4" t="s">
        <v>7358</v>
      </c>
      <c r="F3513" s="4" t="s">
        <v>7359</v>
      </c>
      <c r="G3513" s="5" t="str">
        <f>IFERROR(__xludf.DUMMYFUNCTION("GOOGLETRANSLATE(D3513,""en"",""es"")"),"quipu")</f>
        <v>quipu</v>
      </c>
      <c r="H3513" s="4" t="s">
        <v>7357</v>
      </c>
    </row>
    <row r="3514">
      <c r="A3514" s="4">
        <v>450.0</v>
      </c>
      <c r="B3514" s="4" t="s">
        <v>8920</v>
      </c>
      <c r="C3514" s="4"/>
      <c r="D3514" s="4" t="s">
        <v>3866</v>
      </c>
      <c r="E3514" s="4" t="s">
        <v>7360</v>
      </c>
      <c r="F3514" s="4" t="s">
        <v>3868</v>
      </c>
      <c r="G3514" s="5" t="str">
        <f>IFERROR(__xludf.DUMMYFUNCTION("GOOGLETRANSLATE(D3514,""en"",""es"")"),"saco")</f>
        <v>saco</v>
      </c>
      <c r="H3514" s="4" t="s">
        <v>7361</v>
      </c>
      <c r="I3514" s="4" t="s">
        <v>3866</v>
      </c>
      <c r="J3514" s="4" t="s">
        <v>1785</v>
      </c>
      <c r="K3514" s="4" t="s">
        <v>7362</v>
      </c>
      <c r="L3514" s="4" t="s">
        <v>7363</v>
      </c>
      <c r="M3514" s="4" t="s">
        <v>3866</v>
      </c>
      <c r="N3514" s="4" t="s">
        <v>7364</v>
      </c>
      <c r="O3514" s="4" t="s">
        <v>7365</v>
      </c>
      <c r="P3514" s="4" t="s">
        <v>3866</v>
      </c>
    </row>
    <row r="3515">
      <c r="A3515" s="4">
        <v>451.0</v>
      </c>
      <c r="B3515" s="4" t="s">
        <v>8920</v>
      </c>
      <c r="C3515" s="4"/>
      <c r="D3515" s="4" t="s">
        <v>1785</v>
      </c>
      <c r="E3515" s="4" t="s">
        <v>7360</v>
      </c>
      <c r="F3515" s="4" t="s">
        <v>3868</v>
      </c>
      <c r="G3515" s="5" t="str">
        <f>IFERROR(__xludf.DUMMYFUNCTION("GOOGLETRANSLATE(D3515,""en"",""es"")"),"bolsa")</f>
        <v>bolsa</v>
      </c>
      <c r="H3515" s="4" t="s">
        <v>1785</v>
      </c>
      <c r="I3515" s="4" t="s">
        <v>3489</v>
      </c>
      <c r="J3515" s="4" t="s">
        <v>7366</v>
      </c>
      <c r="K3515" s="4" t="s">
        <v>7367</v>
      </c>
      <c r="L3515" s="4" t="s">
        <v>7361</v>
      </c>
      <c r="M3515" s="4" t="s">
        <v>3866</v>
      </c>
      <c r="N3515" s="4" t="s">
        <v>1785</v>
      </c>
      <c r="O3515" s="4" t="s">
        <v>7362</v>
      </c>
      <c r="P3515" s="4" t="s">
        <v>1785</v>
      </c>
      <c r="Q3515" s="4" t="s">
        <v>3871</v>
      </c>
      <c r="R3515" s="4" t="s">
        <v>1785</v>
      </c>
      <c r="S3515" s="4" t="s">
        <v>1785</v>
      </c>
      <c r="T3515" s="4" t="s">
        <v>7368</v>
      </c>
      <c r="U3515" s="4" t="s">
        <v>1784</v>
      </c>
      <c r="V3515" s="4" t="s">
        <v>1785</v>
      </c>
      <c r="W3515" s="4" t="s">
        <v>7369</v>
      </c>
      <c r="X3515" s="4" t="s">
        <v>1785</v>
      </c>
      <c r="Y3515" s="4" t="s">
        <v>7370</v>
      </c>
      <c r="Z3515" s="4" t="s">
        <v>1785</v>
      </c>
      <c r="AA3515" s="4" t="s">
        <v>7371</v>
      </c>
      <c r="AB3515" s="4" t="s">
        <v>7372</v>
      </c>
      <c r="AC3515" s="4" t="s">
        <v>7373</v>
      </c>
      <c r="AD3515" s="4" t="s">
        <v>5527</v>
      </c>
      <c r="AE3515" s="4" t="s">
        <v>7374</v>
      </c>
      <c r="AF3515" s="4" t="s">
        <v>3379</v>
      </c>
      <c r="AG3515" s="4" t="s">
        <v>1785</v>
      </c>
      <c r="AH3515" s="4" t="s">
        <v>7375</v>
      </c>
      <c r="AI3515" s="4" t="s">
        <v>1785</v>
      </c>
      <c r="AJ3515" s="4" t="s">
        <v>3531</v>
      </c>
      <c r="AK3515" s="4" t="s">
        <v>5959</v>
      </c>
      <c r="AL3515" s="4" t="s">
        <v>907</v>
      </c>
      <c r="AM3515" s="4" t="s">
        <v>5960</v>
      </c>
      <c r="AN3515" s="4" t="s">
        <v>1120</v>
      </c>
      <c r="AO3515" s="4" t="s">
        <v>5961</v>
      </c>
      <c r="AP3515" s="4" t="s">
        <v>5962</v>
      </c>
      <c r="AQ3515" s="4" t="s">
        <v>5963</v>
      </c>
      <c r="AR3515" s="4" t="s">
        <v>1785</v>
      </c>
      <c r="AS3515" s="4" t="s">
        <v>5964</v>
      </c>
      <c r="AT3515" s="4" t="s">
        <v>5965</v>
      </c>
      <c r="AU3515" s="4" t="s">
        <v>952</v>
      </c>
      <c r="AV3515" s="4" t="s">
        <v>7376</v>
      </c>
      <c r="AW3515" s="4" t="s">
        <v>1785</v>
      </c>
      <c r="AX3515" s="4" t="s">
        <v>7377</v>
      </c>
      <c r="AY3515" s="4" t="s">
        <v>2682</v>
      </c>
      <c r="AZ3515" s="4" t="s">
        <v>1785</v>
      </c>
    </row>
    <row r="3516">
      <c r="A3516" s="4">
        <v>452.0</v>
      </c>
      <c r="B3516" s="4" t="s">
        <v>8920</v>
      </c>
      <c r="C3516" s="4"/>
      <c r="D3516" s="4" t="s">
        <v>7368</v>
      </c>
      <c r="E3516" s="4" t="s">
        <v>7360</v>
      </c>
      <c r="F3516" s="4" t="s">
        <v>3868</v>
      </c>
      <c r="G3516" s="5" t="str">
        <f>IFERROR(__xludf.DUMMYFUNCTION("GOOGLETRANSLATE(D3516,""en"",""es"")"),"sacque")</f>
        <v>sacque</v>
      </c>
      <c r="H3516" s="4" t="s">
        <v>1785</v>
      </c>
      <c r="I3516" s="4" t="s">
        <v>7368</v>
      </c>
    </row>
    <row r="3517">
      <c r="A3517" s="4">
        <v>453.0</v>
      </c>
      <c r="B3517" s="4" t="s">
        <v>8920</v>
      </c>
      <c r="C3517" s="4"/>
      <c r="D3517" s="4" t="s">
        <v>7378</v>
      </c>
      <c r="E3517" s="4" t="s">
        <v>7379</v>
      </c>
      <c r="F3517" s="4" t="s">
        <v>3955</v>
      </c>
      <c r="G3517" s="5" t="str">
        <f>IFERROR(__xludf.DUMMYFUNCTION("GOOGLETRANSLATE(D3517,""en"",""es"")"),"motivo")</f>
        <v>motivo</v>
      </c>
    </row>
    <row r="3518">
      <c r="A3518" s="4">
        <v>454.0</v>
      </c>
      <c r="B3518" s="4" t="s">
        <v>8920</v>
      </c>
      <c r="C3518" s="4"/>
      <c r="D3518" s="4" t="s">
        <v>7380</v>
      </c>
      <c r="E3518" s="4" t="s">
        <v>7381</v>
      </c>
      <c r="F3518" s="4" t="s">
        <v>4196</v>
      </c>
      <c r="G3518" s="5" t="str">
        <f>IFERROR(__xludf.DUMMYFUNCTION("GOOGLETRANSLATE(D3518,""en"",""es"")"),"sálico")</f>
        <v>sálico</v>
      </c>
    </row>
    <row r="3519">
      <c r="A3519" s="4">
        <v>455.0</v>
      </c>
      <c r="B3519" s="4" t="s">
        <v>8920</v>
      </c>
      <c r="C3519" s="4"/>
      <c r="D3519" s="4" t="s">
        <v>7382</v>
      </c>
      <c r="E3519" s="4" t="s">
        <v>7383</v>
      </c>
      <c r="F3519" s="4" t="s">
        <v>7384</v>
      </c>
      <c r="G3519" s="5" t="str">
        <f>IFERROR(__xludf.DUMMYFUNCTION("GOOGLETRANSLATE(D3519,""en"",""es"")"),"salicílico")</f>
        <v>salicílico</v>
      </c>
    </row>
    <row r="3520">
      <c r="A3520" s="4">
        <v>456.0</v>
      </c>
      <c r="B3520" s="4" t="s">
        <v>8920</v>
      </c>
      <c r="C3520" s="4"/>
      <c r="D3520" s="4" t="s">
        <v>7385</v>
      </c>
      <c r="E3520" s="4" t="s">
        <v>7386</v>
      </c>
      <c r="F3520" s="4" t="s">
        <v>7387</v>
      </c>
      <c r="G3520" s="5" t="str">
        <f>IFERROR(__xludf.DUMMYFUNCTION("GOOGLETRANSLATE(D3520,""en"",""es"")"),"salley")</f>
        <v>salley</v>
      </c>
    </row>
    <row r="3521">
      <c r="A3521" s="4">
        <v>457.0</v>
      </c>
      <c r="B3521" s="4" t="s">
        <v>8920</v>
      </c>
      <c r="C3521" s="4"/>
      <c r="D3521" s="4" t="s">
        <v>7388</v>
      </c>
      <c r="E3521" s="4" t="s">
        <v>7386</v>
      </c>
      <c r="F3521" s="4" t="s">
        <v>7387</v>
      </c>
      <c r="G3521" s="5" t="str">
        <f>IFERROR(__xludf.DUMMYFUNCTION("GOOGLETRANSLATE(D3521,""en"",""es"")"),"salida")</f>
        <v>salida</v>
      </c>
      <c r="H3521" s="4" t="s">
        <v>7389</v>
      </c>
      <c r="I3521" s="4" t="s">
        <v>7113</v>
      </c>
      <c r="J3521" s="4" t="s">
        <v>7388</v>
      </c>
      <c r="K3521" s="4" t="s">
        <v>7390</v>
      </c>
      <c r="L3521" s="4" t="s">
        <v>7391</v>
      </c>
      <c r="M3521" s="4" t="s">
        <v>7388</v>
      </c>
      <c r="N3521" s="4" t="s">
        <v>7388</v>
      </c>
      <c r="O3521" s="4" t="s">
        <v>7392</v>
      </c>
    </row>
    <row r="3522">
      <c r="A3522" s="4">
        <v>458.0</v>
      </c>
      <c r="B3522" s="4" t="s">
        <v>8920</v>
      </c>
      <c r="C3522" s="4"/>
      <c r="D3522" s="4" t="s">
        <v>398</v>
      </c>
      <c r="E3522" s="4" t="s">
        <v>7393</v>
      </c>
      <c r="F3522" s="4" t="s">
        <v>398</v>
      </c>
      <c r="G3522" s="5" t="str">
        <f>IFERROR(__xludf.DUMMYFUNCTION("GOOGLETRANSLATE(D3522,""en"",""es"")"),"sam")</f>
        <v>sam</v>
      </c>
      <c r="H3522" s="4" t="s">
        <v>7394</v>
      </c>
      <c r="I3522" s="4" t="s">
        <v>7395</v>
      </c>
    </row>
    <row r="3523">
      <c r="A3523" s="4">
        <v>459.0</v>
      </c>
      <c r="B3523" s="4" t="s">
        <v>8920</v>
      </c>
      <c r="C3523" s="4"/>
      <c r="D3523" s="4" t="s">
        <v>7396</v>
      </c>
      <c r="E3523" s="4" t="s">
        <v>7397</v>
      </c>
      <c r="F3523" s="4" t="s">
        <v>7398</v>
      </c>
      <c r="G3523" s="5" t="str">
        <f>IFERROR(__xludf.DUMMYFUNCTION("GOOGLETRANSLATE(D3523,""en"",""es"")"),"sammy")</f>
        <v>sammy</v>
      </c>
    </row>
    <row r="3524">
      <c r="A3524" s="4">
        <v>460.0</v>
      </c>
      <c r="B3524" s="4" t="s">
        <v>8920</v>
      </c>
      <c r="C3524" s="4"/>
      <c r="D3524" s="4" t="s">
        <v>7399</v>
      </c>
      <c r="E3524" s="4" t="s">
        <v>7400</v>
      </c>
      <c r="F3524" s="4" t="s">
        <v>7401</v>
      </c>
      <c r="G3524" s="5" t="str">
        <f>IFERROR(__xludf.DUMMYFUNCTION("GOOGLETRANSLATE(D3524,""en"",""es"")"),"cordura")</f>
        <v>cordura</v>
      </c>
      <c r="H3524" s="4" t="s">
        <v>7399</v>
      </c>
      <c r="I3524" s="4" t="s">
        <v>7402</v>
      </c>
    </row>
    <row r="3525">
      <c r="A3525" s="4">
        <v>461.0</v>
      </c>
      <c r="B3525" s="4" t="s">
        <v>8920</v>
      </c>
      <c r="C3525" s="4"/>
      <c r="D3525" s="4" t="s">
        <v>3951</v>
      </c>
      <c r="E3525" s="4" t="s">
        <v>7403</v>
      </c>
      <c r="F3525" s="4" t="s">
        <v>3951</v>
      </c>
      <c r="G3525" s="5" t="str">
        <f>IFERROR(__xludf.DUMMYFUNCTION("GOOGLETRANSLATE(D3525,""en"",""es"")"),"savia")</f>
        <v>savia</v>
      </c>
      <c r="H3525" s="4" t="s">
        <v>3951</v>
      </c>
      <c r="I3525" s="4" t="s">
        <v>3230</v>
      </c>
      <c r="J3525" s="4" t="s">
        <v>3951</v>
      </c>
      <c r="K3525" s="4" t="s">
        <v>7404</v>
      </c>
      <c r="L3525" s="4" t="s">
        <v>7405</v>
      </c>
      <c r="M3525" s="4" t="s">
        <v>7406</v>
      </c>
      <c r="N3525" s="4" t="s">
        <v>7407</v>
      </c>
      <c r="O3525" s="4" t="s">
        <v>7408</v>
      </c>
      <c r="P3525" s="4" t="s">
        <v>3951</v>
      </c>
      <c r="Q3525" s="4" t="s">
        <v>7409</v>
      </c>
      <c r="R3525" s="4" t="s">
        <v>7410</v>
      </c>
      <c r="S3525" s="4" t="s">
        <v>7411</v>
      </c>
      <c r="T3525" s="4" t="s">
        <v>3951</v>
      </c>
      <c r="U3525" s="4" t="s">
        <v>7412</v>
      </c>
      <c r="V3525" s="4" t="s">
        <v>3951</v>
      </c>
    </row>
    <row r="3526">
      <c r="A3526" s="4">
        <v>462.0</v>
      </c>
      <c r="B3526" s="4" t="s">
        <v>8920</v>
      </c>
      <c r="C3526" s="4"/>
      <c r="D3526" s="4" t="s">
        <v>7413</v>
      </c>
      <c r="E3526" s="4" t="s">
        <v>7414</v>
      </c>
      <c r="F3526" s="4" t="s">
        <v>7415</v>
      </c>
      <c r="G3526" s="5" t="str">
        <f>IFERROR(__xludf.DUMMYFUNCTION("GOOGLETRANSLATE(D3526,""en"",""es"")"),"lleno de savia")</f>
        <v>lleno de savia</v>
      </c>
      <c r="H3526" s="4" t="s">
        <v>7416</v>
      </c>
      <c r="I3526" s="4" t="s">
        <v>7417</v>
      </c>
      <c r="J3526" s="4" t="s">
        <v>7418</v>
      </c>
      <c r="K3526" s="4" t="s">
        <v>7413</v>
      </c>
      <c r="L3526" s="4" t="s">
        <v>7419</v>
      </c>
      <c r="M3526" s="4" t="s">
        <v>6509</v>
      </c>
      <c r="N3526" s="4" t="s">
        <v>6510</v>
      </c>
      <c r="O3526" s="4" t="s">
        <v>7420</v>
      </c>
      <c r="P3526" s="4" t="s">
        <v>7413</v>
      </c>
    </row>
    <row r="3527">
      <c r="A3527" s="4">
        <v>463.0</v>
      </c>
      <c r="B3527" s="4" t="s">
        <v>8920</v>
      </c>
      <c r="C3527" s="4"/>
      <c r="D3527" s="4" t="s">
        <v>7421</v>
      </c>
      <c r="E3527" s="4" t="s">
        <v>7422</v>
      </c>
      <c r="F3527" s="4" t="s">
        <v>7421</v>
      </c>
      <c r="G3527" s="5" t="str">
        <f>IFERROR(__xludf.DUMMYFUNCTION("GOOGLETRANSLATE(D3527,""en"",""es"")"),"faja")</f>
        <v>faja</v>
      </c>
      <c r="H3527" s="4" t="s">
        <v>7421</v>
      </c>
      <c r="I3527" s="4" t="s">
        <v>7423</v>
      </c>
      <c r="J3527" s="4" t="s">
        <v>7424</v>
      </c>
      <c r="K3527" s="4" t="s">
        <v>7425</v>
      </c>
      <c r="L3527" s="4" t="s">
        <v>7421</v>
      </c>
      <c r="M3527" s="4" t="s">
        <v>7426</v>
      </c>
      <c r="N3527" s="4" t="s">
        <v>7427</v>
      </c>
    </row>
    <row r="3528">
      <c r="A3528" s="4">
        <v>464.0</v>
      </c>
      <c r="B3528" s="4" t="s">
        <v>8920</v>
      </c>
      <c r="C3528" s="4"/>
      <c r="D3528" s="4" t="s">
        <v>7428</v>
      </c>
      <c r="E3528" s="4" t="s">
        <v>7429</v>
      </c>
      <c r="F3528" s="4" t="s">
        <v>7428</v>
      </c>
      <c r="G3528" s="5" t="str">
        <f>IFERROR(__xludf.DUMMYFUNCTION("GOOGLETRANSLATE(D3528,""en"",""es"")"),"sashimi")</f>
        <v>sashimi</v>
      </c>
      <c r="H3528" s="4" t="s">
        <v>7428</v>
      </c>
    </row>
    <row r="3529">
      <c r="A3529" s="4">
        <v>465.0</v>
      </c>
      <c r="B3529" s="4" t="s">
        <v>8920</v>
      </c>
      <c r="C3529" s="4"/>
      <c r="D3529" s="4" t="s">
        <v>7434</v>
      </c>
      <c r="E3529" s="4" t="s">
        <v>7430</v>
      </c>
      <c r="F3529" s="4" t="s">
        <v>7431</v>
      </c>
      <c r="G3529" s="5" t="str">
        <f>IFERROR(__xludf.DUMMYFUNCTION("GOOGLETRANSLATE(D3529,""en"",""es"")"),"sasse")</f>
        <v>sasse</v>
      </c>
    </row>
    <row r="3530">
      <c r="A3530" s="4">
        <v>466.0</v>
      </c>
      <c r="B3530" s="4" t="s">
        <v>8920</v>
      </c>
      <c r="C3530" s="4"/>
      <c r="D3530" s="4" t="s">
        <v>7435</v>
      </c>
      <c r="E3530" s="4" t="s">
        <v>8709</v>
      </c>
      <c r="F3530" s="4" t="s">
        <v>7437</v>
      </c>
      <c r="G3530" s="5" t="str">
        <f>IFERROR(__xludf.DUMMYFUNCTION("GOOGLETRANSLATE(D3530,""en"",""es"")"),"atrevido")</f>
        <v>atrevido</v>
      </c>
      <c r="H3530" s="4" t="s">
        <v>7438</v>
      </c>
      <c r="I3530" s="4" t="s">
        <v>7439</v>
      </c>
      <c r="J3530" s="4" t="s">
        <v>7440</v>
      </c>
      <c r="K3530" s="4" t="s">
        <v>7441</v>
      </c>
      <c r="L3530" s="4" t="s">
        <v>3502</v>
      </c>
      <c r="M3530" s="4" t="s">
        <v>7442</v>
      </c>
      <c r="N3530" s="4" t="s">
        <v>7435</v>
      </c>
      <c r="O3530" s="4" t="s">
        <v>7443</v>
      </c>
    </row>
    <row r="3531">
      <c r="A3531" s="4">
        <v>467.0</v>
      </c>
      <c r="B3531" s="4" t="s">
        <v>8920</v>
      </c>
      <c r="C3531" s="4"/>
      <c r="D3531" s="4" t="s">
        <v>7444</v>
      </c>
      <c r="E3531" s="4" t="s">
        <v>7445</v>
      </c>
      <c r="F3531" s="4" t="s">
        <v>7444</v>
      </c>
      <c r="G3531" s="5" t="str">
        <f>IFERROR(__xludf.DUMMYFUNCTION("GOOGLETRANSLATE(D3531,""en"",""es"")"),"satín")</f>
        <v>satín</v>
      </c>
      <c r="H3531" s="4" t="s">
        <v>7444</v>
      </c>
    </row>
    <row r="3532">
      <c r="A3532" s="4">
        <v>468.0</v>
      </c>
      <c r="B3532" s="4" t="s">
        <v>8920</v>
      </c>
      <c r="C3532" s="4"/>
      <c r="D3532" s="4" t="s">
        <v>8710</v>
      </c>
      <c r="E3532" s="4" t="s">
        <v>8711</v>
      </c>
      <c r="F3532" s="4" t="s">
        <v>7431</v>
      </c>
      <c r="G3532" s="5" t="str">
        <f>IFERROR(__xludf.DUMMYFUNCTION("GOOGLETRANSLATE(D3532,""en"",""es"")"),"salsa")</f>
        <v>salsa</v>
      </c>
      <c r="H3532" s="4" t="s">
        <v>8710</v>
      </c>
      <c r="I3532" s="4" t="s">
        <v>8710</v>
      </c>
      <c r="J3532" s="4" t="s">
        <v>8710</v>
      </c>
      <c r="K3532" s="4" t="s">
        <v>8710</v>
      </c>
    </row>
    <row r="3533">
      <c r="A3533" s="4">
        <v>469.0</v>
      </c>
      <c r="B3533" s="4" t="s">
        <v>8920</v>
      </c>
      <c r="C3533" s="4"/>
      <c r="D3533" s="4" t="s">
        <v>7442</v>
      </c>
      <c r="E3533" s="4" t="s">
        <v>8712</v>
      </c>
      <c r="F3533" s="4" t="s">
        <v>7437</v>
      </c>
      <c r="G3533" s="5" t="str">
        <f>IFERROR(__xludf.DUMMYFUNCTION("GOOGLETRANSLATE(D3533,""en"",""es"")"),"fresco")</f>
        <v>fresco</v>
      </c>
      <c r="H3533" s="4" t="s">
        <v>7439</v>
      </c>
      <c r="I3533" s="4" t="s">
        <v>8713</v>
      </c>
      <c r="J3533" s="4" t="s">
        <v>8714</v>
      </c>
      <c r="K3533" s="4" t="s">
        <v>7442</v>
      </c>
      <c r="L3533" s="4" t="s">
        <v>7438</v>
      </c>
      <c r="M3533" s="4" t="s">
        <v>7439</v>
      </c>
      <c r="N3533" s="4" t="s">
        <v>7440</v>
      </c>
      <c r="O3533" s="4" t="s">
        <v>7441</v>
      </c>
      <c r="P3533" s="4" t="s">
        <v>3502</v>
      </c>
      <c r="Q3533" s="4" t="s">
        <v>7442</v>
      </c>
      <c r="R3533" s="4" t="s">
        <v>7435</v>
      </c>
      <c r="S3533" s="4" t="s">
        <v>7443</v>
      </c>
    </row>
    <row r="3534">
      <c r="A3534" s="4">
        <v>470.0</v>
      </c>
      <c r="B3534" s="4" t="s">
        <v>8920</v>
      </c>
      <c r="C3534" s="4"/>
      <c r="D3534" s="4" t="s">
        <v>8715</v>
      </c>
      <c r="E3534" s="4" t="s">
        <v>8716</v>
      </c>
      <c r="F3534" s="4" t="s">
        <v>8717</v>
      </c>
      <c r="G3534" s="5" t="str">
        <f>IFERROR(__xludf.DUMMYFUNCTION("GOOGLETRANSLATE(D3534,""en"",""es"")"),"sault")</f>
        <v>sault</v>
      </c>
    </row>
    <row r="3535">
      <c r="A3535" s="4">
        <v>471.0</v>
      </c>
      <c r="B3535" s="4" t="s">
        <v>8920</v>
      </c>
      <c r="C3535" s="4"/>
      <c r="D3535" s="4" t="s">
        <v>7446</v>
      </c>
      <c r="E3535" s="4" t="s">
        <v>7447</v>
      </c>
      <c r="F3535" s="4" t="s">
        <v>7448</v>
      </c>
      <c r="G3535" s="5" t="str">
        <f>IFERROR(__xludf.DUMMYFUNCTION("GOOGLETRANSLATE(D3535,""en"",""es"")"),"recta")</f>
        <v>recta</v>
      </c>
      <c r="H3535" s="4" t="s">
        <v>7446</v>
      </c>
    </row>
    <row r="3536">
      <c r="A3536" s="4">
        <v>472.0</v>
      </c>
      <c r="B3536" s="4" t="s">
        <v>8920</v>
      </c>
      <c r="C3536" s="4"/>
      <c r="D3536" s="4" t="s">
        <v>7449</v>
      </c>
      <c r="E3536" s="4" t="s">
        <v>7450</v>
      </c>
      <c r="F3536" s="4" t="s">
        <v>7451</v>
      </c>
      <c r="G3536" s="5" t="str">
        <f>IFERROR(__xludf.DUMMYFUNCTION("GOOGLETRANSLATE(D3536,""en"",""es"")"),"semic")</f>
        <v>semic</v>
      </c>
    </row>
    <row r="3537">
      <c r="A3537" s="4">
        <v>473.0</v>
      </c>
      <c r="B3537" s="4" t="s">
        <v>8920</v>
      </c>
      <c r="C3537" s="4"/>
      <c r="D3537" s="4" t="s">
        <v>7452</v>
      </c>
      <c r="E3537" s="4" t="s">
        <v>7453</v>
      </c>
      <c r="F3537" s="4" t="s">
        <v>7454</v>
      </c>
      <c r="G3537" s="5" t="str">
        <f>IFERROR(__xludf.DUMMYFUNCTION("GOOGLETRANSLATE(D3537,""en"",""es"")"),"choza")</f>
        <v>choza</v>
      </c>
      <c r="H3537" s="4" t="s">
        <v>7455</v>
      </c>
      <c r="I3537" s="4" t="s">
        <v>7456</v>
      </c>
      <c r="J3537" s="4" t="s">
        <v>7457</v>
      </c>
      <c r="K3537" s="4" t="s">
        <v>7452</v>
      </c>
      <c r="L3537" s="4" t="s">
        <v>7458</v>
      </c>
      <c r="M3537" s="4" t="s">
        <v>7459</v>
      </c>
      <c r="N3537" s="4" t="s">
        <v>7452</v>
      </c>
      <c r="O3537" s="4" t="s">
        <v>3574</v>
      </c>
      <c r="P3537" s="4" t="s">
        <v>7460</v>
      </c>
      <c r="Q3537" s="4" t="s">
        <v>7461</v>
      </c>
      <c r="R3537" s="4" t="s">
        <v>7452</v>
      </c>
    </row>
    <row r="3538">
      <c r="A3538" s="4">
        <v>474.0</v>
      </c>
      <c r="B3538" s="4" t="s">
        <v>8920</v>
      </c>
      <c r="C3538" s="4"/>
      <c r="D3538" s="4" t="s">
        <v>3997</v>
      </c>
      <c r="E3538" s="4" t="s">
        <v>7462</v>
      </c>
      <c r="F3538" s="4" t="s">
        <v>3997</v>
      </c>
      <c r="G3538" s="5" t="str">
        <f>IFERROR(__xludf.DUMMYFUNCTION("GOOGLETRANSLATE(D3538,""en"",""es"")"),"impostor")</f>
        <v>impostor</v>
      </c>
      <c r="H3538" s="4" t="s">
        <v>6082</v>
      </c>
      <c r="I3538" s="4" t="s">
        <v>3997</v>
      </c>
      <c r="J3538" s="4" t="s">
        <v>7463</v>
      </c>
      <c r="K3538" s="4" t="s">
        <v>7464</v>
      </c>
      <c r="L3538" s="4" t="s">
        <v>7465</v>
      </c>
      <c r="M3538" s="4" t="s">
        <v>7466</v>
      </c>
      <c r="N3538" s="4" t="s">
        <v>6082</v>
      </c>
      <c r="O3538" s="4" t="s">
        <v>7467</v>
      </c>
      <c r="P3538" s="4" t="s">
        <v>5693</v>
      </c>
      <c r="Q3538" s="4" t="s">
        <v>3997</v>
      </c>
      <c r="R3538" s="4" t="s">
        <v>7468</v>
      </c>
      <c r="S3538" s="4" t="s">
        <v>7469</v>
      </c>
      <c r="T3538" s="4" t="s">
        <v>7470</v>
      </c>
      <c r="U3538" s="4" t="s">
        <v>7471</v>
      </c>
      <c r="V3538" s="4" t="s">
        <v>1911</v>
      </c>
      <c r="W3538" s="4" t="s">
        <v>883</v>
      </c>
      <c r="X3538" s="4" t="s">
        <v>3997</v>
      </c>
      <c r="Y3538" s="4" t="s">
        <v>3996</v>
      </c>
      <c r="Z3538" s="4" t="s">
        <v>3996</v>
      </c>
      <c r="AA3538" s="4" t="s">
        <v>3997</v>
      </c>
      <c r="AB3538" s="4" t="s">
        <v>3998</v>
      </c>
      <c r="AC3538" s="4" t="s">
        <v>3999</v>
      </c>
      <c r="AD3538" s="4" t="s">
        <v>4000</v>
      </c>
      <c r="AE3538" s="4" t="s">
        <v>7472</v>
      </c>
      <c r="AF3538" s="4" t="b">
        <v>0</v>
      </c>
      <c r="AG3538" s="4" t="s">
        <v>7473</v>
      </c>
      <c r="AH3538" s="4" t="s">
        <v>7474</v>
      </c>
      <c r="AI3538" s="4" t="s">
        <v>7475</v>
      </c>
      <c r="AJ3538" s="4" t="s">
        <v>7476</v>
      </c>
      <c r="AK3538" s="4" t="s">
        <v>3997</v>
      </c>
    </row>
    <row r="3539">
      <c r="A3539" s="4">
        <v>475.0</v>
      </c>
      <c r="B3539" s="4" t="s">
        <v>8920</v>
      </c>
      <c r="C3539" s="4"/>
      <c r="D3539" s="4" t="s">
        <v>7477</v>
      </c>
      <c r="E3539" s="4" t="s">
        <v>6008</v>
      </c>
      <c r="F3539" s="4" t="s">
        <v>6009</v>
      </c>
      <c r="G3539" s="5" t="str">
        <f>IFERROR(__xludf.DUMMYFUNCTION("GOOGLETRANSLATE(D3539,""en"",""es"")"),"ambiente")</f>
        <v>ambiente</v>
      </c>
    </row>
    <row r="3540">
      <c r="A3540" s="4">
        <v>476.0</v>
      </c>
      <c r="B3540" s="4" t="s">
        <v>8920</v>
      </c>
      <c r="C3540" s="4"/>
      <c r="D3540" s="4" t="s">
        <v>7478</v>
      </c>
      <c r="E3540" s="4" t="s">
        <v>7479</v>
      </c>
      <c r="F3540" s="4" t="s">
        <v>7478</v>
      </c>
      <c r="G3540" s="5" t="str">
        <f>IFERROR(__xludf.DUMMYFUNCTION("GOOGLETRANSLATE(D3540,""en"",""es"")"),"brocheta")</f>
        <v>brocheta</v>
      </c>
    </row>
    <row r="3541">
      <c r="A3541" s="4">
        <v>477.0</v>
      </c>
      <c r="B3541" s="4" t="s">
        <v>8920</v>
      </c>
      <c r="C3541" s="4"/>
      <c r="D3541" s="4" t="s">
        <v>7480</v>
      </c>
      <c r="E3541" s="4" t="s">
        <v>6014</v>
      </c>
      <c r="F3541" s="4" t="s">
        <v>6015</v>
      </c>
      <c r="G3541" s="5" t="str">
        <f>IFERROR(__xludf.DUMMYFUNCTION("GOOGLETRANSLATE(D3541,""en"",""es"")"),"trastornar")</f>
        <v>trastornar</v>
      </c>
    </row>
    <row r="3542">
      <c r="A3542" s="4">
        <v>478.0</v>
      </c>
      <c r="B3542" s="4" t="s">
        <v>8920</v>
      </c>
      <c r="C3542" s="4"/>
      <c r="D3542" s="4" t="s">
        <v>8718</v>
      </c>
      <c r="E3542" s="4" t="s">
        <v>277</v>
      </c>
      <c r="F3542" s="4" t="s">
        <v>278</v>
      </c>
      <c r="G3542" s="5" t="str">
        <f>IFERROR(__xludf.DUMMYFUNCTION("GOOGLETRANSLATE(D3542,""en"",""es"")"),"ella")</f>
        <v>ella</v>
      </c>
    </row>
    <row r="3543">
      <c r="A3543" s="4">
        <v>479.0</v>
      </c>
      <c r="B3543" s="4" t="s">
        <v>8920</v>
      </c>
      <c r="C3543" s="4"/>
      <c r="D3543" s="4" t="s">
        <v>7481</v>
      </c>
      <c r="E3543" s="4" t="s">
        <v>7482</v>
      </c>
      <c r="F3543" s="4" t="s">
        <v>7483</v>
      </c>
      <c r="G3543" s="5" t="str">
        <f>IFERROR(__xludf.DUMMYFUNCTION("GOOGLETRANSLATE(D3543,""en"",""es"")"),"caparazón")</f>
        <v>caparazón</v>
      </c>
    </row>
    <row r="3544">
      <c r="A3544" s="4">
        <v>480.0</v>
      </c>
      <c r="B3544" s="4" t="s">
        <v>8920</v>
      </c>
      <c r="C3544" s="4"/>
      <c r="D3544" s="4" t="s">
        <v>7484</v>
      </c>
      <c r="E3544" s="4" t="s">
        <v>277</v>
      </c>
      <c r="F3544" s="4" t="s">
        <v>278</v>
      </c>
      <c r="G3544" s="5" t="str">
        <f>IFERROR(__xludf.DUMMYFUNCTION("GOOGLETRANSLATE(D3544,""en"",""es"")"),"Ella a")</f>
        <v>Ella a</v>
      </c>
    </row>
    <row r="3545">
      <c r="A3545" s="4">
        <v>481.0</v>
      </c>
      <c r="B3545" s="4" t="s">
        <v>8920</v>
      </c>
      <c r="C3545" s="4"/>
      <c r="D3545" s="4" t="s">
        <v>8719</v>
      </c>
      <c r="E3545" s="4" t="s">
        <v>8720</v>
      </c>
      <c r="F3545" s="4" t="s">
        <v>8721</v>
      </c>
      <c r="G3545" s="5" t="str">
        <f>IFERROR(__xludf.DUMMYFUNCTION("GOOGLETRANSLATE(D3545,""en"",""es"")"),"vaina")</f>
        <v>vaina</v>
      </c>
      <c r="H3545" s="4" t="s">
        <v>8719</v>
      </c>
      <c r="I3545" s="4" t="s">
        <v>8719</v>
      </c>
      <c r="J3545" s="4" t="s">
        <v>1337</v>
      </c>
      <c r="K3545" s="4" t="s">
        <v>8722</v>
      </c>
      <c r="L3545" s="4" t="s">
        <v>8719</v>
      </c>
    </row>
    <row r="3546">
      <c r="A3546" s="4">
        <v>482.0</v>
      </c>
      <c r="B3546" s="4" t="s">
        <v>8920</v>
      </c>
      <c r="C3546" s="4"/>
      <c r="D3546" s="4" t="s">
        <v>8723</v>
      </c>
      <c r="E3546" s="4" t="s">
        <v>4714</v>
      </c>
      <c r="F3546" s="4" t="s">
        <v>4715</v>
      </c>
      <c r="G3546" s="5" t="str">
        <f>IFERROR(__xludf.DUMMYFUNCTION("GOOGLETRANSLATE(D3546,""en"",""es"")"),"oveja")</f>
        <v>oveja</v>
      </c>
      <c r="H3546" s="4" t="s">
        <v>8723</v>
      </c>
      <c r="I3546" s="4" t="s">
        <v>8723</v>
      </c>
      <c r="J3546" s="4" t="s">
        <v>8723</v>
      </c>
    </row>
    <row r="3547">
      <c r="A3547" s="4">
        <v>483.0</v>
      </c>
      <c r="B3547" s="4" t="s">
        <v>8920</v>
      </c>
      <c r="C3547" s="4"/>
      <c r="D3547" s="4" t="s">
        <v>8724</v>
      </c>
      <c r="E3547" s="4" t="s">
        <v>8725</v>
      </c>
      <c r="F3547" s="4" t="s">
        <v>8726</v>
      </c>
      <c r="G3547" s="5" t="str">
        <f>IFERROR(__xludf.DUMMYFUNCTION("GOOGLETRANSLATE(D3547,""en"",""es"")"),"shiitake")</f>
        <v>shiitake</v>
      </c>
      <c r="H3547" s="4" t="s">
        <v>8724</v>
      </c>
      <c r="I3547" s="4" t="s">
        <v>8727</v>
      </c>
      <c r="J3547" s="4" t="s">
        <v>8728</v>
      </c>
      <c r="K3547" s="4" t="s">
        <v>8729</v>
      </c>
      <c r="L3547" s="4" t="s">
        <v>8730</v>
      </c>
      <c r="M3547" s="4" t="s">
        <v>8731</v>
      </c>
    </row>
    <row r="3548">
      <c r="A3548" s="4">
        <v>484.0</v>
      </c>
      <c r="B3548" s="4" t="s">
        <v>8920</v>
      </c>
      <c r="C3548" s="4"/>
      <c r="D3548" s="4" t="s">
        <v>7485</v>
      </c>
      <c r="E3548" s="4" t="s">
        <v>7482</v>
      </c>
      <c r="F3548" s="4" t="s">
        <v>7483</v>
      </c>
      <c r="G3548" s="5" t="str">
        <f>IFERROR(__xludf.DUMMYFUNCTION("GOOGLETRANSLATE(D3548,""en"",""es"")"),"cómplice")</f>
        <v>cómplice</v>
      </c>
      <c r="H3548" s="4" t="s">
        <v>7485</v>
      </c>
      <c r="I3548" s="4" t="s">
        <v>7485</v>
      </c>
    </row>
    <row r="3549">
      <c r="A3549" s="4">
        <v>485.0</v>
      </c>
      <c r="B3549" s="4" t="s">
        <v>8920</v>
      </c>
      <c r="C3549" s="4"/>
      <c r="D3549" s="4" t="s">
        <v>7486</v>
      </c>
      <c r="E3549" s="4" t="s">
        <v>7487</v>
      </c>
      <c r="F3549" s="4" t="s">
        <v>7486</v>
      </c>
      <c r="G3549" s="5" t="str">
        <f>IFERROR(__xludf.DUMMYFUNCTION("GOOGLETRANSLATE(D3549,""en"",""es"")"),"calce")</f>
        <v>calce</v>
      </c>
      <c r="H3549" s="4" t="s">
        <v>7486</v>
      </c>
    </row>
    <row r="3550">
      <c r="A3550" s="4">
        <v>486.0</v>
      </c>
      <c r="B3550" s="4" t="s">
        <v>8920</v>
      </c>
      <c r="C3550" s="4"/>
      <c r="D3550" s="4" t="s">
        <v>7488</v>
      </c>
      <c r="E3550" s="4" t="s">
        <v>7489</v>
      </c>
      <c r="F3550" s="4" t="s">
        <v>7490</v>
      </c>
      <c r="G3550" s="5" t="str">
        <f>IFERROR(__xludf.DUMMYFUNCTION("GOOGLETRANSLATE(D3550,""en"",""es"")"),"camisa")</f>
        <v>camisa</v>
      </c>
      <c r="H3550" s="4" t="s">
        <v>7488</v>
      </c>
      <c r="I3550" s="4" t="s">
        <v>7369</v>
      </c>
      <c r="J3550" s="4" t="s">
        <v>7488</v>
      </c>
      <c r="K3550" s="4" t="s">
        <v>7370</v>
      </c>
      <c r="L3550" s="4" t="s">
        <v>3397</v>
      </c>
      <c r="M3550" s="4" t="s">
        <v>7491</v>
      </c>
      <c r="N3550" s="4" t="s">
        <v>7488</v>
      </c>
      <c r="O3550" s="4" t="s">
        <v>7488</v>
      </c>
      <c r="P3550" s="4" t="s">
        <v>7492</v>
      </c>
      <c r="Q3550" s="4" t="s">
        <v>7488</v>
      </c>
    </row>
    <row r="3551">
      <c r="A3551" s="4">
        <v>487.0</v>
      </c>
      <c r="B3551" s="4" t="s">
        <v>8920</v>
      </c>
      <c r="C3551" s="4"/>
      <c r="D3551" s="4" t="s">
        <v>1188</v>
      </c>
      <c r="E3551" s="4" t="s">
        <v>7493</v>
      </c>
      <c r="F3551" s="4" t="s">
        <v>1188</v>
      </c>
      <c r="G3551" s="5" t="str">
        <f>IFERROR(__xludf.DUMMYFUNCTION("GOOGLETRANSLATE(D3551,""en"",""es"")"),"espinilla")</f>
        <v>espinilla</v>
      </c>
      <c r="H3551" s="4" t="s">
        <v>1188</v>
      </c>
      <c r="I3551" s="4" t="s">
        <v>1188</v>
      </c>
      <c r="J3551" s="4" t="s">
        <v>7494</v>
      </c>
      <c r="K3551" s="4" t="s">
        <v>1188</v>
      </c>
      <c r="L3551" s="4" t="s">
        <v>7495</v>
      </c>
      <c r="M3551" s="4" t="s">
        <v>7496</v>
      </c>
      <c r="N3551" s="4" t="s">
        <v>7494</v>
      </c>
      <c r="O3551" s="4" t="s">
        <v>1188</v>
      </c>
      <c r="P3551" s="4" t="s">
        <v>7497</v>
      </c>
      <c r="Q3551" s="4" t="s">
        <v>7498</v>
      </c>
      <c r="R3551" s="4" t="s">
        <v>1188</v>
      </c>
      <c r="S3551" s="4" t="s">
        <v>7499</v>
      </c>
      <c r="T3551" s="4" t="s">
        <v>7500</v>
      </c>
      <c r="U3551" s="4" t="s">
        <v>7501</v>
      </c>
      <c r="V3551" s="4" t="s">
        <v>7502</v>
      </c>
    </row>
    <row r="3552">
      <c r="A3552" s="4">
        <v>488.0</v>
      </c>
      <c r="B3552" s="4" t="s">
        <v>8920</v>
      </c>
      <c r="C3552" s="4"/>
      <c r="D3552" s="4" t="s">
        <v>4715</v>
      </c>
      <c r="E3552" s="4" t="s">
        <v>7503</v>
      </c>
      <c r="F3552" s="4" t="s">
        <v>4715</v>
      </c>
      <c r="G3552" s="5" t="str">
        <f>IFERROR(__xludf.DUMMYFUNCTION("GOOGLETRANSLATE(D3552,""en"",""es"")"),"Embarcacion")</f>
        <v>Embarcacion</v>
      </c>
      <c r="H3552" s="4" t="s">
        <v>4715</v>
      </c>
      <c r="I3552" s="4" t="s">
        <v>7504</v>
      </c>
      <c r="J3552" s="4" t="s">
        <v>4429</v>
      </c>
      <c r="K3552" s="4" t="s">
        <v>4715</v>
      </c>
      <c r="L3552" s="4" t="s">
        <v>4715</v>
      </c>
      <c r="M3552" s="4" t="s">
        <v>7505</v>
      </c>
      <c r="N3552" s="4" t="s">
        <v>4715</v>
      </c>
      <c r="O3552" s="4" t="s">
        <v>4715</v>
      </c>
      <c r="P3552" s="4" t="s">
        <v>4715</v>
      </c>
    </row>
    <row r="3553">
      <c r="A3553" s="4">
        <v>489.0</v>
      </c>
      <c r="B3553" s="4" t="s">
        <v>8920</v>
      </c>
      <c r="C3553" s="4"/>
      <c r="D3553" s="4" t="s">
        <v>7506</v>
      </c>
      <c r="E3553" s="4" t="s">
        <v>7503</v>
      </c>
      <c r="F3553" s="4" t="s">
        <v>4715</v>
      </c>
      <c r="G3553" s="5" t="str">
        <f>IFERROR(__xludf.DUMMYFUNCTION("GOOGLETRANSLATE(D3553,""en"",""es"")"),"cargada")</f>
        <v>cargada</v>
      </c>
    </row>
    <row r="3554">
      <c r="A3554" s="4">
        <v>490.0</v>
      </c>
      <c r="B3554" s="4" t="s">
        <v>8920</v>
      </c>
      <c r="C3554" s="4"/>
      <c r="D3554" s="4" t="s">
        <v>7507</v>
      </c>
      <c r="E3554" s="4" t="s">
        <v>7508</v>
      </c>
      <c r="F3554" s="4" t="s">
        <v>7507</v>
      </c>
      <c r="G3554" s="5" t="str">
        <f>IFERROR(__xludf.DUMMYFUNCTION("GOOGLETRANSLATE(D3554,""en"",""es"")"),"shish")</f>
        <v>shish</v>
      </c>
    </row>
    <row r="3555">
      <c r="A3555" s="4">
        <v>491.0</v>
      </c>
      <c r="B3555" s="4" t="s">
        <v>8920</v>
      </c>
      <c r="C3555" s="4"/>
      <c r="D3555" s="4" t="s">
        <v>6336</v>
      </c>
      <c r="E3555" s="4" t="s">
        <v>7509</v>
      </c>
      <c r="F3555" s="4" t="s">
        <v>7510</v>
      </c>
      <c r="G3555" s="5" t="str">
        <f>IFERROR(__xludf.DUMMYFUNCTION("GOOGLETRANSLATE(D3555,""en"",""es"")"),"de mierda")</f>
        <v>de mierda</v>
      </c>
      <c r="H3555" s="4" t="s">
        <v>6330</v>
      </c>
      <c r="I3555" s="4" t="s">
        <v>6333</v>
      </c>
      <c r="J3555" s="4" t="s">
        <v>6334</v>
      </c>
      <c r="K3555" s="4" t="s">
        <v>6335</v>
      </c>
      <c r="L3555" s="4" t="s">
        <v>6336</v>
      </c>
      <c r="M3555" s="4" t="s">
        <v>6337</v>
      </c>
      <c r="N3555" s="4" t="s">
        <v>6338</v>
      </c>
    </row>
    <row r="3556">
      <c r="A3556" s="4">
        <v>492.0</v>
      </c>
      <c r="B3556" s="4" t="s">
        <v>8920</v>
      </c>
      <c r="C3556" s="4"/>
      <c r="D3556" s="4" t="s">
        <v>8732</v>
      </c>
      <c r="E3556" s="4" t="s">
        <v>8733</v>
      </c>
      <c r="F3556" s="4" t="s">
        <v>7454</v>
      </c>
      <c r="G3556" s="5" t="str">
        <f>IFERROR(__xludf.DUMMYFUNCTION("GOOGLETRANSLATE(D3556,""en"",""es"")"),"choque")</f>
        <v>choque</v>
      </c>
      <c r="H3556" s="4" t="s">
        <v>8734</v>
      </c>
      <c r="I3556" s="4" t="s">
        <v>8732</v>
      </c>
      <c r="J3556" s="4" t="s">
        <v>8735</v>
      </c>
      <c r="K3556" s="4" t="s">
        <v>8732</v>
      </c>
      <c r="L3556" s="4" t="s">
        <v>8736</v>
      </c>
      <c r="M3556" s="4" t="s">
        <v>8737</v>
      </c>
      <c r="N3556" s="4" t="s">
        <v>8738</v>
      </c>
      <c r="O3556" s="4" t="s">
        <v>8732</v>
      </c>
      <c r="P3556" s="4" t="s">
        <v>8732</v>
      </c>
      <c r="Q3556" s="4" t="s">
        <v>8732</v>
      </c>
      <c r="R3556" s="4" t="s">
        <v>8739</v>
      </c>
      <c r="S3556" s="4" t="s">
        <v>8732</v>
      </c>
      <c r="T3556" s="4" t="s">
        <v>4163</v>
      </c>
      <c r="U3556" s="4" t="s">
        <v>8732</v>
      </c>
      <c r="V3556" s="4" t="s">
        <v>8732</v>
      </c>
      <c r="W3556" s="4" t="s">
        <v>8740</v>
      </c>
      <c r="X3556" s="4" t="s">
        <v>4519</v>
      </c>
      <c r="Y3556" s="4" t="s">
        <v>8741</v>
      </c>
      <c r="Z3556" s="4" t="s">
        <v>8732</v>
      </c>
      <c r="AA3556" s="4" t="s">
        <v>8742</v>
      </c>
      <c r="AB3556" s="4" t="s">
        <v>8732</v>
      </c>
      <c r="AC3556" s="4" t="s">
        <v>1452</v>
      </c>
      <c r="AD3556" s="4" t="s">
        <v>8732</v>
      </c>
      <c r="AE3556" s="4" t="s">
        <v>3578</v>
      </c>
      <c r="AF3556" s="4" t="s">
        <v>8743</v>
      </c>
      <c r="AG3556" s="4" t="s">
        <v>8744</v>
      </c>
      <c r="AH3556" s="4" t="s">
        <v>8745</v>
      </c>
      <c r="AI3556" s="4" t="s">
        <v>8732</v>
      </c>
      <c r="AJ3556" s="4" t="s">
        <v>920</v>
      </c>
      <c r="AK3556" s="4" t="s">
        <v>8746</v>
      </c>
      <c r="AL3556" s="4" t="s">
        <v>8747</v>
      </c>
      <c r="AM3556" s="4" t="s">
        <v>8748</v>
      </c>
      <c r="AN3556" s="4" t="s">
        <v>8749</v>
      </c>
      <c r="AO3556" s="4" t="s">
        <v>8750</v>
      </c>
      <c r="AP3556" s="4" t="s">
        <v>8732</v>
      </c>
      <c r="AQ3556" s="4" t="s">
        <v>8732</v>
      </c>
      <c r="AR3556" s="4" t="s">
        <v>8732</v>
      </c>
      <c r="AS3556" s="4" t="s">
        <v>8732</v>
      </c>
      <c r="AT3556" s="4" t="s">
        <v>8751</v>
      </c>
      <c r="AU3556" s="4" t="s">
        <v>8752</v>
      </c>
      <c r="AV3556" s="4" t="s">
        <v>8732</v>
      </c>
    </row>
    <row r="3557">
      <c r="A3557" s="4">
        <v>493.0</v>
      </c>
      <c r="B3557" s="4" t="s">
        <v>8920</v>
      </c>
      <c r="C3557" s="4"/>
      <c r="D3557" s="4" t="s">
        <v>7511</v>
      </c>
      <c r="E3557" s="4" t="s">
        <v>7512</v>
      </c>
      <c r="F3557" s="4" t="s">
        <v>7513</v>
      </c>
      <c r="G3557" s="5" t="str">
        <f>IFERROR(__xludf.DUMMYFUNCTION("GOOGLETRANSLATE(D3557,""en"",""es"")"),"sacudirse")</f>
        <v>sacudirse</v>
      </c>
      <c r="H3557" s="4" t="s">
        <v>7511</v>
      </c>
      <c r="I3557" s="4" t="s">
        <v>2700</v>
      </c>
      <c r="J3557" s="4" t="s">
        <v>7342</v>
      </c>
      <c r="K3557" s="4" t="s">
        <v>2700</v>
      </c>
      <c r="L3557" s="4" t="s">
        <v>7514</v>
      </c>
      <c r="M3557" s="4" t="s">
        <v>7515</v>
      </c>
      <c r="N3557" s="4" t="s">
        <v>2700</v>
      </c>
      <c r="O3557" s="4" t="s">
        <v>7516</v>
      </c>
      <c r="P3557" s="4" t="s">
        <v>7517</v>
      </c>
      <c r="Q3557" s="4" t="s">
        <v>2700</v>
      </c>
      <c r="R3557" s="4" t="s">
        <v>2700</v>
      </c>
      <c r="S3557" s="4" t="s">
        <v>7518</v>
      </c>
      <c r="T3557" s="4" t="s">
        <v>2700</v>
      </c>
      <c r="U3557" s="4" t="s">
        <v>7519</v>
      </c>
      <c r="V3557" s="4" t="s">
        <v>709</v>
      </c>
      <c r="W3557" s="4" t="s">
        <v>7520</v>
      </c>
      <c r="X3557" s="4" t="s">
        <v>2700</v>
      </c>
      <c r="Y3557" s="4" t="s">
        <v>7521</v>
      </c>
      <c r="Z3557" s="4" t="s">
        <v>7522</v>
      </c>
      <c r="AA3557" s="4" t="s">
        <v>7523</v>
      </c>
      <c r="AB3557" s="4" t="s">
        <v>2700</v>
      </c>
      <c r="AC3557" s="4" t="s">
        <v>2700</v>
      </c>
    </row>
    <row r="3558">
      <c r="A3558" s="4">
        <v>494.0</v>
      </c>
      <c r="B3558" s="4" t="s">
        <v>8920</v>
      </c>
      <c r="C3558" s="4"/>
      <c r="D3558" s="4" t="s">
        <v>8753</v>
      </c>
      <c r="E3558" s="4" t="s">
        <v>8754</v>
      </c>
      <c r="F3558" s="4" t="s">
        <v>6012</v>
      </c>
      <c r="G3558" s="5" t="str">
        <f>IFERROR(__xludf.DUMMYFUNCTION("GOOGLETRANSLATE(D3558,""en"",""es"")"),"tienda")</f>
        <v>tienda</v>
      </c>
      <c r="H3558" s="4" t="s">
        <v>8753</v>
      </c>
      <c r="I3558" s="4" t="s">
        <v>487</v>
      </c>
      <c r="J3558" s="4" t="s">
        <v>8755</v>
      </c>
      <c r="K3558" s="4" t="s">
        <v>8753</v>
      </c>
      <c r="L3558" s="4" t="s">
        <v>8756</v>
      </c>
      <c r="M3558" s="4" t="s">
        <v>8753</v>
      </c>
      <c r="N3558" s="4" t="s">
        <v>8753</v>
      </c>
      <c r="O3558" s="4" t="s">
        <v>8757</v>
      </c>
      <c r="P3558" s="4" t="s">
        <v>8758</v>
      </c>
      <c r="Q3558" s="4" t="s">
        <v>8753</v>
      </c>
      <c r="R3558" s="4" t="s">
        <v>8759</v>
      </c>
      <c r="S3558" s="4" t="s">
        <v>8760</v>
      </c>
      <c r="T3558" s="4" t="s">
        <v>8761</v>
      </c>
      <c r="U3558" s="4" t="s">
        <v>8762</v>
      </c>
      <c r="V3558" s="4" t="s">
        <v>8753</v>
      </c>
      <c r="W3558" s="4" t="s">
        <v>8763</v>
      </c>
      <c r="X3558" s="4" t="s">
        <v>8764</v>
      </c>
      <c r="Y3558" s="4" t="s">
        <v>8765</v>
      </c>
      <c r="Z3558" s="4" t="s">
        <v>8766</v>
      </c>
      <c r="AA3558" s="4" t="s">
        <v>8767</v>
      </c>
      <c r="AB3558" s="4" t="s">
        <v>1143</v>
      </c>
      <c r="AC3558" s="4" t="s">
        <v>8768</v>
      </c>
      <c r="AD3558" s="4" t="s">
        <v>8769</v>
      </c>
      <c r="AE3558" s="4" t="s">
        <v>8753</v>
      </c>
      <c r="AF3558" s="4" t="s">
        <v>6294</v>
      </c>
      <c r="AG3558" s="4" t="s">
        <v>8770</v>
      </c>
    </row>
    <row r="3559">
      <c r="A3559" s="4">
        <v>495.0</v>
      </c>
      <c r="B3559" s="4" t="s">
        <v>8920</v>
      </c>
      <c r="C3559" s="4"/>
      <c r="D3559" s="4" t="s">
        <v>7524</v>
      </c>
      <c r="E3559" s="4" t="s">
        <v>7525</v>
      </c>
      <c r="F3559" s="4" t="s">
        <v>7524</v>
      </c>
      <c r="G3559" s="5" t="str">
        <f>IFERROR(__xludf.DUMMYFUNCTION("GOOGLETRANSLATE(D3559,""en"",""es"")"),"shul")</f>
        <v>shul</v>
      </c>
    </row>
    <row r="3560">
      <c r="A3560" s="4">
        <v>496.0</v>
      </c>
      <c r="B3560" s="4" t="s">
        <v>8920</v>
      </c>
      <c r="C3560" s="4"/>
      <c r="D3560" s="4" t="s">
        <v>7526</v>
      </c>
      <c r="E3560" s="4" t="s">
        <v>7527</v>
      </c>
      <c r="F3560" s="4" t="s">
        <v>7526</v>
      </c>
      <c r="G3560" s="5" t="str">
        <f>IFERROR(__xludf.DUMMYFUNCTION("GOOGLETRANSLATE(D3560,""en"",""es"")"),"silenciar")</f>
        <v>silenciar</v>
      </c>
      <c r="H3560" s="4" t="s">
        <v>7526</v>
      </c>
    </row>
    <row r="3561">
      <c r="A3561" s="4">
        <v>497.0</v>
      </c>
      <c r="B3561" s="4" t="s">
        <v>8920</v>
      </c>
      <c r="C3561" s="4"/>
      <c r="D3561" s="4" t="s">
        <v>401</v>
      </c>
      <c r="E3561" s="4" t="s">
        <v>400</v>
      </c>
      <c r="F3561" s="4" t="s">
        <v>401</v>
      </c>
      <c r="G3561" s="5" t="str">
        <f>IFERROR(__xludf.DUMMYFUNCTION("GOOGLETRANSLATE(D3561,""en"",""es"")"),"si")</f>
        <v>si</v>
      </c>
      <c r="H3561" s="4" t="s">
        <v>3976</v>
      </c>
      <c r="I3561" s="4" t="s">
        <v>3977</v>
      </c>
      <c r="J3561" s="4" t="s">
        <v>3978</v>
      </c>
      <c r="K3561" s="4" t="s">
        <v>7528</v>
      </c>
      <c r="L3561" s="4" t="s">
        <v>7529</v>
      </c>
      <c r="M3561" s="4" t="s">
        <v>7530</v>
      </c>
      <c r="N3561" s="4" t="s">
        <v>7531</v>
      </c>
      <c r="O3561" s="4" t="s">
        <v>7532</v>
      </c>
      <c r="P3561" s="4" t="s">
        <v>7533</v>
      </c>
      <c r="Q3561" s="4" t="s">
        <v>7534</v>
      </c>
      <c r="R3561" s="4" t="s">
        <v>422</v>
      </c>
      <c r="S3561" s="4" t="s">
        <v>3975</v>
      </c>
      <c r="T3561" s="4" t="s">
        <v>401</v>
      </c>
    </row>
    <row r="3562">
      <c r="A3562" s="4">
        <v>498.0</v>
      </c>
      <c r="B3562" s="4" t="s">
        <v>8920</v>
      </c>
      <c r="C3562" s="4"/>
      <c r="D3562" s="4" t="s">
        <v>401</v>
      </c>
      <c r="E3562" s="4" t="s">
        <v>7535</v>
      </c>
      <c r="F3562" s="4" t="s">
        <v>401</v>
      </c>
      <c r="G3562" s="5" t="str">
        <f>IFERROR(__xludf.DUMMYFUNCTION("GOOGLETRANSLATE(D3562,""en"",""es"")"),"si")</f>
        <v>si</v>
      </c>
      <c r="H3562" s="4" t="s">
        <v>3976</v>
      </c>
      <c r="I3562" s="4" t="s">
        <v>3977</v>
      </c>
      <c r="J3562" s="4" t="s">
        <v>3978</v>
      </c>
      <c r="K3562" s="4" t="s">
        <v>7528</v>
      </c>
      <c r="L3562" s="4" t="s">
        <v>7529</v>
      </c>
      <c r="M3562" s="4" t="s">
        <v>7530</v>
      </c>
      <c r="N3562" s="4" t="s">
        <v>7531</v>
      </c>
      <c r="O3562" s="4" t="s">
        <v>7532</v>
      </c>
      <c r="P3562" s="4" t="s">
        <v>7533</v>
      </c>
      <c r="Q3562" s="4" t="s">
        <v>7534</v>
      </c>
      <c r="R3562" s="4" t="s">
        <v>422</v>
      </c>
      <c r="S3562" s="4" t="s">
        <v>3975</v>
      </c>
      <c r="T3562" s="4" t="s">
        <v>401</v>
      </c>
    </row>
    <row r="3563">
      <c r="A3563" s="4">
        <v>499.0</v>
      </c>
      <c r="B3563" s="4" t="s">
        <v>8920</v>
      </c>
      <c r="C3563" s="4"/>
      <c r="D3563" s="4" t="s">
        <v>7536</v>
      </c>
      <c r="E3563" s="4" t="s">
        <v>7537</v>
      </c>
      <c r="F3563" s="4" t="s">
        <v>7538</v>
      </c>
      <c r="G3563" s="5" t="str">
        <f>IFERROR(__xludf.DUMMYFUNCTION("GOOGLETRANSLATE(D3563,""en"",""es"")"),"sic")</f>
        <v>sic</v>
      </c>
      <c r="H3563" s="4" t="s">
        <v>7536</v>
      </c>
      <c r="I3563" s="4" t="s">
        <v>7539</v>
      </c>
      <c r="J3563" s="4" t="s">
        <v>7536</v>
      </c>
    </row>
    <row r="3564">
      <c r="A3564" s="4">
        <v>500.0</v>
      </c>
      <c r="B3564" s="4" t="s">
        <v>8920</v>
      </c>
      <c r="C3564" s="4"/>
      <c r="D3564" s="4" t="s">
        <v>4402</v>
      </c>
      <c r="E3564" s="4" t="s">
        <v>7537</v>
      </c>
      <c r="F3564" s="4" t="s">
        <v>7538</v>
      </c>
      <c r="G3564" s="5" t="str">
        <f>IFERROR(__xludf.DUMMYFUNCTION("GOOGLETRANSLATE(D3564,""en"",""es"")"),"enfermo")</f>
        <v>enfermo</v>
      </c>
      <c r="H3564" s="4" t="s">
        <v>4402</v>
      </c>
      <c r="I3564" s="4" t="s">
        <v>7540</v>
      </c>
      <c r="J3564" s="4" t="s">
        <v>7541</v>
      </c>
      <c r="K3564" s="4" t="s">
        <v>7542</v>
      </c>
      <c r="L3564" s="4" t="s">
        <v>5158</v>
      </c>
      <c r="M3564" s="4" t="s">
        <v>4402</v>
      </c>
      <c r="N3564" s="4" t="s">
        <v>4845</v>
      </c>
      <c r="O3564" s="4" t="s">
        <v>7543</v>
      </c>
      <c r="P3564" s="4" t="s">
        <v>7544</v>
      </c>
      <c r="Q3564" s="4" t="s">
        <v>7545</v>
      </c>
      <c r="R3564" s="4" t="s">
        <v>7546</v>
      </c>
      <c r="S3564" s="4" t="s">
        <v>1148</v>
      </c>
      <c r="T3564" s="4" t="s">
        <v>7547</v>
      </c>
      <c r="U3564" s="4" t="s">
        <v>7548</v>
      </c>
      <c r="V3564" s="4" t="s">
        <v>7549</v>
      </c>
      <c r="W3564" s="4" t="s">
        <v>7550</v>
      </c>
      <c r="X3564" s="4" t="s">
        <v>7551</v>
      </c>
      <c r="Y3564" s="4" t="s">
        <v>4087</v>
      </c>
      <c r="Z3564" s="4" t="s">
        <v>7552</v>
      </c>
      <c r="AA3564" s="4" t="s">
        <v>7553</v>
      </c>
      <c r="AB3564" s="4" t="s">
        <v>2345</v>
      </c>
      <c r="AC3564" s="4" t="s">
        <v>4402</v>
      </c>
      <c r="AD3564" s="4" t="s">
        <v>7554</v>
      </c>
      <c r="AE3564" s="4" t="s">
        <v>7555</v>
      </c>
      <c r="AF3564" s="4" t="s">
        <v>7556</v>
      </c>
      <c r="AG3564" s="4" t="s">
        <v>4402</v>
      </c>
      <c r="AH3564" s="4" t="s">
        <v>7557</v>
      </c>
      <c r="AI3564" s="4" t="s">
        <v>7558</v>
      </c>
      <c r="AJ3564" s="4" t="s">
        <v>7559</v>
      </c>
      <c r="AK3564" s="4" t="s">
        <v>7560</v>
      </c>
      <c r="AL3564" s="4" t="s">
        <v>7561</v>
      </c>
      <c r="AM3564" s="4" t="s">
        <v>7562</v>
      </c>
      <c r="AN3564" s="4" t="s">
        <v>4402</v>
      </c>
      <c r="AO3564" s="4" t="s">
        <v>7563</v>
      </c>
      <c r="AP3564" s="4" t="s">
        <v>7564</v>
      </c>
      <c r="AQ3564" s="4" t="s">
        <v>4400</v>
      </c>
      <c r="AR3564" s="4" t="s">
        <v>4401</v>
      </c>
      <c r="AS3564" s="4" t="s">
        <v>4402</v>
      </c>
      <c r="AT3564" s="4" t="s">
        <v>4403</v>
      </c>
      <c r="AU3564" s="4" t="s">
        <v>4404</v>
      </c>
      <c r="AV3564" s="4" t="s">
        <v>7565</v>
      </c>
      <c r="AW3564" s="4" t="s">
        <v>7566</v>
      </c>
      <c r="AX3564" s="4" t="s">
        <v>7567</v>
      </c>
      <c r="AY3564" s="4" t="s">
        <v>4402</v>
      </c>
      <c r="AZ3564" s="4" t="s">
        <v>4402</v>
      </c>
      <c r="BA3564" s="4" t="s">
        <v>7568</v>
      </c>
      <c r="BB3564" s="4" t="s">
        <v>7569</v>
      </c>
      <c r="BC3564" s="4" t="s">
        <v>7570</v>
      </c>
      <c r="BD3564" s="4" t="s">
        <v>7571</v>
      </c>
      <c r="BE3564" s="4" t="s">
        <v>7572</v>
      </c>
      <c r="BF3564" s="4" t="s">
        <v>4402</v>
      </c>
    </row>
    <row r="3565">
      <c r="A3565" s="4">
        <v>501.0</v>
      </c>
      <c r="B3565" s="4" t="s">
        <v>8920</v>
      </c>
      <c r="C3565" s="4"/>
      <c r="D3565" s="4" t="s">
        <v>7573</v>
      </c>
      <c r="E3565" s="4" t="s">
        <v>7574</v>
      </c>
      <c r="F3565" s="4" t="s">
        <v>5573</v>
      </c>
      <c r="G3565" s="5" t="str">
        <f>IFERROR(__xludf.DUMMYFUNCTION("GOOGLETRANSLATE(D3565,""en"",""es"")"),"enfermo")</f>
        <v>enfermo</v>
      </c>
    </row>
    <row r="3566">
      <c r="A3566" s="4">
        <v>502.0</v>
      </c>
      <c r="B3566" s="4" t="s">
        <v>8920</v>
      </c>
      <c r="C3566" s="4"/>
      <c r="D3566" s="4" t="s">
        <v>7575</v>
      </c>
      <c r="E3566" s="4" t="s">
        <v>7537</v>
      </c>
      <c r="F3566" s="4" t="s">
        <v>7538</v>
      </c>
      <c r="G3566" s="5" t="str">
        <f>IFERROR(__xludf.DUMMYFUNCTION("GOOGLETRANSLATE(D3566,""en"",""es"")"),"sij")</f>
        <v>sij</v>
      </c>
      <c r="H3566" s="4" t="s">
        <v>7576</v>
      </c>
      <c r="I3566" s="4" t="s">
        <v>7576</v>
      </c>
    </row>
    <row r="3567">
      <c r="A3567" s="4">
        <v>503.0</v>
      </c>
      <c r="B3567" s="4" t="s">
        <v>8920</v>
      </c>
      <c r="C3567" s="4"/>
      <c r="D3567" s="4" t="s">
        <v>7577</v>
      </c>
      <c r="E3567" s="4" t="s">
        <v>7578</v>
      </c>
      <c r="F3567" s="4" t="s">
        <v>7579</v>
      </c>
      <c r="G3567" s="5" t="str">
        <f>IFERROR(__xludf.DUMMYFUNCTION("GOOGLETRANSLATE(D3567,""en"",""es"")"),"sikkim")</f>
        <v>sikkim</v>
      </c>
      <c r="H3567" s="4" t="s">
        <v>7580</v>
      </c>
    </row>
    <row r="3568">
      <c r="A3568" s="4">
        <v>504.0</v>
      </c>
      <c r="B3568" s="4" t="s">
        <v>8920</v>
      </c>
      <c r="C3568" s="4"/>
      <c r="D3568" s="4" t="s">
        <v>7581</v>
      </c>
      <c r="E3568" s="4" t="s">
        <v>7582</v>
      </c>
      <c r="F3568" s="4" t="s">
        <v>7583</v>
      </c>
      <c r="G3568" s="5" t="str">
        <f>IFERROR(__xludf.DUMMYFUNCTION("GOOGLETRANSLATE(D3568,""en"",""es"")"),"silíque")</f>
        <v>silíque</v>
      </c>
      <c r="H3568" s="4" t="s">
        <v>7581</v>
      </c>
      <c r="I3568" s="4" t="s">
        <v>7584</v>
      </c>
    </row>
    <row r="3569">
      <c r="A3569" s="4">
        <v>505.0</v>
      </c>
      <c r="B3569" s="4" t="s">
        <v>8920</v>
      </c>
      <c r="C3569" s="4"/>
      <c r="D3569" s="4" t="s">
        <v>7585</v>
      </c>
      <c r="E3569" s="4" t="s">
        <v>7586</v>
      </c>
      <c r="F3569" s="4" t="s">
        <v>7587</v>
      </c>
      <c r="G3569" s="5" t="str">
        <f>IFERROR(__xludf.DUMMYFUNCTION("GOOGLETRANSLATE(D3569,""en"",""es"")"),"umbral")</f>
        <v>umbral</v>
      </c>
      <c r="H3569" s="4" t="s">
        <v>7585</v>
      </c>
      <c r="I3569" s="4" t="s">
        <v>7585</v>
      </c>
    </row>
    <row r="3570">
      <c r="A3570" s="4">
        <v>506.0</v>
      </c>
      <c r="B3570" s="4" t="s">
        <v>8920</v>
      </c>
      <c r="C3570" s="4"/>
      <c r="D3570" s="4" t="s">
        <v>7588</v>
      </c>
      <c r="E3570" s="4" t="s">
        <v>7589</v>
      </c>
      <c r="F3570" s="4" t="s">
        <v>7590</v>
      </c>
      <c r="G3570" s="5" t="str">
        <f>IFERROR(__xludf.DUMMYFUNCTION("GOOGLETRANSLATE(D3570,""en"",""es"")"),"tontería")</f>
        <v>tontería</v>
      </c>
      <c r="H3570" s="4" t="s">
        <v>7591</v>
      </c>
      <c r="I3570" s="4" t="s">
        <v>7592</v>
      </c>
      <c r="J3570" s="4" t="s">
        <v>7593</v>
      </c>
      <c r="K3570" s="4" t="s">
        <v>7588</v>
      </c>
      <c r="L3570" s="4" t="s">
        <v>7594</v>
      </c>
      <c r="M3570" s="4" t="s">
        <v>7588</v>
      </c>
    </row>
    <row r="3571">
      <c r="A3571" s="4">
        <v>507.0</v>
      </c>
      <c r="B3571" s="4" t="s">
        <v>8920</v>
      </c>
      <c r="C3571" s="4"/>
      <c r="D3571" s="4" t="s">
        <v>7419</v>
      </c>
      <c r="E3571" s="4" t="s">
        <v>7595</v>
      </c>
      <c r="F3571" s="4" t="s">
        <v>7596</v>
      </c>
      <c r="G3571" s="5" t="str">
        <f>IFERROR(__xludf.DUMMYFUNCTION("GOOGLETRANSLATE(D3571,""en"",""es"")"),"tonto")</f>
        <v>tonto</v>
      </c>
      <c r="H3571" s="4" t="s">
        <v>7419</v>
      </c>
      <c r="I3571" s="4" t="s">
        <v>7416</v>
      </c>
      <c r="J3571" s="4" t="s">
        <v>7417</v>
      </c>
      <c r="K3571" s="4" t="s">
        <v>7418</v>
      </c>
      <c r="L3571" s="4" t="s">
        <v>7413</v>
      </c>
      <c r="M3571" s="4" t="s">
        <v>7419</v>
      </c>
      <c r="N3571" s="4" t="s">
        <v>6509</v>
      </c>
      <c r="O3571" s="4" t="s">
        <v>6510</v>
      </c>
      <c r="P3571" s="4" t="s">
        <v>7420</v>
      </c>
      <c r="Q3571" s="4" t="s">
        <v>7597</v>
      </c>
      <c r="R3571" s="4" t="s">
        <v>7598</v>
      </c>
      <c r="S3571" s="4" t="s">
        <v>7599</v>
      </c>
      <c r="T3571" s="4" t="s">
        <v>7600</v>
      </c>
      <c r="U3571" s="4" t="s">
        <v>7601</v>
      </c>
      <c r="V3571" s="4" t="s">
        <v>7602</v>
      </c>
      <c r="W3571" s="4" t="s">
        <v>7603</v>
      </c>
      <c r="X3571" s="4" t="s">
        <v>7419</v>
      </c>
      <c r="Y3571" s="4" t="s">
        <v>7604</v>
      </c>
      <c r="Z3571" s="4" t="s">
        <v>7605</v>
      </c>
      <c r="AA3571" s="4" t="s">
        <v>7419</v>
      </c>
      <c r="AB3571" s="4" t="s">
        <v>7606</v>
      </c>
      <c r="AC3571" s="4" t="s">
        <v>7419</v>
      </c>
      <c r="AD3571" s="4" t="s">
        <v>7607</v>
      </c>
    </row>
    <row r="3572">
      <c r="A3572" s="4">
        <v>508.0</v>
      </c>
      <c r="B3572" s="4" t="s">
        <v>8920</v>
      </c>
      <c r="C3572" s="4"/>
      <c r="D3572" s="4" t="s">
        <v>1399</v>
      </c>
      <c r="E3572" s="4" t="s">
        <v>7608</v>
      </c>
      <c r="F3572" s="4" t="s">
        <v>1399</v>
      </c>
      <c r="G3572" s="5" t="str">
        <f>IFERROR(__xludf.DUMMYFUNCTION("GOOGLETRANSLATE(D3572,""en"",""es"")"),"simulador")</f>
        <v>simulador</v>
      </c>
    </row>
    <row r="3573">
      <c r="A3573" s="4">
        <v>509.0</v>
      </c>
      <c r="B3573" s="4" t="s">
        <v>8920</v>
      </c>
      <c r="C3573" s="4"/>
      <c r="D3573" s="4" t="s">
        <v>404</v>
      </c>
      <c r="E3573" s="4" t="s">
        <v>7609</v>
      </c>
      <c r="F3573" s="4" t="s">
        <v>404</v>
      </c>
      <c r="G3573" s="5" t="str">
        <f>IFERROR(__xludf.DUMMYFUNCTION("GOOGLETRANSLATE(D3573,""en"",""es"")"),"pecado")</f>
        <v>pecado</v>
      </c>
      <c r="H3573" s="4" t="s">
        <v>404</v>
      </c>
      <c r="I3573" s="4" t="s">
        <v>7610</v>
      </c>
      <c r="J3573" s="4" t="s">
        <v>7611</v>
      </c>
      <c r="K3573" s="4" t="s">
        <v>404</v>
      </c>
      <c r="L3573" s="4" t="s">
        <v>7612</v>
      </c>
      <c r="M3573" s="4" t="s">
        <v>4003</v>
      </c>
      <c r="N3573" s="4" t="s">
        <v>404</v>
      </c>
      <c r="O3573" s="4" t="s">
        <v>7613</v>
      </c>
      <c r="P3573" s="4" t="s">
        <v>404</v>
      </c>
      <c r="Q3573" s="4" t="s">
        <v>404</v>
      </c>
      <c r="R3573" s="4" t="s">
        <v>7614</v>
      </c>
      <c r="S3573" s="4" t="s">
        <v>404</v>
      </c>
      <c r="T3573" s="4" t="s">
        <v>7615</v>
      </c>
      <c r="U3573" s="4" t="s">
        <v>7616</v>
      </c>
      <c r="V3573" s="4" t="s">
        <v>7617</v>
      </c>
      <c r="W3573" s="4" t="s">
        <v>404</v>
      </c>
      <c r="X3573" s="4" t="s">
        <v>7618</v>
      </c>
      <c r="Y3573" s="4" t="s">
        <v>3240</v>
      </c>
      <c r="Z3573" s="4" t="s">
        <v>7619</v>
      </c>
    </row>
    <row r="3574">
      <c r="A3574" s="4">
        <v>510.0</v>
      </c>
      <c r="B3574" s="4" t="s">
        <v>8920</v>
      </c>
      <c r="C3574" s="4"/>
      <c r="D3574" s="4" t="s">
        <v>7620</v>
      </c>
      <c r="E3574" s="4" t="s">
        <v>6107</v>
      </c>
      <c r="F3574" s="4" t="s">
        <v>1712</v>
      </c>
      <c r="G3574" s="5" t="str">
        <f>IFERROR(__xludf.DUMMYFUNCTION("GOOGLETRANSLATE(D3574,""en"",""es"")"),"sinico")</f>
        <v>sinico</v>
      </c>
    </row>
    <row r="3575">
      <c r="A3575" s="4">
        <v>511.0</v>
      </c>
      <c r="B3575" s="4" t="s">
        <v>8920</v>
      </c>
      <c r="C3575" s="4"/>
      <c r="D3575" s="4" t="s">
        <v>7621</v>
      </c>
      <c r="E3575" s="4" t="s">
        <v>7622</v>
      </c>
      <c r="F3575" s="4" t="s">
        <v>7623</v>
      </c>
      <c r="G3575" s="5" t="str">
        <f>IFERROR(__xludf.DUMMYFUNCTION("GOOGLETRANSLATE(D3575,""en"",""es"")"),"sinítico")</f>
        <v>sinítico</v>
      </c>
      <c r="H3575" s="4" t="s">
        <v>7624</v>
      </c>
      <c r="I3575" s="4" t="s">
        <v>7625</v>
      </c>
      <c r="J3575" s="4" t="s">
        <v>7624</v>
      </c>
    </row>
    <row r="3576">
      <c r="A3576" s="4">
        <v>512.0</v>
      </c>
      <c r="B3576" s="4" t="s">
        <v>8920</v>
      </c>
      <c r="C3576" s="4"/>
      <c r="D3576" s="4" t="s">
        <v>7626</v>
      </c>
      <c r="E3576" s="4" t="s">
        <v>7627</v>
      </c>
      <c r="F3576" s="4" t="s">
        <v>7626</v>
      </c>
      <c r="G3576" s="5" t="str">
        <f>IFERROR(__xludf.DUMMYFUNCTION("GOOGLETRANSLATE(D3576,""en"",""es"")"),"sorbo")</f>
        <v>sorbo</v>
      </c>
      <c r="H3576" s="4" t="s">
        <v>7626</v>
      </c>
      <c r="I3576" s="4" t="s">
        <v>7626</v>
      </c>
    </row>
    <row r="3577">
      <c r="A3577" s="4">
        <v>513.0</v>
      </c>
      <c r="B3577" s="4" t="s">
        <v>8920</v>
      </c>
      <c r="C3577" s="4"/>
      <c r="D3577" s="4" t="s">
        <v>4004</v>
      </c>
      <c r="E3577" s="4" t="s">
        <v>6053</v>
      </c>
      <c r="F3577" s="4" t="s">
        <v>4004</v>
      </c>
      <c r="G3577" s="5" t="str">
        <f>IFERROR(__xludf.DUMMYFUNCTION("GOOGLETRANSLATE(D3577,""en"",""es"")"),"hermana")</f>
        <v>hermana</v>
      </c>
      <c r="H3577" s="4" t="s">
        <v>2285</v>
      </c>
      <c r="I3577" s="4" t="s">
        <v>4004</v>
      </c>
      <c r="J3577" s="4" t="s">
        <v>3976</v>
      </c>
      <c r="K3577" s="4" t="s">
        <v>3977</v>
      </c>
      <c r="L3577" s="4" t="s">
        <v>3978</v>
      </c>
      <c r="M3577" s="4" t="s">
        <v>7528</v>
      </c>
      <c r="N3577" s="4" t="s">
        <v>7529</v>
      </c>
      <c r="O3577" s="4" t="s">
        <v>7530</v>
      </c>
      <c r="P3577" s="4" t="s">
        <v>7531</v>
      </c>
      <c r="Q3577" s="4" t="s">
        <v>7532</v>
      </c>
      <c r="R3577" s="4" t="s">
        <v>7533</v>
      </c>
      <c r="S3577" s="4" t="s">
        <v>7534</v>
      </c>
      <c r="T3577" s="4" t="s">
        <v>422</v>
      </c>
      <c r="U3577" s="4" t="s">
        <v>3975</v>
      </c>
      <c r="V3577" s="4" t="s">
        <v>401</v>
      </c>
    </row>
    <row r="3578">
      <c r="A3578" s="4">
        <v>514.0</v>
      </c>
      <c r="B3578" s="4" t="s">
        <v>8920</v>
      </c>
      <c r="C3578" s="4"/>
      <c r="D3578" s="4" t="s">
        <v>6067</v>
      </c>
      <c r="E3578" s="4" t="s">
        <v>6060</v>
      </c>
      <c r="F3578" s="4" t="s">
        <v>6061</v>
      </c>
      <c r="G3578" s="5" t="str">
        <f>IFERROR(__xludf.DUMMYFUNCTION("GOOGLETRANSLATE(D3578,""en"",""es"")"),"marica")</f>
        <v>marica</v>
      </c>
      <c r="H3578" s="4" t="s">
        <v>6067</v>
      </c>
      <c r="I3578" s="4" t="s">
        <v>7628</v>
      </c>
      <c r="J3578" s="4" t="s">
        <v>2487</v>
      </c>
      <c r="K3578" s="4" t="s">
        <v>7629</v>
      </c>
      <c r="L3578" s="4" t="s">
        <v>7630</v>
      </c>
      <c r="M3578" s="4" t="s">
        <v>6062</v>
      </c>
      <c r="N3578" s="4" t="s">
        <v>6063</v>
      </c>
      <c r="O3578" s="4" t="s">
        <v>6064</v>
      </c>
      <c r="P3578" s="4" t="s">
        <v>6059</v>
      </c>
      <c r="Q3578" s="4" t="s">
        <v>6065</v>
      </c>
      <c r="R3578" s="4" t="s">
        <v>6066</v>
      </c>
      <c r="S3578" s="4" t="s">
        <v>6067</v>
      </c>
    </row>
    <row r="3579">
      <c r="A3579" s="4">
        <v>515.0</v>
      </c>
      <c r="B3579" s="4" t="s">
        <v>8920</v>
      </c>
      <c r="C3579" s="4"/>
      <c r="D3579" s="4" t="s">
        <v>7631</v>
      </c>
      <c r="E3579" s="4" t="s">
        <v>7632</v>
      </c>
      <c r="F3579" s="4" t="s">
        <v>7631</v>
      </c>
      <c r="G3579" s="5" t="str">
        <f>IFERROR(__xludf.DUMMYFUNCTION("GOOGLETRANSLATE(D3579,""en"",""es"")"),"sith")</f>
        <v>sith</v>
      </c>
    </row>
    <row r="3580">
      <c r="A3580" s="4">
        <v>516.0</v>
      </c>
      <c r="B3580" s="4" t="s">
        <v>8920</v>
      </c>
      <c r="C3580" s="4"/>
      <c r="D3580" s="4" t="s">
        <v>7633</v>
      </c>
      <c r="E3580" s="4" t="s">
        <v>2038</v>
      </c>
      <c r="F3580" s="4" t="s">
        <v>2037</v>
      </c>
      <c r="G3580" s="5" t="str">
        <f>IFERROR(__xludf.DUMMYFUNCTION("GOOGLETRANSLATE(D3580,""en"",""es"")"),"hacia el cielo")</f>
        <v>hacia el cielo</v>
      </c>
    </row>
    <row r="3581">
      <c r="A3581" s="4">
        <v>517.0</v>
      </c>
      <c r="B3581" s="4" t="s">
        <v>8920</v>
      </c>
      <c r="C3581" s="4"/>
      <c r="D3581" s="4" t="s">
        <v>7633</v>
      </c>
      <c r="E3581" s="4" t="s">
        <v>7634</v>
      </c>
      <c r="F3581" s="4" t="s">
        <v>2037</v>
      </c>
      <c r="G3581" s="5" t="str">
        <f>IFERROR(__xludf.DUMMYFUNCTION("GOOGLETRANSLATE(D3581,""en"",""es"")"),"hacia el cielo")</f>
        <v>hacia el cielo</v>
      </c>
    </row>
    <row r="3582">
      <c r="A3582" s="4">
        <v>518.0</v>
      </c>
      <c r="B3582" s="4" t="s">
        <v>8920</v>
      </c>
      <c r="C3582" s="4"/>
      <c r="D3582" s="4" t="s">
        <v>8771</v>
      </c>
      <c r="E3582" s="4" t="s">
        <v>8772</v>
      </c>
      <c r="F3582" s="4" t="s">
        <v>3868</v>
      </c>
      <c r="G3582" s="5" t="str">
        <f>IFERROR(__xludf.DUMMYFUNCTION("GOOGLETRANSLATE(D3582,""en"",""es"")"),"sociedad")</f>
        <v>sociedad</v>
      </c>
    </row>
    <row r="3583">
      <c r="A3583" s="4">
        <v>519.0</v>
      </c>
      <c r="B3583" s="4" t="s">
        <v>8920</v>
      </c>
      <c r="C3583" s="4"/>
      <c r="D3583" s="4" t="s">
        <v>8773</v>
      </c>
      <c r="E3583" s="4" t="s">
        <v>8772</v>
      </c>
      <c r="F3583" s="4" t="s">
        <v>3868</v>
      </c>
      <c r="G3583" s="5" t="str">
        <f>IFERROR(__xludf.DUMMYFUNCTION("GOOGLETRANSLATE(D3583,""en"",""es"")"),"calcetín")</f>
        <v>calcetín</v>
      </c>
      <c r="H3583" s="4" t="s">
        <v>8773</v>
      </c>
      <c r="I3583" s="4" t="s">
        <v>8774</v>
      </c>
      <c r="J3583" s="4" t="s">
        <v>8775</v>
      </c>
      <c r="K3583" s="4" t="s">
        <v>8773</v>
      </c>
      <c r="L3583" s="4" t="s">
        <v>8776</v>
      </c>
      <c r="M3583" s="4" t="s">
        <v>8777</v>
      </c>
      <c r="N3583" s="4" t="s">
        <v>8778</v>
      </c>
      <c r="O3583" s="4" t="s">
        <v>8779</v>
      </c>
      <c r="P3583" s="4" t="s">
        <v>8780</v>
      </c>
      <c r="Q3583" s="4" t="s">
        <v>8773</v>
      </c>
      <c r="R3583" s="4" t="s">
        <v>8781</v>
      </c>
      <c r="S3583" s="4" t="s">
        <v>8782</v>
      </c>
      <c r="T3583" s="4" t="s">
        <v>8783</v>
      </c>
      <c r="U3583" s="4" t="s">
        <v>8784</v>
      </c>
      <c r="V3583" s="4" t="s">
        <v>8410</v>
      </c>
    </row>
    <row r="3584">
      <c r="A3584" s="4">
        <v>520.0</v>
      </c>
      <c r="B3584" s="4" t="s">
        <v>8920</v>
      </c>
      <c r="C3584" s="4"/>
      <c r="D3584" s="4" t="s">
        <v>8785</v>
      </c>
      <c r="E3584" s="4" t="s">
        <v>8786</v>
      </c>
      <c r="F3584" s="4" t="s">
        <v>3882</v>
      </c>
      <c r="G3584" s="5" t="str">
        <f>IFERROR(__xludf.DUMMYFUNCTION("GOOGLETRANSLATE(D3584,""en"",""es"")"),"Sol")</f>
        <v>Sol</v>
      </c>
      <c r="H3584" s="4" t="s">
        <v>8785</v>
      </c>
      <c r="I3584" s="4" t="s">
        <v>8787</v>
      </c>
      <c r="J3584" s="4" t="s">
        <v>8788</v>
      </c>
      <c r="K3584" s="4" t="s">
        <v>8789</v>
      </c>
      <c r="L3584" s="4" t="s">
        <v>8785</v>
      </c>
      <c r="M3584" s="4" t="s">
        <v>8790</v>
      </c>
      <c r="N3584" s="4" t="s">
        <v>8791</v>
      </c>
    </row>
    <row r="3585">
      <c r="A3585" s="4">
        <v>521.0</v>
      </c>
      <c r="B3585" s="4" t="s">
        <v>8920</v>
      </c>
      <c r="C3585" s="4"/>
      <c r="D3585" s="4" t="s">
        <v>7635</v>
      </c>
      <c r="E3585" s="4" t="s">
        <v>4109</v>
      </c>
      <c r="F3585" s="4" t="s">
        <v>415</v>
      </c>
      <c r="G3585" s="5" t="str">
        <f>IFERROR(__xludf.DUMMYFUNCTION("GOOGLETRANSLATE(D3585,""en"",""es"")"),"tan bien")</f>
        <v>tan bien</v>
      </c>
    </row>
    <row r="3586">
      <c r="A3586" s="4">
        <v>522.0</v>
      </c>
      <c r="B3586" s="4" t="s">
        <v>8920</v>
      </c>
      <c r="C3586" s="4"/>
      <c r="D3586" s="4" t="s">
        <v>7635</v>
      </c>
      <c r="E3586" s="4" t="s">
        <v>7636</v>
      </c>
      <c r="F3586" s="4" t="s">
        <v>415</v>
      </c>
      <c r="G3586" s="5" t="str">
        <f>IFERROR(__xludf.DUMMYFUNCTION("GOOGLETRANSLATE(D3586,""en"",""es"")"),"tan bien")</f>
        <v>tan bien</v>
      </c>
    </row>
    <row r="3587">
      <c r="A3587" s="4">
        <v>523.0</v>
      </c>
      <c r="B3587" s="4" t="s">
        <v>8920</v>
      </c>
      <c r="C3587" s="4"/>
      <c r="D3587" s="4" t="s">
        <v>7637</v>
      </c>
      <c r="E3587" s="4" t="s">
        <v>7638</v>
      </c>
      <c r="F3587" s="4" t="s">
        <v>7639</v>
      </c>
      <c r="G3587" s="5" t="str">
        <f>IFERROR(__xludf.DUMMYFUNCTION("GOOGLETRANSLATE(D3587,""en"",""es"")"),"holliniento")</f>
        <v>holliniento</v>
      </c>
      <c r="H3587" s="4" t="s">
        <v>7640</v>
      </c>
      <c r="I3587" s="4" t="s">
        <v>7641</v>
      </c>
      <c r="J3587" s="4" t="s">
        <v>7642</v>
      </c>
      <c r="K3587" s="4" t="s">
        <v>7643</v>
      </c>
      <c r="L3587" s="4" t="s">
        <v>7637</v>
      </c>
      <c r="M3587" s="4" t="s">
        <v>7637</v>
      </c>
    </row>
    <row r="3588">
      <c r="A3588" s="4">
        <v>524.0</v>
      </c>
      <c r="B3588" s="4" t="s">
        <v>8920</v>
      </c>
      <c r="C3588" s="4"/>
      <c r="D3588" s="4" t="s">
        <v>7644</v>
      </c>
      <c r="E3588" s="4" t="s">
        <v>7645</v>
      </c>
      <c r="F3588" s="4" t="s">
        <v>7646</v>
      </c>
      <c r="G3588" s="5" t="str">
        <f>IFERROR(__xludf.DUMMYFUNCTION("GOOGLETRANSLATE(D3588,""en"",""es"")"),"sotho")</f>
        <v>sotho</v>
      </c>
      <c r="H3588" s="4" t="s">
        <v>7647</v>
      </c>
      <c r="I3588" s="4" t="s">
        <v>7647</v>
      </c>
      <c r="J3588" s="4" t="s">
        <v>7647</v>
      </c>
    </row>
    <row r="3589">
      <c r="A3589" s="4">
        <v>525.0</v>
      </c>
      <c r="B3589" s="4" t="s">
        <v>8920</v>
      </c>
      <c r="C3589" s="4"/>
      <c r="D3589" s="4" t="s">
        <v>8792</v>
      </c>
      <c r="E3589" s="4" t="s">
        <v>8793</v>
      </c>
      <c r="F3589" s="4" t="s">
        <v>8794</v>
      </c>
      <c r="G3589" s="5" t="str">
        <f>IFERROR(__xludf.DUMMYFUNCTION("GOOGLETRANSLATE(D3589,""en"",""es"")"),"sopa")</f>
        <v>sopa</v>
      </c>
      <c r="H3589" s="4" t="s">
        <v>8792</v>
      </c>
      <c r="I3589" s="4" t="s">
        <v>8792</v>
      </c>
      <c r="J3589" s="4" t="s">
        <v>8792</v>
      </c>
      <c r="K3589" s="4" t="s">
        <v>8792</v>
      </c>
    </row>
    <row r="3590">
      <c r="A3590" s="4">
        <v>526.0</v>
      </c>
      <c r="B3590" s="4" t="s">
        <v>8920</v>
      </c>
      <c r="C3590" s="4"/>
      <c r="D3590" s="4" t="s">
        <v>6915</v>
      </c>
      <c r="E3590" s="4" t="s">
        <v>4155</v>
      </c>
      <c r="F3590" s="4" t="s">
        <v>4156</v>
      </c>
      <c r="G3590" s="5" t="str">
        <f>IFERROR(__xludf.DUMMYFUNCTION("GOOGLETRANSLATE(D3590,""en"",""es"")"),"espeso")</f>
        <v>espeso</v>
      </c>
      <c r="H3590" s="4" t="s">
        <v>6915</v>
      </c>
      <c r="I3590" s="4" t="s">
        <v>6905</v>
      </c>
      <c r="J3590" s="4" t="s">
        <v>6906</v>
      </c>
      <c r="K3590" s="4" t="s">
        <v>6907</v>
      </c>
      <c r="L3590" s="4" t="s">
        <v>6908</v>
      </c>
      <c r="M3590" s="4" t="s">
        <v>6909</v>
      </c>
      <c r="N3590" s="4" t="s">
        <v>6910</v>
      </c>
      <c r="O3590" s="4" t="s">
        <v>6903</v>
      </c>
      <c r="P3590" s="4" t="s">
        <v>6911</v>
      </c>
      <c r="Q3590" s="4" t="s">
        <v>6912</v>
      </c>
      <c r="R3590" s="4" t="s">
        <v>6913</v>
      </c>
      <c r="S3590" s="4" t="s">
        <v>6914</v>
      </c>
      <c r="T3590" s="4" t="s">
        <v>6915</v>
      </c>
      <c r="U3590" s="4" t="s">
        <v>6916</v>
      </c>
    </row>
    <row r="3591">
      <c r="A3591" s="4">
        <v>527.0</v>
      </c>
      <c r="B3591" s="4" t="s">
        <v>8920</v>
      </c>
      <c r="C3591" s="4"/>
      <c r="D3591" s="4" t="s">
        <v>8717</v>
      </c>
      <c r="E3591" s="4" t="s">
        <v>8716</v>
      </c>
      <c r="F3591" s="4" t="s">
        <v>8717</v>
      </c>
      <c r="G3591" s="5" t="str">
        <f>IFERROR(__xludf.DUMMYFUNCTION("GOOGLETRANSLATE(D3591,""en"",""es"")"),"SU")</f>
        <v>SU</v>
      </c>
    </row>
    <row r="3592">
      <c r="A3592" s="4">
        <v>528.0</v>
      </c>
      <c r="B3592" s="4" t="s">
        <v>8920</v>
      </c>
      <c r="C3592" s="4"/>
      <c r="D3592" s="4" t="s">
        <v>7648</v>
      </c>
      <c r="E3592" s="4" t="s">
        <v>7649</v>
      </c>
      <c r="F3592" s="4" t="s">
        <v>7650</v>
      </c>
      <c r="G3592" s="5" t="str">
        <f>IFERROR(__xludf.DUMMYFUNCTION("GOOGLETRANSLATE(D3592,""en"",""es"")"),"sunita")</f>
        <v>sunita</v>
      </c>
      <c r="H3592" s="4" t="s">
        <v>7651</v>
      </c>
      <c r="I3592" s="4" t="s">
        <v>7652</v>
      </c>
      <c r="J3592" s="4" t="s">
        <v>7653</v>
      </c>
      <c r="K3592" s="4" t="s">
        <v>7652</v>
      </c>
      <c r="L3592" s="4" t="s">
        <v>7654</v>
      </c>
    </row>
    <row r="3593">
      <c r="A3593" s="4">
        <v>529.0</v>
      </c>
      <c r="B3593" s="4" t="s">
        <v>8920</v>
      </c>
      <c r="C3593" s="4"/>
      <c r="D3593" s="4" t="s">
        <v>7655</v>
      </c>
      <c r="E3593" s="4" t="s">
        <v>7656</v>
      </c>
      <c r="F3593" s="4" t="s">
        <v>7650</v>
      </c>
      <c r="G3593" s="5" t="str">
        <f>IFERROR(__xludf.DUMMYFUNCTION("GOOGLETRANSLATE(D3593,""en"",""es"")"),"numeroso")</f>
        <v>numeroso</v>
      </c>
    </row>
    <row r="3594">
      <c r="A3594" s="4">
        <v>530.0</v>
      </c>
      <c r="B3594" s="4" t="s">
        <v>8920</v>
      </c>
      <c r="C3594" s="4"/>
      <c r="D3594" s="4" t="s">
        <v>7657</v>
      </c>
      <c r="E3594" s="4" t="s">
        <v>8795</v>
      </c>
      <c r="F3594" s="4" t="s">
        <v>7657</v>
      </c>
      <c r="G3594" s="5" t="str">
        <f>IFERROR(__xludf.DUMMYFUNCTION("GOOGLETRANSLATE(D3594,""en"",""es"")"),"Sushi")</f>
        <v>Sushi</v>
      </c>
      <c r="H3594" s="4" t="s">
        <v>7657</v>
      </c>
    </row>
    <row r="3595">
      <c r="A3595" s="4">
        <v>531.0</v>
      </c>
      <c r="B3595" s="4" t="s">
        <v>8920</v>
      </c>
      <c r="C3595" s="4"/>
      <c r="D3595" s="4" t="s">
        <v>7657</v>
      </c>
      <c r="E3595" s="4" t="s">
        <v>7658</v>
      </c>
      <c r="F3595" s="4" t="s">
        <v>7657</v>
      </c>
      <c r="G3595" s="5" t="str">
        <f>IFERROR(__xludf.DUMMYFUNCTION("GOOGLETRANSLATE(D3595,""en"",""es"")"),"Sushi")</f>
        <v>Sushi</v>
      </c>
      <c r="H3595" s="4" t="s">
        <v>7657</v>
      </c>
    </row>
    <row r="3596">
      <c r="A3596" s="4">
        <v>532.0</v>
      </c>
      <c r="B3596" s="4" t="s">
        <v>8920</v>
      </c>
      <c r="C3596" s="4"/>
      <c r="D3596" s="4" t="s">
        <v>7659</v>
      </c>
      <c r="E3596" s="4" t="s">
        <v>7660</v>
      </c>
      <c r="F3596" s="4" t="s">
        <v>7661</v>
      </c>
      <c r="G3596" s="5" t="str">
        <f>IFERROR(__xludf.DUMMYFUNCTION("GOOGLETRANSLATE(D3596,""en"",""es"")"),"síntesis")</f>
        <v>síntesis</v>
      </c>
    </row>
    <row r="3597">
      <c r="A3597" s="4">
        <v>533.0</v>
      </c>
      <c r="B3597" s="4" t="s">
        <v>8920</v>
      </c>
      <c r="C3597" s="4"/>
      <c r="D3597" s="4" t="s">
        <v>7662</v>
      </c>
      <c r="E3597" s="4" t="s">
        <v>7663</v>
      </c>
      <c r="F3597" s="4" t="s">
        <v>4856</v>
      </c>
      <c r="G3597" s="5" t="str">
        <f>IFERROR(__xludf.DUMMYFUNCTION("GOOGLETRANSLATE(D3597,""en"",""es"")"),"TAC")</f>
        <v>TAC</v>
      </c>
    </row>
    <row r="3598">
      <c r="A3598" s="4">
        <v>534.0</v>
      </c>
      <c r="B3598" s="4" t="s">
        <v>8920</v>
      </c>
      <c r="C3598" s="4"/>
      <c r="D3598" s="4" t="s">
        <v>7664</v>
      </c>
      <c r="E3598" s="4" t="s">
        <v>7663</v>
      </c>
      <c r="F3598" s="4" t="s">
        <v>4856</v>
      </c>
      <c r="G3598" s="5" t="str">
        <f>IFERROR(__xludf.DUMMYFUNCTION("GOOGLETRANSLATE(D3598,""en"",""es"")"),"tacón")</f>
        <v>tacón</v>
      </c>
      <c r="H3598" s="4" t="s">
        <v>7665</v>
      </c>
      <c r="I3598" s="4" t="s">
        <v>7664</v>
      </c>
    </row>
    <row r="3599">
      <c r="A3599" s="4">
        <v>535.0</v>
      </c>
      <c r="B3599" s="4" t="s">
        <v>8920</v>
      </c>
      <c r="C3599" s="4"/>
      <c r="D3599" s="4" t="s">
        <v>8796</v>
      </c>
      <c r="E3599" s="4" t="s">
        <v>8797</v>
      </c>
      <c r="F3599" s="4" t="s">
        <v>8798</v>
      </c>
      <c r="G3599" s="5" t="str">
        <f>IFERROR(__xludf.DUMMYFUNCTION("GOOGLETRANSLATE(D3599,""en"",""es"")"),"tache")</f>
        <v>tache</v>
      </c>
    </row>
    <row r="3600">
      <c r="A3600" s="4">
        <v>536.0</v>
      </c>
      <c r="B3600" s="4" t="s">
        <v>8920</v>
      </c>
      <c r="C3600" s="4"/>
      <c r="D3600" s="4" t="s">
        <v>7666</v>
      </c>
      <c r="E3600" s="4" t="s">
        <v>7667</v>
      </c>
      <c r="F3600" s="4" t="s">
        <v>7668</v>
      </c>
      <c r="G3600" s="5" t="str">
        <f>IFERROR(__xludf.DUMMYFUNCTION("GOOGLETRANSLATE(D3600,""en"",""es"")"),"tácito")</f>
        <v>tácito</v>
      </c>
      <c r="H3600" s="4" t="s">
        <v>7669</v>
      </c>
      <c r="I3600" s="4" t="s">
        <v>7670</v>
      </c>
      <c r="J3600" s="4" t="s">
        <v>7671</v>
      </c>
    </row>
    <row r="3601">
      <c r="A3601" s="4">
        <v>537.0</v>
      </c>
      <c r="B3601" s="4" t="s">
        <v>8920</v>
      </c>
      <c r="C3601" s="4"/>
      <c r="D3601" s="4" t="s">
        <v>7672</v>
      </c>
      <c r="E3601" s="4" t="s">
        <v>7663</v>
      </c>
      <c r="F3601" s="4" t="s">
        <v>4856</v>
      </c>
      <c r="G3601" s="5" t="str">
        <f>IFERROR(__xludf.DUMMYFUNCTION("GOOGLETRANSLATE(D3601,""en"",""es"")"),"virar")</f>
        <v>virar</v>
      </c>
      <c r="H3601" s="4" t="s">
        <v>7672</v>
      </c>
      <c r="I3601" s="4" t="s">
        <v>7672</v>
      </c>
      <c r="J3601" s="4" t="s">
        <v>7673</v>
      </c>
      <c r="K3601" s="4" t="s">
        <v>7674</v>
      </c>
      <c r="L3601" s="4" t="s">
        <v>7672</v>
      </c>
      <c r="M3601" s="4" t="s">
        <v>2262</v>
      </c>
      <c r="N3601" s="4" t="s">
        <v>7672</v>
      </c>
      <c r="O3601" s="4" t="s">
        <v>7675</v>
      </c>
      <c r="P3601" s="4" t="s">
        <v>7676</v>
      </c>
      <c r="Q3601" s="4" t="s">
        <v>7677</v>
      </c>
      <c r="R3601" s="4" t="s">
        <v>7672</v>
      </c>
      <c r="S3601" s="4" t="s">
        <v>7678</v>
      </c>
      <c r="T3601" s="4" t="s">
        <v>7672</v>
      </c>
      <c r="U3601" s="4" t="s">
        <v>7672</v>
      </c>
      <c r="V3601" s="4" t="s">
        <v>7672</v>
      </c>
      <c r="W3601" s="4" t="s">
        <v>7679</v>
      </c>
      <c r="X3601" s="4" t="s">
        <v>7680</v>
      </c>
      <c r="Y3601" s="4" t="s">
        <v>3486</v>
      </c>
      <c r="Z3601" s="4" t="s">
        <v>7681</v>
      </c>
      <c r="AA3601" s="4" t="s">
        <v>7682</v>
      </c>
      <c r="AB3601" s="4" t="s">
        <v>7672</v>
      </c>
      <c r="AC3601" s="4" t="s">
        <v>7683</v>
      </c>
      <c r="AD3601" s="4" t="s">
        <v>7684</v>
      </c>
      <c r="AE3601" s="4" t="s">
        <v>7672</v>
      </c>
      <c r="AF3601" s="4" t="s">
        <v>7685</v>
      </c>
      <c r="AG3601" s="4" t="s">
        <v>7686</v>
      </c>
      <c r="AH3601" s="4" t="s">
        <v>7687</v>
      </c>
      <c r="AI3601" s="4" t="s">
        <v>7672</v>
      </c>
      <c r="AJ3601" s="4" t="s">
        <v>7688</v>
      </c>
      <c r="AK3601" s="4" t="s">
        <v>7689</v>
      </c>
      <c r="AL3601" s="4" t="s">
        <v>7672</v>
      </c>
      <c r="AM3601" s="4" t="s">
        <v>7690</v>
      </c>
      <c r="AN3601" s="4" t="s">
        <v>7691</v>
      </c>
      <c r="AO3601" s="4" t="s">
        <v>4431</v>
      </c>
      <c r="AP3601" s="4" t="s">
        <v>7692</v>
      </c>
    </row>
    <row r="3602">
      <c r="A3602" s="4">
        <v>538.0</v>
      </c>
      <c r="B3602" s="4" t="s">
        <v>8920</v>
      </c>
      <c r="C3602" s="4"/>
      <c r="D3602" s="4" t="s">
        <v>7693</v>
      </c>
      <c r="E3602" s="4" t="s">
        <v>7694</v>
      </c>
      <c r="F3602" s="4" t="s">
        <v>7695</v>
      </c>
      <c r="G3602" s="5" t="str">
        <f>IFERROR(__xludf.DUMMYFUNCTION("GOOGLETRANSLATE(D3602,""en"",""es"")"),"pegajoso")</f>
        <v>pegajoso</v>
      </c>
      <c r="H3602" s="4" t="s">
        <v>7693</v>
      </c>
      <c r="I3602" s="4" t="s">
        <v>7696</v>
      </c>
      <c r="J3602" s="4" t="s">
        <v>7697</v>
      </c>
      <c r="K3602" s="4" t="s">
        <v>347</v>
      </c>
      <c r="L3602" s="4" t="s">
        <v>7698</v>
      </c>
      <c r="M3602" s="4" t="s">
        <v>7699</v>
      </c>
      <c r="N3602" s="4" t="s">
        <v>7700</v>
      </c>
      <c r="O3602" s="4" t="s">
        <v>7701</v>
      </c>
      <c r="P3602" s="4" t="s">
        <v>7702</v>
      </c>
      <c r="Q3602" s="4" t="s">
        <v>7703</v>
      </c>
      <c r="R3602" s="4" t="s">
        <v>7693</v>
      </c>
      <c r="S3602" s="4" t="s">
        <v>7704</v>
      </c>
      <c r="T3602" s="4" t="s">
        <v>7705</v>
      </c>
      <c r="U3602" s="4" t="s">
        <v>7706</v>
      </c>
    </row>
    <row r="3603">
      <c r="A3603" s="4">
        <v>539.0</v>
      </c>
      <c r="B3603" s="4" t="s">
        <v>8920</v>
      </c>
      <c r="C3603" s="4"/>
      <c r="D3603" s="4" t="s">
        <v>4856</v>
      </c>
      <c r="E3603" s="4" t="s">
        <v>4857</v>
      </c>
      <c r="F3603" s="4" t="s">
        <v>4856</v>
      </c>
      <c r="G3603" s="5" t="str">
        <f>IFERROR(__xludf.DUMMYFUNCTION("GOOGLETRANSLATE(D3603,""en"",""es"")"),"hacer un consumo")</f>
        <v>hacer un consumo</v>
      </c>
    </row>
    <row r="3604">
      <c r="A3604" s="4">
        <v>540.0</v>
      </c>
      <c r="B3604" s="4" t="s">
        <v>8920</v>
      </c>
      <c r="C3604" s="4"/>
      <c r="D3604" s="4" t="s">
        <v>8799</v>
      </c>
      <c r="E3604" s="4" t="s">
        <v>8800</v>
      </c>
      <c r="F3604" s="4" t="s">
        <v>4856</v>
      </c>
      <c r="G3604" s="5" t="str">
        <f>IFERROR(__xludf.DUMMYFUNCTION("GOOGLETRANSLATE(D3604,""en"",""es"")"),"hablar")</f>
        <v>hablar</v>
      </c>
      <c r="H3604" s="4" t="s">
        <v>8799</v>
      </c>
      <c r="I3604" s="4" t="s">
        <v>8801</v>
      </c>
      <c r="J3604" s="4" t="s">
        <v>8799</v>
      </c>
      <c r="K3604" s="4" t="s">
        <v>8799</v>
      </c>
      <c r="L3604" s="4" t="s">
        <v>8802</v>
      </c>
      <c r="M3604" s="4" t="s">
        <v>8803</v>
      </c>
      <c r="N3604" s="4" t="s">
        <v>8799</v>
      </c>
      <c r="O3604" s="4" t="s">
        <v>8799</v>
      </c>
      <c r="P3604" s="4" t="s">
        <v>8804</v>
      </c>
      <c r="Q3604" s="4" t="s">
        <v>8799</v>
      </c>
      <c r="R3604" s="4" t="s">
        <v>8805</v>
      </c>
      <c r="S3604" s="4" t="s">
        <v>8799</v>
      </c>
      <c r="T3604" s="4" t="s">
        <v>8805</v>
      </c>
      <c r="U3604" s="4" t="s">
        <v>8806</v>
      </c>
      <c r="V3604" s="4" t="s">
        <v>6656</v>
      </c>
      <c r="W3604" s="4" t="s">
        <v>8807</v>
      </c>
      <c r="X3604" s="4" t="s">
        <v>8808</v>
      </c>
      <c r="Y3604" s="4" t="s">
        <v>8805</v>
      </c>
      <c r="Z3604" s="4" t="s">
        <v>8799</v>
      </c>
      <c r="AA3604" s="4" t="s">
        <v>8809</v>
      </c>
      <c r="AB3604" s="4" t="s">
        <v>8799</v>
      </c>
      <c r="AC3604" s="4" t="s">
        <v>8810</v>
      </c>
      <c r="AD3604" s="4" t="s">
        <v>8811</v>
      </c>
      <c r="AE3604" s="4" t="s">
        <v>8799</v>
      </c>
      <c r="AF3604" s="4" t="s">
        <v>8812</v>
      </c>
      <c r="AG3604" s="4" t="s">
        <v>8813</v>
      </c>
      <c r="AH3604" s="4" t="s">
        <v>8814</v>
      </c>
      <c r="AI3604" s="4" t="s">
        <v>8815</v>
      </c>
      <c r="AJ3604" s="4" t="s">
        <v>8816</v>
      </c>
      <c r="AK3604" s="4" t="s">
        <v>8817</v>
      </c>
      <c r="AL3604" s="4" t="s">
        <v>8818</v>
      </c>
      <c r="AM3604" s="4" t="s">
        <v>8802</v>
      </c>
      <c r="AN3604" s="4" t="s">
        <v>8799</v>
      </c>
    </row>
    <row r="3605">
      <c r="A3605" s="4">
        <v>541.0</v>
      </c>
      <c r="B3605" s="4" t="s">
        <v>8920</v>
      </c>
      <c r="C3605" s="4"/>
      <c r="D3605" s="4" t="s">
        <v>7707</v>
      </c>
      <c r="E3605" s="4" t="s">
        <v>7708</v>
      </c>
      <c r="F3605" s="4" t="s">
        <v>7709</v>
      </c>
      <c r="G3605" s="5" t="str">
        <f>IFERROR(__xludf.DUMMYFUNCTION("GOOGLETRANSLATE(D3605,""en"",""es"")"),"tallinn")</f>
        <v>tallinn</v>
      </c>
      <c r="H3605" s="4" t="s">
        <v>7710</v>
      </c>
      <c r="I3605" s="4" t="s">
        <v>7711</v>
      </c>
      <c r="J3605" s="4" t="s">
        <v>7712</v>
      </c>
    </row>
    <row r="3606">
      <c r="A3606" s="4">
        <v>542.0</v>
      </c>
      <c r="B3606" s="4" t="s">
        <v>8920</v>
      </c>
      <c r="C3606" s="4"/>
      <c r="D3606" s="4" t="s">
        <v>7713</v>
      </c>
      <c r="E3606" s="4" t="s">
        <v>7714</v>
      </c>
      <c r="F3606" s="4" t="s">
        <v>7715</v>
      </c>
      <c r="G3606" s="5" t="str">
        <f>IFERROR(__xludf.DUMMYFUNCTION("GOOGLETRANSLATE(D3606,""en"",""es"")"),"tallit")</f>
        <v>tallit</v>
      </c>
    </row>
    <row r="3607">
      <c r="A3607" s="4">
        <v>543.0</v>
      </c>
      <c r="B3607" s="4" t="s">
        <v>8920</v>
      </c>
      <c r="C3607" s="4"/>
      <c r="D3607" s="4" t="s">
        <v>4143</v>
      </c>
      <c r="E3607" s="4" t="s">
        <v>7716</v>
      </c>
      <c r="F3607" s="4" t="s">
        <v>7717</v>
      </c>
      <c r="G3607" s="5" t="str">
        <f>IFERROR(__xludf.DUMMYFUNCTION("GOOGLETRANSLATE(D3607,""en"",""es"")"),"cuenta")</f>
        <v>cuenta</v>
      </c>
      <c r="H3607" s="4" t="s">
        <v>646</v>
      </c>
      <c r="I3607" s="4" t="s">
        <v>4143</v>
      </c>
      <c r="J3607" s="4" t="s">
        <v>7718</v>
      </c>
      <c r="K3607" s="4" t="s">
        <v>4143</v>
      </c>
      <c r="L3607" s="4" t="s">
        <v>6690</v>
      </c>
      <c r="M3607" s="4" t="s">
        <v>7719</v>
      </c>
      <c r="N3607" s="4" t="s">
        <v>7720</v>
      </c>
      <c r="O3607" s="4" t="s">
        <v>7721</v>
      </c>
      <c r="P3607" s="4" t="s">
        <v>7718</v>
      </c>
      <c r="Q3607" s="4" t="s">
        <v>4143</v>
      </c>
      <c r="R3607" s="4" t="s">
        <v>7722</v>
      </c>
      <c r="S3607" s="4" t="s">
        <v>1266</v>
      </c>
      <c r="T3607" s="4" t="s">
        <v>7723</v>
      </c>
      <c r="U3607" s="4" t="s">
        <v>2075</v>
      </c>
      <c r="V3607" s="4" t="s">
        <v>7724</v>
      </c>
      <c r="W3607" s="4" t="s">
        <v>7725</v>
      </c>
      <c r="X3607" s="4" t="s">
        <v>4143</v>
      </c>
      <c r="Y3607" s="4" t="s">
        <v>7726</v>
      </c>
      <c r="Z3607" s="4" t="s">
        <v>7727</v>
      </c>
      <c r="AA3607" s="4" t="s">
        <v>856</v>
      </c>
      <c r="AB3607" s="4" t="s">
        <v>4143</v>
      </c>
      <c r="AC3607" s="4" t="s">
        <v>7236</v>
      </c>
      <c r="AD3607" s="4" t="s">
        <v>4143</v>
      </c>
      <c r="AE3607" s="4" t="s">
        <v>7728</v>
      </c>
      <c r="AF3607" s="4" t="s">
        <v>4125</v>
      </c>
      <c r="AG3607" s="4" t="s">
        <v>4138</v>
      </c>
      <c r="AH3607" s="4" t="s">
        <v>4139</v>
      </c>
      <c r="AI3607" s="4" t="s">
        <v>4123</v>
      </c>
      <c r="AJ3607" s="4" t="s">
        <v>4140</v>
      </c>
      <c r="AK3607" s="4" t="s">
        <v>4141</v>
      </c>
      <c r="AL3607" s="4" t="s">
        <v>4142</v>
      </c>
      <c r="AM3607" s="4" t="s">
        <v>4136</v>
      </c>
      <c r="AN3607" s="4" t="s">
        <v>4137</v>
      </c>
      <c r="AO3607" s="4" t="s">
        <v>4143</v>
      </c>
      <c r="AP3607" s="4" t="s">
        <v>4144</v>
      </c>
    </row>
    <row r="3608">
      <c r="A3608" s="4">
        <v>544.0</v>
      </c>
      <c r="B3608" s="4" t="s">
        <v>8920</v>
      </c>
      <c r="C3608" s="4"/>
      <c r="D3608" s="4" t="s">
        <v>7729</v>
      </c>
      <c r="E3608" s="4" t="s">
        <v>7730</v>
      </c>
      <c r="F3608" s="4" t="s">
        <v>7729</v>
      </c>
      <c r="G3608" s="5" t="str">
        <f>IFERROR(__xludf.DUMMYFUNCTION("GOOGLETRANSLATE(D3608,""en"",""es"")"),"tamil")</f>
        <v>tamil</v>
      </c>
      <c r="H3608" s="4" t="s">
        <v>7731</v>
      </c>
      <c r="I3608" s="4" t="s">
        <v>7731</v>
      </c>
      <c r="J3608" s="4" t="s">
        <v>7731</v>
      </c>
    </row>
    <row r="3609">
      <c r="A3609" s="4">
        <v>545.0</v>
      </c>
      <c r="B3609" s="4" t="s">
        <v>8920</v>
      </c>
      <c r="C3609" s="4"/>
      <c r="D3609" s="4" t="s">
        <v>7732</v>
      </c>
      <c r="E3609" s="4" t="s">
        <v>7737</v>
      </c>
      <c r="F3609" s="4" t="s">
        <v>7734</v>
      </c>
      <c r="G3609" s="5" t="str">
        <f>IFERROR(__xludf.DUMMYFUNCTION("GOOGLETRANSLATE(D3609,""en"",""es"")"),"tammy")</f>
        <v>tammy</v>
      </c>
      <c r="H3609" s="4" t="s">
        <v>7732</v>
      </c>
      <c r="I3609" s="4" t="s">
        <v>7735</v>
      </c>
      <c r="J3609" s="4" t="s">
        <v>7736</v>
      </c>
      <c r="K3609" s="4" t="s">
        <v>7732</v>
      </c>
    </row>
    <row r="3610">
      <c r="A3610" s="4">
        <v>546.0</v>
      </c>
      <c r="B3610" s="4" t="s">
        <v>8920</v>
      </c>
      <c r="C3610" s="4"/>
      <c r="D3610" s="4" t="s">
        <v>4310</v>
      </c>
      <c r="E3610" s="4" t="s">
        <v>7738</v>
      </c>
      <c r="F3610" s="4" t="s">
        <v>4310</v>
      </c>
      <c r="G3610" s="5" t="str">
        <f>IFERROR(__xludf.DUMMYFUNCTION("GOOGLETRANSLATE(D3610,""en"",""es"")"),"broncearse")</f>
        <v>broncearse</v>
      </c>
      <c r="H3610" s="4" t="s">
        <v>4310</v>
      </c>
      <c r="I3610" s="4" t="s">
        <v>7739</v>
      </c>
      <c r="J3610" s="4" t="s">
        <v>7740</v>
      </c>
      <c r="K3610" s="4" t="s">
        <v>3504</v>
      </c>
      <c r="L3610" s="4" t="s">
        <v>4310</v>
      </c>
      <c r="M3610" s="4" t="s">
        <v>7741</v>
      </c>
      <c r="N3610" s="4" t="s">
        <v>7742</v>
      </c>
      <c r="O3610" s="4" t="s">
        <v>4310</v>
      </c>
      <c r="P3610" s="4" t="s">
        <v>4310</v>
      </c>
      <c r="Q3610" s="4" t="s">
        <v>4310</v>
      </c>
      <c r="R3610" s="4" t="s">
        <v>7743</v>
      </c>
      <c r="S3610" s="4" t="s">
        <v>4310</v>
      </c>
    </row>
    <row r="3611">
      <c r="A3611" s="4">
        <v>547.0</v>
      </c>
      <c r="B3611" s="4" t="s">
        <v>8920</v>
      </c>
      <c r="C3611" s="4"/>
      <c r="D3611" s="4" t="s">
        <v>4319</v>
      </c>
      <c r="E3611" s="4" t="s">
        <v>7750</v>
      </c>
      <c r="F3611" s="4" t="s">
        <v>7751</v>
      </c>
      <c r="G3611" s="5" t="str">
        <f>IFERROR(__xludf.DUMMYFUNCTION("GOOGLETRANSLATE(D3611,""en"",""es"")"),"tanino")</f>
        <v>tanino</v>
      </c>
      <c r="H3611" s="4" t="s">
        <v>4319</v>
      </c>
      <c r="I3611" s="4" t="s">
        <v>4320</v>
      </c>
    </row>
    <row r="3612">
      <c r="A3612" s="4">
        <v>548.0</v>
      </c>
      <c r="B3612" s="4" t="s">
        <v>8920</v>
      </c>
      <c r="C3612" s="4"/>
      <c r="D3612" s="4" t="s">
        <v>8819</v>
      </c>
      <c r="E3612" s="4" t="s">
        <v>8820</v>
      </c>
      <c r="F3612" s="4" t="s">
        <v>8819</v>
      </c>
      <c r="G3612" s="5" t="str">
        <f>IFERROR(__xludf.DUMMYFUNCTION("GOOGLETRANSLATE(D3612,""en"",""es"")"),"Tanuki")</f>
        <v>Tanuki</v>
      </c>
    </row>
    <row r="3613">
      <c r="A3613" s="4">
        <v>549.0</v>
      </c>
      <c r="B3613" s="4" t="s">
        <v>8920</v>
      </c>
      <c r="C3613" s="4"/>
      <c r="D3613" s="4" t="s">
        <v>4321</v>
      </c>
      <c r="E3613" s="4" t="s">
        <v>7752</v>
      </c>
      <c r="F3613" s="4" t="s">
        <v>4321</v>
      </c>
      <c r="G3613" s="5" t="str">
        <f>IFERROR(__xludf.DUMMYFUNCTION("GOOGLETRANSLATE(D3613,""en"",""es"")"),"tocar")</f>
        <v>tocar</v>
      </c>
      <c r="H3613" s="4" t="s">
        <v>7753</v>
      </c>
      <c r="I3613" s="4" t="s">
        <v>6486</v>
      </c>
      <c r="J3613" s="4" t="s">
        <v>4321</v>
      </c>
      <c r="K3613" s="4" t="s">
        <v>6486</v>
      </c>
      <c r="L3613" s="4" t="s">
        <v>903</v>
      </c>
      <c r="M3613" s="4" t="s">
        <v>4321</v>
      </c>
      <c r="N3613" s="4" t="s">
        <v>7754</v>
      </c>
      <c r="O3613" s="4" t="s">
        <v>7755</v>
      </c>
      <c r="P3613" s="4" t="s">
        <v>4321</v>
      </c>
      <c r="Q3613" s="4" t="s">
        <v>7756</v>
      </c>
      <c r="R3613" s="4" t="s">
        <v>4321</v>
      </c>
      <c r="S3613" s="4" t="s">
        <v>4321</v>
      </c>
      <c r="T3613" s="4" t="s">
        <v>4321</v>
      </c>
      <c r="U3613" s="4" t="s">
        <v>7757</v>
      </c>
      <c r="V3613" s="4" t="s">
        <v>7758</v>
      </c>
      <c r="W3613" s="4" t="s">
        <v>4321</v>
      </c>
      <c r="X3613" s="4" t="s">
        <v>4321</v>
      </c>
      <c r="Y3613" s="4" t="s">
        <v>7753</v>
      </c>
      <c r="Z3613" s="4" t="s">
        <v>7759</v>
      </c>
      <c r="AA3613" s="4" t="s">
        <v>4321</v>
      </c>
      <c r="AB3613" s="4" t="s">
        <v>4321</v>
      </c>
      <c r="AC3613" s="4" t="s">
        <v>4321</v>
      </c>
      <c r="AD3613" s="4" t="s">
        <v>425</v>
      </c>
      <c r="AE3613" s="4" t="s">
        <v>7760</v>
      </c>
      <c r="AF3613" s="4" t="s">
        <v>4321</v>
      </c>
      <c r="AG3613" s="4" t="s">
        <v>7758</v>
      </c>
      <c r="AH3613" s="4" t="s">
        <v>4321</v>
      </c>
      <c r="AI3613" s="4" t="s">
        <v>7761</v>
      </c>
      <c r="AJ3613" s="4" t="s">
        <v>7762</v>
      </c>
      <c r="AK3613" s="4" t="s">
        <v>4321</v>
      </c>
      <c r="AL3613" s="4" t="s">
        <v>4321</v>
      </c>
      <c r="AM3613" s="4" t="s">
        <v>6486</v>
      </c>
      <c r="AN3613" s="4" t="s">
        <v>3462</v>
      </c>
      <c r="AO3613" s="4" t="s">
        <v>7763</v>
      </c>
      <c r="AP3613" s="4" t="s">
        <v>4321</v>
      </c>
      <c r="AQ3613" s="4" t="s">
        <v>7764</v>
      </c>
      <c r="AR3613" s="4" t="s">
        <v>4321</v>
      </c>
      <c r="AS3613" s="4" t="s">
        <v>4321</v>
      </c>
      <c r="AT3613" s="4" t="s">
        <v>4321</v>
      </c>
      <c r="AU3613" s="4" t="s">
        <v>6311</v>
      </c>
      <c r="AV3613" s="4" t="s">
        <v>7765</v>
      </c>
      <c r="AW3613" s="4" t="s">
        <v>4321</v>
      </c>
    </row>
    <row r="3614">
      <c r="A3614" s="4">
        <v>550.0</v>
      </c>
      <c r="B3614" s="4" t="s">
        <v>8920</v>
      </c>
      <c r="C3614" s="4"/>
      <c r="D3614" s="4" t="s">
        <v>7769</v>
      </c>
      <c r="E3614" s="4" t="s">
        <v>7770</v>
      </c>
      <c r="F3614" s="4" t="s">
        <v>7771</v>
      </c>
      <c r="G3614" s="5" t="str">
        <f>IFERROR(__xludf.DUMMYFUNCTION("GOOGLETRANSLATE(D3614,""en"",""es"")"),"apagado")</f>
        <v>apagado</v>
      </c>
    </row>
    <row r="3615">
      <c r="A3615" s="4">
        <v>551.0</v>
      </c>
      <c r="B3615" s="4" t="s">
        <v>8920</v>
      </c>
      <c r="C3615" s="4"/>
      <c r="D3615" s="4" t="s">
        <v>7772</v>
      </c>
      <c r="E3615" s="4" t="s">
        <v>7773</v>
      </c>
      <c r="F3615" s="4" t="s">
        <v>419</v>
      </c>
      <c r="G3615" s="5" t="str">
        <f>IFERROR(__xludf.DUMMYFUNCTION("GOOGLETRANSLATE(D3615,""en"",""es"")"),"borla")</f>
        <v>borla</v>
      </c>
      <c r="H3615" s="4" t="s">
        <v>7774</v>
      </c>
      <c r="I3615" s="4" t="s">
        <v>7775</v>
      </c>
      <c r="J3615" s="4" t="s">
        <v>7776</v>
      </c>
    </row>
    <row r="3616">
      <c r="A3616" s="4">
        <v>552.0</v>
      </c>
      <c r="B3616" s="4" t="s">
        <v>8920</v>
      </c>
      <c r="C3616" s="4"/>
      <c r="D3616" s="4" t="s">
        <v>7777</v>
      </c>
      <c r="E3616" s="4" t="s">
        <v>7773</v>
      </c>
      <c r="F3616" s="4" t="s">
        <v>419</v>
      </c>
      <c r="G3616" s="5" t="str">
        <f>IFERROR(__xludf.DUMMYFUNCTION("GOOGLETRANSLATE(D3616,""en"",""es"")"),"tasse")</f>
        <v>tasse</v>
      </c>
      <c r="H3616" s="4" t="s">
        <v>7778</v>
      </c>
      <c r="I3616" s="4" t="s">
        <v>7777</v>
      </c>
    </row>
    <row r="3617">
      <c r="A3617" s="4">
        <v>553.0</v>
      </c>
      <c r="B3617" s="4" t="s">
        <v>8920</v>
      </c>
      <c r="C3617" s="4"/>
      <c r="D3617" s="4" t="s">
        <v>7779</v>
      </c>
      <c r="E3617" s="4" t="s">
        <v>7780</v>
      </c>
      <c r="F3617" s="4" t="s">
        <v>7781</v>
      </c>
      <c r="G3617" s="5" t="str">
        <f>IFERROR(__xludf.DUMMYFUNCTION("GOOGLETRANSLATE(D3617,""en"",""es"")"),"establo")</f>
        <v>establo</v>
      </c>
    </row>
    <row r="3618">
      <c r="A3618" s="4">
        <v>554.0</v>
      </c>
      <c r="B3618" s="4" t="s">
        <v>8920</v>
      </c>
      <c r="C3618" s="4"/>
      <c r="D3618" s="4" t="s">
        <v>7704</v>
      </c>
      <c r="E3618" s="4" t="s">
        <v>7782</v>
      </c>
      <c r="F3618" s="4" t="s">
        <v>7783</v>
      </c>
      <c r="G3618" s="5" t="str">
        <f>IFERROR(__xludf.DUMMYFUNCTION("GOOGLETRANSLATE(D3618,""en"",""es"")"),"raído")</f>
        <v>raído</v>
      </c>
      <c r="H3618" s="4" t="s">
        <v>7784</v>
      </c>
      <c r="I3618" s="4" t="s">
        <v>7785</v>
      </c>
      <c r="J3618" s="4" t="s">
        <v>7786</v>
      </c>
      <c r="K3618" s="4" t="s">
        <v>7704</v>
      </c>
      <c r="L3618" s="4" t="s">
        <v>7696</v>
      </c>
      <c r="M3618" s="4" t="s">
        <v>7697</v>
      </c>
      <c r="N3618" s="4" t="s">
        <v>347</v>
      </c>
      <c r="O3618" s="4" t="s">
        <v>7698</v>
      </c>
      <c r="P3618" s="4" t="s">
        <v>7699</v>
      </c>
      <c r="Q3618" s="4" t="s">
        <v>7700</v>
      </c>
      <c r="R3618" s="4" t="s">
        <v>7701</v>
      </c>
      <c r="S3618" s="4" t="s">
        <v>7702</v>
      </c>
      <c r="T3618" s="4" t="s">
        <v>7703</v>
      </c>
      <c r="U3618" s="4" t="s">
        <v>7693</v>
      </c>
      <c r="V3618" s="4" t="s">
        <v>7704</v>
      </c>
      <c r="W3618" s="4" t="s">
        <v>7705</v>
      </c>
      <c r="X3618" s="4" t="s">
        <v>7706</v>
      </c>
    </row>
    <row r="3619">
      <c r="A3619" s="4">
        <v>555.0</v>
      </c>
      <c r="B3619" s="4" t="s">
        <v>8920</v>
      </c>
      <c r="C3619" s="4"/>
      <c r="D3619" s="4" t="s">
        <v>8821</v>
      </c>
      <c r="E3619" s="4" t="s">
        <v>421</v>
      </c>
      <c r="F3619" s="4" t="s">
        <v>422</v>
      </c>
      <c r="G3619" s="5" t="str">
        <f>IFERROR(__xludf.DUMMYFUNCTION("GOOGLETRANSLATE(D3619,""en"",""es"")"),"té")</f>
        <v>té</v>
      </c>
      <c r="H3619" s="4" t="s">
        <v>8821</v>
      </c>
      <c r="I3619" s="4" t="s">
        <v>8821</v>
      </c>
      <c r="J3619" s="4" t="s">
        <v>8822</v>
      </c>
      <c r="K3619" s="4" t="s">
        <v>8823</v>
      </c>
      <c r="L3619" s="4" t="s">
        <v>8821</v>
      </c>
      <c r="M3619" s="4" t="s">
        <v>8824</v>
      </c>
      <c r="N3619" s="4" t="s">
        <v>8821</v>
      </c>
      <c r="O3619" s="4" t="s">
        <v>8821</v>
      </c>
      <c r="P3619" s="4" t="s">
        <v>8825</v>
      </c>
    </row>
    <row r="3620">
      <c r="A3620" s="4">
        <v>556.0</v>
      </c>
      <c r="B3620" s="4" t="s">
        <v>8920</v>
      </c>
      <c r="C3620" s="4"/>
      <c r="D3620" s="4" t="s">
        <v>8826</v>
      </c>
      <c r="E3620" s="4" t="s">
        <v>8827</v>
      </c>
      <c r="F3620" s="4" t="s">
        <v>431</v>
      </c>
      <c r="G3620" s="5" t="str">
        <f>IFERROR(__xludf.DUMMYFUNCTION("GOOGLETRANSLATE(D3620,""en"",""es"")"),"tetón")</f>
        <v>tetón</v>
      </c>
      <c r="H3620" s="4" t="s">
        <v>8828</v>
      </c>
      <c r="I3620" s="4" t="s">
        <v>8829</v>
      </c>
      <c r="J3620" s="4" t="s">
        <v>8830</v>
      </c>
      <c r="K3620" s="4" t="s">
        <v>8831</v>
      </c>
    </row>
    <row r="3621">
      <c r="A3621" s="4">
        <v>557.0</v>
      </c>
      <c r="B3621" s="4" t="s">
        <v>8920</v>
      </c>
      <c r="C3621" s="4"/>
      <c r="D3621" s="4" t="s">
        <v>7787</v>
      </c>
      <c r="E3621" s="4" t="s">
        <v>7788</v>
      </c>
      <c r="F3621" s="4" t="s">
        <v>7789</v>
      </c>
      <c r="G3621" s="5" t="str">
        <f>IFERROR(__xludf.DUMMYFUNCTION("GOOGLETRANSLATE(D3621,""en"",""es"")"),"thack")</f>
        <v>thack</v>
      </c>
    </row>
    <row r="3622">
      <c r="A3622" s="4">
        <v>558.0</v>
      </c>
      <c r="B3622" s="4" t="s">
        <v>8920</v>
      </c>
      <c r="C3622" s="4"/>
      <c r="D3622" s="4" t="s">
        <v>7790</v>
      </c>
      <c r="E3622" s="4" t="s">
        <v>7791</v>
      </c>
      <c r="F3622" s="4" t="s">
        <v>7792</v>
      </c>
      <c r="G3622" s="5" t="str">
        <f>IFERROR(__xludf.DUMMYFUNCTION("GOOGLETRANSLATE(D3622,""en"",""es"")"),"thanakha")</f>
        <v>thanakha</v>
      </c>
    </row>
    <row r="3623">
      <c r="A3623" s="4">
        <v>559.0</v>
      </c>
      <c r="B3623" s="4" t="s">
        <v>8920</v>
      </c>
      <c r="C3623" s="4"/>
      <c r="D3623" s="4" t="s">
        <v>7793</v>
      </c>
      <c r="E3623" s="4" t="s">
        <v>7794</v>
      </c>
      <c r="F3623" s="4" t="s">
        <v>7795</v>
      </c>
      <c r="G3623" s="5" t="str">
        <f>IFERROR(__xludf.DUMMYFUNCTION("GOOGLETRANSLATE(D3623,""en"",""es"")"),"temático")</f>
        <v>temático</v>
      </c>
      <c r="H3623" s="4" t="s">
        <v>7793</v>
      </c>
      <c r="I3623" s="4" t="s">
        <v>7793</v>
      </c>
    </row>
    <row r="3624">
      <c r="A3624" s="4">
        <v>560.0</v>
      </c>
      <c r="B3624" s="4" t="s">
        <v>8920</v>
      </c>
      <c r="C3624" s="4"/>
      <c r="D3624" s="4" t="s">
        <v>8832</v>
      </c>
      <c r="E3624" s="4" t="s">
        <v>8833</v>
      </c>
      <c r="F3624" s="4" t="s">
        <v>8834</v>
      </c>
      <c r="G3624" s="5" t="str">
        <f>IFERROR(__xludf.DUMMYFUNCTION("GOOGLETRANSLATE(D3624,""en"",""es"")"),"tesis")</f>
        <v>tesis</v>
      </c>
      <c r="H3624" s="4" t="s">
        <v>8832</v>
      </c>
      <c r="I3624" s="4" t="s">
        <v>8835</v>
      </c>
      <c r="J3624" s="4" t="s">
        <v>8832</v>
      </c>
    </row>
    <row r="3625">
      <c r="A3625" s="4">
        <v>561.0</v>
      </c>
      <c r="B3625" s="4" t="s">
        <v>8920</v>
      </c>
      <c r="C3625" s="4"/>
      <c r="D3625" s="4" t="s">
        <v>7796</v>
      </c>
      <c r="E3625" s="4" t="s">
        <v>7797</v>
      </c>
      <c r="F3625" s="4" t="s">
        <v>7798</v>
      </c>
      <c r="G3625" s="5" t="str">
        <f>IFERROR(__xludf.DUMMYFUNCTION("GOOGLETRANSLATE(D3625,""en"",""es"")"),"grueso")</f>
        <v>grueso</v>
      </c>
      <c r="H3625" s="4" t="s">
        <v>7799</v>
      </c>
      <c r="I3625" s="4" t="s">
        <v>7796</v>
      </c>
      <c r="J3625" s="4" t="s">
        <v>7796</v>
      </c>
      <c r="K3625" s="4" t="s">
        <v>7796</v>
      </c>
      <c r="L3625" s="4" t="s">
        <v>7796</v>
      </c>
      <c r="M3625" s="4" t="s">
        <v>7800</v>
      </c>
      <c r="N3625" s="4" t="s">
        <v>7796</v>
      </c>
      <c r="O3625" s="4" t="s">
        <v>7047</v>
      </c>
      <c r="P3625" s="4" t="s">
        <v>7801</v>
      </c>
      <c r="Q3625" s="4" t="s">
        <v>7802</v>
      </c>
      <c r="R3625" s="4" t="s">
        <v>7796</v>
      </c>
      <c r="S3625" s="4" t="s">
        <v>7803</v>
      </c>
      <c r="T3625" s="4" t="s">
        <v>3223</v>
      </c>
      <c r="U3625" s="4" t="s">
        <v>7796</v>
      </c>
      <c r="V3625" s="4" t="s">
        <v>7796</v>
      </c>
      <c r="W3625" s="4" t="s">
        <v>7804</v>
      </c>
      <c r="X3625" s="4" t="s">
        <v>7065</v>
      </c>
      <c r="Y3625" s="4" t="s">
        <v>7805</v>
      </c>
      <c r="Z3625" s="4" t="s">
        <v>7796</v>
      </c>
      <c r="AA3625" s="4" t="s">
        <v>7806</v>
      </c>
      <c r="AB3625" s="4" t="s">
        <v>7807</v>
      </c>
      <c r="AC3625" s="4" t="s">
        <v>7808</v>
      </c>
      <c r="AD3625" s="4" t="s">
        <v>7809</v>
      </c>
      <c r="AE3625" s="4" t="s">
        <v>7810</v>
      </c>
      <c r="AF3625" s="4" t="s">
        <v>7811</v>
      </c>
      <c r="AG3625" s="4" t="s">
        <v>7796</v>
      </c>
      <c r="AH3625" s="4" t="s">
        <v>7812</v>
      </c>
      <c r="AI3625" s="4" t="s">
        <v>7813</v>
      </c>
      <c r="AJ3625" s="4" t="s">
        <v>7814</v>
      </c>
      <c r="AK3625" s="4" t="s">
        <v>7796</v>
      </c>
      <c r="AL3625" s="4" t="s">
        <v>7815</v>
      </c>
      <c r="AM3625" s="4" t="s">
        <v>7796</v>
      </c>
      <c r="AN3625" s="4" t="s">
        <v>7796</v>
      </c>
      <c r="AO3625" s="4" t="s">
        <v>7815</v>
      </c>
    </row>
    <row r="3626">
      <c r="A3626" s="4">
        <v>562.0</v>
      </c>
      <c r="B3626" s="4" t="s">
        <v>8920</v>
      </c>
      <c r="C3626" s="4"/>
      <c r="D3626" s="4" t="s">
        <v>7816</v>
      </c>
      <c r="E3626" s="4" t="s">
        <v>7817</v>
      </c>
      <c r="F3626" s="4" t="s">
        <v>7818</v>
      </c>
      <c r="G3626" s="5" t="str">
        <f>IFERROR(__xludf.DUMMYFUNCTION("GOOGLETRANSLATE(D3626,""en"",""es"")"),"thill")</f>
        <v>thill</v>
      </c>
      <c r="H3626" s="4" t="s">
        <v>7816</v>
      </c>
    </row>
    <row r="3627">
      <c r="A3627" s="4">
        <v>563.0</v>
      </c>
      <c r="B3627" s="4" t="s">
        <v>8920</v>
      </c>
      <c r="C3627" s="4"/>
      <c r="D3627" s="4" t="s">
        <v>7819</v>
      </c>
      <c r="E3627" s="4" t="s">
        <v>7820</v>
      </c>
      <c r="F3627" s="4" t="s">
        <v>7819</v>
      </c>
      <c r="G3627" s="5" t="str">
        <f>IFERROR(__xludf.DUMMYFUNCTION("GOOGLETRANSLATE(D3627,""en"",""es"")"),"delgada")</f>
        <v>delgada</v>
      </c>
      <c r="H3627" s="4" t="s">
        <v>7819</v>
      </c>
      <c r="I3627" s="4" t="s">
        <v>7819</v>
      </c>
      <c r="J3627" s="4" t="s">
        <v>7821</v>
      </c>
      <c r="K3627" s="4" t="s">
        <v>7819</v>
      </c>
      <c r="L3627" s="4" t="s">
        <v>7822</v>
      </c>
      <c r="M3627" s="4" t="s">
        <v>4289</v>
      </c>
      <c r="N3627" s="4" t="s">
        <v>1250</v>
      </c>
      <c r="O3627" s="4" t="s">
        <v>4289</v>
      </c>
      <c r="P3627" s="4" t="s">
        <v>7823</v>
      </c>
      <c r="Q3627" s="4" t="s">
        <v>7824</v>
      </c>
      <c r="R3627" s="4" t="s">
        <v>7825</v>
      </c>
      <c r="S3627" s="4" t="s">
        <v>7826</v>
      </c>
      <c r="T3627" s="4" t="s">
        <v>7819</v>
      </c>
      <c r="U3627" s="4" t="s">
        <v>7827</v>
      </c>
      <c r="V3627" s="4" t="s">
        <v>7819</v>
      </c>
      <c r="W3627" s="4" t="s">
        <v>7819</v>
      </c>
      <c r="X3627" s="4" t="s">
        <v>7828</v>
      </c>
      <c r="Y3627" s="4" t="s">
        <v>7829</v>
      </c>
      <c r="Z3627" s="4" t="s">
        <v>7819</v>
      </c>
      <c r="AA3627" s="4" t="s">
        <v>7830</v>
      </c>
      <c r="AB3627" s="4" t="s">
        <v>7819</v>
      </c>
      <c r="AC3627" s="4" t="s">
        <v>7819</v>
      </c>
      <c r="AD3627" s="4" t="s">
        <v>7819</v>
      </c>
      <c r="AE3627" s="4" t="s">
        <v>7819</v>
      </c>
      <c r="AF3627" s="4" t="s">
        <v>7831</v>
      </c>
      <c r="AG3627" s="4" t="s">
        <v>7832</v>
      </c>
      <c r="AH3627" s="4" t="s">
        <v>7833</v>
      </c>
      <c r="AI3627" s="4" t="s">
        <v>7834</v>
      </c>
      <c r="AJ3627" s="4" t="s">
        <v>7819</v>
      </c>
      <c r="AK3627" s="4" t="s">
        <v>7835</v>
      </c>
      <c r="AL3627" s="4" t="s">
        <v>7819</v>
      </c>
    </row>
    <row r="3628">
      <c r="A3628" s="4">
        <v>564.0</v>
      </c>
      <c r="B3628" s="4" t="s">
        <v>8920</v>
      </c>
      <c r="C3628" s="4"/>
      <c r="D3628" s="4" t="s">
        <v>4379</v>
      </c>
      <c r="E3628" s="4" t="s">
        <v>7836</v>
      </c>
      <c r="F3628" s="4" t="s">
        <v>438</v>
      </c>
      <c r="G3628" s="5" t="str">
        <f>IFERROR(__xludf.DUMMYFUNCTION("GOOGLETRANSLATE(D3628,""en"",""es"")"),"tic")</f>
        <v>tic</v>
      </c>
      <c r="H3628" s="4" t="s">
        <v>4379</v>
      </c>
    </row>
    <row r="3629">
      <c r="A3629" s="4">
        <v>565.0</v>
      </c>
      <c r="B3629" s="4" t="s">
        <v>8920</v>
      </c>
      <c r="C3629" s="4"/>
      <c r="D3629" s="4" t="s">
        <v>7837</v>
      </c>
      <c r="E3629" s="4" t="s">
        <v>7836</v>
      </c>
      <c r="F3629" s="4" t="s">
        <v>438</v>
      </c>
      <c r="G3629" s="5" t="str">
        <f>IFERROR(__xludf.DUMMYFUNCTION("GOOGLETRANSLATE(D3629,""en"",""es"")"),"garrapata")</f>
        <v>garrapata</v>
      </c>
      <c r="H3629" s="4" t="s">
        <v>7837</v>
      </c>
      <c r="I3629" s="4" t="s">
        <v>7838</v>
      </c>
      <c r="J3629" s="4" t="s">
        <v>7837</v>
      </c>
      <c r="K3629" s="4" t="s">
        <v>7839</v>
      </c>
      <c r="L3629" s="4" t="s">
        <v>2075</v>
      </c>
      <c r="M3629" s="4" t="s">
        <v>7837</v>
      </c>
      <c r="N3629" s="4" t="s">
        <v>7837</v>
      </c>
      <c r="O3629" s="4" t="s">
        <v>7840</v>
      </c>
      <c r="P3629" s="4" t="s">
        <v>7837</v>
      </c>
      <c r="Q3629" s="4" t="s">
        <v>7837</v>
      </c>
      <c r="R3629" s="4" t="s">
        <v>7841</v>
      </c>
      <c r="S3629" s="4" t="s">
        <v>7842</v>
      </c>
      <c r="T3629" s="4" t="s">
        <v>3493</v>
      </c>
      <c r="U3629" s="4" t="s">
        <v>7837</v>
      </c>
      <c r="V3629" s="4" t="s">
        <v>7843</v>
      </c>
      <c r="W3629" s="4" t="s">
        <v>2075</v>
      </c>
      <c r="X3629" s="4" t="s">
        <v>7844</v>
      </c>
      <c r="Y3629" s="4" t="s">
        <v>3008</v>
      </c>
      <c r="Z3629" s="4" t="s">
        <v>7845</v>
      </c>
      <c r="AA3629" s="4" t="s">
        <v>7846</v>
      </c>
      <c r="AB3629" s="4" t="s">
        <v>7837</v>
      </c>
    </row>
    <row r="3630">
      <c r="A3630" s="4">
        <v>566.0</v>
      </c>
      <c r="B3630" s="4" t="s">
        <v>8920</v>
      </c>
      <c r="C3630" s="4"/>
      <c r="D3630" s="4" t="s">
        <v>7847</v>
      </c>
      <c r="E3630" s="4" t="s">
        <v>7848</v>
      </c>
      <c r="F3630" s="4" t="s">
        <v>7847</v>
      </c>
      <c r="G3630" s="5" t="str">
        <f>IFERROR(__xludf.DUMMYFUNCTION("GOOGLETRANSLATE(D3630,""en"",""es"")"),"tiki")</f>
        <v>tiki</v>
      </c>
    </row>
    <row r="3631">
      <c r="A3631" s="4">
        <v>567.0</v>
      </c>
      <c r="B3631" s="4" t="s">
        <v>8920</v>
      </c>
      <c r="C3631" s="4"/>
      <c r="D3631" s="4" t="s">
        <v>7849</v>
      </c>
      <c r="E3631" s="4" t="s">
        <v>7850</v>
      </c>
      <c r="F3631" s="4" t="s">
        <v>7849</v>
      </c>
      <c r="G3631" s="5" t="str">
        <f>IFERROR(__xludf.DUMMYFUNCTION("GOOGLETRANSLATE(D3631,""en"",""es"")"),"til")</f>
        <v>til</v>
      </c>
    </row>
    <row r="3632">
      <c r="A3632" s="4">
        <v>568.0</v>
      </c>
      <c r="B3632" s="4" t="s">
        <v>8920</v>
      </c>
      <c r="C3632" s="4"/>
      <c r="D3632" s="4" t="s">
        <v>7851</v>
      </c>
      <c r="E3632" s="4" t="s">
        <v>7850</v>
      </c>
      <c r="F3632" s="4" t="s">
        <v>7849</v>
      </c>
      <c r="G3632" s="5" t="str">
        <f>IFERROR(__xludf.DUMMYFUNCTION("GOOGLETRANSLATE(D3632,""en"",""es"")"),"hasta")</f>
        <v>hasta</v>
      </c>
      <c r="H3632" s="4" t="s">
        <v>7851</v>
      </c>
      <c r="I3632" s="4" t="s">
        <v>7852</v>
      </c>
      <c r="J3632" s="4" t="s">
        <v>7853</v>
      </c>
      <c r="K3632" s="4" t="s">
        <v>7854</v>
      </c>
      <c r="L3632" s="4" t="s">
        <v>7851</v>
      </c>
      <c r="M3632" s="4" t="s">
        <v>7855</v>
      </c>
      <c r="N3632" s="4" t="s">
        <v>7856</v>
      </c>
      <c r="O3632" s="4" t="s">
        <v>7851</v>
      </c>
      <c r="P3632" s="4" t="s">
        <v>7851</v>
      </c>
    </row>
    <row r="3633">
      <c r="A3633" s="4">
        <v>569.0</v>
      </c>
      <c r="B3633" s="4" t="s">
        <v>8920</v>
      </c>
      <c r="C3633" s="4"/>
      <c r="D3633" s="4" t="s">
        <v>7857</v>
      </c>
      <c r="E3633" s="4" t="s">
        <v>7858</v>
      </c>
      <c r="F3633" s="4" t="s">
        <v>7859</v>
      </c>
      <c r="G3633" s="5" t="str">
        <f>IFERROR(__xludf.DUMMYFUNCTION("GOOGLETRANSLATE(D3633,""en"",""es"")"),"tillis")</f>
        <v>tillis</v>
      </c>
    </row>
    <row r="3634">
      <c r="A3634" s="4">
        <v>570.0</v>
      </c>
      <c r="B3634" s="4" t="s">
        <v>8920</v>
      </c>
      <c r="C3634" s="4"/>
      <c r="D3634" s="4" t="s">
        <v>7860</v>
      </c>
      <c r="E3634" s="4" t="s">
        <v>7861</v>
      </c>
      <c r="F3634" s="4" t="s">
        <v>7862</v>
      </c>
      <c r="G3634" s="5" t="str">
        <f>IFERROR(__xludf.DUMMYFUNCTION("GOOGLETRANSLATE(D3634,""en"",""es"")"),"tillado")</f>
        <v>tillado</v>
      </c>
    </row>
    <row r="3635">
      <c r="A3635" s="4">
        <v>571.0</v>
      </c>
      <c r="B3635" s="4" t="s">
        <v>8920</v>
      </c>
      <c r="C3635" s="4"/>
      <c r="D3635" s="4" t="s">
        <v>4381</v>
      </c>
      <c r="E3635" s="4" t="s">
        <v>7863</v>
      </c>
      <c r="F3635" s="4" t="s">
        <v>4381</v>
      </c>
      <c r="G3635" s="5" t="str">
        <f>IFERROR(__xludf.DUMMYFUNCTION("GOOGLETRANSLATE(D3635,""en"",""es"")"),"Tim")</f>
        <v>Tim</v>
      </c>
    </row>
    <row r="3636">
      <c r="A3636" s="4">
        <v>572.0</v>
      </c>
      <c r="B3636" s="4" t="s">
        <v>8920</v>
      </c>
      <c r="C3636" s="4"/>
      <c r="D3636" s="4" t="s">
        <v>7864</v>
      </c>
      <c r="E3636" s="4" t="s">
        <v>7865</v>
      </c>
      <c r="F3636" s="4" t="s">
        <v>5606</v>
      </c>
      <c r="G3636" s="5" t="str">
        <f>IFERROR(__xludf.DUMMYFUNCTION("GOOGLETRANSLATE(D3636,""en"",""es"")"),"timmy")</f>
        <v>timmy</v>
      </c>
    </row>
    <row r="3637">
      <c r="A3637" s="4">
        <v>573.0</v>
      </c>
      <c r="B3637" s="4" t="s">
        <v>8920</v>
      </c>
      <c r="C3637" s="4"/>
      <c r="D3637" s="4" t="s">
        <v>5944</v>
      </c>
      <c r="E3637" s="4" t="s">
        <v>7866</v>
      </c>
      <c r="F3637" s="4" t="s">
        <v>5944</v>
      </c>
      <c r="G3637" s="5" t="str">
        <f>IFERROR(__xludf.DUMMYFUNCTION("GOOGLETRANSLATE(D3637,""en"",""es"")"),"estaño")</f>
        <v>estaño</v>
      </c>
      <c r="H3637" s="4" t="s">
        <v>5944</v>
      </c>
      <c r="I3637" s="4" t="s">
        <v>7867</v>
      </c>
      <c r="J3637" s="4" t="s">
        <v>7868</v>
      </c>
      <c r="K3637" s="4" t="s">
        <v>5944</v>
      </c>
      <c r="L3637" s="4" t="s">
        <v>7869</v>
      </c>
      <c r="M3637" s="4" t="s">
        <v>7870</v>
      </c>
      <c r="N3637" s="4" t="s">
        <v>5944</v>
      </c>
      <c r="O3637" s="4" t="s">
        <v>1120</v>
      </c>
      <c r="P3637" s="4" t="s">
        <v>5944</v>
      </c>
      <c r="Q3637" s="4" t="s">
        <v>5945</v>
      </c>
      <c r="R3637" s="4" t="s">
        <v>5944</v>
      </c>
      <c r="S3637" s="4" t="s">
        <v>1120</v>
      </c>
      <c r="T3637" s="4" t="s">
        <v>5944</v>
      </c>
      <c r="U3637" s="4" t="s">
        <v>2996</v>
      </c>
      <c r="V3637" s="4" t="s">
        <v>5944</v>
      </c>
    </row>
    <row r="3638">
      <c r="A3638" s="4">
        <v>574.0</v>
      </c>
      <c r="B3638" s="4" t="s">
        <v>8920</v>
      </c>
      <c r="C3638" s="4"/>
      <c r="D3638" s="4" t="s">
        <v>7871</v>
      </c>
      <c r="E3638" s="4" t="s">
        <v>7872</v>
      </c>
      <c r="F3638" s="4" t="s">
        <v>5593</v>
      </c>
      <c r="G3638" s="5" t="str">
        <f>IFERROR(__xludf.DUMMYFUNCTION("GOOGLETRANSLATE(D3638,""en"",""es"")"),"cascado")</f>
        <v>cascado</v>
      </c>
      <c r="H3638" s="4" t="s">
        <v>7871</v>
      </c>
      <c r="I3638" s="4" t="s">
        <v>1147</v>
      </c>
      <c r="J3638" s="4" t="s">
        <v>7697</v>
      </c>
      <c r="K3638" s="4" t="s">
        <v>7873</v>
      </c>
      <c r="L3638" s="4" t="s">
        <v>7874</v>
      </c>
      <c r="M3638" s="4" t="s">
        <v>7875</v>
      </c>
      <c r="N3638" s="4" t="s">
        <v>7876</v>
      </c>
      <c r="O3638" s="4" t="s">
        <v>7877</v>
      </c>
      <c r="P3638" s="4" t="s">
        <v>7871</v>
      </c>
      <c r="Q3638" s="4" t="s">
        <v>7871</v>
      </c>
    </row>
    <row r="3639">
      <c r="A3639" s="4">
        <v>575.0</v>
      </c>
      <c r="B3639" s="4" t="s">
        <v>8920</v>
      </c>
      <c r="C3639" s="4"/>
      <c r="D3639" s="4" t="s">
        <v>425</v>
      </c>
      <c r="E3639" s="4" t="s">
        <v>7878</v>
      </c>
      <c r="F3639" s="4" t="s">
        <v>425</v>
      </c>
      <c r="G3639" s="5" t="str">
        <f>IFERROR(__xludf.DUMMYFUNCTION("GOOGLETRANSLATE(D3639,""en"",""es"")"),"propina")</f>
        <v>propina</v>
      </c>
      <c r="H3639" s="4" t="s">
        <v>425</v>
      </c>
      <c r="I3639" s="4" t="s">
        <v>7879</v>
      </c>
      <c r="J3639" s="4" t="s">
        <v>425</v>
      </c>
      <c r="K3639" s="4" t="s">
        <v>7880</v>
      </c>
      <c r="L3639" s="4" t="s">
        <v>7881</v>
      </c>
      <c r="M3639" s="4" t="s">
        <v>7882</v>
      </c>
      <c r="N3639" s="4" t="s">
        <v>7883</v>
      </c>
      <c r="O3639" s="4" t="s">
        <v>7884</v>
      </c>
      <c r="P3639" s="4" t="s">
        <v>425</v>
      </c>
      <c r="Q3639" s="4" t="s">
        <v>648</v>
      </c>
      <c r="R3639" s="4" t="s">
        <v>7885</v>
      </c>
      <c r="S3639" s="4" t="s">
        <v>7886</v>
      </c>
      <c r="T3639" s="4" t="s">
        <v>1801</v>
      </c>
      <c r="U3639" s="4" t="s">
        <v>7887</v>
      </c>
      <c r="V3639" s="4" t="s">
        <v>3705</v>
      </c>
      <c r="W3639" s="4" t="s">
        <v>425</v>
      </c>
      <c r="X3639" s="4" t="s">
        <v>1400</v>
      </c>
      <c r="Y3639" s="4" t="s">
        <v>1400</v>
      </c>
      <c r="Z3639" s="4" t="s">
        <v>1401</v>
      </c>
      <c r="AA3639" s="4" t="s">
        <v>1402</v>
      </c>
      <c r="AB3639" s="4" t="s">
        <v>1403</v>
      </c>
      <c r="AC3639" s="4" t="s">
        <v>425</v>
      </c>
      <c r="AD3639" s="4" t="s">
        <v>1404</v>
      </c>
      <c r="AE3639" s="4" t="s">
        <v>425</v>
      </c>
      <c r="AF3639" s="4" t="s">
        <v>425</v>
      </c>
      <c r="AG3639" s="4" t="s">
        <v>425</v>
      </c>
      <c r="AH3639" s="4" t="s">
        <v>1811</v>
      </c>
      <c r="AI3639" s="4" t="s">
        <v>7888</v>
      </c>
      <c r="AJ3639" s="4" t="s">
        <v>7889</v>
      </c>
      <c r="AK3639" s="4" t="s">
        <v>7890</v>
      </c>
      <c r="AL3639" s="4" t="s">
        <v>425</v>
      </c>
      <c r="AM3639" s="4" t="s">
        <v>7828</v>
      </c>
      <c r="AN3639" s="4" t="s">
        <v>7891</v>
      </c>
      <c r="AO3639" s="4" t="s">
        <v>425</v>
      </c>
      <c r="AP3639" s="4" t="s">
        <v>7892</v>
      </c>
      <c r="AQ3639" s="4" t="s">
        <v>7893</v>
      </c>
      <c r="AR3639" s="4" t="s">
        <v>7894</v>
      </c>
      <c r="AS3639" s="4" t="s">
        <v>425</v>
      </c>
      <c r="AT3639" s="4" t="s">
        <v>7895</v>
      </c>
      <c r="AU3639" s="4" t="s">
        <v>4321</v>
      </c>
      <c r="AV3639" s="4" t="s">
        <v>425</v>
      </c>
      <c r="AW3639" s="4" t="s">
        <v>7896</v>
      </c>
      <c r="AX3639" s="4" t="s">
        <v>425</v>
      </c>
      <c r="AY3639" s="4" t="s">
        <v>425</v>
      </c>
    </row>
    <row r="3640">
      <c r="A3640" s="4">
        <v>576.0</v>
      </c>
      <c r="B3640" s="4" t="s">
        <v>8920</v>
      </c>
      <c r="C3640" s="4"/>
      <c r="D3640" s="4" t="s">
        <v>7897</v>
      </c>
      <c r="E3640" s="4" t="s">
        <v>7898</v>
      </c>
      <c r="F3640" s="4" t="s">
        <v>7899</v>
      </c>
      <c r="G3640" s="5" t="str">
        <f>IFERROR(__xludf.DUMMYFUNCTION("GOOGLETRANSLATE(D3640,""en"",""es"")"),"tejido")</f>
        <v>tejido</v>
      </c>
      <c r="H3640" s="4" t="s">
        <v>7897</v>
      </c>
      <c r="I3640" s="4" t="s">
        <v>7897</v>
      </c>
      <c r="J3640" s="4" t="s">
        <v>7900</v>
      </c>
      <c r="K3640" s="4" t="s">
        <v>7901</v>
      </c>
      <c r="L3640" s="4" t="s">
        <v>7897</v>
      </c>
    </row>
    <row r="3641">
      <c r="A3641" s="4">
        <v>577.0</v>
      </c>
      <c r="B3641" s="4" t="s">
        <v>8920</v>
      </c>
      <c r="C3641" s="4"/>
      <c r="D3641" s="4" t="s">
        <v>7902</v>
      </c>
      <c r="E3641" s="4" t="s">
        <v>7903</v>
      </c>
      <c r="F3641" s="4" t="s">
        <v>4490</v>
      </c>
      <c r="G3641" s="5" t="str">
        <f>IFERROR(__xludf.DUMMYFUNCTION("GOOGLETRANSLATE(D3641,""en"",""es"")"),"titty")</f>
        <v>titty</v>
      </c>
      <c r="H3641" s="4" t="s">
        <v>7904</v>
      </c>
      <c r="I3641" s="4" t="s">
        <v>4759</v>
      </c>
      <c r="J3641" s="4" t="s">
        <v>7905</v>
      </c>
      <c r="K3641" s="4" t="s">
        <v>3240</v>
      </c>
      <c r="L3641" s="4" t="s">
        <v>7097</v>
      </c>
      <c r="M3641" s="4" t="s">
        <v>7902</v>
      </c>
    </row>
    <row r="3642">
      <c r="A3642" s="4">
        <v>578.0</v>
      </c>
      <c r="B3642" s="4" t="s">
        <v>8920</v>
      </c>
      <c r="C3642" s="4"/>
      <c r="D3642" s="4" t="s">
        <v>8836</v>
      </c>
      <c r="E3642" s="4" t="s">
        <v>4556</v>
      </c>
      <c r="F3642" s="4" t="s">
        <v>4555</v>
      </c>
      <c r="G3642" s="5" t="str">
        <f>IFERROR(__xludf.DUMMYFUNCTION("GOOGLETRANSLATE(D3642,""en"",""es"")"),"a")</f>
        <v>a</v>
      </c>
    </row>
    <row r="3643">
      <c r="A3643" s="4">
        <v>579.0</v>
      </c>
      <c r="B3643" s="4" t="s">
        <v>8920</v>
      </c>
      <c r="C3643" s="4"/>
      <c r="D3643" s="4" t="s">
        <v>8837</v>
      </c>
      <c r="E3643" s="4" t="s">
        <v>8838</v>
      </c>
      <c r="F3643" s="4" t="s">
        <v>7735</v>
      </c>
      <c r="G3643" s="5" t="str">
        <f>IFERROR(__xludf.DUMMYFUNCTION("GOOGLETRANSLATE(D3643,""en"",""es"")"),"Tomás")</f>
        <v>Tomás</v>
      </c>
      <c r="H3643" s="4" t="s">
        <v>8839</v>
      </c>
      <c r="I3643" s="4" t="s">
        <v>8840</v>
      </c>
      <c r="J3643" s="4" t="s">
        <v>8837</v>
      </c>
      <c r="K3643" s="4" t="s">
        <v>8841</v>
      </c>
      <c r="L3643" s="4" t="s">
        <v>8842</v>
      </c>
      <c r="M3643" s="4" t="s">
        <v>8843</v>
      </c>
      <c r="N3643" s="4" t="s">
        <v>8837</v>
      </c>
      <c r="O3643" s="4" t="s">
        <v>8844</v>
      </c>
    </row>
    <row r="3644">
      <c r="A3644" s="4">
        <v>580.0</v>
      </c>
      <c r="B3644" s="4" t="s">
        <v>8920</v>
      </c>
      <c r="C3644" s="4"/>
      <c r="D3644" s="4" t="s">
        <v>8845</v>
      </c>
      <c r="E3644" s="4" t="s">
        <v>8846</v>
      </c>
      <c r="F3644" s="4" t="s">
        <v>8847</v>
      </c>
      <c r="G3644" s="5" t="str">
        <f>IFERROR(__xludf.DUMMYFUNCTION("GOOGLETRANSLATE(D3644,""en"",""es"")"),"tumba")</f>
        <v>tumba</v>
      </c>
      <c r="H3644" s="4" t="s">
        <v>8848</v>
      </c>
      <c r="I3644" s="4" t="s">
        <v>8845</v>
      </c>
    </row>
    <row r="3645">
      <c r="A3645" s="4">
        <v>581.0</v>
      </c>
      <c r="B3645" s="4" t="s">
        <v>8920</v>
      </c>
      <c r="C3645" s="4"/>
      <c r="D3645" s="4" t="s">
        <v>8849</v>
      </c>
      <c r="E3645" s="4" t="s">
        <v>8850</v>
      </c>
      <c r="F3645" s="4" t="s">
        <v>7734</v>
      </c>
      <c r="G3645" s="5" t="str">
        <f>IFERROR(__xludf.DUMMYFUNCTION("GOOGLETRANSLATE(D3645,""en"",""es"")"),"tommy")</f>
        <v>tommy</v>
      </c>
    </row>
    <row r="3646">
      <c r="A3646" s="4">
        <v>582.0</v>
      </c>
      <c r="B3646" s="4" t="s">
        <v>8920</v>
      </c>
      <c r="C3646" s="4"/>
      <c r="D3646" s="4" t="s">
        <v>8851</v>
      </c>
      <c r="E3646" s="4" t="s">
        <v>4556</v>
      </c>
      <c r="F3646" s="4" t="s">
        <v>4555</v>
      </c>
      <c r="G3646" s="5" t="str">
        <f>IFERROR(__xludf.DUMMYFUNCTION("GOOGLETRANSLATE(D3646,""en"",""es"")"),"también")</f>
        <v>también</v>
      </c>
      <c r="H3646" s="4" t="s">
        <v>8852</v>
      </c>
      <c r="I3646" s="4" t="s">
        <v>8853</v>
      </c>
      <c r="J3646" s="4" t="s">
        <v>8854</v>
      </c>
      <c r="K3646" s="4" t="s">
        <v>8851</v>
      </c>
      <c r="L3646" s="4" t="s">
        <v>8855</v>
      </c>
      <c r="M3646" s="4" t="s">
        <v>8851</v>
      </c>
      <c r="N3646" s="4" t="s">
        <v>8856</v>
      </c>
      <c r="O3646" s="4" t="s">
        <v>8857</v>
      </c>
      <c r="P3646" s="4" t="s">
        <v>8858</v>
      </c>
    </row>
    <row r="3647">
      <c r="A3647" s="4">
        <v>583.0</v>
      </c>
      <c r="B3647" s="4" t="s">
        <v>8920</v>
      </c>
      <c r="C3647" s="4"/>
      <c r="D3647" s="4" t="s">
        <v>7906</v>
      </c>
      <c r="E3647" s="4" t="s">
        <v>7907</v>
      </c>
      <c r="F3647" s="4" t="s">
        <v>456</v>
      </c>
      <c r="G3647" s="5" t="str">
        <f>IFERROR(__xludf.DUMMYFUNCTION("GOOGLETRANSLATE(D3647,""en"",""es"")"),"tomó")</f>
        <v>tomó</v>
      </c>
      <c r="H3647" s="4" t="s">
        <v>887</v>
      </c>
      <c r="I3647" s="4" t="s">
        <v>887</v>
      </c>
      <c r="J3647" s="4" t="s">
        <v>3082</v>
      </c>
      <c r="K3647" s="4" t="s">
        <v>7908</v>
      </c>
      <c r="L3647" s="4" t="s">
        <v>648</v>
      </c>
      <c r="M3647" s="4" t="s">
        <v>887</v>
      </c>
      <c r="N3647" s="4" t="s">
        <v>7909</v>
      </c>
      <c r="O3647" s="4" t="s">
        <v>7910</v>
      </c>
      <c r="P3647" s="4" t="s">
        <v>3413</v>
      </c>
      <c r="Q3647" s="4" t="s">
        <v>887</v>
      </c>
      <c r="R3647" s="4" t="s">
        <v>7911</v>
      </c>
      <c r="S3647" s="4" t="s">
        <v>883</v>
      </c>
      <c r="T3647" s="4" t="s">
        <v>884</v>
      </c>
      <c r="U3647" s="4" t="s">
        <v>885</v>
      </c>
      <c r="V3647" s="4" t="s">
        <v>886</v>
      </c>
      <c r="W3647" s="4" t="s">
        <v>887</v>
      </c>
      <c r="X3647" s="4" t="s">
        <v>887</v>
      </c>
      <c r="Y3647" s="4" t="s">
        <v>7912</v>
      </c>
      <c r="Z3647" s="4" t="s">
        <v>7913</v>
      </c>
      <c r="AA3647" s="4" t="s">
        <v>1500</v>
      </c>
      <c r="AB3647" s="4" t="s">
        <v>887</v>
      </c>
      <c r="AC3647" s="4" t="s">
        <v>887</v>
      </c>
      <c r="AD3647" s="4" t="s">
        <v>887</v>
      </c>
      <c r="AE3647" s="4" t="s">
        <v>7914</v>
      </c>
      <c r="AF3647" s="4" t="s">
        <v>887</v>
      </c>
      <c r="AG3647" s="4" t="s">
        <v>7915</v>
      </c>
      <c r="AH3647" s="4" t="s">
        <v>7916</v>
      </c>
      <c r="AI3647" s="4" t="s">
        <v>7917</v>
      </c>
      <c r="AJ3647" s="4" t="s">
        <v>887</v>
      </c>
      <c r="AK3647" s="4" t="s">
        <v>311</v>
      </c>
      <c r="AL3647" s="4" t="s">
        <v>3086</v>
      </c>
      <c r="AM3647" s="4" t="s">
        <v>887</v>
      </c>
      <c r="AN3647" s="4" t="s">
        <v>3082</v>
      </c>
      <c r="AO3647" s="4" t="s">
        <v>7918</v>
      </c>
      <c r="AP3647" s="4" t="s">
        <v>887</v>
      </c>
      <c r="AQ3647" s="4" t="s">
        <v>1737</v>
      </c>
      <c r="AR3647" s="4" t="s">
        <v>7919</v>
      </c>
      <c r="AS3647" s="4" t="s">
        <v>7920</v>
      </c>
      <c r="AT3647" s="4" t="s">
        <v>7921</v>
      </c>
      <c r="AU3647" s="4" t="s">
        <v>7922</v>
      </c>
      <c r="AV3647" s="4" t="s">
        <v>7923</v>
      </c>
      <c r="AW3647" s="4" t="s">
        <v>7924</v>
      </c>
      <c r="AX3647" s="4" t="s">
        <v>887</v>
      </c>
      <c r="AY3647" s="4" t="s">
        <v>7925</v>
      </c>
      <c r="AZ3647" s="4" t="s">
        <v>7926</v>
      </c>
      <c r="BA3647" s="4" t="s">
        <v>7927</v>
      </c>
      <c r="BB3647" s="4" t="s">
        <v>887</v>
      </c>
      <c r="BC3647" s="4" t="s">
        <v>1240</v>
      </c>
      <c r="BD3647" s="4" t="s">
        <v>4430</v>
      </c>
      <c r="BE3647" s="4" t="s">
        <v>887</v>
      </c>
      <c r="BF3647" s="4" t="s">
        <v>538</v>
      </c>
      <c r="BG3647" s="4" t="s">
        <v>887</v>
      </c>
      <c r="BH3647" s="4" t="s">
        <v>7928</v>
      </c>
      <c r="BI3647" s="4" t="s">
        <v>7929</v>
      </c>
      <c r="BJ3647" s="4" t="s">
        <v>7930</v>
      </c>
      <c r="BK3647" s="4" t="s">
        <v>879</v>
      </c>
      <c r="BL3647" s="4" t="s">
        <v>486</v>
      </c>
      <c r="BM3647" s="4" t="s">
        <v>887</v>
      </c>
      <c r="BN3647" s="4" t="s">
        <v>311</v>
      </c>
      <c r="BO3647" s="4" t="s">
        <v>887</v>
      </c>
      <c r="BP3647" s="4" t="s">
        <v>7931</v>
      </c>
      <c r="BQ3647" s="4" t="s">
        <v>887</v>
      </c>
      <c r="BR3647" s="4" t="s">
        <v>7917</v>
      </c>
      <c r="BS3647" s="4" t="s">
        <v>887</v>
      </c>
      <c r="BT3647" s="4" t="s">
        <v>883</v>
      </c>
      <c r="BU3647" s="4" t="s">
        <v>887</v>
      </c>
      <c r="BV3647" s="4" t="s">
        <v>903</v>
      </c>
      <c r="BW3647" s="4" t="s">
        <v>7932</v>
      </c>
      <c r="BX3647" s="4" t="s">
        <v>7917</v>
      </c>
      <c r="BY3647" s="4" t="s">
        <v>7933</v>
      </c>
      <c r="BZ3647" s="4" t="s">
        <v>887</v>
      </c>
      <c r="CA3647" s="4" t="s">
        <v>886</v>
      </c>
      <c r="CB3647" s="4" t="s">
        <v>887</v>
      </c>
      <c r="CC3647" s="4" t="s">
        <v>7934</v>
      </c>
      <c r="CD3647" s="4" t="s">
        <v>1074</v>
      </c>
      <c r="CE3647" s="4" t="s">
        <v>7912</v>
      </c>
      <c r="CF3647" s="4" t="s">
        <v>887</v>
      </c>
      <c r="CG3647" s="4" t="s">
        <v>7935</v>
      </c>
      <c r="CH3647" s="4" t="s">
        <v>887</v>
      </c>
      <c r="CI3647" s="4" t="s">
        <v>7936</v>
      </c>
      <c r="CJ3647" s="4" t="s">
        <v>887</v>
      </c>
      <c r="CK3647" s="4" t="s">
        <v>3000</v>
      </c>
      <c r="CL3647" s="4" t="s">
        <v>7937</v>
      </c>
      <c r="CM3647" s="4" t="s">
        <v>887</v>
      </c>
      <c r="CN3647" s="4" t="s">
        <v>7938</v>
      </c>
      <c r="CO3647" s="4" t="s">
        <v>7939</v>
      </c>
      <c r="CP3647" s="4" t="s">
        <v>7909</v>
      </c>
      <c r="CQ3647" s="4" t="s">
        <v>887</v>
      </c>
      <c r="CR3647" s="4" t="s">
        <v>7048</v>
      </c>
      <c r="CS3647" s="4" t="s">
        <v>2543</v>
      </c>
      <c r="CT3647" s="4" t="s">
        <v>887</v>
      </c>
      <c r="CU3647" s="4" t="s">
        <v>7940</v>
      </c>
      <c r="CV3647" s="4" t="s">
        <v>7941</v>
      </c>
      <c r="CW3647" s="4" t="s">
        <v>3084</v>
      </c>
      <c r="CX3647" s="4" t="s">
        <v>7942</v>
      </c>
      <c r="CY3647" s="4" t="s">
        <v>3081</v>
      </c>
      <c r="CZ3647" s="4" t="s">
        <v>887</v>
      </c>
      <c r="DA3647" s="4" t="s">
        <v>7943</v>
      </c>
      <c r="DB3647" s="4" t="s">
        <v>7944</v>
      </c>
      <c r="DC3647" s="4" t="s">
        <v>887</v>
      </c>
      <c r="DD3647" s="4" t="s">
        <v>887</v>
      </c>
      <c r="DE3647" s="4" t="s">
        <v>887</v>
      </c>
      <c r="DF3647" s="4" t="s">
        <v>887</v>
      </c>
      <c r="DG3647" s="4" t="s">
        <v>311</v>
      </c>
      <c r="DH3647" s="4" t="s">
        <v>7935</v>
      </c>
      <c r="DI3647" s="4" t="s">
        <v>887</v>
      </c>
      <c r="DJ3647" s="4" t="s">
        <v>7917</v>
      </c>
      <c r="DK3647" s="4" t="s">
        <v>887</v>
      </c>
      <c r="DL3647" s="4" t="s">
        <v>2074</v>
      </c>
      <c r="DM3647" s="4" t="s">
        <v>887</v>
      </c>
      <c r="DN3647" s="4" t="s">
        <v>313</v>
      </c>
      <c r="DO3647" s="4" t="s">
        <v>887</v>
      </c>
      <c r="DP3647" s="4" t="s">
        <v>7337</v>
      </c>
      <c r="DQ3647" s="4" t="s">
        <v>887</v>
      </c>
      <c r="DR3647" s="4" t="s">
        <v>887</v>
      </c>
      <c r="DS3647" s="4" t="s">
        <v>7945</v>
      </c>
      <c r="DT3647" s="4" t="s">
        <v>887</v>
      </c>
      <c r="DU3647" s="4" t="s">
        <v>7946</v>
      </c>
    </row>
    <row r="3648">
      <c r="A3648" s="4">
        <v>584.0</v>
      </c>
      <c r="B3648" s="4" t="s">
        <v>8920</v>
      </c>
      <c r="C3648" s="4"/>
      <c r="D3648" s="4" t="s">
        <v>4858</v>
      </c>
      <c r="E3648" s="4" t="s">
        <v>8859</v>
      </c>
      <c r="F3648" s="4" t="s">
        <v>8860</v>
      </c>
      <c r="G3648" s="5" t="str">
        <f>IFERROR(__xludf.DUMMYFUNCTION("GOOGLETRANSLATE(D3648,""en"",""es"")"),"diente")</f>
        <v>diente</v>
      </c>
      <c r="H3648" s="4" t="s">
        <v>4858</v>
      </c>
      <c r="I3648" s="4" t="s">
        <v>4858</v>
      </c>
      <c r="J3648" s="4" t="s">
        <v>4858</v>
      </c>
      <c r="K3648" s="4" t="s">
        <v>4858</v>
      </c>
      <c r="L3648" s="4" t="s">
        <v>4858</v>
      </c>
    </row>
    <row r="3649">
      <c r="A3649" s="4">
        <v>585.0</v>
      </c>
      <c r="B3649" s="4" t="s">
        <v>8920</v>
      </c>
      <c r="C3649" s="4"/>
      <c r="D3649" s="4" t="s">
        <v>1403</v>
      </c>
      <c r="E3649" s="4" t="s">
        <v>8861</v>
      </c>
      <c r="F3649" s="4" t="s">
        <v>4321</v>
      </c>
      <c r="G3649" s="5" t="str">
        <f>IFERROR(__xludf.DUMMYFUNCTION("GOOGLETRANSLATE(D3649,""en"",""es"")"),"parte superior")</f>
        <v>parte superior</v>
      </c>
      <c r="H3649" s="4" t="s">
        <v>1403</v>
      </c>
      <c r="I3649" s="4" t="s">
        <v>1403</v>
      </c>
      <c r="J3649" s="4" t="s">
        <v>8862</v>
      </c>
      <c r="K3649" s="4" t="s">
        <v>8863</v>
      </c>
      <c r="L3649" s="4" t="s">
        <v>8864</v>
      </c>
      <c r="M3649" s="4" t="s">
        <v>1400</v>
      </c>
      <c r="N3649" s="4" t="s">
        <v>1401</v>
      </c>
      <c r="O3649" s="4" t="s">
        <v>1402</v>
      </c>
      <c r="P3649" s="4" t="s">
        <v>1403</v>
      </c>
      <c r="Q3649" s="4" t="s">
        <v>425</v>
      </c>
      <c r="R3649" s="4" t="s">
        <v>1404</v>
      </c>
      <c r="S3649" s="4" t="s">
        <v>1403</v>
      </c>
      <c r="T3649" s="4" t="s">
        <v>8865</v>
      </c>
      <c r="U3649" s="4" t="s">
        <v>1407</v>
      </c>
      <c r="V3649" s="4" t="s">
        <v>1409</v>
      </c>
      <c r="W3649" s="4" t="s">
        <v>1410</v>
      </c>
      <c r="X3649" s="4" t="s">
        <v>1400</v>
      </c>
      <c r="Y3649" s="4" t="s">
        <v>1411</v>
      </c>
      <c r="Z3649" s="4" t="s">
        <v>1404</v>
      </c>
      <c r="AA3649" s="4" t="s">
        <v>1412</v>
      </c>
      <c r="AB3649" s="4" t="s">
        <v>1413</v>
      </c>
      <c r="AC3649" s="4" t="s">
        <v>1414</v>
      </c>
      <c r="AD3649" s="4" t="s">
        <v>1403</v>
      </c>
      <c r="AE3649" s="4" t="s">
        <v>1403</v>
      </c>
      <c r="AF3649" s="4" t="s">
        <v>1403</v>
      </c>
      <c r="AG3649" s="4" t="s">
        <v>1403</v>
      </c>
      <c r="AH3649" s="4" t="s">
        <v>8866</v>
      </c>
      <c r="AI3649" s="4" t="s">
        <v>8867</v>
      </c>
      <c r="AJ3649" s="4" t="s">
        <v>8868</v>
      </c>
      <c r="AK3649" s="4" t="s">
        <v>1403</v>
      </c>
      <c r="AL3649" s="4" t="s">
        <v>4332</v>
      </c>
      <c r="AM3649" s="4" t="s">
        <v>1403</v>
      </c>
      <c r="AN3649" s="4" t="s">
        <v>8869</v>
      </c>
      <c r="AO3649" s="4" t="s">
        <v>8870</v>
      </c>
      <c r="AP3649" s="4" t="s">
        <v>8871</v>
      </c>
      <c r="AQ3649" s="4" t="s">
        <v>1403</v>
      </c>
      <c r="AR3649" s="4" t="s">
        <v>7134</v>
      </c>
      <c r="AS3649" s="4" t="s">
        <v>7135</v>
      </c>
      <c r="AT3649" s="4" t="s">
        <v>7136</v>
      </c>
      <c r="AU3649" s="4" t="s">
        <v>647</v>
      </c>
      <c r="AV3649" s="4" t="s">
        <v>3420</v>
      </c>
      <c r="AW3649" s="4" t="s">
        <v>1403</v>
      </c>
      <c r="AX3649" s="4" t="s">
        <v>2682</v>
      </c>
      <c r="AY3649" s="4" t="s">
        <v>1403</v>
      </c>
      <c r="AZ3649" s="4" t="s">
        <v>1403</v>
      </c>
      <c r="BA3649" s="4" t="s">
        <v>648</v>
      </c>
      <c r="BB3649" s="4" t="s">
        <v>1403</v>
      </c>
      <c r="BC3649" s="4" t="s">
        <v>1403</v>
      </c>
      <c r="BD3649" s="4" t="s">
        <v>8872</v>
      </c>
      <c r="BE3649" s="4" t="s">
        <v>1403</v>
      </c>
      <c r="BF3649" s="4" t="s">
        <v>1403</v>
      </c>
      <c r="BG3649" s="4" t="s">
        <v>1403</v>
      </c>
      <c r="BH3649" s="4" t="s">
        <v>6302</v>
      </c>
      <c r="BI3649" s="4" t="s">
        <v>1401</v>
      </c>
      <c r="BJ3649" s="4" t="s">
        <v>1403</v>
      </c>
      <c r="BK3649" s="4" t="s">
        <v>1403</v>
      </c>
      <c r="BL3649" s="4" t="s">
        <v>8873</v>
      </c>
      <c r="BM3649" s="4" t="s">
        <v>1403</v>
      </c>
    </row>
    <row r="3650">
      <c r="A3650" s="4">
        <v>586.0</v>
      </c>
      <c r="B3650" s="4" t="s">
        <v>8920</v>
      </c>
      <c r="C3650" s="4"/>
      <c r="D3650" s="4" t="s">
        <v>8874</v>
      </c>
      <c r="E3650" s="4" t="s">
        <v>8875</v>
      </c>
      <c r="F3650" s="4" t="s">
        <v>8876</v>
      </c>
      <c r="G3650" s="5" t="str">
        <f>IFERROR(__xludf.DUMMYFUNCTION("GOOGLETRANSLATE(D3650,""en"",""es"")"),"tema")</f>
        <v>tema</v>
      </c>
      <c r="H3650" s="4" t="s">
        <v>1069</v>
      </c>
      <c r="I3650" s="4" t="s">
        <v>8874</v>
      </c>
      <c r="J3650" s="4" t="s">
        <v>8877</v>
      </c>
      <c r="K3650" s="4" t="s">
        <v>8874</v>
      </c>
      <c r="L3650" s="4" t="s">
        <v>1069</v>
      </c>
      <c r="M3650" s="4" t="s">
        <v>8878</v>
      </c>
      <c r="N3650" s="4" t="s">
        <v>8879</v>
      </c>
    </row>
    <row r="3651">
      <c r="A3651" s="4">
        <v>587.0</v>
      </c>
      <c r="B3651" s="4" t="s">
        <v>8920</v>
      </c>
      <c r="C3651" s="4"/>
      <c r="D3651" s="4" t="s">
        <v>7947</v>
      </c>
      <c r="E3651" s="4" t="s">
        <v>7948</v>
      </c>
      <c r="F3651" s="4" t="s">
        <v>7949</v>
      </c>
      <c r="G3651" s="5" t="str">
        <f>IFERROR(__xludf.DUMMYFUNCTION("GOOGLETRANSLATE(D3651,""en"",""es"")"),"touloulou")</f>
        <v>touloulou</v>
      </c>
    </row>
    <row r="3652">
      <c r="A3652" s="4">
        <v>588.0</v>
      </c>
      <c r="B3652" s="4" t="s">
        <v>8920</v>
      </c>
      <c r="C3652" s="4"/>
      <c r="D3652" s="4" t="s">
        <v>7950</v>
      </c>
      <c r="E3652" s="4" t="s">
        <v>400</v>
      </c>
      <c r="F3652" s="4" t="s">
        <v>401</v>
      </c>
      <c r="G3652" s="5" t="str">
        <f>IFERROR(__xludf.DUMMYFUNCTION("GOOGLETRANSLATE(D3652,""en"",""es"")"),"TSE")</f>
        <v>TSE</v>
      </c>
    </row>
    <row r="3653">
      <c r="A3653" s="4">
        <v>589.0</v>
      </c>
      <c r="B3653" s="4" t="s">
        <v>8920</v>
      </c>
      <c r="C3653" s="4"/>
      <c r="D3653" s="4" t="s">
        <v>8880</v>
      </c>
      <c r="E3653" s="4" t="s">
        <v>8881</v>
      </c>
      <c r="F3653" s="4" t="s">
        <v>8882</v>
      </c>
      <c r="G3653" s="5" t="str">
        <f>IFERROR(__xludf.DUMMYFUNCTION("GOOGLETRANSLATE(D3653,""en"",""es"")"),"tsunami")</f>
        <v>tsunami</v>
      </c>
      <c r="H3653" s="4" t="s">
        <v>8880</v>
      </c>
    </row>
    <row r="3654">
      <c r="A3654" s="4">
        <v>590.0</v>
      </c>
      <c r="B3654" s="4" t="s">
        <v>8920</v>
      </c>
      <c r="C3654" s="4"/>
      <c r="D3654" s="4" t="s">
        <v>8883</v>
      </c>
      <c r="E3654" s="4" t="s">
        <v>8884</v>
      </c>
      <c r="F3654" s="4" t="s">
        <v>8883</v>
      </c>
      <c r="G3654" s="5" t="str">
        <f>IFERROR(__xludf.DUMMYFUNCTION("GOOGLETRANSLATE(D3654,""en"",""es"")"),"tulipán")</f>
        <v>tulipán</v>
      </c>
      <c r="H3654" s="4" t="s">
        <v>8883</v>
      </c>
    </row>
    <row r="3655">
      <c r="A3655" s="4">
        <v>591.0</v>
      </c>
      <c r="B3655" s="4" t="s">
        <v>8920</v>
      </c>
      <c r="C3655" s="4"/>
      <c r="D3655" s="4" t="s">
        <v>1622</v>
      </c>
      <c r="E3655" s="4" t="s">
        <v>7953</v>
      </c>
      <c r="F3655" s="4" t="s">
        <v>1622</v>
      </c>
      <c r="G3655" s="5" t="str">
        <f>IFERROR(__xludf.DUMMYFUNCTION("GOOGLETRANSLATE(D3655,""en"",""es"")"),"tosh")</f>
        <v>tosh</v>
      </c>
      <c r="H3655" s="4" t="s">
        <v>1602</v>
      </c>
      <c r="I3655" s="4" t="s">
        <v>1603</v>
      </c>
      <c r="J3655" s="4" t="s">
        <v>1604</v>
      </c>
      <c r="K3655" s="4" t="s">
        <v>1605</v>
      </c>
      <c r="L3655" s="4" t="s">
        <v>1606</v>
      </c>
      <c r="M3655" s="4" t="s">
        <v>1147</v>
      </c>
      <c r="N3655" s="4" t="s">
        <v>1607</v>
      </c>
      <c r="O3655" s="4" t="s">
        <v>1120</v>
      </c>
      <c r="P3655" s="4" t="s">
        <v>1608</v>
      </c>
      <c r="Q3655" s="4" t="s">
        <v>1609</v>
      </c>
      <c r="R3655" s="4" t="s">
        <v>1610</v>
      </c>
      <c r="S3655" s="4" t="s">
        <v>1611</v>
      </c>
      <c r="T3655" s="4" t="s">
        <v>1612</v>
      </c>
      <c r="U3655" s="4" t="s">
        <v>1613</v>
      </c>
      <c r="V3655" s="4" t="s">
        <v>1614</v>
      </c>
      <c r="W3655" s="4" t="s">
        <v>1615</v>
      </c>
      <c r="X3655" s="4" t="s">
        <v>1616</v>
      </c>
      <c r="Y3655" s="4" t="s">
        <v>1617</v>
      </c>
      <c r="Z3655" s="4" t="s">
        <v>1618</v>
      </c>
      <c r="AA3655" s="4" t="s">
        <v>1619</v>
      </c>
      <c r="AB3655" s="4" t="s">
        <v>1620</v>
      </c>
      <c r="AC3655" s="4" t="s">
        <v>1621</v>
      </c>
      <c r="AD3655" s="4" t="s">
        <v>1622</v>
      </c>
      <c r="AE3655" s="4" t="s">
        <v>1623</v>
      </c>
      <c r="AF3655" s="4" t="s">
        <v>1624</v>
      </c>
      <c r="AG3655" s="4" t="s">
        <v>1625</v>
      </c>
      <c r="AH3655" s="4" t="s">
        <v>1626</v>
      </c>
      <c r="AI3655" s="4" t="s">
        <v>1627</v>
      </c>
    </row>
    <row r="3656">
      <c r="A3656" s="4">
        <v>592.0</v>
      </c>
      <c r="B3656" s="4" t="s">
        <v>8920</v>
      </c>
      <c r="C3656" s="4"/>
      <c r="D3656" s="4" t="s">
        <v>7954</v>
      </c>
      <c r="E3656" s="4" t="s">
        <v>7955</v>
      </c>
      <c r="F3656" s="4" t="s">
        <v>7956</v>
      </c>
      <c r="G3656" s="5" t="str">
        <f>IFERROR(__xludf.DUMMYFUNCTION("GOOGLETRANSLATE(D3656,""en"",""es"")"),"tushie")</f>
        <v>tushie</v>
      </c>
    </row>
    <row r="3657">
      <c r="A3657" s="4">
        <v>593.0</v>
      </c>
      <c r="B3657" s="4" t="s">
        <v>8920</v>
      </c>
      <c r="C3657" s="4"/>
      <c r="D3657" s="4" t="s">
        <v>4579</v>
      </c>
      <c r="E3657" s="4" t="s">
        <v>4578</v>
      </c>
      <c r="F3657" s="4" t="s">
        <v>4579</v>
      </c>
      <c r="G3657" s="5" t="str">
        <f>IFERROR(__xludf.DUMMYFUNCTION("GOOGLETRANSLATE(D3657,""en"",""es"")"),"tutú")</f>
        <v>tutú</v>
      </c>
      <c r="H3657" s="4" t="s">
        <v>7957</v>
      </c>
      <c r="I3657" s="4" t="s">
        <v>7958</v>
      </c>
      <c r="J3657" s="4" t="s">
        <v>4580</v>
      </c>
      <c r="K3657" s="4" t="s">
        <v>4579</v>
      </c>
    </row>
    <row r="3658">
      <c r="A3658" s="4">
        <v>594.0</v>
      </c>
      <c r="B3658" s="4" t="s">
        <v>8920</v>
      </c>
      <c r="C3658" s="4"/>
      <c r="D3658" s="4" t="s">
        <v>8885</v>
      </c>
      <c r="E3658" s="4" t="s">
        <v>4556</v>
      </c>
      <c r="F3658" s="4" t="s">
        <v>4555</v>
      </c>
      <c r="G3658" s="5" t="str">
        <f>IFERROR(__xludf.DUMMYFUNCTION("GOOGLETRANSLATE(D3658,""en"",""es"")"),"dos")</f>
        <v>dos</v>
      </c>
      <c r="H3658" s="4" t="s">
        <v>8885</v>
      </c>
      <c r="I3658" s="4">
        <v>2.0</v>
      </c>
      <c r="J3658" s="4" t="s">
        <v>8886</v>
      </c>
      <c r="K3658" s="4" t="s">
        <v>8887</v>
      </c>
      <c r="L3658" s="4" t="s">
        <v>8887</v>
      </c>
      <c r="M3658" s="4" t="s">
        <v>8885</v>
      </c>
      <c r="N3658" s="4" t="s">
        <v>8885</v>
      </c>
      <c r="O3658" s="4">
        <v>2.0</v>
      </c>
      <c r="P3658" s="4" t="s">
        <v>8888</v>
      </c>
    </row>
    <row r="3659">
      <c r="A3659" s="4">
        <v>595.0</v>
      </c>
      <c r="B3659" s="4" t="s">
        <v>8920</v>
      </c>
      <c r="C3659" s="4"/>
      <c r="D3659" s="4" t="s">
        <v>7959</v>
      </c>
      <c r="E3659" s="4" t="s">
        <v>7960</v>
      </c>
      <c r="F3659" s="4" t="s">
        <v>4559</v>
      </c>
      <c r="G3659" s="5" t="str">
        <f>IFERROR(__xludf.DUMMYFUNCTION("GOOGLETRANSLATE(D3659,""en"",""es"")"),"twp")</f>
        <v>twp</v>
      </c>
    </row>
    <row r="3660">
      <c r="A3660" s="4">
        <v>596.0</v>
      </c>
      <c r="B3660" s="4" t="s">
        <v>8920</v>
      </c>
      <c r="C3660" s="4"/>
      <c r="D3660" s="4" t="s">
        <v>7961</v>
      </c>
      <c r="E3660" s="4" t="s">
        <v>7962</v>
      </c>
      <c r="F3660" s="4" t="s">
        <v>7963</v>
      </c>
      <c r="G3660" s="5" t="str">
        <f>IFERROR(__xludf.DUMMYFUNCTION("GOOGLETRANSLATE(D3660,""en"",""es"")"),"UConn")</f>
        <v>UConn</v>
      </c>
    </row>
    <row r="3661">
      <c r="A3661" s="4">
        <v>597.0</v>
      </c>
      <c r="B3661" s="4" t="s">
        <v>8920</v>
      </c>
      <c r="C3661" s="4"/>
      <c r="D3661" s="4" t="s">
        <v>8889</v>
      </c>
      <c r="E3661" s="4" t="s">
        <v>8890</v>
      </c>
      <c r="F3661" s="4" t="s">
        <v>8891</v>
      </c>
      <c r="G3661" s="5" t="str">
        <f>IFERROR(__xludf.DUMMYFUNCTION("GOOGLETRANSLATE(D3661,""en"",""es"")"),"Umich")</f>
        <v>Umich</v>
      </c>
    </row>
    <row r="3662">
      <c r="A3662" s="4">
        <v>598.0</v>
      </c>
      <c r="B3662" s="4" t="s">
        <v>8920</v>
      </c>
      <c r="C3662" s="4"/>
      <c r="D3662" s="4" t="s">
        <v>8892</v>
      </c>
      <c r="E3662" s="4" t="s">
        <v>8893</v>
      </c>
      <c r="F3662" s="4" t="s">
        <v>8894</v>
      </c>
      <c r="G3662" s="5" t="str">
        <f>IFERROR(__xludf.DUMMYFUNCTION("GOOGLETRANSLATE(D3662,""en"",""es"")"),"unidad")</f>
        <v>unidad</v>
      </c>
      <c r="H3662" s="4" t="s">
        <v>8895</v>
      </c>
      <c r="I3662" s="4" t="s">
        <v>8892</v>
      </c>
      <c r="J3662" s="4" t="s">
        <v>8896</v>
      </c>
      <c r="K3662" s="4" t="s">
        <v>4635</v>
      </c>
      <c r="L3662" s="4">
        <v>1.0</v>
      </c>
      <c r="M3662" s="4" t="s">
        <v>8897</v>
      </c>
      <c r="N3662" s="4" t="s">
        <v>833</v>
      </c>
      <c r="O3662" s="4" t="s">
        <v>8898</v>
      </c>
      <c r="P3662" s="4" t="s">
        <v>8892</v>
      </c>
      <c r="Q3662" s="4" t="s">
        <v>8899</v>
      </c>
      <c r="R3662" s="4" t="s">
        <v>8892</v>
      </c>
    </row>
    <row r="3663">
      <c r="A3663" s="4">
        <v>599.0</v>
      </c>
      <c r="B3663" s="4" t="s">
        <v>8920</v>
      </c>
      <c r="C3663" s="4"/>
      <c r="D3663" s="4" t="s">
        <v>7964</v>
      </c>
      <c r="E3663" s="4" t="s">
        <v>6181</v>
      </c>
      <c r="F3663" s="4" t="s">
        <v>6182</v>
      </c>
      <c r="G3663" s="5" t="str">
        <f>IFERROR(__xludf.DUMMYFUNCTION("GOOGLETRANSLATE(D3663,""en"",""es"")"),"xe")</f>
        <v>xe</v>
      </c>
      <c r="H3663" s="4" t="s">
        <v>7965</v>
      </c>
      <c r="I3663" s="4" t="s">
        <v>7966</v>
      </c>
      <c r="J3663" s="4" t="s">
        <v>7967</v>
      </c>
    </row>
    <row r="3664">
      <c r="A3664" s="4">
        <v>600.0</v>
      </c>
      <c r="B3664" s="4" t="s">
        <v>8920</v>
      </c>
      <c r="C3664" s="4"/>
      <c r="D3664" s="4" t="s">
        <v>2011</v>
      </c>
      <c r="E3664" s="4" t="s">
        <v>7968</v>
      </c>
      <c r="F3664" s="4" t="s">
        <v>2011</v>
      </c>
      <c r="G3664" s="5" t="str">
        <f>IFERROR(__xludf.DUMMYFUNCTION("GOOGLETRANSLATE(D3664,""en"",""es"")"),"ya")</f>
        <v>ya</v>
      </c>
    </row>
    <row r="3665">
      <c r="A3665" s="4">
        <v>601.0</v>
      </c>
      <c r="B3665" s="4" t="s">
        <v>8920</v>
      </c>
      <c r="C3665" s="4"/>
      <c r="D3665" s="4" t="s">
        <v>7969</v>
      </c>
      <c r="E3665" s="4" t="s">
        <v>1870</v>
      </c>
      <c r="F3665" s="4" t="s">
        <v>1871</v>
      </c>
      <c r="G3665" s="5" t="str">
        <f>IFERROR(__xludf.DUMMYFUNCTION("GOOGLETRANSLATE(D3665,""en"",""es"")"),"quemar")</f>
        <v>quemar</v>
      </c>
      <c r="H3665" s="4" t="s">
        <v>1871</v>
      </c>
      <c r="I3665" s="4" t="s">
        <v>7969</v>
      </c>
      <c r="J3665" s="4" t="s">
        <v>7970</v>
      </c>
      <c r="K3665" s="4" t="s">
        <v>7971</v>
      </c>
      <c r="L3665" s="4" t="s">
        <v>7972</v>
      </c>
      <c r="M3665" s="4" t="s">
        <v>7969</v>
      </c>
      <c r="N3665" s="4" t="s">
        <v>7973</v>
      </c>
      <c r="O3665" s="4" t="s">
        <v>7974</v>
      </c>
      <c r="P3665" s="4" t="s">
        <v>7975</v>
      </c>
      <c r="Q3665" s="4" t="s">
        <v>7976</v>
      </c>
    </row>
    <row r="3666">
      <c r="A3666" s="4">
        <v>602.0</v>
      </c>
      <c r="B3666" s="4" t="s">
        <v>8920</v>
      </c>
      <c r="C3666" s="4"/>
      <c r="D3666" s="4" t="s">
        <v>7969</v>
      </c>
      <c r="E3666" s="4" t="s">
        <v>7977</v>
      </c>
      <c r="F3666" s="4" t="s">
        <v>1871</v>
      </c>
      <c r="G3666" s="5" t="str">
        <f>IFERROR(__xludf.DUMMYFUNCTION("GOOGLETRANSLATE(D3666,""en"",""es"")"),"quemar")</f>
        <v>quemar</v>
      </c>
      <c r="H3666" s="4" t="s">
        <v>1871</v>
      </c>
      <c r="I3666" s="4" t="s">
        <v>7969</v>
      </c>
      <c r="J3666" s="4" t="s">
        <v>7970</v>
      </c>
      <c r="K3666" s="4" t="s">
        <v>7971</v>
      </c>
      <c r="L3666" s="4" t="s">
        <v>7972</v>
      </c>
      <c r="M3666" s="4" t="s">
        <v>7969</v>
      </c>
      <c r="N3666" s="4" t="s">
        <v>7973</v>
      </c>
      <c r="O3666" s="4" t="s">
        <v>7974</v>
      </c>
      <c r="P3666" s="4" t="s">
        <v>7975</v>
      </c>
      <c r="Q3666" s="4" t="s">
        <v>7976</v>
      </c>
    </row>
    <row r="3667">
      <c r="A3667" s="4">
        <v>603.0</v>
      </c>
      <c r="B3667" s="4" t="s">
        <v>8920</v>
      </c>
      <c r="C3667" s="4"/>
      <c r="D3667" s="4" t="s">
        <v>1871</v>
      </c>
      <c r="E3667" s="4" t="s">
        <v>7977</v>
      </c>
      <c r="F3667" s="4" t="s">
        <v>1871</v>
      </c>
      <c r="G3667" s="5" t="str">
        <f>IFERROR(__xludf.DUMMYFUNCTION("GOOGLETRANSLATE(D3667,""en"",""es"")"),"yak")</f>
        <v>yak</v>
      </c>
      <c r="H3667" s="4" t="s">
        <v>1871</v>
      </c>
      <c r="I3667" s="4" t="s">
        <v>7969</v>
      </c>
      <c r="J3667" s="4" t="s">
        <v>7970</v>
      </c>
      <c r="K3667" s="4" t="s">
        <v>7971</v>
      </c>
      <c r="L3667" s="4" t="s">
        <v>7972</v>
      </c>
      <c r="M3667" s="4" t="s">
        <v>1871</v>
      </c>
      <c r="N3667" s="4" t="s">
        <v>1872</v>
      </c>
      <c r="O3667" s="4" t="s">
        <v>1871</v>
      </c>
      <c r="P3667" s="4" t="s">
        <v>7978</v>
      </c>
    </row>
    <row r="3668">
      <c r="A3668" s="4">
        <v>604.0</v>
      </c>
      <c r="B3668" s="4" t="s">
        <v>8920</v>
      </c>
      <c r="C3668" s="4"/>
      <c r="D3668" s="4" t="s">
        <v>7979</v>
      </c>
      <c r="E3668" s="4" t="s">
        <v>7980</v>
      </c>
      <c r="F3668" s="4" t="s">
        <v>7979</v>
      </c>
      <c r="G3668" s="5" t="str">
        <f>IFERROR(__xludf.DUMMYFUNCTION("GOOGLETRANSLATE(D3668,""en"",""es"")"),"yakima")</f>
        <v>yakima</v>
      </c>
      <c r="H3668" s="4" t="s">
        <v>7981</v>
      </c>
    </row>
    <row r="3669">
      <c r="A3669" s="4">
        <v>605.0</v>
      </c>
      <c r="B3669" s="4" t="s">
        <v>8920</v>
      </c>
      <c r="C3669" s="4"/>
      <c r="D3669" s="4" t="s">
        <v>7982</v>
      </c>
      <c r="E3669" s="4" t="s">
        <v>7983</v>
      </c>
      <c r="F3669" s="4" t="s">
        <v>7984</v>
      </c>
      <c r="G3669" s="5" t="str">
        <f>IFERROR(__xludf.DUMMYFUNCTION("GOOGLETRANSLATE(D3669,""en"",""es"")"),"yakky")</f>
        <v>yakky</v>
      </c>
    </row>
    <row r="3670">
      <c r="A3670" s="4">
        <v>606.0</v>
      </c>
      <c r="B3670" s="4" t="s">
        <v>8920</v>
      </c>
      <c r="C3670" s="4"/>
      <c r="D3670" s="4" t="s">
        <v>3056</v>
      </c>
      <c r="E3670" s="4" t="s">
        <v>7985</v>
      </c>
      <c r="F3670" s="4" t="s">
        <v>3056</v>
      </c>
      <c r="G3670" s="5" t="str">
        <f>IFERROR(__xludf.DUMMYFUNCTION("GOOGLETRANSLATE(D3670,""en"",""es"")"),"batata")</f>
        <v>batata</v>
      </c>
      <c r="H3670" s="4" t="s">
        <v>3056</v>
      </c>
      <c r="I3670" s="4" t="s">
        <v>3056</v>
      </c>
      <c r="J3670" s="4" t="s">
        <v>7986</v>
      </c>
      <c r="K3670" s="4" t="s">
        <v>3056</v>
      </c>
      <c r="L3670" s="4" t="s">
        <v>3056</v>
      </c>
    </row>
    <row r="3671">
      <c r="A3671" s="4">
        <v>607.0</v>
      </c>
      <c r="B3671" s="4" t="s">
        <v>8920</v>
      </c>
      <c r="C3671" s="4"/>
      <c r="D3671" s="4" t="s">
        <v>6388</v>
      </c>
      <c r="E3671" s="4" t="s">
        <v>6387</v>
      </c>
      <c r="F3671" s="4" t="s">
        <v>6388</v>
      </c>
      <c r="G3671" s="5" t="str">
        <f>IFERROR(__xludf.DUMMYFUNCTION("GOOGLETRANSLATE(D3671,""en"",""es"")"),"yan")</f>
        <v>yan</v>
      </c>
    </row>
    <row r="3672">
      <c r="A3672" s="4">
        <v>608.0</v>
      </c>
      <c r="B3672" s="4" t="s">
        <v>8920</v>
      </c>
      <c r="C3672" s="4"/>
      <c r="D3672" s="4" t="s">
        <v>7987</v>
      </c>
      <c r="E3672" s="4" t="s">
        <v>7988</v>
      </c>
      <c r="F3672" s="4" t="s">
        <v>7987</v>
      </c>
      <c r="G3672" s="5" t="str">
        <f>IFERROR(__xludf.DUMMYFUNCTION("GOOGLETRANSLATE(D3672,""en"",""es"")"),"ladrar")</f>
        <v>ladrar</v>
      </c>
      <c r="H3672" s="4" t="s">
        <v>7219</v>
      </c>
      <c r="I3672" s="4" t="s">
        <v>7989</v>
      </c>
      <c r="J3672" s="4" t="s">
        <v>7990</v>
      </c>
      <c r="K3672" s="4" t="s">
        <v>7991</v>
      </c>
      <c r="L3672" s="4" t="s">
        <v>7987</v>
      </c>
      <c r="M3672" s="4" t="s">
        <v>2514</v>
      </c>
      <c r="N3672" s="4" t="s">
        <v>7992</v>
      </c>
      <c r="O3672" s="4" t="s">
        <v>7993</v>
      </c>
      <c r="P3672" s="4" t="s">
        <v>7987</v>
      </c>
    </row>
    <row r="3673">
      <c r="A3673" s="4">
        <v>609.0</v>
      </c>
      <c r="B3673" s="4" t="s">
        <v>8920</v>
      </c>
      <c r="C3673" s="4"/>
      <c r="D3673" s="4" t="s">
        <v>7994</v>
      </c>
      <c r="E3673" s="4" t="s">
        <v>7988</v>
      </c>
      <c r="F3673" s="4" t="s">
        <v>7987</v>
      </c>
      <c r="G3673" s="5" t="str">
        <f>IFERROR(__xludf.DUMMYFUNCTION("GOOGLETRANSLATE(D3673,""en"",""es"")"),"yapp")</f>
        <v>yapp</v>
      </c>
    </row>
    <row r="3674">
      <c r="A3674" s="4">
        <v>610.0</v>
      </c>
      <c r="B3674" s="4" t="s">
        <v>8920</v>
      </c>
      <c r="C3674" s="4"/>
      <c r="D3674" s="4" t="s">
        <v>8900</v>
      </c>
      <c r="E3674" s="4" t="s">
        <v>8901</v>
      </c>
      <c r="F3674" s="4" t="s">
        <v>8902</v>
      </c>
      <c r="G3674" s="5" t="str">
        <f>IFERROR(__xludf.DUMMYFUNCTION("GOOGLETRANSLATE(D3674,""en"",""es"")"),"yatta")</f>
        <v>yatta</v>
      </c>
    </row>
    <row r="3675">
      <c r="A3675" s="4">
        <v>611.0</v>
      </c>
      <c r="B3675" s="4" t="s">
        <v>8920</v>
      </c>
      <c r="C3675" s="4"/>
      <c r="D3675" s="4" t="s">
        <v>7995</v>
      </c>
      <c r="E3675" s="4" t="s">
        <v>7996</v>
      </c>
      <c r="F3675" s="4" t="s">
        <v>7997</v>
      </c>
      <c r="G3675" s="5" t="str">
        <f>IFERROR(__xludf.DUMMYFUNCTION("GOOGLETRANSLATE(D3675,""en"",""es"")"),"yee")</f>
        <v>yee</v>
      </c>
    </row>
    <row r="3676">
      <c r="A3676" s="4">
        <v>612.0</v>
      </c>
      <c r="B3676" s="4" t="s">
        <v>8920</v>
      </c>
      <c r="C3676" s="4"/>
      <c r="D3676" s="4" t="s">
        <v>7998</v>
      </c>
      <c r="E3676" s="4" t="s">
        <v>7999</v>
      </c>
      <c r="F3676" s="4" t="s">
        <v>7998</v>
      </c>
      <c r="G3676" s="5" t="str">
        <f>IFERROR(__xludf.DUMMYFUNCTION("GOOGLETRANSLATE(D3676,""en"",""es"")"),"yin")</f>
        <v>yin</v>
      </c>
      <c r="H3676" s="4" t="s">
        <v>7998</v>
      </c>
    </row>
    <row r="3677">
      <c r="A3677" s="4">
        <v>613.0</v>
      </c>
      <c r="B3677" s="4" t="s">
        <v>8920</v>
      </c>
      <c r="C3677" s="4"/>
      <c r="D3677" s="4" t="s">
        <v>7993</v>
      </c>
      <c r="E3677" s="4" t="s">
        <v>8000</v>
      </c>
      <c r="F3677" s="4" t="s">
        <v>7993</v>
      </c>
      <c r="G3677" s="5" t="str">
        <f>IFERROR(__xludf.DUMMYFUNCTION("GOOGLETRANSLATE(D3677,""en"",""es"")"),"cárcel")</f>
        <v>cárcel</v>
      </c>
      <c r="H3677" s="4" t="s">
        <v>7993</v>
      </c>
      <c r="I3677" s="4" t="s">
        <v>7992</v>
      </c>
      <c r="J3677" s="4" t="s">
        <v>8001</v>
      </c>
      <c r="K3677" s="4" t="s">
        <v>7992</v>
      </c>
      <c r="L3677" s="4" t="s">
        <v>7993</v>
      </c>
      <c r="M3677" s="4" t="s">
        <v>7987</v>
      </c>
    </row>
    <row r="3678">
      <c r="A3678" s="4">
        <v>614.0</v>
      </c>
      <c r="B3678" s="4" t="s">
        <v>8920</v>
      </c>
      <c r="C3678" s="4"/>
      <c r="D3678" s="4" t="s">
        <v>8903</v>
      </c>
      <c r="E3678" s="4" t="s">
        <v>8904</v>
      </c>
      <c r="F3678" s="4" t="s">
        <v>8905</v>
      </c>
      <c r="G3678" s="5" t="str">
        <f>IFERROR(__xludf.DUMMYFUNCTION("GOOGLETRANSLATE(D3678,""en"",""es"")"),"yippee")</f>
        <v>yippee</v>
      </c>
    </row>
    <row r="3679">
      <c r="A3679" s="4">
        <v>615.0</v>
      </c>
      <c r="B3679" s="4" t="s">
        <v>8920</v>
      </c>
      <c r="C3679" s="4"/>
      <c r="D3679" s="4" t="s">
        <v>8906</v>
      </c>
      <c r="E3679" s="4" t="s">
        <v>8904</v>
      </c>
      <c r="F3679" s="4" t="s">
        <v>8905</v>
      </c>
      <c r="G3679" s="5" t="str">
        <f>IFERROR(__xludf.DUMMYFUNCTION("GOOGLETRANSLATE(D3679,""en"",""es"")"),"yippie")</f>
        <v>yippie</v>
      </c>
    </row>
    <row r="3680">
      <c r="A3680" s="4">
        <v>616.0</v>
      </c>
      <c r="B3680" s="4" t="s">
        <v>8920</v>
      </c>
      <c r="C3680" s="4"/>
      <c r="D3680" s="4" t="s">
        <v>8907</v>
      </c>
      <c r="E3680" s="4" t="s">
        <v>8904</v>
      </c>
      <c r="F3680" s="4" t="s">
        <v>8905</v>
      </c>
      <c r="G3680" s="5" t="str">
        <f>IFERROR(__xludf.DUMMYFUNCTION("GOOGLETRANSLATE(D3680,""en"",""es"")"),"yippy")</f>
        <v>yippy</v>
      </c>
    </row>
    <row r="3681">
      <c r="A3681" s="4">
        <v>617.0</v>
      </c>
      <c r="B3681" s="4" t="s">
        <v>8920</v>
      </c>
      <c r="C3681" s="4"/>
      <c r="D3681" s="4" t="s">
        <v>8910</v>
      </c>
      <c r="E3681" s="4" t="s">
        <v>6391</v>
      </c>
      <c r="F3681" s="4" t="s">
        <v>6388</v>
      </c>
      <c r="G3681" s="5" t="str">
        <f>IFERROR(__xludf.DUMMYFUNCTION("GOOGLETRANSLATE(D3681,""en"",""es"")"),"aquél")</f>
        <v>aquél</v>
      </c>
      <c r="H3681" s="4" t="s">
        <v>8911</v>
      </c>
      <c r="I3681" s="4" t="s">
        <v>8910</v>
      </c>
      <c r="J3681" s="4" t="s">
        <v>8911</v>
      </c>
      <c r="K3681" s="4" t="s">
        <v>8910</v>
      </c>
    </row>
    <row r="3682">
      <c r="A3682" s="4">
        <v>618.0</v>
      </c>
      <c r="B3682" s="4" t="s">
        <v>8920</v>
      </c>
      <c r="C3682" s="4"/>
      <c r="D3682" s="4" t="s">
        <v>8912</v>
      </c>
      <c r="E3682" s="4" t="s">
        <v>6116</v>
      </c>
      <c r="F3682" s="4" t="s">
        <v>6117</v>
      </c>
      <c r="G3682" s="5" t="str">
        <f>IFERROR(__xludf.DUMMYFUNCTION("GOOGLETRANSLATE(D3682,""en"",""es"")"),"juventud")</f>
        <v>juventud</v>
      </c>
      <c r="H3682" s="4" t="s">
        <v>8913</v>
      </c>
      <c r="I3682" s="4" t="s">
        <v>8912</v>
      </c>
      <c r="J3682" s="4" t="s">
        <v>8914</v>
      </c>
      <c r="K3682" s="4" t="s">
        <v>8915</v>
      </c>
      <c r="L3682" s="4" t="s">
        <v>8916</v>
      </c>
      <c r="M3682" s="4" t="s">
        <v>8912</v>
      </c>
      <c r="N3682" s="4" t="s">
        <v>8912</v>
      </c>
      <c r="O3682" s="4" t="s">
        <v>8912</v>
      </c>
      <c r="P3682" s="4" t="s">
        <v>8912</v>
      </c>
      <c r="Q3682" s="4" t="s">
        <v>8917</v>
      </c>
      <c r="R3682" s="4" t="s">
        <v>8912</v>
      </c>
      <c r="S3682" s="4" t="s">
        <v>8918</v>
      </c>
      <c r="T3682" s="4" t="s">
        <v>8919</v>
      </c>
    </row>
    <row r="3683">
      <c r="A3683" s="4">
        <v>619.0</v>
      </c>
      <c r="B3683" s="4" t="s">
        <v>8920</v>
      </c>
      <c r="C3683" s="4"/>
      <c r="D3683" s="4" t="s">
        <v>8003</v>
      </c>
      <c r="E3683" s="4" t="s">
        <v>5877</v>
      </c>
      <c r="F3683" s="4" t="s">
        <v>5876</v>
      </c>
      <c r="G3683" s="5" t="str">
        <f>IFERROR(__xludf.DUMMYFUNCTION("GOOGLETRANSLATE(D3683,""en"",""es"")"),"Æ")</f>
        <v>Æ</v>
      </c>
    </row>
    <row r="3684">
      <c r="A3684" s="4">
        <v>1.0</v>
      </c>
      <c r="B3684" s="4" t="s">
        <v>8921</v>
      </c>
      <c r="C3684" s="4"/>
      <c r="D3684" s="4" t="s">
        <v>8922</v>
      </c>
      <c r="E3684" s="4" t="s">
        <v>8923</v>
      </c>
      <c r="F3684" s="4" t="s">
        <v>8922</v>
      </c>
      <c r="G3684" s="5" t="str">
        <f>IFERROR(__xludf.DUMMYFUNCTION("GOOGLETRANSLATE(D3684,""en"",""es"")"),"aha")</f>
        <v>aha</v>
      </c>
    </row>
    <row r="3685">
      <c r="A3685" s="4">
        <v>2.0</v>
      </c>
      <c r="B3685" s="4" t="s">
        <v>8921</v>
      </c>
      <c r="C3685" s="4"/>
      <c r="D3685" s="4" t="s">
        <v>8045</v>
      </c>
      <c r="E3685" s="4" t="s">
        <v>8924</v>
      </c>
      <c r="F3685" s="4" t="s">
        <v>8925</v>
      </c>
      <c r="G3685" s="5" t="str">
        <f>IFERROR(__xludf.DUMMYFUNCTION("GOOGLETRANSLATE(D3685,""en"",""es"")"),"amistad")</f>
        <v>amistad</v>
      </c>
      <c r="H3685" s="4" t="s">
        <v>8045</v>
      </c>
      <c r="I3685" s="4" t="s">
        <v>8048</v>
      </c>
      <c r="J3685" s="4" t="s">
        <v>8045</v>
      </c>
    </row>
    <row r="3686">
      <c r="A3686" s="4">
        <v>3.0</v>
      </c>
      <c r="B3686" s="4" t="s">
        <v>8921</v>
      </c>
      <c r="C3686" s="4"/>
      <c r="D3686" s="4" t="s">
        <v>5913</v>
      </c>
      <c r="E3686" s="4" t="s">
        <v>8021</v>
      </c>
      <c r="F3686" s="4" t="s">
        <v>8022</v>
      </c>
      <c r="G3686" s="5" t="str">
        <f>IFERROR(__xludf.DUMMYFUNCTION("GOOGLETRANSLATE(D3686,""en"",""es"")"),"ático")</f>
        <v>ático</v>
      </c>
      <c r="H3686" s="4" t="s">
        <v>1473</v>
      </c>
      <c r="I3686" s="4" t="s">
        <v>5913</v>
      </c>
      <c r="J3686" s="4" t="s">
        <v>5915</v>
      </c>
      <c r="K3686" s="4" t="s">
        <v>4770</v>
      </c>
      <c r="L3686" s="4" t="s">
        <v>4771</v>
      </c>
      <c r="M3686" s="4" t="s">
        <v>4772</v>
      </c>
      <c r="N3686" s="4" t="s">
        <v>4773</v>
      </c>
      <c r="O3686" s="4" t="s">
        <v>5913</v>
      </c>
      <c r="P3686" s="4" t="s">
        <v>5916</v>
      </c>
      <c r="Q3686" s="4" t="s">
        <v>5917</v>
      </c>
      <c r="R3686" s="4" t="s">
        <v>5918</v>
      </c>
      <c r="S3686" s="4" t="s">
        <v>5919</v>
      </c>
      <c r="T3686" s="4" t="s">
        <v>5920</v>
      </c>
      <c r="U3686" s="4" t="s">
        <v>5913</v>
      </c>
      <c r="V3686" s="4" t="s">
        <v>4770</v>
      </c>
    </row>
    <row r="3687">
      <c r="A3687" s="4">
        <v>4.0</v>
      </c>
      <c r="B3687" s="4" t="s">
        <v>8921</v>
      </c>
      <c r="C3687" s="4"/>
      <c r="D3687" s="4" t="s">
        <v>1037</v>
      </c>
      <c r="E3687" s="4" t="s">
        <v>6007</v>
      </c>
      <c r="F3687" s="4" t="s">
        <v>1039</v>
      </c>
      <c r="G3687" s="5" t="str">
        <f>IFERROR(__xludf.DUMMYFUNCTION("GOOGLETRANSLATE(D3687,""en"",""es"")"),"leva")</f>
        <v>leva</v>
      </c>
      <c r="H3687" s="4" t="s">
        <v>8023</v>
      </c>
      <c r="I3687" s="4" t="s">
        <v>8024</v>
      </c>
      <c r="J3687" s="4" t="s">
        <v>8025</v>
      </c>
      <c r="K3687" s="4" t="s">
        <v>1037</v>
      </c>
    </row>
    <row r="3688">
      <c r="A3688" s="4">
        <v>5.0</v>
      </c>
      <c r="B3688" s="4" t="s">
        <v>8921</v>
      </c>
      <c r="C3688" s="4"/>
      <c r="D3688" s="4" t="s">
        <v>6180</v>
      </c>
      <c r="E3688" s="4" t="s">
        <v>6181</v>
      </c>
      <c r="F3688" s="4" t="s">
        <v>6182</v>
      </c>
      <c r="G3688" s="5" t="str">
        <f>IFERROR(__xludf.DUMMYFUNCTION("GOOGLETRANSLATE(D3688,""en"",""es"")"),"él")</f>
        <v>él</v>
      </c>
      <c r="H3688" s="4" t="s">
        <v>6183</v>
      </c>
      <c r="I3688" s="4" t="s">
        <v>6184</v>
      </c>
      <c r="J3688" s="4" t="s">
        <v>6185</v>
      </c>
      <c r="K3688" s="4" t="s">
        <v>6180</v>
      </c>
    </row>
    <row r="3689">
      <c r="A3689" s="4">
        <v>6.0</v>
      </c>
      <c r="B3689" s="4" t="s">
        <v>8921</v>
      </c>
      <c r="C3689" s="4"/>
      <c r="D3689" s="4" t="s">
        <v>6336</v>
      </c>
      <c r="E3689" s="4" t="s">
        <v>8926</v>
      </c>
      <c r="F3689" s="4" t="s">
        <v>8927</v>
      </c>
      <c r="G3689" s="5" t="str">
        <f>IFERROR(__xludf.DUMMYFUNCTION("GOOGLETRANSLATE(D3689,""en"",""es"")"),"de mierda")</f>
        <v>de mierda</v>
      </c>
      <c r="H3689" s="4" t="s">
        <v>6330</v>
      </c>
      <c r="I3689" s="4" t="s">
        <v>6333</v>
      </c>
      <c r="J3689" s="4" t="s">
        <v>6334</v>
      </c>
      <c r="K3689" s="4" t="s">
        <v>6335</v>
      </c>
      <c r="L3689" s="4" t="s">
        <v>6336</v>
      </c>
      <c r="M3689" s="4" t="s">
        <v>6337</v>
      </c>
      <c r="N3689" s="4" t="s">
        <v>6338</v>
      </c>
    </row>
    <row r="3690">
      <c r="A3690" s="4">
        <v>7.0</v>
      </c>
      <c r="B3690" s="4" t="s">
        <v>8921</v>
      </c>
      <c r="C3690" s="4"/>
      <c r="D3690" s="4" t="s">
        <v>8028</v>
      </c>
      <c r="E3690" s="4" t="s">
        <v>8029</v>
      </c>
      <c r="F3690" s="4" t="s">
        <v>8030</v>
      </c>
      <c r="G3690" s="5" t="str">
        <f>IFERROR(__xludf.DUMMYFUNCTION("GOOGLETRANSLATE(D3690,""en"",""es"")"),"espesor")</f>
        <v>espesor</v>
      </c>
    </row>
    <row r="3691">
      <c r="A3691" s="4">
        <v>8.0</v>
      </c>
      <c r="B3691" s="4" t="s">
        <v>8921</v>
      </c>
      <c r="C3691" s="4"/>
      <c r="D3691" s="4" t="s">
        <v>8836</v>
      </c>
      <c r="E3691" s="4" t="s">
        <v>8928</v>
      </c>
      <c r="F3691" s="4" t="s">
        <v>8929</v>
      </c>
      <c r="G3691" s="5" t="str">
        <f>IFERROR(__xludf.DUMMYFUNCTION("GOOGLETRANSLATE(D3691,""en"",""es"")"),"a")</f>
        <v>a</v>
      </c>
    </row>
    <row r="3692">
      <c r="A3692" s="4">
        <v>9.0</v>
      </c>
      <c r="B3692" s="4" t="s">
        <v>8921</v>
      </c>
      <c r="C3692" s="4"/>
      <c r="D3692" s="4" t="s">
        <v>8031</v>
      </c>
      <c r="E3692" s="4" t="s">
        <v>8032</v>
      </c>
      <c r="F3692" s="4" t="s">
        <v>8033</v>
      </c>
      <c r="G3692" s="5" t="str">
        <f>IFERROR(__xludf.DUMMYFUNCTION("GOOGLETRANSLATE(D3692,""en"",""es"")"),"puaj")</f>
        <v>puaj</v>
      </c>
    </row>
    <row r="3693">
      <c r="A3693" s="4">
        <v>10.0</v>
      </c>
      <c r="B3693" s="4" t="s">
        <v>8921</v>
      </c>
      <c r="C3693" s="4"/>
      <c r="D3693" s="4" t="s">
        <v>8031</v>
      </c>
      <c r="E3693" s="4" t="s">
        <v>8034</v>
      </c>
      <c r="F3693" s="4" t="s">
        <v>8033</v>
      </c>
      <c r="G3693" s="5" t="str">
        <f>IFERROR(__xludf.DUMMYFUNCTION("GOOGLETRANSLATE(D3693,""en"",""es"")"),"puaj")</f>
        <v>puaj</v>
      </c>
    </row>
    <row r="3694">
      <c r="A3694" s="4">
        <v>1.0</v>
      </c>
      <c r="B3694" s="4" t="s">
        <v>8930</v>
      </c>
      <c r="C3694" s="4"/>
      <c r="D3694" s="4" t="s">
        <v>8931</v>
      </c>
      <c r="E3694" s="4" t="s">
        <v>8932</v>
      </c>
      <c r="F3694" s="4" t="s">
        <v>8931</v>
      </c>
      <c r="G3694" s="5" t="str">
        <f>IFERROR(__xludf.DUMMYFUNCTION("GOOGLETRANSLATE(D3694,""eu"",""es"")"),"posible")</f>
        <v>posible</v>
      </c>
      <c r="H3694" s="4" t="s">
        <v>8933</v>
      </c>
      <c r="I3694" s="4" t="s">
        <v>8933</v>
      </c>
      <c r="J3694" s="4" t="s">
        <v>8934</v>
      </c>
      <c r="K3694" s="4" t="s">
        <v>8935</v>
      </c>
      <c r="L3694" s="4" t="s">
        <v>8936</v>
      </c>
      <c r="M3694" s="4" t="s">
        <v>8937</v>
      </c>
      <c r="N3694" s="4" t="s">
        <v>8938</v>
      </c>
      <c r="O3694" s="4" t="s">
        <v>8939</v>
      </c>
    </row>
    <row r="3695">
      <c r="A3695" s="4">
        <v>2.0</v>
      </c>
      <c r="B3695" s="4" t="s">
        <v>8930</v>
      </c>
      <c r="C3695" s="4"/>
      <c r="D3695" s="4" t="s">
        <v>566</v>
      </c>
      <c r="E3695" s="4" t="s">
        <v>567</v>
      </c>
      <c r="F3695" s="4" t="s">
        <v>566</v>
      </c>
      <c r="G3695" s="5" t="str">
        <f>IFERROR(__xludf.DUMMYFUNCTION("GOOGLETRANSLATE(D3695,""eu"",""es"")"),"madre")</f>
        <v>madre</v>
      </c>
      <c r="H3695" s="4" t="s">
        <v>8940</v>
      </c>
      <c r="I3695" s="4" t="s">
        <v>8941</v>
      </c>
      <c r="J3695" s="4" t="s">
        <v>8941</v>
      </c>
      <c r="K3695" s="4" t="s">
        <v>8942</v>
      </c>
    </row>
    <row r="3696">
      <c r="A3696" s="4">
        <v>3.0</v>
      </c>
      <c r="B3696" s="4" t="s">
        <v>8930</v>
      </c>
      <c r="C3696" s="4"/>
      <c r="D3696" s="4" t="s">
        <v>5024</v>
      </c>
      <c r="E3696" s="4" t="s">
        <v>5023</v>
      </c>
      <c r="F3696" s="4" t="s">
        <v>5024</v>
      </c>
      <c r="G3696" s="5" t="str">
        <f>IFERROR(__xludf.DUMMYFUNCTION("GOOGLETRANSLATE(D3696,""eu"",""es"")"),"piña")</f>
        <v>piña</v>
      </c>
      <c r="H3696" s="4" t="s">
        <v>3546</v>
      </c>
      <c r="I3696" s="4" t="s">
        <v>3547</v>
      </c>
      <c r="J3696" s="4" t="s">
        <v>3548</v>
      </c>
      <c r="K3696" s="4" t="s">
        <v>3546</v>
      </c>
      <c r="L3696" s="4" t="s">
        <v>8943</v>
      </c>
      <c r="M3696" s="4" t="s">
        <v>8944</v>
      </c>
    </row>
    <row r="3697">
      <c r="A3697" s="4">
        <v>4.0</v>
      </c>
      <c r="B3697" s="4" t="s">
        <v>8930</v>
      </c>
      <c r="C3697" s="4"/>
      <c r="D3697" s="4" t="s">
        <v>8945</v>
      </c>
      <c r="E3697" s="4" t="s">
        <v>8946</v>
      </c>
      <c r="F3697" s="4" t="s">
        <v>8945</v>
      </c>
      <c r="G3697" s="5" t="str">
        <f>IFERROR(__xludf.DUMMYFUNCTION("GOOGLETRANSLATE(D3697,""eu"",""es"")"),"Abril")</f>
        <v>Abril</v>
      </c>
      <c r="H3697" s="4" t="s">
        <v>8947</v>
      </c>
      <c r="I3697" s="4" t="s">
        <v>8948</v>
      </c>
    </row>
    <row r="3698">
      <c r="A3698" s="4">
        <v>5.0</v>
      </c>
      <c r="B3698" s="4" t="s">
        <v>8930</v>
      </c>
      <c r="C3698" s="4"/>
      <c r="D3698" s="4" t="s">
        <v>8949</v>
      </c>
      <c r="E3698" s="4" t="s">
        <v>8950</v>
      </c>
      <c r="F3698" s="4" t="s">
        <v>8949</v>
      </c>
      <c r="G3698" s="5" t="str">
        <f>IFERROR(__xludf.DUMMYFUNCTION("GOOGLETRANSLATE(D3698,""eu"",""es"")"),"aramu")</f>
        <v>aramu</v>
      </c>
    </row>
    <row r="3699">
      <c r="A3699" s="4">
        <v>6.0</v>
      </c>
      <c r="B3699" s="4" t="s">
        <v>8930</v>
      </c>
      <c r="C3699" s="4"/>
      <c r="D3699" s="4" t="s">
        <v>820</v>
      </c>
      <c r="E3699" s="4" t="s">
        <v>821</v>
      </c>
      <c r="F3699" s="4" t="s">
        <v>820</v>
      </c>
      <c r="G3699" s="5" t="str">
        <f>IFERROR(__xludf.DUMMYFUNCTION("GOOGLETRANSLATE(D3699,""eu"",""es"")"),"ciruela")</f>
        <v>ciruela</v>
      </c>
      <c r="H3699" s="4" t="s">
        <v>8951</v>
      </c>
    </row>
    <row r="3700">
      <c r="A3700" s="4">
        <v>7.0</v>
      </c>
      <c r="B3700" s="4" t="s">
        <v>8930</v>
      </c>
      <c r="C3700" s="4"/>
      <c r="D3700" s="4" t="s">
        <v>8952</v>
      </c>
      <c r="E3700" s="4" t="s">
        <v>8953</v>
      </c>
      <c r="F3700" s="4" t="s">
        <v>8952</v>
      </c>
      <c r="G3700" s="5" t="str">
        <f>IFERROR(__xludf.DUMMYFUNCTION("GOOGLETRANSLATE(D3700,""eu"",""es"")"),"portal")</f>
        <v>portal</v>
      </c>
      <c r="H3700" s="4" t="s">
        <v>8954</v>
      </c>
      <c r="I3700" s="4" t="s">
        <v>8955</v>
      </c>
      <c r="J3700" s="4" t="s">
        <v>8956</v>
      </c>
      <c r="K3700" s="4" t="s">
        <v>8957</v>
      </c>
      <c r="L3700" s="4" t="s">
        <v>8958</v>
      </c>
      <c r="M3700" s="4" t="s">
        <v>1936</v>
      </c>
      <c r="N3700" s="4" t="s">
        <v>1938</v>
      </c>
      <c r="O3700" s="4" t="s">
        <v>8959</v>
      </c>
      <c r="P3700" s="4" t="s">
        <v>8960</v>
      </c>
      <c r="Q3700" s="4" t="s">
        <v>8961</v>
      </c>
      <c r="R3700" s="4" t="s">
        <v>1937</v>
      </c>
      <c r="S3700" s="4" t="s">
        <v>8962</v>
      </c>
      <c r="T3700" s="4" t="s">
        <v>8963</v>
      </c>
      <c r="U3700" s="4" t="s">
        <v>8964</v>
      </c>
      <c r="V3700" s="4" t="s">
        <v>8965</v>
      </c>
    </row>
    <row r="3701">
      <c r="A3701" s="4">
        <v>8.0</v>
      </c>
      <c r="B3701" s="4" t="s">
        <v>8930</v>
      </c>
      <c r="C3701" s="4"/>
      <c r="D3701" s="4" t="s">
        <v>1777</v>
      </c>
      <c r="E3701" s="4" t="s">
        <v>509</v>
      </c>
      <c r="F3701" s="4" t="s">
        <v>508</v>
      </c>
      <c r="G3701" s="5" t="str">
        <f>IFERROR(__xludf.DUMMYFUNCTION("GOOGLETRANSLATE(D3701,""eu"",""es"")"),"asi que")</f>
        <v>asi que</v>
      </c>
    </row>
    <row r="3702">
      <c r="A3702" s="4">
        <v>9.0</v>
      </c>
      <c r="B3702" s="4" t="s">
        <v>8930</v>
      </c>
      <c r="C3702" s="4"/>
      <c r="D3702" s="4" t="s">
        <v>1777</v>
      </c>
      <c r="E3702" s="4" t="s">
        <v>8966</v>
      </c>
      <c r="F3702" s="4" t="s">
        <v>1777</v>
      </c>
      <c r="G3702" s="5" t="str">
        <f>IFERROR(__xludf.DUMMYFUNCTION("GOOGLETRANSLATE(D3702,""eu"",""es"")"),"asi que")</f>
        <v>asi que</v>
      </c>
    </row>
    <row r="3703">
      <c r="A3703" s="4">
        <v>10.0</v>
      </c>
      <c r="B3703" s="4" t="s">
        <v>8930</v>
      </c>
      <c r="C3703" s="4"/>
      <c r="D3703" s="4" t="s">
        <v>1786</v>
      </c>
      <c r="E3703" s="4" t="s">
        <v>593</v>
      </c>
      <c r="F3703" s="4" t="s">
        <v>594</v>
      </c>
      <c r="G3703" s="5" t="str">
        <f>IFERROR(__xludf.DUMMYFUNCTION("GOOGLETRANSLATE(D3703,""eu"",""es"")"),"allá")</f>
        <v>allá</v>
      </c>
    </row>
    <row r="3704">
      <c r="A3704" s="4">
        <v>11.0</v>
      </c>
      <c r="B3704" s="4" t="s">
        <v>8930</v>
      </c>
      <c r="C3704" s="4"/>
      <c r="D3704" s="4" t="s">
        <v>1786</v>
      </c>
      <c r="E3704" s="4" t="s">
        <v>4817</v>
      </c>
      <c r="F3704" s="4" t="s">
        <v>1786</v>
      </c>
      <c r="G3704" s="5" t="str">
        <f>IFERROR(__xludf.DUMMYFUNCTION("GOOGLETRANSLATE(D3704,""eu"",""es"")"),"allá")</f>
        <v>allá</v>
      </c>
    </row>
    <row r="3705">
      <c r="A3705" s="4">
        <v>12.0</v>
      </c>
      <c r="B3705" s="4" t="s">
        <v>8930</v>
      </c>
      <c r="C3705" s="4"/>
      <c r="D3705" s="4" t="s">
        <v>8967</v>
      </c>
      <c r="E3705" s="4" t="s">
        <v>821</v>
      </c>
      <c r="F3705" s="4" t="s">
        <v>820</v>
      </c>
      <c r="G3705" s="5" t="str">
        <f>IFERROR(__xludf.DUMMYFUNCTION("GOOGLETRANSLATE(D3705,""eu"",""es"")"),"Valle")</f>
        <v>Valle</v>
      </c>
      <c r="H3705" s="4" t="s">
        <v>8968</v>
      </c>
      <c r="I3705" s="4" t="s">
        <v>8969</v>
      </c>
    </row>
    <row r="3706">
      <c r="A3706" s="4">
        <v>13.0</v>
      </c>
      <c r="B3706" s="4" t="s">
        <v>8930</v>
      </c>
      <c r="C3706" s="4"/>
      <c r="D3706" s="4" t="s">
        <v>8967</v>
      </c>
      <c r="E3706" s="4" t="s">
        <v>8970</v>
      </c>
      <c r="F3706" s="4" t="s">
        <v>8967</v>
      </c>
      <c r="G3706" s="5" t="str">
        <f>IFERROR(__xludf.DUMMYFUNCTION("GOOGLETRANSLATE(D3706,""eu"",""es"")"),"Valle")</f>
        <v>Valle</v>
      </c>
      <c r="H3706" s="4" t="s">
        <v>8968</v>
      </c>
      <c r="I3706" s="4" t="s">
        <v>8969</v>
      </c>
    </row>
    <row r="3707">
      <c r="A3707" s="4">
        <v>14.0</v>
      </c>
      <c r="B3707" s="4" t="s">
        <v>8930</v>
      </c>
      <c r="C3707" s="4"/>
      <c r="D3707" s="4" t="s">
        <v>8971</v>
      </c>
      <c r="E3707" s="4" t="s">
        <v>830</v>
      </c>
      <c r="F3707" s="4" t="s">
        <v>829</v>
      </c>
      <c r="G3707" s="5" t="str">
        <f>IFERROR(__xludf.DUMMYFUNCTION("GOOGLETRANSLATE(D3707,""eu"",""es"")"),"lino")</f>
        <v>lino</v>
      </c>
      <c r="H3707" s="4" t="s">
        <v>8972</v>
      </c>
      <c r="I3707" s="4" t="s">
        <v>8973</v>
      </c>
      <c r="J3707" s="4" t="s">
        <v>8974</v>
      </c>
      <c r="K3707" s="4" t="s">
        <v>8975</v>
      </c>
      <c r="L3707" s="4" t="s">
        <v>8976</v>
      </c>
      <c r="M3707" s="4" t="s">
        <v>8977</v>
      </c>
      <c r="N3707" s="4" t="s">
        <v>8978</v>
      </c>
      <c r="O3707" s="4" t="s">
        <v>8979</v>
      </c>
      <c r="P3707" s="4" t="s">
        <v>8975</v>
      </c>
    </row>
    <row r="3708">
      <c r="A3708" s="4">
        <v>15.0</v>
      </c>
      <c r="B3708" s="4" t="s">
        <v>8930</v>
      </c>
      <c r="C3708" s="4"/>
      <c r="D3708" s="4" t="s">
        <v>8971</v>
      </c>
      <c r="E3708" s="4" t="s">
        <v>8980</v>
      </c>
      <c r="F3708" s="4" t="s">
        <v>8971</v>
      </c>
      <c r="G3708" s="5" t="str">
        <f>IFERROR(__xludf.DUMMYFUNCTION("GOOGLETRANSLATE(D3708,""eu"",""es"")"),"lino")</f>
        <v>lino</v>
      </c>
      <c r="H3708" s="4" t="s">
        <v>8972</v>
      </c>
      <c r="I3708" s="4" t="s">
        <v>8973</v>
      </c>
      <c r="J3708" s="4" t="s">
        <v>8974</v>
      </c>
      <c r="K3708" s="4" t="s">
        <v>8975</v>
      </c>
      <c r="L3708" s="4" t="s">
        <v>8976</v>
      </c>
      <c r="M3708" s="4" t="s">
        <v>8977</v>
      </c>
      <c r="N3708" s="4" t="s">
        <v>8978</v>
      </c>
      <c r="O3708" s="4" t="s">
        <v>8979</v>
      </c>
      <c r="P3708" s="4" t="s">
        <v>8975</v>
      </c>
    </row>
    <row r="3709">
      <c r="A3709" s="4">
        <v>16.0</v>
      </c>
      <c r="B3709" s="4" t="s">
        <v>8930</v>
      </c>
      <c r="C3709" s="4"/>
      <c r="D3709" s="4" t="s">
        <v>6182</v>
      </c>
      <c r="E3709" s="4" t="s">
        <v>6181</v>
      </c>
      <c r="F3709" s="4" t="s">
        <v>6182</v>
      </c>
      <c r="G3709" s="5" t="str">
        <f>IFERROR(__xludf.DUMMYFUNCTION("GOOGLETRANSLATE(D3709,""eu"",""es"")"),"tú")</f>
        <v>tú</v>
      </c>
    </row>
    <row r="3710">
      <c r="A3710" s="4">
        <v>17.0</v>
      </c>
      <c r="B3710" s="4" t="s">
        <v>8930</v>
      </c>
      <c r="C3710" s="4"/>
      <c r="D3710" s="4" t="s">
        <v>6209</v>
      </c>
      <c r="E3710" s="4" t="s">
        <v>8981</v>
      </c>
      <c r="F3710" s="4" t="s">
        <v>6209</v>
      </c>
      <c r="G3710" s="5" t="str">
        <f>IFERROR(__xludf.DUMMYFUNCTION("GOOGLETRANSLATE(D3710,""eu"",""es"")"),"quién")</f>
        <v>quién</v>
      </c>
    </row>
    <row r="3711">
      <c r="A3711" s="4">
        <v>18.0</v>
      </c>
      <c r="B3711" s="4" t="s">
        <v>8930</v>
      </c>
      <c r="C3711" s="4"/>
      <c r="D3711" s="4" t="s">
        <v>6209</v>
      </c>
      <c r="E3711" s="4" t="s">
        <v>8295</v>
      </c>
      <c r="F3711" s="4" t="s">
        <v>6328</v>
      </c>
      <c r="G3711" s="5" t="str">
        <f>IFERROR(__xludf.DUMMYFUNCTION("GOOGLETRANSLATE(D3711,""eu"",""es"")"),"quién")</f>
        <v>quién</v>
      </c>
    </row>
    <row r="3712">
      <c r="A3712" s="4">
        <v>19.0</v>
      </c>
      <c r="B3712" s="4" t="s">
        <v>8930</v>
      </c>
      <c r="C3712" s="4"/>
      <c r="D3712" s="4" t="s">
        <v>6188</v>
      </c>
      <c r="E3712" s="4" t="s">
        <v>8982</v>
      </c>
      <c r="F3712" s="4" t="s">
        <v>6188</v>
      </c>
      <c r="G3712" s="5" t="str">
        <f>IFERROR(__xludf.DUMMYFUNCTION("GOOGLETRANSLATE(D3712,""eu"",""es"")"),"morir")</f>
        <v>morir</v>
      </c>
      <c r="H3712" s="4" t="s">
        <v>2756</v>
      </c>
      <c r="I3712" s="4" t="s">
        <v>2569</v>
      </c>
      <c r="J3712" s="4" t="s">
        <v>2570</v>
      </c>
      <c r="K3712" s="4" t="s">
        <v>2756</v>
      </c>
      <c r="L3712" s="4" t="s">
        <v>2762</v>
      </c>
      <c r="M3712" s="4" t="s">
        <v>2763</v>
      </c>
      <c r="N3712" s="4" t="s">
        <v>637</v>
      </c>
      <c r="O3712" s="4" t="s">
        <v>2764</v>
      </c>
      <c r="P3712" s="4" t="s">
        <v>2765</v>
      </c>
      <c r="Q3712" s="4" t="s">
        <v>2766</v>
      </c>
      <c r="R3712" s="4" t="s">
        <v>647</v>
      </c>
      <c r="S3712" s="4" t="s">
        <v>2767</v>
      </c>
      <c r="T3712" s="4" t="s">
        <v>2768</v>
      </c>
      <c r="U3712" s="4" t="s">
        <v>2769</v>
      </c>
      <c r="V3712" s="4" t="s">
        <v>2770</v>
      </c>
      <c r="W3712" s="4" t="s">
        <v>2771</v>
      </c>
      <c r="X3712" s="4" t="s">
        <v>2772</v>
      </c>
      <c r="Y3712" s="4" t="s">
        <v>2773</v>
      </c>
      <c r="Z3712" s="4" t="s">
        <v>2774</v>
      </c>
      <c r="AA3712" s="4" t="s">
        <v>2775</v>
      </c>
      <c r="AB3712" s="4" t="s">
        <v>2776</v>
      </c>
      <c r="AC3712" s="4" t="s">
        <v>8983</v>
      </c>
      <c r="AD3712" s="4" t="s">
        <v>2568</v>
      </c>
      <c r="AE3712" s="4" t="s">
        <v>2570</v>
      </c>
      <c r="AF3712" s="4" t="s">
        <v>8984</v>
      </c>
      <c r="AG3712" s="4" t="s">
        <v>8985</v>
      </c>
      <c r="AH3712" s="4" t="s">
        <v>8986</v>
      </c>
      <c r="AI3712" s="4" t="s">
        <v>8987</v>
      </c>
      <c r="AJ3712" s="4" t="s">
        <v>6297</v>
      </c>
      <c r="AK3712" s="4" t="s">
        <v>8988</v>
      </c>
      <c r="AL3712" s="4" t="s">
        <v>8989</v>
      </c>
      <c r="AM3712" s="4" t="s">
        <v>8407</v>
      </c>
      <c r="AN3712" s="4" t="s">
        <v>8990</v>
      </c>
      <c r="AO3712" s="4" t="s">
        <v>8991</v>
      </c>
      <c r="AP3712" s="4" t="s">
        <v>8992</v>
      </c>
      <c r="AQ3712" s="4" t="s">
        <v>854</v>
      </c>
      <c r="AR3712" s="4" t="s">
        <v>855</v>
      </c>
      <c r="AS3712" s="4" t="s">
        <v>856</v>
      </c>
      <c r="AT3712" s="4" t="s">
        <v>857</v>
      </c>
      <c r="AU3712" s="4" t="s">
        <v>858</v>
      </c>
      <c r="AV3712" s="4" t="s">
        <v>859</v>
      </c>
      <c r="AW3712" s="4" t="s">
        <v>860</v>
      </c>
      <c r="AX3712" s="4" t="s">
        <v>538</v>
      </c>
      <c r="AY3712" s="4" t="s">
        <v>861</v>
      </c>
      <c r="AZ3712" s="4" t="s">
        <v>8993</v>
      </c>
      <c r="BA3712" s="4" t="s">
        <v>8994</v>
      </c>
      <c r="BB3712" s="4" t="s">
        <v>8993</v>
      </c>
      <c r="BC3712" s="4" t="s">
        <v>8995</v>
      </c>
      <c r="BD3712" s="4" t="s">
        <v>8996</v>
      </c>
      <c r="BE3712" s="4" t="s">
        <v>8997</v>
      </c>
      <c r="BF3712" s="4" t="s">
        <v>8998</v>
      </c>
      <c r="BG3712" s="4" t="s">
        <v>8999</v>
      </c>
      <c r="BH3712" s="4" t="s">
        <v>9000</v>
      </c>
      <c r="BI3712" s="4" t="s">
        <v>2762</v>
      </c>
      <c r="BJ3712" s="4" t="s">
        <v>9001</v>
      </c>
      <c r="BK3712" s="4" t="s">
        <v>9002</v>
      </c>
      <c r="BL3712" s="4" t="s">
        <v>9003</v>
      </c>
      <c r="BM3712" s="4" t="s">
        <v>9004</v>
      </c>
      <c r="BN3712" s="4" t="s">
        <v>9005</v>
      </c>
      <c r="BO3712" s="4" t="s">
        <v>9006</v>
      </c>
      <c r="BP3712" s="4" t="s">
        <v>9007</v>
      </c>
      <c r="BQ3712" s="4" t="s">
        <v>9008</v>
      </c>
      <c r="BR3712" s="4" t="s">
        <v>9009</v>
      </c>
    </row>
    <row r="3713">
      <c r="A3713" s="4">
        <v>20.0</v>
      </c>
      <c r="B3713" s="4" t="s">
        <v>8930</v>
      </c>
      <c r="C3713" s="4"/>
      <c r="D3713" s="4" t="s">
        <v>6188</v>
      </c>
      <c r="E3713" s="4" t="s">
        <v>9010</v>
      </c>
      <c r="F3713" s="4" t="s">
        <v>6341</v>
      </c>
      <c r="G3713" s="5" t="str">
        <f>IFERROR(__xludf.DUMMYFUNCTION("GOOGLETRANSLATE(D3713,""eu"",""es"")"),"morir")</f>
        <v>morir</v>
      </c>
      <c r="H3713" s="4" t="s">
        <v>2756</v>
      </c>
      <c r="I3713" s="4" t="s">
        <v>2569</v>
      </c>
      <c r="J3713" s="4" t="s">
        <v>2570</v>
      </c>
      <c r="K3713" s="4" t="s">
        <v>2756</v>
      </c>
      <c r="L3713" s="4" t="s">
        <v>2762</v>
      </c>
      <c r="M3713" s="4" t="s">
        <v>2763</v>
      </c>
      <c r="N3713" s="4" t="s">
        <v>637</v>
      </c>
      <c r="O3713" s="4" t="s">
        <v>2764</v>
      </c>
      <c r="P3713" s="4" t="s">
        <v>2765</v>
      </c>
      <c r="Q3713" s="4" t="s">
        <v>2766</v>
      </c>
      <c r="R3713" s="4" t="s">
        <v>647</v>
      </c>
      <c r="S3713" s="4" t="s">
        <v>2767</v>
      </c>
      <c r="T3713" s="4" t="s">
        <v>2768</v>
      </c>
      <c r="U3713" s="4" t="s">
        <v>2769</v>
      </c>
      <c r="V3713" s="4" t="s">
        <v>2770</v>
      </c>
      <c r="W3713" s="4" t="s">
        <v>2771</v>
      </c>
      <c r="X3713" s="4" t="s">
        <v>2772</v>
      </c>
      <c r="Y3713" s="4" t="s">
        <v>2773</v>
      </c>
      <c r="Z3713" s="4" t="s">
        <v>2774</v>
      </c>
      <c r="AA3713" s="4" t="s">
        <v>2775</v>
      </c>
      <c r="AB3713" s="4" t="s">
        <v>2776</v>
      </c>
      <c r="AC3713" s="4" t="s">
        <v>8983</v>
      </c>
      <c r="AD3713" s="4" t="s">
        <v>2568</v>
      </c>
      <c r="AE3713" s="4" t="s">
        <v>2570</v>
      </c>
      <c r="AF3713" s="4" t="s">
        <v>8984</v>
      </c>
      <c r="AG3713" s="4" t="s">
        <v>8985</v>
      </c>
      <c r="AH3713" s="4" t="s">
        <v>8986</v>
      </c>
      <c r="AI3713" s="4" t="s">
        <v>8987</v>
      </c>
      <c r="AJ3713" s="4" t="s">
        <v>6297</v>
      </c>
      <c r="AK3713" s="4" t="s">
        <v>8988</v>
      </c>
      <c r="AL3713" s="4" t="s">
        <v>8989</v>
      </c>
      <c r="AM3713" s="4" t="s">
        <v>8407</v>
      </c>
      <c r="AN3713" s="4" t="s">
        <v>8990</v>
      </c>
      <c r="AO3713" s="4" t="s">
        <v>8991</v>
      </c>
      <c r="AP3713" s="4" t="s">
        <v>8992</v>
      </c>
      <c r="AQ3713" s="4" t="s">
        <v>854</v>
      </c>
      <c r="AR3713" s="4" t="s">
        <v>855</v>
      </c>
      <c r="AS3713" s="4" t="s">
        <v>856</v>
      </c>
      <c r="AT3713" s="4" t="s">
        <v>857</v>
      </c>
      <c r="AU3713" s="4" t="s">
        <v>858</v>
      </c>
      <c r="AV3713" s="4" t="s">
        <v>859</v>
      </c>
      <c r="AW3713" s="4" t="s">
        <v>860</v>
      </c>
      <c r="AX3713" s="4" t="s">
        <v>538</v>
      </c>
      <c r="AY3713" s="4" t="s">
        <v>861</v>
      </c>
      <c r="AZ3713" s="4" t="s">
        <v>8993</v>
      </c>
      <c r="BA3713" s="4" t="s">
        <v>8994</v>
      </c>
      <c r="BB3713" s="4" t="s">
        <v>8993</v>
      </c>
      <c r="BC3713" s="4" t="s">
        <v>8995</v>
      </c>
      <c r="BD3713" s="4" t="s">
        <v>8996</v>
      </c>
      <c r="BE3713" s="4" t="s">
        <v>8997</v>
      </c>
      <c r="BF3713" s="4" t="s">
        <v>8998</v>
      </c>
      <c r="BG3713" s="4" t="s">
        <v>8999</v>
      </c>
      <c r="BH3713" s="4" t="s">
        <v>9000</v>
      </c>
      <c r="BI3713" s="4" t="s">
        <v>2762</v>
      </c>
      <c r="BJ3713" s="4" t="s">
        <v>9001</v>
      </c>
      <c r="BK3713" s="4" t="s">
        <v>9002</v>
      </c>
      <c r="BL3713" s="4" t="s">
        <v>9003</v>
      </c>
      <c r="BM3713" s="4" t="s">
        <v>9004</v>
      </c>
      <c r="BN3713" s="4" t="s">
        <v>9005</v>
      </c>
      <c r="BO3713" s="4" t="s">
        <v>9006</v>
      </c>
      <c r="BP3713" s="4" t="s">
        <v>9007</v>
      </c>
      <c r="BQ3713" s="4" t="s">
        <v>9008</v>
      </c>
      <c r="BR3713" s="4" t="s">
        <v>9009</v>
      </c>
    </row>
    <row r="3714">
      <c r="A3714" s="4">
        <v>21.0</v>
      </c>
      <c r="B3714" s="4" t="s">
        <v>8930</v>
      </c>
      <c r="C3714" s="4"/>
      <c r="D3714" s="4" t="s">
        <v>9011</v>
      </c>
      <c r="E3714" s="4" t="s">
        <v>9012</v>
      </c>
      <c r="F3714" s="4" t="s">
        <v>9011</v>
      </c>
      <c r="G3714" s="5" t="str">
        <f>IFERROR(__xludf.DUMMYFUNCTION("GOOGLETRANSLATE(D3714,""eu"",""es"")"),"ciudad")</f>
        <v>ciudad</v>
      </c>
      <c r="H3714" s="4" t="s">
        <v>6068</v>
      </c>
      <c r="I3714" s="4" t="s">
        <v>6070</v>
      </c>
      <c r="J3714" s="4" t="s">
        <v>6068</v>
      </c>
      <c r="K3714" s="4" t="s">
        <v>6070</v>
      </c>
      <c r="L3714" s="4" t="s">
        <v>6071</v>
      </c>
    </row>
    <row r="3715">
      <c r="A3715" s="4">
        <v>22.0</v>
      </c>
      <c r="B3715" s="4" t="s">
        <v>8930</v>
      </c>
      <c r="C3715" s="4"/>
      <c r="D3715" s="4" t="s">
        <v>9011</v>
      </c>
      <c r="E3715" s="4" t="s">
        <v>9013</v>
      </c>
      <c r="F3715" s="4" t="s">
        <v>9014</v>
      </c>
      <c r="G3715" s="5" t="str">
        <f>IFERROR(__xludf.DUMMYFUNCTION("GOOGLETRANSLATE(D3715,""eu"",""es"")"),"ciudad")</f>
        <v>ciudad</v>
      </c>
      <c r="H3715" s="4" t="s">
        <v>6068</v>
      </c>
      <c r="I3715" s="4" t="s">
        <v>6070</v>
      </c>
      <c r="J3715" s="4" t="s">
        <v>6068</v>
      </c>
      <c r="K3715" s="4" t="s">
        <v>6070</v>
      </c>
      <c r="L3715" s="4" t="s">
        <v>6071</v>
      </c>
    </row>
    <row r="3716">
      <c r="A3716" s="4">
        <v>23.0</v>
      </c>
      <c r="B3716" s="4" t="s">
        <v>8930</v>
      </c>
      <c r="C3716" s="4"/>
      <c r="D3716" s="4" t="s">
        <v>9015</v>
      </c>
      <c r="E3716" s="4" t="s">
        <v>9016</v>
      </c>
      <c r="F3716" s="4" t="s">
        <v>9015</v>
      </c>
      <c r="G3716" s="5" t="str">
        <f>IFERROR(__xludf.DUMMYFUNCTION("GOOGLETRANSLATE(D3716,""eu"",""es"")"),"Tres")</f>
        <v>Tres</v>
      </c>
      <c r="H3716" s="4" t="s">
        <v>9017</v>
      </c>
      <c r="I3716" s="4">
        <v>3.0</v>
      </c>
      <c r="J3716" s="4" t="s">
        <v>9018</v>
      </c>
      <c r="K3716" s="4" t="s">
        <v>9019</v>
      </c>
      <c r="L3716" s="4" t="s">
        <v>9020</v>
      </c>
      <c r="M3716" s="4" t="s">
        <v>9021</v>
      </c>
      <c r="N3716" s="4" t="s">
        <v>9022</v>
      </c>
      <c r="O3716" s="4" t="s">
        <v>9023</v>
      </c>
      <c r="P3716" s="4" t="s">
        <v>9024</v>
      </c>
      <c r="Q3716" s="4" t="s">
        <v>9025</v>
      </c>
      <c r="R3716" s="4" t="s">
        <v>9026</v>
      </c>
      <c r="S3716" s="4" t="s">
        <v>9027</v>
      </c>
      <c r="T3716" s="4" t="s">
        <v>9028</v>
      </c>
      <c r="U3716" s="4" t="s">
        <v>9029</v>
      </c>
      <c r="V3716" s="4" t="s">
        <v>9030</v>
      </c>
      <c r="W3716" s="4" t="s">
        <v>9031</v>
      </c>
      <c r="X3716" s="4" t="s">
        <v>9032</v>
      </c>
      <c r="Y3716" s="4" t="s">
        <v>9033</v>
      </c>
    </row>
    <row r="3717">
      <c r="A3717" s="4">
        <v>24.0</v>
      </c>
      <c r="B3717" s="4" t="s">
        <v>8930</v>
      </c>
      <c r="C3717" s="4"/>
      <c r="D3717" s="4" t="s">
        <v>9015</v>
      </c>
      <c r="E3717" s="4" t="s">
        <v>9034</v>
      </c>
      <c r="F3717" s="4" t="s">
        <v>9035</v>
      </c>
      <c r="G3717" s="5" t="str">
        <f>IFERROR(__xludf.DUMMYFUNCTION("GOOGLETRANSLATE(D3717,""eu"",""es"")"),"Tres")</f>
        <v>Tres</v>
      </c>
      <c r="H3717" s="4" t="s">
        <v>9017</v>
      </c>
      <c r="I3717" s="4">
        <v>3.0</v>
      </c>
      <c r="J3717" s="4" t="s">
        <v>9018</v>
      </c>
      <c r="K3717" s="4" t="s">
        <v>9019</v>
      </c>
      <c r="L3717" s="4" t="s">
        <v>9020</v>
      </c>
      <c r="M3717" s="4" t="s">
        <v>9021</v>
      </c>
      <c r="N3717" s="4" t="s">
        <v>9022</v>
      </c>
      <c r="O3717" s="4" t="s">
        <v>9023</v>
      </c>
      <c r="P3717" s="4" t="s">
        <v>9024</v>
      </c>
      <c r="Q3717" s="4" t="s">
        <v>9025</v>
      </c>
      <c r="R3717" s="4" t="s">
        <v>9026</v>
      </c>
      <c r="S3717" s="4" t="s">
        <v>9027</v>
      </c>
      <c r="T3717" s="4" t="s">
        <v>9028</v>
      </c>
      <c r="U3717" s="4" t="s">
        <v>9029</v>
      </c>
      <c r="V3717" s="4" t="s">
        <v>9030</v>
      </c>
      <c r="W3717" s="4" t="s">
        <v>9031</v>
      </c>
      <c r="X3717" s="4" t="s">
        <v>9032</v>
      </c>
      <c r="Y3717" s="4" t="s">
        <v>9033</v>
      </c>
    </row>
    <row r="3718">
      <c r="A3718" s="4">
        <v>25.0</v>
      </c>
      <c r="B3718" s="4" t="s">
        <v>8930</v>
      </c>
      <c r="C3718" s="4"/>
      <c r="D3718" s="4" t="s">
        <v>9036</v>
      </c>
      <c r="E3718" s="4" t="s">
        <v>9037</v>
      </c>
      <c r="F3718" s="4" t="s">
        <v>9036</v>
      </c>
      <c r="G3718" s="5" t="str">
        <f>IFERROR(__xludf.DUMMYFUNCTION("GOOGLETRANSLATE(D3718,""eu"",""es"")"),"en Hitan")</f>
        <v>en Hitan</v>
      </c>
    </row>
    <row r="3719">
      <c r="A3719" s="4">
        <v>26.0</v>
      </c>
      <c r="B3719" s="4" t="s">
        <v>8930</v>
      </c>
      <c r="C3719" s="4"/>
      <c r="D3719" s="4" t="s">
        <v>9036</v>
      </c>
      <c r="E3719" s="4" t="s">
        <v>4934</v>
      </c>
      <c r="F3719" s="4" t="s">
        <v>4935</v>
      </c>
      <c r="G3719" s="5" t="str">
        <f>IFERROR(__xludf.DUMMYFUNCTION("GOOGLETRANSLATE(D3719,""eu"",""es"")"),"en Hitan")</f>
        <v>en Hitan</v>
      </c>
    </row>
    <row r="3720">
      <c r="A3720" s="4">
        <v>27.0</v>
      </c>
      <c r="B3720" s="4" t="s">
        <v>8930</v>
      </c>
      <c r="C3720" s="4"/>
      <c r="D3720" s="4" t="s">
        <v>9038</v>
      </c>
      <c r="E3720" s="4" t="s">
        <v>9039</v>
      </c>
      <c r="F3720" s="4" t="s">
        <v>9038</v>
      </c>
      <c r="G3720" s="5" t="str">
        <f>IFERROR(__xludf.DUMMYFUNCTION("GOOGLETRANSLATE(D3720,""eu"",""es"")"),"él")</f>
        <v>él</v>
      </c>
    </row>
    <row r="3721">
      <c r="A3721" s="4">
        <v>28.0</v>
      </c>
      <c r="B3721" s="4" t="s">
        <v>8930</v>
      </c>
      <c r="C3721" s="4"/>
      <c r="D3721" s="4" t="s">
        <v>9038</v>
      </c>
      <c r="E3721" s="4" t="s">
        <v>3142</v>
      </c>
      <c r="F3721" s="4" t="s">
        <v>3143</v>
      </c>
      <c r="G3721" s="5" t="str">
        <f>IFERROR(__xludf.DUMMYFUNCTION("GOOGLETRANSLATE(D3721,""eu"",""es"")"),"él")</f>
        <v>él</v>
      </c>
    </row>
    <row r="3722">
      <c r="A3722" s="4">
        <v>29.0</v>
      </c>
      <c r="B3722" s="4" t="s">
        <v>8930</v>
      </c>
      <c r="C3722" s="4"/>
      <c r="D3722" s="4" t="s">
        <v>9040</v>
      </c>
      <c r="E3722" s="4" t="s">
        <v>9041</v>
      </c>
      <c r="F3722" s="4" t="s">
        <v>9040</v>
      </c>
      <c r="G3722" s="5" t="str">
        <f>IFERROR(__xludf.DUMMYFUNCTION("GOOGLETRANSLATE(D3722,""eu"",""es"")"),"Ihi")</f>
        <v>Ihi</v>
      </c>
      <c r="H3722" s="4" t="s">
        <v>6405</v>
      </c>
    </row>
    <row r="3723">
      <c r="A3723" s="4">
        <v>30.0</v>
      </c>
      <c r="B3723" s="4" t="s">
        <v>8930</v>
      </c>
      <c r="C3723" s="4"/>
      <c r="D3723" s="4" t="s">
        <v>9042</v>
      </c>
      <c r="E3723" s="4" t="s">
        <v>9043</v>
      </c>
      <c r="F3723" s="4" t="s">
        <v>9042</v>
      </c>
      <c r="G3723" s="5" t="str">
        <f>IFERROR(__xludf.DUMMYFUNCTION("GOOGLETRANSLATE(D3723,""eu"",""es"")"),"oscuro")</f>
        <v>oscuro</v>
      </c>
      <c r="H3723" s="4" t="s">
        <v>9044</v>
      </c>
      <c r="I3723" s="4" t="s">
        <v>9045</v>
      </c>
      <c r="J3723" s="4" t="s">
        <v>9046</v>
      </c>
      <c r="K3723" s="4" t="s">
        <v>9047</v>
      </c>
      <c r="L3723" s="4" t="s">
        <v>9048</v>
      </c>
      <c r="M3723" s="4" t="s">
        <v>9049</v>
      </c>
      <c r="N3723" s="4" t="s">
        <v>9048</v>
      </c>
    </row>
    <row r="3724">
      <c r="A3724" s="4">
        <v>31.0</v>
      </c>
      <c r="B3724" s="4" t="s">
        <v>8930</v>
      </c>
      <c r="C3724" s="4"/>
      <c r="D3724" s="4" t="s">
        <v>9042</v>
      </c>
      <c r="E3724" s="4" t="s">
        <v>9050</v>
      </c>
      <c r="F3724" s="4" t="s">
        <v>9051</v>
      </c>
      <c r="G3724" s="5" t="str">
        <f>IFERROR(__xludf.DUMMYFUNCTION("GOOGLETRANSLATE(D3724,""eu"",""es"")"),"oscuro")</f>
        <v>oscuro</v>
      </c>
      <c r="H3724" s="4" t="s">
        <v>9044</v>
      </c>
      <c r="I3724" s="4" t="s">
        <v>9045</v>
      </c>
      <c r="J3724" s="4" t="s">
        <v>9046</v>
      </c>
      <c r="K3724" s="4" t="s">
        <v>9047</v>
      </c>
      <c r="L3724" s="4" t="s">
        <v>9048</v>
      </c>
      <c r="M3724" s="4" t="s">
        <v>9049</v>
      </c>
      <c r="N3724" s="4" t="s">
        <v>9048</v>
      </c>
    </row>
    <row r="3725">
      <c r="A3725" s="4">
        <v>32.0</v>
      </c>
      <c r="B3725" s="4" t="s">
        <v>8930</v>
      </c>
      <c r="C3725" s="4"/>
      <c r="D3725" s="4" t="s">
        <v>9052</v>
      </c>
      <c r="E3725" s="4" t="s">
        <v>9053</v>
      </c>
      <c r="F3725" s="4" t="s">
        <v>9052</v>
      </c>
      <c r="G3725" s="5" t="str">
        <f>IFERROR(__xludf.DUMMYFUNCTION("GOOGLETRANSLATE(D3725,""eu"",""es"")"),"hervir")</f>
        <v>hervir</v>
      </c>
      <c r="H3725" s="4" t="s">
        <v>9054</v>
      </c>
      <c r="I3725" s="4" t="s">
        <v>9055</v>
      </c>
      <c r="J3725" s="4" t="s">
        <v>9056</v>
      </c>
      <c r="K3725" s="4" t="s">
        <v>9054</v>
      </c>
      <c r="L3725" s="4" t="s">
        <v>9057</v>
      </c>
    </row>
    <row r="3726">
      <c r="A3726" s="4">
        <v>33.0</v>
      </c>
      <c r="B3726" s="4" t="s">
        <v>8930</v>
      </c>
      <c r="C3726" s="4"/>
      <c r="D3726" s="4" t="s">
        <v>9058</v>
      </c>
      <c r="E3726" s="4" t="s">
        <v>9059</v>
      </c>
      <c r="F3726" s="4" t="s">
        <v>9058</v>
      </c>
      <c r="G3726" s="5" t="str">
        <f>IFERROR(__xludf.DUMMYFUNCTION("GOOGLETRANSLATE(D3726,""eu"",""es"")"),"Pamplona")</f>
        <v>Pamplona</v>
      </c>
    </row>
    <row r="3727">
      <c r="A3727" s="4">
        <v>34.0</v>
      </c>
      <c r="B3727" s="4" t="s">
        <v>8930</v>
      </c>
      <c r="C3727" s="4"/>
      <c r="D3727" s="4" t="s">
        <v>9060</v>
      </c>
      <c r="E3727" s="4" t="s">
        <v>9061</v>
      </c>
      <c r="F3727" s="4" t="s">
        <v>9062</v>
      </c>
      <c r="G3727" s="5" t="str">
        <f>IFERROR(__xludf.DUMMYFUNCTION("GOOGLETRANSLATE(D3727,""eu"",""es"")"),"dios")</f>
        <v>dios</v>
      </c>
    </row>
    <row r="3728">
      <c r="A3728" s="4">
        <v>35.0</v>
      </c>
      <c r="B3728" s="4" t="s">
        <v>8930</v>
      </c>
      <c r="C3728" s="4"/>
      <c r="D3728" s="4" t="s">
        <v>9063</v>
      </c>
      <c r="E3728" s="4" t="s">
        <v>9064</v>
      </c>
      <c r="F3728" s="4" t="s">
        <v>9065</v>
      </c>
      <c r="G3728" s="5" t="str">
        <f>IFERROR(__xludf.DUMMYFUNCTION("GOOGLETRANSLATE(D3728,""eu"",""es"")"),"chaqueta")</f>
        <v>chaqueta</v>
      </c>
      <c r="H3728" s="4" t="s">
        <v>9066</v>
      </c>
      <c r="I3728" s="4" t="s">
        <v>9067</v>
      </c>
      <c r="J3728" s="4" t="s">
        <v>9068</v>
      </c>
      <c r="K3728" s="4" t="s">
        <v>9069</v>
      </c>
      <c r="L3728" s="4" t="s">
        <v>9070</v>
      </c>
      <c r="M3728" s="4" t="s">
        <v>9071</v>
      </c>
      <c r="N3728" s="4" t="s">
        <v>5981</v>
      </c>
      <c r="O3728" s="4" t="s">
        <v>1785</v>
      </c>
      <c r="P3728" s="4" t="s">
        <v>7368</v>
      </c>
    </row>
    <row r="3729">
      <c r="A3729" s="4">
        <v>36.0</v>
      </c>
      <c r="B3729" s="4" t="s">
        <v>8930</v>
      </c>
      <c r="C3729" s="4"/>
      <c r="D3729" s="4" t="s">
        <v>9063</v>
      </c>
      <c r="E3729" s="4" t="s">
        <v>9072</v>
      </c>
      <c r="F3729" s="4" t="s">
        <v>9073</v>
      </c>
      <c r="G3729" s="5" t="str">
        <f>IFERROR(__xludf.DUMMYFUNCTION("GOOGLETRANSLATE(D3729,""eu"",""es"")"),"chaqueta")</f>
        <v>chaqueta</v>
      </c>
      <c r="H3729" s="4" t="s">
        <v>9066</v>
      </c>
      <c r="I3729" s="4" t="s">
        <v>9067</v>
      </c>
      <c r="J3729" s="4" t="s">
        <v>9068</v>
      </c>
      <c r="K3729" s="4" t="s">
        <v>9069</v>
      </c>
      <c r="L3729" s="4" t="s">
        <v>9070</v>
      </c>
      <c r="M3729" s="4" t="s">
        <v>9071</v>
      </c>
      <c r="N3729" s="4" t="s">
        <v>5981</v>
      </c>
      <c r="O3729" s="4" t="s">
        <v>1785</v>
      </c>
      <c r="P3729" s="4" t="s">
        <v>7368</v>
      </c>
    </row>
    <row r="3730">
      <c r="A3730" s="4">
        <v>37.0</v>
      </c>
      <c r="B3730" s="4" t="s">
        <v>8930</v>
      </c>
      <c r="C3730" s="4"/>
      <c r="D3730" s="4" t="s">
        <v>9074</v>
      </c>
      <c r="E3730" s="4" t="s">
        <v>9075</v>
      </c>
      <c r="F3730" s="4" t="s">
        <v>9076</v>
      </c>
      <c r="G3730" s="5" t="str">
        <f>IFERROR(__xludf.DUMMYFUNCTION("GOOGLETRANSLATE(D3730,""eu"",""es"")"),"gente")</f>
        <v>gente</v>
      </c>
    </row>
    <row r="3731">
      <c r="A3731" s="4">
        <v>38.0</v>
      </c>
      <c r="B3731" s="4" t="s">
        <v>8930</v>
      </c>
      <c r="C3731" s="4"/>
      <c r="D3731" s="4" t="s">
        <v>9074</v>
      </c>
      <c r="E3731" s="4" t="s">
        <v>9077</v>
      </c>
      <c r="F3731" s="4" t="s">
        <v>9078</v>
      </c>
      <c r="G3731" s="5" t="str">
        <f>IFERROR(__xludf.DUMMYFUNCTION("GOOGLETRANSLATE(D3731,""eu"",""es"")"),"gente")</f>
        <v>gente</v>
      </c>
    </row>
    <row r="3732">
      <c r="A3732" s="4">
        <v>39.0</v>
      </c>
      <c r="B3732" s="4" t="s">
        <v>8930</v>
      </c>
      <c r="C3732" s="4"/>
      <c r="D3732" s="4" t="s">
        <v>9079</v>
      </c>
      <c r="E3732" s="4" t="s">
        <v>9080</v>
      </c>
      <c r="F3732" s="4" t="s">
        <v>9081</v>
      </c>
      <c r="G3732" s="5" t="str">
        <f>IFERROR(__xludf.DUMMYFUNCTION("GOOGLETRANSLATE(D3732,""eu"",""es"")"),"saber")</f>
        <v>saber</v>
      </c>
      <c r="H3732" s="4" t="s">
        <v>9082</v>
      </c>
      <c r="I3732" s="4" t="s">
        <v>9083</v>
      </c>
      <c r="J3732" s="4" t="s">
        <v>9084</v>
      </c>
      <c r="K3732" s="4" t="s">
        <v>9085</v>
      </c>
    </row>
    <row r="3733">
      <c r="A3733" s="4">
        <v>40.0</v>
      </c>
      <c r="B3733" s="4" t="s">
        <v>8930</v>
      </c>
      <c r="C3733" s="4"/>
      <c r="D3733" s="4" t="s">
        <v>9079</v>
      </c>
      <c r="E3733" s="4" t="s">
        <v>9086</v>
      </c>
      <c r="F3733" s="4" t="s">
        <v>9087</v>
      </c>
      <c r="G3733" s="5" t="str">
        <f>IFERROR(__xludf.DUMMYFUNCTION("GOOGLETRANSLATE(D3733,""eu"",""es"")"),"saber")</f>
        <v>saber</v>
      </c>
      <c r="H3733" s="4" t="s">
        <v>9082</v>
      </c>
      <c r="I3733" s="4" t="s">
        <v>9083</v>
      </c>
      <c r="J3733" s="4" t="s">
        <v>9084</v>
      </c>
      <c r="K3733" s="4" t="s">
        <v>9085</v>
      </c>
    </row>
    <row r="3734">
      <c r="A3734" s="4">
        <v>41.0</v>
      </c>
      <c r="B3734" s="4" t="s">
        <v>8930</v>
      </c>
      <c r="C3734" s="4"/>
      <c r="D3734" s="4" t="s">
        <v>6386</v>
      </c>
      <c r="E3734" s="4" t="s">
        <v>9088</v>
      </c>
      <c r="F3734" s="4" t="s">
        <v>6388</v>
      </c>
      <c r="G3734" s="5" t="str">
        <f>IFERROR(__xludf.DUMMYFUNCTION("GOOGLETRANSLATE(D3734,""eu"",""es"")"),"comer")</f>
        <v>comer</v>
      </c>
      <c r="H3734" s="4" t="s">
        <v>9089</v>
      </c>
      <c r="I3734" s="4" t="s">
        <v>9090</v>
      </c>
      <c r="J3734" s="4" t="s">
        <v>9091</v>
      </c>
      <c r="K3734" s="4" t="s">
        <v>9092</v>
      </c>
      <c r="L3734" s="4" t="s">
        <v>9093</v>
      </c>
      <c r="M3734" s="4" t="s">
        <v>9092</v>
      </c>
      <c r="N3734" s="4" t="s">
        <v>9092</v>
      </c>
      <c r="O3734" s="4" t="s">
        <v>2412</v>
      </c>
      <c r="P3734" s="4" t="s">
        <v>9092</v>
      </c>
      <c r="Q3734" s="4" t="s">
        <v>9094</v>
      </c>
      <c r="R3734" s="4" t="s">
        <v>3624</v>
      </c>
      <c r="S3734" s="4" t="s">
        <v>7930</v>
      </c>
      <c r="T3734" s="4" t="s">
        <v>7118</v>
      </c>
      <c r="U3734" s="4" t="s">
        <v>9095</v>
      </c>
      <c r="V3734" s="4" t="s">
        <v>1001</v>
      </c>
      <c r="W3734" s="4" t="s">
        <v>9096</v>
      </c>
      <c r="X3734" s="4" t="s">
        <v>9097</v>
      </c>
    </row>
    <row r="3735">
      <c r="A3735" s="4">
        <v>42.0</v>
      </c>
      <c r="B3735" s="4" t="s">
        <v>8930</v>
      </c>
      <c r="C3735" s="4"/>
      <c r="D3735" s="4" t="s">
        <v>6386</v>
      </c>
      <c r="E3735" s="4" t="s">
        <v>9098</v>
      </c>
      <c r="F3735" s="4" t="s">
        <v>1122</v>
      </c>
      <c r="G3735" s="5" t="str">
        <f>IFERROR(__xludf.DUMMYFUNCTION("GOOGLETRANSLATE(D3735,""eu"",""es"")"),"comer")</f>
        <v>comer</v>
      </c>
      <c r="H3735" s="4" t="s">
        <v>9089</v>
      </c>
      <c r="I3735" s="4" t="s">
        <v>9090</v>
      </c>
      <c r="J3735" s="4" t="s">
        <v>9091</v>
      </c>
      <c r="K3735" s="4" t="s">
        <v>9092</v>
      </c>
      <c r="L3735" s="4" t="s">
        <v>9093</v>
      </c>
      <c r="M3735" s="4" t="s">
        <v>9092</v>
      </c>
      <c r="N3735" s="4" t="s">
        <v>9092</v>
      </c>
      <c r="O3735" s="4" t="s">
        <v>2412</v>
      </c>
      <c r="P3735" s="4" t="s">
        <v>9092</v>
      </c>
      <c r="Q3735" s="4" t="s">
        <v>9094</v>
      </c>
      <c r="R3735" s="4" t="s">
        <v>3624</v>
      </c>
      <c r="S3735" s="4" t="s">
        <v>7930</v>
      </c>
      <c r="T3735" s="4" t="s">
        <v>7118</v>
      </c>
      <c r="U3735" s="4" t="s">
        <v>9095</v>
      </c>
      <c r="V3735" s="4" t="s">
        <v>1001</v>
      </c>
      <c r="W3735" s="4" t="s">
        <v>9096</v>
      </c>
      <c r="X3735" s="4" t="s">
        <v>9097</v>
      </c>
    </row>
    <row r="3736">
      <c r="A3736" s="4">
        <v>43.0</v>
      </c>
      <c r="B3736" s="4" t="s">
        <v>8930</v>
      </c>
      <c r="C3736" s="4"/>
      <c r="D3736" s="4" t="s">
        <v>9099</v>
      </c>
      <c r="E3736" s="4" t="s">
        <v>9100</v>
      </c>
      <c r="F3736" s="4" t="s">
        <v>9101</v>
      </c>
      <c r="G3736" s="5" t="str">
        <f>IFERROR(__xludf.DUMMYFUNCTION("GOOGLETRANSLATE(D3736,""eu"",""es"")"),"alimento")</f>
        <v>alimento</v>
      </c>
      <c r="H3736" s="4" t="s">
        <v>9089</v>
      </c>
      <c r="I3736" s="4" t="s">
        <v>9090</v>
      </c>
      <c r="J3736" s="4" t="s">
        <v>9096</v>
      </c>
      <c r="K3736" s="4" t="s">
        <v>9097</v>
      </c>
    </row>
    <row r="3737">
      <c r="A3737" s="4">
        <v>44.0</v>
      </c>
      <c r="B3737" s="4" t="s">
        <v>8930</v>
      </c>
      <c r="C3737" s="4"/>
      <c r="D3737" s="4" t="s">
        <v>9099</v>
      </c>
      <c r="E3737" s="4" t="s">
        <v>9102</v>
      </c>
      <c r="F3737" s="4" t="s">
        <v>1167</v>
      </c>
      <c r="G3737" s="5" t="str">
        <f>IFERROR(__xludf.DUMMYFUNCTION("GOOGLETRANSLATE(D3737,""eu"",""es"")"),"alimento")</f>
        <v>alimento</v>
      </c>
      <c r="H3737" s="4" t="s">
        <v>9089</v>
      </c>
      <c r="I3737" s="4" t="s">
        <v>9090</v>
      </c>
      <c r="J3737" s="4" t="s">
        <v>9096</v>
      </c>
      <c r="K3737" s="4" t="s">
        <v>9097</v>
      </c>
    </row>
    <row r="3738">
      <c r="A3738" s="4">
        <v>45.0</v>
      </c>
      <c r="B3738" s="4" t="s">
        <v>8930</v>
      </c>
      <c r="C3738" s="4"/>
      <c r="D3738" s="4" t="s">
        <v>2627</v>
      </c>
      <c r="E3738" s="4" t="s">
        <v>961</v>
      </c>
      <c r="F3738" s="4" t="s">
        <v>962</v>
      </c>
      <c r="G3738" s="5" t="str">
        <f>IFERROR(__xludf.DUMMYFUNCTION("GOOGLETRANSLATE(D3738,""eu"",""es"")"),"k")</f>
        <v>k</v>
      </c>
    </row>
    <row r="3739">
      <c r="A3739" s="4">
        <v>46.0</v>
      </c>
      <c r="B3739" s="4" t="s">
        <v>8930</v>
      </c>
      <c r="C3739" s="4"/>
      <c r="D3739" s="4" t="s">
        <v>962</v>
      </c>
      <c r="E3739" s="4" t="s">
        <v>961</v>
      </c>
      <c r="F3739" s="4" t="s">
        <v>962</v>
      </c>
      <c r="G3739" s="5" t="str">
        <f>IFERROR(__xludf.DUMMYFUNCTION("GOOGLETRANSLATE(D3739,""eu"",""es"")"),"un ka")</f>
        <v>un ka</v>
      </c>
    </row>
    <row r="3740">
      <c r="A3740" s="4">
        <v>47.0</v>
      </c>
      <c r="B3740" s="4" t="s">
        <v>8930</v>
      </c>
      <c r="C3740" s="4"/>
      <c r="D3740" s="4" t="s">
        <v>9103</v>
      </c>
      <c r="E3740" s="4" t="s">
        <v>9104</v>
      </c>
      <c r="F3740" s="4" t="s">
        <v>9103</v>
      </c>
      <c r="G3740" s="5" t="str">
        <f>IFERROR(__xludf.DUMMYFUNCTION("GOOGLETRANSLATE(D3740,""eu"",""es"")"),"gato")</f>
        <v>gato</v>
      </c>
      <c r="H3740" s="4" t="s">
        <v>9105</v>
      </c>
      <c r="I3740" s="4" t="s">
        <v>9106</v>
      </c>
      <c r="J3740" s="4" t="s">
        <v>4845</v>
      </c>
      <c r="K3740" s="4" t="s">
        <v>4846</v>
      </c>
      <c r="L3740" s="4" t="s">
        <v>9107</v>
      </c>
      <c r="M3740" s="4" t="s">
        <v>9108</v>
      </c>
      <c r="N3740" s="4" t="s">
        <v>9109</v>
      </c>
      <c r="O3740" s="4" t="s">
        <v>4845</v>
      </c>
      <c r="P3740" s="4" t="s">
        <v>9110</v>
      </c>
      <c r="Q3740" s="4" t="s">
        <v>9111</v>
      </c>
      <c r="R3740" s="4" t="s">
        <v>9112</v>
      </c>
      <c r="S3740" s="4" t="s">
        <v>9113</v>
      </c>
    </row>
    <row r="3741">
      <c r="A3741" s="4">
        <v>48.0</v>
      </c>
      <c r="B3741" s="4" t="s">
        <v>8930</v>
      </c>
      <c r="C3741" s="4"/>
      <c r="D3741" s="4" t="s">
        <v>1582</v>
      </c>
      <c r="E3741" s="4" t="s">
        <v>1581</v>
      </c>
      <c r="F3741" s="4" t="s">
        <v>1582</v>
      </c>
      <c r="G3741" s="5" t="str">
        <f>IFERROR(__xludf.DUMMYFUNCTION("GOOGLETRANSLATE(D3741,""eu"",""es"")"),"ku")</f>
        <v>ku</v>
      </c>
    </row>
    <row r="3742">
      <c r="A3742" s="4">
        <v>49.0</v>
      </c>
      <c r="B3742" s="4" t="s">
        <v>8930</v>
      </c>
      <c r="C3742" s="4"/>
      <c r="D3742" s="4" t="s">
        <v>9114</v>
      </c>
      <c r="E3742" s="4" t="s">
        <v>9115</v>
      </c>
      <c r="F3742" s="4" t="s">
        <v>9114</v>
      </c>
      <c r="G3742" s="5" t="str">
        <f>IFERROR(__xludf.DUMMYFUNCTION("GOOGLETRANSLATE(D3742,""eu"",""es"")"),"estiércol")</f>
        <v>estiércol</v>
      </c>
      <c r="H3742" s="4" t="s">
        <v>9116</v>
      </c>
      <c r="I3742" s="4" t="s">
        <v>9117</v>
      </c>
      <c r="J3742" s="4" t="s">
        <v>9118</v>
      </c>
    </row>
    <row r="3743">
      <c r="A3743" s="4">
        <v>50.0</v>
      </c>
      <c r="B3743" s="4" t="s">
        <v>8930</v>
      </c>
      <c r="C3743" s="4"/>
      <c r="D3743" s="4" t="s">
        <v>9119</v>
      </c>
      <c r="E3743" s="4" t="s">
        <v>9120</v>
      </c>
      <c r="F3743" s="4" t="s">
        <v>9119</v>
      </c>
      <c r="G3743" s="5" t="str">
        <f>IFERROR(__xludf.DUMMYFUNCTION("GOOGLETRANSLATE(D3743,""eu"",""es"")"),"Lari")</f>
        <v>Lari</v>
      </c>
    </row>
    <row r="3744">
      <c r="A3744" s="4">
        <v>51.0</v>
      </c>
      <c r="B3744" s="4" t="s">
        <v>8930</v>
      </c>
      <c r="C3744" s="4"/>
      <c r="D3744" s="4" t="s">
        <v>9121</v>
      </c>
      <c r="E3744" s="4" t="s">
        <v>9122</v>
      </c>
      <c r="F3744" s="4" t="s">
        <v>9121</v>
      </c>
      <c r="G3744" s="5" t="str">
        <f>IFERROR(__xludf.DUMMYFUNCTION("GOOGLETRANSLATE(D3744,""eu"",""es"")"),"manga")</f>
        <v>manga</v>
      </c>
      <c r="H3744" s="4" t="s">
        <v>9123</v>
      </c>
      <c r="I3744" s="4" t="s">
        <v>9124</v>
      </c>
      <c r="J3744" s="4" t="s">
        <v>9125</v>
      </c>
      <c r="K3744" s="4" t="s">
        <v>9126</v>
      </c>
      <c r="L3744" s="4" t="s">
        <v>6625</v>
      </c>
    </row>
    <row r="3745">
      <c r="A3745" s="4">
        <v>52.0</v>
      </c>
      <c r="B3745" s="4" t="s">
        <v>8930</v>
      </c>
      <c r="C3745" s="4"/>
      <c r="D3745" s="4" t="s">
        <v>9127</v>
      </c>
      <c r="E3745" s="4" t="s">
        <v>9128</v>
      </c>
      <c r="F3745" s="4" t="s">
        <v>9127</v>
      </c>
      <c r="G3745" s="5" t="str">
        <f>IFERROR(__xludf.DUMMYFUNCTION("GOOGLETRANSLATE(D3745,""eu"",""es"")"),"mi")</f>
        <v>mi</v>
      </c>
    </row>
    <row r="3746">
      <c r="A3746" s="4">
        <v>53.0</v>
      </c>
      <c r="B3746" s="4" t="s">
        <v>8930</v>
      </c>
      <c r="C3746" s="4"/>
      <c r="D3746" s="4" t="s">
        <v>2458</v>
      </c>
      <c r="E3746" s="4" t="s">
        <v>2459</v>
      </c>
      <c r="F3746" s="4" t="s">
        <v>2458</v>
      </c>
      <c r="G3746" s="5" t="str">
        <f>IFERROR(__xludf.DUMMYFUNCTION("GOOGLETRANSLATE(D3746,""eu"",""es"")"),"cuadro")</f>
        <v>cuadro</v>
      </c>
      <c r="H3746" s="4" t="s">
        <v>2460</v>
      </c>
    </row>
    <row r="3747">
      <c r="A3747" s="4">
        <v>54.0</v>
      </c>
      <c r="B3747" s="4" t="s">
        <v>8930</v>
      </c>
      <c r="C3747" s="4"/>
      <c r="D3747" s="4" t="s">
        <v>6841</v>
      </c>
      <c r="E3747" s="4" t="s">
        <v>9129</v>
      </c>
      <c r="F3747" s="4" t="s">
        <v>6841</v>
      </c>
      <c r="G3747" s="5" t="str">
        <f>IFERROR(__xludf.DUMMYFUNCTION("GOOGLETRANSLATE(D3747,""eu"",""es"")"),"picante")</f>
        <v>picante</v>
      </c>
      <c r="H3747" s="4" t="s">
        <v>9130</v>
      </c>
      <c r="I3747" s="4" t="s">
        <v>9131</v>
      </c>
      <c r="J3747" s="4" t="s">
        <v>9132</v>
      </c>
      <c r="K3747" s="4" t="s">
        <v>9133</v>
      </c>
      <c r="L3747" s="4" t="s">
        <v>2339</v>
      </c>
      <c r="M3747" s="4" t="s">
        <v>2340</v>
      </c>
      <c r="N3747" s="4" t="s">
        <v>2341</v>
      </c>
      <c r="O3747" s="4" t="s">
        <v>9134</v>
      </c>
      <c r="P3747" s="4" t="s">
        <v>9135</v>
      </c>
      <c r="Q3747" s="4" t="s">
        <v>9136</v>
      </c>
      <c r="R3747" s="4" t="s">
        <v>9137</v>
      </c>
      <c r="S3747" s="4" t="s">
        <v>2339</v>
      </c>
      <c r="T3747" s="4" t="s">
        <v>9138</v>
      </c>
      <c r="U3747" s="4" t="s">
        <v>9139</v>
      </c>
      <c r="V3747" s="4" t="s">
        <v>9140</v>
      </c>
      <c r="W3747" s="4" t="s">
        <v>9135</v>
      </c>
      <c r="X3747" s="4" t="s">
        <v>9135</v>
      </c>
      <c r="Y3747" s="4" t="s">
        <v>9141</v>
      </c>
      <c r="Z3747" s="4" t="s">
        <v>9142</v>
      </c>
      <c r="AA3747" s="4" t="s">
        <v>9143</v>
      </c>
      <c r="AB3747" s="4" t="s">
        <v>2343</v>
      </c>
      <c r="AC3747" s="4" t="s">
        <v>2344</v>
      </c>
      <c r="AD3747" s="4" t="s">
        <v>2345</v>
      </c>
      <c r="AE3747" s="4" t="s">
        <v>9136</v>
      </c>
      <c r="AF3747" s="4" t="s">
        <v>2339</v>
      </c>
      <c r="AG3747" s="4" t="s">
        <v>2348</v>
      </c>
      <c r="AH3747" s="4" t="s">
        <v>9144</v>
      </c>
      <c r="AI3747" s="4" t="s">
        <v>9136</v>
      </c>
    </row>
    <row r="3748">
      <c r="A3748" s="4">
        <v>55.0</v>
      </c>
      <c r="B3748" s="4" t="s">
        <v>8930</v>
      </c>
      <c r="C3748" s="4"/>
      <c r="D3748" s="4" t="s">
        <v>2695</v>
      </c>
      <c r="E3748" s="4" t="s">
        <v>2696</v>
      </c>
      <c r="F3748" s="4" t="s">
        <v>2695</v>
      </c>
      <c r="G3748" s="5" t="str">
        <f>IFERROR(__xludf.DUMMYFUNCTION("GOOGLETRANSLATE(D3748,""eu"",""es"")"),"mía")</f>
        <v>mía</v>
      </c>
      <c r="H3748" s="4" t="s">
        <v>648</v>
      </c>
      <c r="I3748" s="4" t="s">
        <v>2697</v>
      </c>
      <c r="J3748" s="4" t="s">
        <v>2698</v>
      </c>
    </row>
    <row r="3749">
      <c r="A3749" s="4">
        <v>56.0</v>
      </c>
      <c r="B3749" s="4" t="s">
        <v>8930</v>
      </c>
      <c r="C3749" s="4"/>
      <c r="D3749" s="4" t="s">
        <v>2695</v>
      </c>
      <c r="E3749" s="4" t="s">
        <v>9145</v>
      </c>
      <c r="F3749" s="4" t="s">
        <v>9146</v>
      </c>
      <c r="G3749" s="5" t="str">
        <f>IFERROR(__xludf.DUMMYFUNCTION("GOOGLETRANSLATE(D3749,""eu"",""es"")"),"mía")</f>
        <v>mía</v>
      </c>
      <c r="H3749" s="4" t="s">
        <v>648</v>
      </c>
      <c r="I3749" s="4" t="s">
        <v>2697</v>
      </c>
      <c r="J3749" s="4" t="s">
        <v>2698</v>
      </c>
    </row>
    <row r="3750">
      <c r="A3750" s="4">
        <v>57.0</v>
      </c>
      <c r="B3750" s="4" t="s">
        <v>8930</v>
      </c>
      <c r="C3750" s="4"/>
      <c r="D3750" s="4" t="s">
        <v>9147</v>
      </c>
      <c r="E3750" s="4" t="s">
        <v>9148</v>
      </c>
      <c r="F3750" s="4" t="s">
        <v>9147</v>
      </c>
      <c r="G3750" s="5" t="str">
        <f>IFERROR(__xludf.DUMMYFUNCTION("GOOGLETRANSLATE(D3750,""eu"",""es"")"),"minado")</f>
        <v>minado</v>
      </c>
    </row>
    <row r="3751">
      <c r="A3751" s="4">
        <v>58.0</v>
      </c>
      <c r="B3751" s="4" t="s">
        <v>8930</v>
      </c>
      <c r="C3751" s="4"/>
      <c r="D3751" s="4" t="s">
        <v>9149</v>
      </c>
      <c r="E3751" s="4" t="s">
        <v>9150</v>
      </c>
      <c r="F3751" s="4" t="s">
        <v>9149</v>
      </c>
      <c r="G3751" s="5" t="str">
        <f>IFERROR(__xludf.DUMMYFUNCTION("GOOGLETRANSLATE(D3751,""eu"",""es"")"),"chico")</f>
        <v>chico</v>
      </c>
      <c r="H3751" s="4" t="s">
        <v>9151</v>
      </c>
      <c r="I3751" s="4" t="s">
        <v>9152</v>
      </c>
      <c r="J3751" s="4" t="s">
        <v>9153</v>
      </c>
      <c r="K3751" s="4" t="s">
        <v>9154</v>
      </c>
      <c r="L3751" s="4" t="s">
        <v>9155</v>
      </c>
      <c r="M3751" s="4" t="s">
        <v>9156</v>
      </c>
      <c r="N3751" s="4" t="s">
        <v>4845</v>
      </c>
      <c r="O3751" s="4" t="s">
        <v>9157</v>
      </c>
      <c r="P3751" s="4" t="s">
        <v>9158</v>
      </c>
      <c r="Q3751" s="4" t="s">
        <v>4711</v>
      </c>
      <c r="R3751" s="4" t="s">
        <v>4712</v>
      </c>
      <c r="S3751" s="4" t="s">
        <v>9159</v>
      </c>
    </row>
    <row r="3752">
      <c r="A3752" s="4">
        <v>59.0</v>
      </c>
      <c r="B3752" s="4" t="s">
        <v>8930</v>
      </c>
      <c r="C3752" s="4"/>
      <c r="D3752" s="4" t="s">
        <v>389</v>
      </c>
      <c r="E3752" s="4" t="s">
        <v>388</v>
      </c>
      <c r="F3752" s="4" t="s">
        <v>389</v>
      </c>
      <c r="G3752" s="5" t="str">
        <f>IFERROR(__xludf.DUMMYFUNCTION("GOOGLETRANSLATE(D3752,""eu"",""es"")"),"yo")</f>
        <v>yo</v>
      </c>
      <c r="H3752" s="4" t="s">
        <v>9160</v>
      </c>
      <c r="I3752" s="4" t="s">
        <v>9161</v>
      </c>
    </row>
    <row r="3753">
      <c r="A3753" s="4">
        <v>60.0</v>
      </c>
      <c r="B3753" s="4" t="s">
        <v>8930</v>
      </c>
      <c r="C3753" s="4"/>
      <c r="D3753" s="4" t="s">
        <v>6970</v>
      </c>
      <c r="E3753" s="4" t="s">
        <v>9162</v>
      </c>
      <c r="F3753" s="4" t="s">
        <v>6970</v>
      </c>
      <c r="G3753" s="5" t="str">
        <f>IFERROR(__xludf.DUMMYFUNCTION("GOOGLETRANSLATE(D3753,""eu"",""es"")"),"yo")</f>
        <v>yo</v>
      </c>
    </row>
    <row r="3754">
      <c r="A3754" s="4">
        <v>61.0</v>
      </c>
      <c r="B3754" s="4" t="s">
        <v>8930</v>
      </c>
      <c r="C3754" s="4"/>
      <c r="D3754" s="4" t="s">
        <v>9163</v>
      </c>
      <c r="E3754" s="4" t="s">
        <v>9164</v>
      </c>
      <c r="F3754" s="4" t="s">
        <v>9163</v>
      </c>
      <c r="G3754" s="5" t="str">
        <f>IFERROR(__xludf.DUMMYFUNCTION("GOOGLETRANSLATE(D3754,""eu"",""es"")"),"yo")</f>
        <v>yo</v>
      </c>
    </row>
    <row r="3755">
      <c r="A3755" s="4">
        <v>62.0</v>
      </c>
      <c r="B3755" s="4" t="s">
        <v>8930</v>
      </c>
      <c r="C3755" s="4"/>
      <c r="D3755" s="4" t="s">
        <v>3430</v>
      </c>
      <c r="E3755" s="4" t="s">
        <v>3431</v>
      </c>
      <c r="F3755" s="4" t="s">
        <v>3430</v>
      </c>
      <c r="G3755" s="5" t="str">
        <f>IFERROR(__xludf.DUMMYFUNCTION("GOOGLETRANSLATE(D3755,""eu"",""es"")"),"papa")</f>
        <v>papa</v>
      </c>
      <c r="H3755" s="4" t="s">
        <v>3436</v>
      </c>
      <c r="I3755" s="4" t="s">
        <v>3437</v>
      </c>
      <c r="J3755" s="4" t="s">
        <v>3438</v>
      </c>
      <c r="K3755" s="4" t="s">
        <v>3439</v>
      </c>
      <c r="L3755" s="4" t="s">
        <v>3440</v>
      </c>
      <c r="M3755" s="4" t="s">
        <v>3441</v>
      </c>
      <c r="N3755" s="4" t="s">
        <v>3436</v>
      </c>
      <c r="O3755" s="4" t="s">
        <v>3437</v>
      </c>
      <c r="P3755" s="4" t="s">
        <v>9165</v>
      </c>
      <c r="Q3755" s="4" t="s">
        <v>9166</v>
      </c>
    </row>
    <row r="3756">
      <c r="A3756" s="4">
        <v>63.0</v>
      </c>
      <c r="B3756" s="4" t="s">
        <v>8930</v>
      </c>
      <c r="C3756" s="4"/>
      <c r="D3756" s="4" t="s">
        <v>9167</v>
      </c>
      <c r="E3756" s="4" t="s">
        <v>9168</v>
      </c>
      <c r="F3756" s="4" t="s">
        <v>9167</v>
      </c>
      <c r="G3756" s="5" t="str">
        <f>IFERROR(__xludf.DUMMYFUNCTION("GOOGLETRANSLATE(D3756,""eu"",""es"")"),"pino")</f>
        <v>pino</v>
      </c>
      <c r="H3756" s="4" t="s">
        <v>3454</v>
      </c>
      <c r="I3756" s="4" t="s">
        <v>3455</v>
      </c>
      <c r="J3756" s="4" t="s">
        <v>3456</v>
      </c>
      <c r="K3756" s="4" t="s">
        <v>3454</v>
      </c>
    </row>
    <row r="3757">
      <c r="A3757" s="4">
        <v>64.0</v>
      </c>
      <c r="B3757" s="4" t="s">
        <v>8930</v>
      </c>
      <c r="C3757" s="4"/>
      <c r="D3757" s="4" t="s">
        <v>9167</v>
      </c>
      <c r="E3757" s="4" t="s">
        <v>9169</v>
      </c>
      <c r="F3757" s="4" t="s">
        <v>9170</v>
      </c>
      <c r="G3757" s="5" t="str">
        <f>IFERROR(__xludf.DUMMYFUNCTION("GOOGLETRANSLATE(D3757,""eu"",""es"")"),"pino")</f>
        <v>pino</v>
      </c>
      <c r="H3757" s="4" t="s">
        <v>3454</v>
      </c>
      <c r="I3757" s="4" t="s">
        <v>3455</v>
      </c>
      <c r="J3757" s="4" t="s">
        <v>3456</v>
      </c>
      <c r="K3757" s="4" t="s">
        <v>3454</v>
      </c>
    </row>
    <row r="3758">
      <c r="A3758" s="4">
        <v>65.0</v>
      </c>
      <c r="B3758" s="4" t="s">
        <v>8930</v>
      </c>
      <c r="C3758" s="4"/>
      <c r="D3758" s="4" t="s">
        <v>9171</v>
      </c>
      <c r="E3758" s="4" t="s">
        <v>9172</v>
      </c>
      <c r="F3758" s="4" t="s">
        <v>9171</v>
      </c>
      <c r="G3758" s="5" t="str">
        <f>IFERROR(__xludf.DUMMYFUNCTION("GOOGLETRANSLATE(D3758,""eu"",""es"")"),"Piraña")</f>
        <v>Piraña</v>
      </c>
      <c r="H3758" s="4" t="s">
        <v>9173</v>
      </c>
      <c r="I3758" s="4" t="s">
        <v>9174</v>
      </c>
      <c r="J3758" s="4" t="s">
        <v>9175</v>
      </c>
    </row>
    <row r="3759">
      <c r="A3759" s="4">
        <v>66.0</v>
      </c>
      <c r="B3759" s="4" t="s">
        <v>8930</v>
      </c>
      <c r="C3759" s="4"/>
      <c r="D3759" s="4" t="s">
        <v>9176</v>
      </c>
      <c r="E3759" s="4" t="s">
        <v>1581</v>
      </c>
      <c r="F3759" s="4" t="s">
        <v>1582</v>
      </c>
      <c r="G3759" s="5" t="str">
        <f>IFERROR(__xludf.DUMMYFUNCTION("GOOGLETRANSLATE(D3759,""eu"",""es"")"),"Q")</f>
        <v>Q</v>
      </c>
    </row>
    <row r="3760">
      <c r="A3760" s="4">
        <v>67.0</v>
      </c>
      <c r="B3760" s="4" t="s">
        <v>8930</v>
      </c>
      <c r="C3760" s="4"/>
      <c r="D3760" s="4" t="s">
        <v>9177</v>
      </c>
      <c r="E3760" s="4" t="s">
        <v>9178</v>
      </c>
      <c r="F3760" s="4" t="s">
        <v>9177</v>
      </c>
      <c r="G3760" s="5" t="str">
        <f>IFERROR(__xludf.DUMMYFUNCTION("GOOGLETRANSLATE(D3760,""eu"",""es"")"),"taratul")</f>
        <v>taratul</v>
      </c>
    </row>
    <row r="3761">
      <c r="A3761" s="4">
        <v>68.0</v>
      </c>
      <c r="B3761" s="4" t="s">
        <v>8930</v>
      </c>
      <c r="C3761" s="4"/>
      <c r="D3761" s="4" t="s">
        <v>9179</v>
      </c>
      <c r="E3761" s="4" t="s">
        <v>9180</v>
      </c>
      <c r="F3761" s="4" t="s">
        <v>9179</v>
      </c>
      <c r="G3761" s="5" t="str">
        <f>IFERROR(__xludf.DUMMYFUNCTION("GOOGLETRANSLATE(D3761,""eu"",""es"")"),"tatami")</f>
        <v>tatami</v>
      </c>
    </row>
    <row r="3762">
      <c r="A3762" s="4">
        <v>69.0</v>
      </c>
      <c r="B3762" s="4" t="s">
        <v>8930</v>
      </c>
      <c r="C3762" s="4"/>
      <c r="D3762" s="4" t="s">
        <v>9181</v>
      </c>
      <c r="E3762" s="4" t="s">
        <v>9182</v>
      </c>
      <c r="F3762" s="4" t="s">
        <v>9181</v>
      </c>
      <c r="G3762" s="5" t="str">
        <f>IFERROR(__xludf.DUMMYFUNCTION("GOOGLETRANSLATE(D3762,""eu"",""es"")"),"cebolla")</f>
        <v>cebolla</v>
      </c>
      <c r="H3762" s="4" t="s">
        <v>9183</v>
      </c>
      <c r="I3762" s="4" t="s">
        <v>9183</v>
      </c>
      <c r="J3762" s="4" t="s">
        <v>9184</v>
      </c>
      <c r="K3762" s="4" t="s">
        <v>9185</v>
      </c>
      <c r="L3762" s="4" t="s">
        <v>9183</v>
      </c>
    </row>
    <row r="3763">
      <c r="A3763" s="4">
        <v>70.0</v>
      </c>
      <c r="B3763" s="4" t="s">
        <v>8930</v>
      </c>
      <c r="C3763" s="4"/>
      <c r="D3763" s="4" t="s">
        <v>4481</v>
      </c>
      <c r="E3763" s="4" t="s">
        <v>4480</v>
      </c>
      <c r="F3763" s="4" t="s">
        <v>4481</v>
      </c>
      <c r="G3763" s="5" t="str">
        <f>IFERROR(__xludf.DUMMYFUNCTION("GOOGLETRANSLATE(D3763,""eu"",""es"")"),"la licenciatura")</f>
        <v>la licenciatura</v>
      </c>
      <c r="H3763" s="4" t="s">
        <v>4599</v>
      </c>
      <c r="I3763" s="4" t="s">
        <v>4600</v>
      </c>
      <c r="J3763" s="4" t="s">
        <v>4601</v>
      </c>
      <c r="K3763" s="4" t="s">
        <v>4599</v>
      </c>
      <c r="L3763" s="4" t="s">
        <v>4599</v>
      </c>
      <c r="M3763" s="4" t="s">
        <v>9186</v>
      </c>
      <c r="N3763" s="4" t="s">
        <v>9187</v>
      </c>
      <c r="O3763" s="4" t="s">
        <v>1209</v>
      </c>
      <c r="P3763" s="4" t="s">
        <v>4473</v>
      </c>
      <c r="Q3763" s="4" t="s">
        <v>4474</v>
      </c>
      <c r="R3763" s="4" t="s">
        <v>4602</v>
      </c>
      <c r="S3763" s="4" t="s">
        <v>4603</v>
      </c>
      <c r="T3763" s="4" t="s">
        <v>9188</v>
      </c>
      <c r="U3763" s="4" t="s">
        <v>3715</v>
      </c>
      <c r="V3763" s="4" t="s">
        <v>9189</v>
      </c>
      <c r="W3763" s="4" t="s">
        <v>9190</v>
      </c>
      <c r="X3763" s="4" t="s">
        <v>9191</v>
      </c>
      <c r="Y3763" s="4" t="s">
        <v>4599</v>
      </c>
    </row>
    <row r="3764">
      <c r="A3764" s="4">
        <v>71.0</v>
      </c>
      <c r="B3764" s="4" t="s">
        <v>8930</v>
      </c>
      <c r="C3764" s="4"/>
      <c r="D3764" s="4" t="s">
        <v>9192</v>
      </c>
      <c r="E3764" s="4" t="s">
        <v>9061</v>
      </c>
      <c r="F3764" s="4" t="s">
        <v>9062</v>
      </c>
      <c r="G3764" s="5" t="str">
        <f>IFERROR(__xludf.DUMMYFUNCTION("GOOGLETRANSLATE(D3764,""eu"",""es"")"),"X")</f>
        <v>X</v>
      </c>
      <c r="H3764" s="4" t="s">
        <v>9193</v>
      </c>
      <c r="I3764" s="4">
        <v>10.0</v>
      </c>
      <c r="J3764" s="4" t="s">
        <v>9194</v>
      </c>
      <c r="K3764" s="4" t="s">
        <v>9195</v>
      </c>
      <c r="L3764" s="4" t="s">
        <v>9196</v>
      </c>
    </row>
    <row r="3765">
      <c r="A3765" s="4">
        <v>1.0</v>
      </c>
      <c r="B3765" s="4" t="s">
        <v>9197</v>
      </c>
      <c r="C3765" s="4"/>
      <c r="D3765" s="4" t="s">
        <v>566</v>
      </c>
      <c r="E3765" s="4" t="s">
        <v>567</v>
      </c>
      <c r="F3765" s="4" t="s">
        <v>566</v>
      </c>
      <c r="G3765" s="5" t="str">
        <f>IFERROR(__xludf.DUMMYFUNCTION("GOOGLETRANSLATE(D3765,""eu"",""es"")"),"madre")</f>
        <v>madre</v>
      </c>
      <c r="H3765" s="4" t="s">
        <v>8940</v>
      </c>
      <c r="I3765" s="4" t="s">
        <v>8941</v>
      </c>
      <c r="J3765" s="4" t="s">
        <v>8941</v>
      </c>
      <c r="K3765" s="4" t="s">
        <v>8942</v>
      </c>
    </row>
    <row r="3766">
      <c r="A3766" s="4">
        <v>2.0</v>
      </c>
      <c r="B3766" s="4" t="s">
        <v>9197</v>
      </c>
      <c r="C3766" s="4"/>
      <c r="D3766" s="4" t="s">
        <v>5024</v>
      </c>
      <c r="E3766" s="4" t="s">
        <v>5023</v>
      </c>
      <c r="F3766" s="4" t="s">
        <v>5024</v>
      </c>
      <c r="G3766" s="5" t="str">
        <f>IFERROR(__xludf.DUMMYFUNCTION("GOOGLETRANSLATE(D3766,""eu"",""es"")"),"piña")</f>
        <v>piña</v>
      </c>
      <c r="H3766" s="4" t="s">
        <v>3546</v>
      </c>
      <c r="I3766" s="4" t="s">
        <v>3547</v>
      </c>
      <c r="J3766" s="4" t="s">
        <v>3548</v>
      </c>
      <c r="K3766" s="4" t="s">
        <v>3546</v>
      </c>
      <c r="L3766" s="4" t="s">
        <v>8943</v>
      </c>
      <c r="M3766" s="4" t="s">
        <v>8944</v>
      </c>
    </row>
    <row r="3767">
      <c r="A3767" s="4">
        <v>3.0</v>
      </c>
      <c r="B3767" s="4" t="s">
        <v>9197</v>
      </c>
      <c r="C3767" s="4"/>
      <c r="D3767" s="4" t="s">
        <v>8945</v>
      </c>
      <c r="E3767" s="4" t="s">
        <v>8946</v>
      </c>
      <c r="F3767" s="4" t="s">
        <v>8945</v>
      </c>
      <c r="G3767" s="5" t="str">
        <f>IFERROR(__xludf.DUMMYFUNCTION("GOOGLETRANSLATE(D3767,""eu"",""es"")"),"Abril")</f>
        <v>Abril</v>
      </c>
      <c r="H3767" s="4" t="s">
        <v>8947</v>
      </c>
      <c r="I3767" s="4" t="s">
        <v>8948</v>
      </c>
    </row>
    <row r="3768">
      <c r="A3768" s="4">
        <v>4.0</v>
      </c>
      <c r="B3768" s="4" t="s">
        <v>9197</v>
      </c>
      <c r="C3768" s="4"/>
      <c r="D3768" s="4" t="s">
        <v>8949</v>
      </c>
      <c r="E3768" s="4" t="s">
        <v>8950</v>
      </c>
      <c r="F3768" s="4" t="s">
        <v>8949</v>
      </c>
      <c r="G3768" s="5" t="str">
        <f>IFERROR(__xludf.DUMMYFUNCTION("GOOGLETRANSLATE(D3768,""eu"",""es"")"),"aramu")</f>
        <v>aramu</v>
      </c>
    </row>
    <row r="3769">
      <c r="A3769" s="4">
        <v>5.0</v>
      </c>
      <c r="B3769" s="4" t="s">
        <v>9197</v>
      </c>
      <c r="C3769" s="4"/>
      <c r="D3769" s="4" t="s">
        <v>1777</v>
      </c>
      <c r="E3769" s="4" t="s">
        <v>509</v>
      </c>
      <c r="F3769" s="4" t="s">
        <v>508</v>
      </c>
      <c r="G3769" s="5" t="str">
        <f>IFERROR(__xludf.DUMMYFUNCTION("GOOGLETRANSLATE(D3769,""eu"",""es"")"),"asi que")</f>
        <v>asi que</v>
      </c>
    </row>
    <row r="3770">
      <c r="A3770" s="4">
        <v>6.0</v>
      </c>
      <c r="B3770" s="4" t="s">
        <v>9197</v>
      </c>
      <c r="C3770" s="4"/>
      <c r="D3770" s="4" t="s">
        <v>8971</v>
      </c>
      <c r="E3770" s="4" t="s">
        <v>830</v>
      </c>
      <c r="F3770" s="4" t="s">
        <v>829</v>
      </c>
      <c r="G3770" s="5" t="str">
        <f>IFERROR(__xludf.DUMMYFUNCTION("GOOGLETRANSLATE(D3770,""eu"",""es"")"),"lino")</f>
        <v>lino</v>
      </c>
      <c r="H3770" s="4" t="s">
        <v>8972</v>
      </c>
      <c r="I3770" s="4" t="s">
        <v>8973</v>
      </c>
      <c r="J3770" s="4" t="s">
        <v>8974</v>
      </c>
      <c r="K3770" s="4" t="s">
        <v>8975</v>
      </c>
      <c r="L3770" s="4" t="s">
        <v>8976</v>
      </c>
      <c r="M3770" s="4" t="s">
        <v>8977</v>
      </c>
      <c r="N3770" s="4" t="s">
        <v>8978</v>
      </c>
      <c r="O3770" s="4" t="s">
        <v>8979</v>
      </c>
      <c r="P3770" s="4" t="s">
        <v>8975</v>
      </c>
    </row>
    <row r="3771">
      <c r="A3771" s="4">
        <v>7.0</v>
      </c>
      <c r="B3771" s="4" t="s">
        <v>9197</v>
      </c>
      <c r="C3771" s="4"/>
      <c r="D3771" s="4" t="s">
        <v>6209</v>
      </c>
      <c r="E3771" s="4" t="s">
        <v>8295</v>
      </c>
      <c r="F3771" s="4" t="s">
        <v>6328</v>
      </c>
      <c r="G3771" s="5" t="str">
        <f>IFERROR(__xludf.DUMMYFUNCTION("GOOGLETRANSLATE(D3771,""eu"",""es"")"),"quién")</f>
        <v>quién</v>
      </c>
    </row>
    <row r="3772">
      <c r="A3772" s="4">
        <v>8.0</v>
      </c>
      <c r="B3772" s="4" t="s">
        <v>9197</v>
      </c>
      <c r="C3772" s="4"/>
      <c r="D3772" s="4" t="s">
        <v>6188</v>
      </c>
      <c r="E3772" s="4" t="s">
        <v>9010</v>
      </c>
      <c r="F3772" s="4" t="s">
        <v>6341</v>
      </c>
      <c r="G3772" s="5" t="str">
        <f>IFERROR(__xludf.DUMMYFUNCTION("GOOGLETRANSLATE(D3772,""eu"",""es"")"),"morir")</f>
        <v>morir</v>
      </c>
      <c r="H3772" s="4" t="s">
        <v>2756</v>
      </c>
      <c r="I3772" s="4" t="s">
        <v>2569</v>
      </c>
      <c r="J3772" s="4" t="s">
        <v>2570</v>
      </c>
      <c r="K3772" s="4" t="s">
        <v>2756</v>
      </c>
      <c r="L3772" s="4" t="s">
        <v>2762</v>
      </c>
      <c r="M3772" s="4" t="s">
        <v>2763</v>
      </c>
      <c r="N3772" s="4" t="s">
        <v>637</v>
      </c>
      <c r="O3772" s="4" t="s">
        <v>2764</v>
      </c>
      <c r="P3772" s="4" t="s">
        <v>2765</v>
      </c>
      <c r="Q3772" s="4" t="s">
        <v>2766</v>
      </c>
      <c r="R3772" s="4" t="s">
        <v>647</v>
      </c>
      <c r="S3772" s="4" t="s">
        <v>2767</v>
      </c>
      <c r="T3772" s="4" t="s">
        <v>2768</v>
      </c>
      <c r="U3772" s="4" t="s">
        <v>2769</v>
      </c>
      <c r="V3772" s="4" t="s">
        <v>2770</v>
      </c>
      <c r="W3772" s="4" t="s">
        <v>2771</v>
      </c>
      <c r="X3772" s="4" t="s">
        <v>2772</v>
      </c>
      <c r="Y3772" s="4" t="s">
        <v>2773</v>
      </c>
      <c r="Z3772" s="4" t="s">
        <v>2774</v>
      </c>
      <c r="AA3772" s="4" t="s">
        <v>2775</v>
      </c>
      <c r="AB3772" s="4" t="s">
        <v>2776</v>
      </c>
      <c r="AC3772" s="4" t="s">
        <v>8983</v>
      </c>
      <c r="AD3772" s="4" t="s">
        <v>2568</v>
      </c>
      <c r="AE3772" s="4" t="s">
        <v>2570</v>
      </c>
      <c r="AF3772" s="4" t="s">
        <v>8984</v>
      </c>
      <c r="AG3772" s="4" t="s">
        <v>8985</v>
      </c>
      <c r="AH3772" s="4" t="s">
        <v>8986</v>
      </c>
      <c r="AI3772" s="4" t="s">
        <v>8987</v>
      </c>
      <c r="AJ3772" s="4" t="s">
        <v>6297</v>
      </c>
      <c r="AK3772" s="4" t="s">
        <v>8988</v>
      </c>
      <c r="AL3772" s="4" t="s">
        <v>8989</v>
      </c>
      <c r="AM3772" s="4" t="s">
        <v>8407</v>
      </c>
      <c r="AN3772" s="4" t="s">
        <v>8990</v>
      </c>
      <c r="AO3772" s="4" t="s">
        <v>8991</v>
      </c>
      <c r="AP3772" s="4" t="s">
        <v>8992</v>
      </c>
      <c r="AQ3772" s="4" t="s">
        <v>854</v>
      </c>
      <c r="AR3772" s="4" t="s">
        <v>855</v>
      </c>
      <c r="AS3772" s="4" t="s">
        <v>856</v>
      </c>
      <c r="AT3772" s="4" t="s">
        <v>857</v>
      </c>
      <c r="AU3772" s="4" t="s">
        <v>858</v>
      </c>
      <c r="AV3772" s="4" t="s">
        <v>859</v>
      </c>
      <c r="AW3772" s="4" t="s">
        <v>860</v>
      </c>
      <c r="AX3772" s="4" t="s">
        <v>538</v>
      </c>
      <c r="AY3772" s="4" t="s">
        <v>861</v>
      </c>
      <c r="AZ3772" s="4" t="s">
        <v>8993</v>
      </c>
      <c r="BA3772" s="4" t="s">
        <v>8994</v>
      </c>
      <c r="BB3772" s="4" t="s">
        <v>8993</v>
      </c>
      <c r="BC3772" s="4" t="s">
        <v>8995</v>
      </c>
      <c r="BD3772" s="4" t="s">
        <v>8996</v>
      </c>
      <c r="BE3772" s="4" t="s">
        <v>8997</v>
      </c>
      <c r="BF3772" s="4" t="s">
        <v>8998</v>
      </c>
      <c r="BG3772" s="4" t="s">
        <v>8999</v>
      </c>
      <c r="BH3772" s="4" t="s">
        <v>9000</v>
      </c>
      <c r="BI3772" s="4" t="s">
        <v>2762</v>
      </c>
      <c r="BJ3772" s="4" t="s">
        <v>9001</v>
      </c>
      <c r="BK3772" s="4" t="s">
        <v>9002</v>
      </c>
      <c r="BL3772" s="4" t="s">
        <v>9003</v>
      </c>
      <c r="BM3772" s="4" t="s">
        <v>9004</v>
      </c>
      <c r="BN3772" s="4" t="s">
        <v>9005</v>
      </c>
      <c r="BO3772" s="4" t="s">
        <v>9006</v>
      </c>
      <c r="BP3772" s="4" t="s">
        <v>9007</v>
      </c>
      <c r="BQ3772" s="4" t="s">
        <v>9008</v>
      </c>
      <c r="BR3772" s="4" t="s">
        <v>9009</v>
      </c>
    </row>
    <row r="3773">
      <c r="A3773" s="4">
        <v>9.0</v>
      </c>
      <c r="B3773" s="4" t="s">
        <v>9197</v>
      </c>
      <c r="C3773" s="4"/>
      <c r="D3773" s="4" t="s">
        <v>9011</v>
      </c>
      <c r="E3773" s="4" t="s">
        <v>9013</v>
      </c>
      <c r="F3773" s="4" t="s">
        <v>9014</v>
      </c>
      <c r="G3773" s="5" t="str">
        <f>IFERROR(__xludf.DUMMYFUNCTION("GOOGLETRANSLATE(D3773,""eu"",""es"")"),"ciudad")</f>
        <v>ciudad</v>
      </c>
      <c r="H3773" s="4" t="s">
        <v>6068</v>
      </c>
      <c r="I3773" s="4" t="s">
        <v>6070</v>
      </c>
      <c r="J3773" s="4" t="s">
        <v>6068</v>
      </c>
      <c r="K3773" s="4" t="s">
        <v>6070</v>
      </c>
      <c r="L3773" s="4" t="s">
        <v>6071</v>
      </c>
    </row>
    <row r="3774">
      <c r="A3774" s="4">
        <v>10.0</v>
      </c>
      <c r="B3774" s="4" t="s">
        <v>9197</v>
      </c>
      <c r="C3774" s="4"/>
      <c r="D3774" s="4" t="s">
        <v>9015</v>
      </c>
      <c r="E3774" s="4" t="s">
        <v>9034</v>
      </c>
      <c r="F3774" s="4" t="s">
        <v>9035</v>
      </c>
      <c r="G3774" s="5" t="str">
        <f>IFERROR(__xludf.DUMMYFUNCTION("GOOGLETRANSLATE(D3774,""eu"",""es"")"),"Tres")</f>
        <v>Tres</v>
      </c>
      <c r="H3774" s="4" t="s">
        <v>9017</v>
      </c>
      <c r="I3774" s="4">
        <v>3.0</v>
      </c>
      <c r="J3774" s="4" t="s">
        <v>9018</v>
      </c>
      <c r="K3774" s="4" t="s">
        <v>9019</v>
      </c>
      <c r="L3774" s="4" t="s">
        <v>9020</v>
      </c>
      <c r="M3774" s="4" t="s">
        <v>9021</v>
      </c>
      <c r="N3774" s="4" t="s">
        <v>9022</v>
      </c>
      <c r="O3774" s="4" t="s">
        <v>9023</v>
      </c>
      <c r="P3774" s="4" t="s">
        <v>9024</v>
      </c>
      <c r="Q3774" s="4" t="s">
        <v>9025</v>
      </c>
      <c r="R3774" s="4" t="s">
        <v>9026</v>
      </c>
      <c r="S3774" s="4" t="s">
        <v>9027</v>
      </c>
      <c r="T3774" s="4" t="s">
        <v>9028</v>
      </c>
      <c r="U3774" s="4" t="s">
        <v>9029</v>
      </c>
      <c r="V3774" s="4" t="s">
        <v>9030</v>
      </c>
      <c r="W3774" s="4" t="s">
        <v>9031</v>
      </c>
      <c r="X3774" s="4" t="s">
        <v>9032</v>
      </c>
      <c r="Y3774" s="4" t="s">
        <v>9033</v>
      </c>
    </row>
    <row r="3775">
      <c r="A3775" s="4">
        <v>11.0</v>
      </c>
      <c r="B3775" s="4" t="s">
        <v>9197</v>
      </c>
      <c r="C3775" s="4"/>
      <c r="D3775" s="4" t="s">
        <v>9038</v>
      </c>
      <c r="E3775" s="4" t="s">
        <v>3142</v>
      </c>
      <c r="F3775" s="4" t="s">
        <v>3143</v>
      </c>
      <c r="G3775" s="5" t="str">
        <f>IFERROR(__xludf.DUMMYFUNCTION("GOOGLETRANSLATE(D3775,""eu"",""es"")"),"él")</f>
        <v>él</v>
      </c>
    </row>
    <row r="3776">
      <c r="A3776" s="4">
        <v>12.0</v>
      </c>
      <c r="B3776" s="4" t="s">
        <v>9197</v>
      </c>
      <c r="C3776" s="4"/>
      <c r="D3776" s="4" t="s">
        <v>9058</v>
      </c>
      <c r="E3776" s="4" t="s">
        <v>9059</v>
      </c>
      <c r="F3776" s="4" t="s">
        <v>9058</v>
      </c>
      <c r="G3776" s="5" t="str">
        <f>IFERROR(__xludf.DUMMYFUNCTION("GOOGLETRANSLATE(D3776,""eu"",""es"")"),"Pamplona")</f>
        <v>Pamplona</v>
      </c>
    </row>
    <row r="3777">
      <c r="A3777" s="4">
        <v>13.0</v>
      </c>
      <c r="B3777" s="4" t="s">
        <v>9197</v>
      </c>
      <c r="C3777" s="4"/>
      <c r="D3777" s="4" t="s">
        <v>9060</v>
      </c>
      <c r="E3777" s="4" t="s">
        <v>9061</v>
      </c>
      <c r="F3777" s="4" t="s">
        <v>9062</v>
      </c>
      <c r="G3777" s="5" t="str">
        <f>IFERROR(__xludf.DUMMYFUNCTION("GOOGLETRANSLATE(D3777,""eu"",""es"")"),"dios")</f>
        <v>dios</v>
      </c>
    </row>
    <row r="3778">
      <c r="A3778" s="4">
        <v>14.0</v>
      </c>
      <c r="B3778" s="4" t="s">
        <v>9197</v>
      </c>
      <c r="C3778" s="4"/>
      <c r="D3778" s="4" t="s">
        <v>9063</v>
      </c>
      <c r="E3778" s="4" t="s">
        <v>9064</v>
      </c>
      <c r="F3778" s="4" t="s">
        <v>9065</v>
      </c>
      <c r="G3778" s="5" t="str">
        <f>IFERROR(__xludf.DUMMYFUNCTION("GOOGLETRANSLATE(D3778,""eu"",""es"")"),"chaqueta")</f>
        <v>chaqueta</v>
      </c>
      <c r="H3778" s="4" t="s">
        <v>9066</v>
      </c>
      <c r="I3778" s="4" t="s">
        <v>9067</v>
      </c>
      <c r="J3778" s="4" t="s">
        <v>9068</v>
      </c>
      <c r="K3778" s="4" t="s">
        <v>9069</v>
      </c>
      <c r="L3778" s="4" t="s">
        <v>9070</v>
      </c>
      <c r="M3778" s="4" t="s">
        <v>9071</v>
      </c>
      <c r="N3778" s="4" t="s">
        <v>5981</v>
      </c>
      <c r="O3778" s="4" t="s">
        <v>1785</v>
      </c>
      <c r="P3778" s="4" t="s">
        <v>7368</v>
      </c>
    </row>
    <row r="3779">
      <c r="A3779" s="4">
        <v>15.0</v>
      </c>
      <c r="B3779" s="4" t="s">
        <v>9197</v>
      </c>
      <c r="C3779" s="4"/>
      <c r="D3779" s="4" t="s">
        <v>9063</v>
      </c>
      <c r="E3779" s="4" t="s">
        <v>9072</v>
      </c>
      <c r="F3779" s="4" t="s">
        <v>9073</v>
      </c>
      <c r="G3779" s="5" t="str">
        <f>IFERROR(__xludf.DUMMYFUNCTION("GOOGLETRANSLATE(D3779,""eu"",""es"")"),"chaqueta")</f>
        <v>chaqueta</v>
      </c>
      <c r="H3779" s="4" t="s">
        <v>9066</v>
      </c>
      <c r="I3779" s="4" t="s">
        <v>9067</v>
      </c>
      <c r="J3779" s="4" t="s">
        <v>9068</v>
      </c>
      <c r="K3779" s="4" t="s">
        <v>9069</v>
      </c>
      <c r="L3779" s="4" t="s">
        <v>9070</v>
      </c>
      <c r="M3779" s="4" t="s">
        <v>9071</v>
      </c>
      <c r="N3779" s="4" t="s">
        <v>5981</v>
      </c>
      <c r="O3779" s="4" t="s">
        <v>1785</v>
      </c>
      <c r="P3779" s="4" t="s">
        <v>7368</v>
      </c>
    </row>
    <row r="3780">
      <c r="A3780" s="4">
        <v>16.0</v>
      </c>
      <c r="B3780" s="4" t="s">
        <v>9197</v>
      </c>
      <c r="C3780" s="4"/>
      <c r="D3780" s="4" t="s">
        <v>9074</v>
      </c>
      <c r="E3780" s="4" t="s">
        <v>9075</v>
      </c>
      <c r="F3780" s="4" t="s">
        <v>9076</v>
      </c>
      <c r="G3780" s="5" t="str">
        <f>IFERROR(__xludf.DUMMYFUNCTION("GOOGLETRANSLATE(D3780,""eu"",""es"")"),"gente")</f>
        <v>gente</v>
      </c>
    </row>
    <row r="3781">
      <c r="A3781" s="4">
        <v>17.0</v>
      </c>
      <c r="B3781" s="4" t="s">
        <v>9197</v>
      </c>
      <c r="C3781" s="4"/>
      <c r="D3781" s="4" t="s">
        <v>9074</v>
      </c>
      <c r="E3781" s="4" t="s">
        <v>9077</v>
      </c>
      <c r="F3781" s="4" t="s">
        <v>9078</v>
      </c>
      <c r="G3781" s="5" t="str">
        <f>IFERROR(__xludf.DUMMYFUNCTION("GOOGLETRANSLATE(D3781,""eu"",""es"")"),"gente")</f>
        <v>gente</v>
      </c>
    </row>
    <row r="3782">
      <c r="A3782" s="4">
        <v>18.0</v>
      </c>
      <c r="B3782" s="4" t="s">
        <v>9197</v>
      </c>
      <c r="C3782" s="4"/>
      <c r="D3782" s="4" t="s">
        <v>6386</v>
      </c>
      <c r="E3782" s="4" t="s">
        <v>9088</v>
      </c>
      <c r="F3782" s="4" t="s">
        <v>6388</v>
      </c>
      <c r="G3782" s="5" t="str">
        <f>IFERROR(__xludf.DUMMYFUNCTION("GOOGLETRANSLATE(D3782,""eu"",""es"")"),"comer")</f>
        <v>comer</v>
      </c>
      <c r="H3782" s="4" t="s">
        <v>9089</v>
      </c>
      <c r="I3782" s="4" t="s">
        <v>9090</v>
      </c>
      <c r="J3782" s="4" t="s">
        <v>9091</v>
      </c>
      <c r="K3782" s="4" t="s">
        <v>9092</v>
      </c>
      <c r="L3782" s="4" t="s">
        <v>9093</v>
      </c>
      <c r="M3782" s="4" t="s">
        <v>9092</v>
      </c>
      <c r="N3782" s="4" t="s">
        <v>9092</v>
      </c>
      <c r="O3782" s="4" t="s">
        <v>2412</v>
      </c>
      <c r="P3782" s="4" t="s">
        <v>9092</v>
      </c>
      <c r="Q3782" s="4" t="s">
        <v>9094</v>
      </c>
      <c r="R3782" s="4" t="s">
        <v>3624</v>
      </c>
      <c r="S3782" s="4" t="s">
        <v>7930</v>
      </c>
      <c r="T3782" s="4" t="s">
        <v>7118</v>
      </c>
      <c r="U3782" s="4" t="s">
        <v>9095</v>
      </c>
      <c r="V3782" s="4" t="s">
        <v>1001</v>
      </c>
      <c r="W3782" s="4" t="s">
        <v>9096</v>
      </c>
      <c r="X3782" s="4" t="s">
        <v>9097</v>
      </c>
    </row>
    <row r="3783">
      <c r="A3783" s="4">
        <v>19.0</v>
      </c>
      <c r="B3783" s="4" t="s">
        <v>9197</v>
      </c>
      <c r="C3783" s="4"/>
      <c r="D3783" s="4" t="s">
        <v>6386</v>
      </c>
      <c r="E3783" s="4" t="s">
        <v>9098</v>
      </c>
      <c r="F3783" s="4" t="s">
        <v>1122</v>
      </c>
      <c r="G3783" s="5" t="str">
        <f>IFERROR(__xludf.DUMMYFUNCTION("GOOGLETRANSLATE(D3783,""eu"",""es"")"),"comer")</f>
        <v>comer</v>
      </c>
      <c r="H3783" s="4" t="s">
        <v>9089</v>
      </c>
      <c r="I3783" s="4" t="s">
        <v>9090</v>
      </c>
      <c r="J3783" s="4" t="s">
        <v>9091</v>
      </c>
      <c r="K3783" s="4" t="s">
        <v>9092</v>
      </c>
      <c r="L3783" s="4" t="s">
        <v>9093</v>
      </c>
      <c r="M3783" s="4" t="s">
        <v>9092</v>
      </c>
      <c r="N3783" s="4" t="s">
        <v>9092</v>
      </c>
      <c r="O3783" s="4" t="s">
        <v>2412</v>
      </c>
      <c r="P3783" s="4" t="s">
        <v>9092</v>
      </c>
      <c r="Q3783" s="4" t="s">
        <v>9094</v>
      </c>
      <c r="R3783" s="4" t="s">
        <v>3624</v>
      </c>
      <c r="S3783" s="4" t="s">
        <v>7930</v>
      </c>
      <c r="T3783" s="4" t="s">
        <v>7118</v>
      </c>
      <c r="U3783" s="4" t="s">
        <v>9095</v>
      </c>
      <c r="V3783" s="4" t="s">
        <v>1001</v>
      </c>
      <c r="W3783" s="4" t="s">
        <v>9096</v>
      </c>
      <c r="X3783" s="4" t="s">
        <v>9097</v>
      </c>
    </row>
    <row r="3784">
      <c r="A3784" s="4">
        <v>20.0</v>
      </c>
      <c r="B3784" s="4" t="s">
        <v>9197</v>
      </c>
      <c r="C3784" s="4"/>
      <c r="D3784" s="4" t="s">
        <v>9099</v>
      </c>
      <c r="E3784" s="4" t="s">
        <v>9100</v>
      </c>
      <c r="F3784" s="4" t="s">
        <v>9101</v>
      </c>
      <c r="G3784" s="5" t="str">
        <f>IFERROR(__xludf.DUMMYFUNCTION("GOOGLETRANSLATE(D3784,""eu"",""es"")"),"alimento")</f>
        <v>alimento</v>
      </c>
      <c r="H3784" s="4" t="s">
        <v>9089</v>
      </c>
      <c r="I3784" s="4" t="s">
        <v>9090</v>
      </c>
      <c r="J3784" s="4" t="s">
        <v>9096</v>
      </c>
      <c r="K3784" s="4" t="s">
        <v>9097</v>
      </c>
    </row>
    <row r="3785">
      <c r="A3785" s="4">
        <v>21.0</v>
      </c>
      <c r="B3785" s="4" t="s">
        <v>9197</v>
      </c>
      <c r="C3785" s="4"/>
      <c r="D3785" s="4" t="s">
        <v>9099</v>
      </c>
      <c r="E3785" s="4" t="s">
        <v>9102</v>
      </c>
      <c r="F3785" s="4" t="s">
        <v>1167</v>
      </c>
      <c r="G3785" s="5" t="str">
        <f>IFERROR(__xludf.DUMMYFUNCTION("GOOGLETRANSLATE(D3785,""eu"",""es"")"),"alimento")</f>
        <v>alimento</v>
      </c>
      <c r="H3785" s="4" t="s">
        <v>9089</v>
      </c>
      <c r="I3785" s="4" t="s">
        <v>9090</v>
      </c>
      <c r="J3785" s="4" t="s">
        <v>9096</v>
      </c>
      <c r="K3785" s="4" t="s">
        <v>9097</v>
      </c>
    </row>
    <row r="3786">
      <c r="A3786" s="4">
        <v>22.0</v>
      </c>
      <c r="B3786" s="4" t="s">
        <v>9197</v>
      </c>
      <c r="C3786" s="4"/>
      <c r="D3786" s="4" t="s">
        <v>2627</v>
      </c>
      <c r="E3786" s="4" t="s">
        <v>961</v>
      </c>
      <c r="F3786" s="4" t="s">
        <v>962</v>
      </c>
      <c r="G3786" s="5" t="str">
        <f>IFERROR(__xludf.DUMMYFUNCTION("GOOGLETRANSLATE(D3786,""eu"",""es"")"),"k")</f>
        <v>k</v>
      </c>
    </row>
    <row r="3787">
      <c r="A3787" s="4">
        <v>23.0</v>
      </c>
      <c r="B3787" s="4" t="s">
        <v>9197</v>
      </c>
      <c r="C3787" s="4"/>
      <c r="D3787" s="4" t="s">
        <v>962</v>
      </c>
      <c r="E3787" s="4" t="s">
        <v>961</v>
      </c>
      <c r="F3787" s="4" t="s">
        <v>962</v>
      </c>
      <c r="G3787" s="5" t="str">
        <f>IFERROR(__xludf.DUMMYFUNCTION("GOOGLETRANSLATE(D3787,""eu"",""es"")"),"un ka")</f>
        <v>un ka</v>
      </c>
    </row>
    <row r="3788">
      <c r="A3788" s="4">
        <v>24.0</v>
      </c>
      <c r="B3788" s="4" t="s">
        <v>9197</v>
      </c>
      <c r="C3788" s="4"/>
      <c r="D3788" s="4" t="s">
        <v>1582</v>
      </c>
      <c r="E3788" s="4" t="s">
        <v>1581</v>
      </c>
      <c r="F3788" s="4" t="s">
        <v>1582</v>
      </c>
      <c r="G3788" s="5" t="str">
        <f>IFERROR(__xludf.DUMMYFUNCTION("GOOGLETRANSLATE(D3788,""eu"",""es"")"),"ku")</f>
        <v>ku</v>
      </c>
    </row>
    <row r="3789">
      <c r="A3789" s="4">
        <v>25.0</v>
      </c>
      <c r="B3789" s="4" t="s">
        <v>9197</v>
      </c>
      <c r="C3789" s="4"/>
      <c r="D3789" s="4" t="s">
        <v>9114</v>
      </c>
      <c r="E3789" s="4" t="s">
        <v>9115</v>
      </c>
      <c r="F3789" s="4" t="s">
        <v>9114</v>
      </c>
      <c r="G3789" s="5" t="str">
        <f>IFERROR(__xludf.DUMMYFUNCTION("GOOGLETRANSLATE(D3789,""eu"",""es"")"),"estiércol")</f>
        <v>estiércol</v>
      </c>
      <c r="H3789" s="4" t="s">
        <v>9116</v>
      </c>
      <c r="I3789" s="4" t="s">
        <v>9117</v>
      </c>
      <c r="J3789" s="4" t="s">
        <v>9118</v>
      </c>
    </row>
    <row r="3790">
      <c r="A3790" s="4">
        <v>26.0</v>
      </c>
      <c r="B3790" s="4" t="s">
        <v>9197</v>
      </c>
      <c r="C3790" s="4"/>
      <c r="D3790" s="4" t="s">
        <v>9119</v>
      </c>
      <c r="E3790" s="4" t="s">
        <v>9120</v>
      </c>
      <c r="F3790" s="4" t="s">
        <v>9119</v>
      </c>
      <c r="G3790" s="5" t="str">
        <f>IFERROR(__xludf.DUMMYFUNCTION("GOOGLETRANSLATE(D3790,""eu"",""es"")"),"Lari")</f>
        <v>Lari</v>
      </c>
    </row>
    <row r="3791">
      <c r="A3791" s="4">
        <v>27.0</v>
      </c>
      <c r="B3791" s="4" t="s">
        <v>9197</v>
      </c>
      <c r="C3791" s="4"/>
      <c r="D3791" s="4" t="s">
        <v>2458</v>
      </c>
      <c r="E3791" s="4" t="s">
        <v>2459</v>
      </c>
      <c r="F3791" s="4" t="s">
        <v>2458</v>
      </c>
      <c r="G3791" s="5" t="str">
        <f>IFERROR(__xludf.DUMMYFUNCTION("GOOGLETRANSLATE(D3791,""eu"",""es"")"),"cuadro")</f>
        <v>cuadro</v>
      </c>
      <c r="H3791" s="4" t="s">
        <v>2460</v>
      </c>
    </row>
    <row r="3792">
      <c r="A3792" s="4">
        <v>28.0</v>
      </c>
      <c r="B3792" s="4" t="s">
        <v>9197</v>
      </c>
      <c r="C3792" s="4"/>
      <c r="D3792" s="4" t="s">
        <v>2695</v>
      </c>
      <c r="E3792" s="4" t="s">
        <v>2696</v>
      </c>
      <c r="F3792" s="4" t="s">
        <v>2695</v>
      </c>
      <c r="G3792" s="5" t="str">
        <f>IFERROR(__xludf.DUMMYFUNCTION("GOOGLETRANSLATE(D3792,""eu"",""es"")"),"mía")</f>
        <v>mía</v>
      </c>
      <c r="H3792" s="4" t="s">
        <v>648</v>
      </c>
      <c r="I3792" s="4" t="s">
        <v>2697</v>
      </c>
      <c r="J3792" s="4" t="s">
        <v>2698</v>
      </c>
    </row>
    <row r="3793">
      <c r="A3793" s="4">
        <v>29.0</v>
      </c>
      <c r="B3793" s="4" t="s">
        <v>9197</v>
      </c>
      <c r="C3793" s="4"/>
      <c r="D3793" s="4" t="s">
        <v>2695</v>
      </c>
      <c r="E3793" s="4" t="s">
        <v>9145</v>
      </c>
      <c r="F3793" s="4" t="s">
        <v>9146</v>
      </c>
      <c r="G3793" s="5" t="str">
        <f>IFERROR(__xludf.DUMMYFUNCTION("GOOGLETRANSLATE(D3793,""eu"",""es"")"),"mía")</f>
        <v>mía</v>
      </c>
      <c r="H3793" s="4" t="s">
        <v>648</v>
      </c>
      <c r="I3793" s="4" t="s">
        <v>2697</v>
      </c>
      <c r="J3793" s="4" t="s">
        <v>2698</v>
      </c>
    </row>
    <row r="3794">
      <c r="A3794" s="4">
        <v>30.0</v>
      </c>
      <c r="B3794" s="4" t="s">
        <v>9197</v>
      </c>
      <c r="C3794" s="4"/>
      <c r="D3794" s="4" t="s">
        <v>389</v>
      </c>
      <c r="E3794" s="4" t="s">
        <v>388</v>
      </c>
      <c r="F3794" s="4" t="s">
        <v>389</v>
      </c>
      <c r="G3794" s="5" t="str">
        <f>IFERROR(__xludf.DUMMYFUNCTION("GOOGLETRANSLATE(D3794,""eu"",""es"")"),"yo")</f>
        <v>yo</v>
      </c>
      <c r="H3794" s="4" t="s">
        <v>9160</v>
      </c>
      <c r="I3794" s="4" t="s">
        <v>9161</v>
      </c>
    </row>
    <row r="3795">
      <c r="A3795" s="4">
        <v>31.0</v>
      </c>
      <c r="B3795" s="4" t="s">
        <v>9197</v>
      </c>
      <c r="C3795" s="4"/>
      <c r="D3795" s="4" t="s">
        <v>6970</v>
      </c>
      <c r="E3795" s="4" t="s">
        <v>9162</v>
      </c>
      <c r="F3795" s="4" t="s">
        <v>6970</v>
      </c>
      <c r="G3795" s="5" t="str">
        <f>IFERROR(__xludf.DUMMYFUNCTION("GOOGLETRANSLATE(D3795,""eu"",""es"")"),"yo")</f>
        <v>yo</v>
      </c>
    </row>
    <row r="3796">
      <c r="A3796" s="4">
        <v>32.0</v>
      </c>
      <c r="B3796" s="4" t="s">
        <v>9197</v>
      </c>
      <c r="C3796" s="4"/>
      <c r="D3796" s="4" t="s">
        <v>9167</v>
      </c>
      <c r="E3796" s="4" t="s">
        <v>9168</v>
      </c>
      <c r="F3796" s="4" t="s">
        <v>9167</v>
      </c>
      <c r="G3796" s="5" t="str">
        <f>IFERROR(__xludf.DUMMYFUNCTION("GOOGLETRANSLATE(D3796,""eu"",""es"")"),"pino")</f>
        <v>pino</v>
      </c>
      <c r="H3796" s="4" t="s">
        <v>3454</v>
      </c>
      <c r="I3796" s="4" t="s">
        <v>3455</v>
      </c>
      <c r="J3796" s="4" t="s">
        <v>3456</v>
      </c>
      <c r="K3796" s="4" t="s">
        <v>3454</v>
      </c>
    </row>
    <row r="3797">
      <c r="A3797" s="4">
        <v>33.0</v>
      </c>
      <c r="B3797" s="4" t="s">
        <v>9197</v>
      </c>
      <c r="C3797" s="4"/>
      <c r="D3797" s="4" t="s">
        <v>9167</v>
      </c>
      <c r="E3797" s="4" t="s">
        <v>9169</v>
      </c>
      <c r="F3797" s="4" t="s">
        <v>9170</v>
      </c>
      <c r="G3797" s="5" t="str">
        <f>IFERROR(__xludf.DUMMYFUNCTION("GOOGLETRANSLATE(D3797,""eu"",""es"")"),"pino")</f>
        <v>pino</v>
      </c>
      <c r="H3797" s="4" t="s">
        <v>3454</v>
      </c>
      <c r="I3797" s="4" t="s">
        <v>3455</v>
      </c>
      <c r="J3797" s="4" t="s">
        <v>3456</v>
      </c>
      <c r="K3797" s="4" t="s">
        <v>3454</v>
      </c>
    </row>
    <row r="3798">
      <c r="A3798" s="4">
        <v>34.0</v>
      </c>
      <c r="B3798" s="4" t="s">
        <v>9197</v>
      </c>
      <c r="C3798" s="4"/>
      <c r="D3798" s="4" t="s">
        <v>9171</v>
      </c>
      <c r="E3798" s="4" t="s">
        <v>9172</v>
      </c>
      <c r="F3798" s="4" t="s">
        <v>9171</v>
      </c>
      <c r="G3798" s="5" t="str">
        <f>IFERROR(__xludf.DUMMYFUNCTION("GOOGLETRANSLATE(D3798,""eu"",""es"")"),"Piraña")</f>
        <v>Piraña</v>
      </c>
      <c r="H3798" s="4" t="s">
        <v>9173</v>
      </c>
      <c r="I3798" s="4" t="s">
        <v>9174</v>
      </c>
      <c r="J3798" s="4" t="s">
        <v>9175</v>
      </c>
    </row>
    <row r="3799">
      <c r="A3799" s="4">
        <v>1.0</v>
      </c>
      <c r="B3799" s="4" t="s">
        <v>9198</v>
      </c>
      <c r="C3799" s="4"/>
      <c r="D3799" s="4" t="s">
        <v>8922</v>
      </c>
      <c r="E3799" s="4" t="s">
        <v>8923</v>
      </c>
      <c r="F3799" s="4" t="s">
        <v>8922</v>
      </c>
      <c r="G3799" s="5" t="str">
        <f>IFERROR(__xludf.DUMMYFUNCTION("GOOGLETRANSLATE(D3799,""fi"",""es"")"),"aha")</f>
        <v>aha</v>
      </c>
    </row>
    <row r="3800">
      <c r="A3800" s="4">
        <v>2.0</v>
      </c>
      <c r="B3800" s="4" t="s">
        <v>9198</v>
      </c>
      <c r="C3800" s="4"/>
      <c r="D3800" s="4" t="s">
        <v>9199</v>
      </c>
      <c r="E3800" s="4" t="s">
        <v>9200</v>
      </c>
      <c r="F3800" s="4" t="s">
        <v>9201</v>
      </c>
      <c r="G3800" s="5" t="str">
        <f>IFERROR(__xludf.DUMMYFUNCTION("GOOGLETRANSLATE(D3800,""fi"",""es"")"),"conduzco")</f>
        <v>conduzco</v>
      </c>
    </row>
    <row r="3801">
      <c r="A3801" s="4">
        <v>3.0</v>
      </c>
      <c r="B3801" s="4" t="s">
        <v>9198</v>
      </c>
      <c r="C3801" s="4"/>
      <c r="D3801" s="4" t="s">
        <v>9202</v>
      </c>
      <c r="E3801" s="4" t="s">
        <v>9203</v>
      </c>
      <c r="F3801" s="4" t="s">
        <v>9204</v>
      </c>
      <c r="G3801" s="5" t="str">
        <f>IFERROR(__xludf.DUMMYFUNCTION("GOOGLETRANSLATE(D3801,""fi"",""es"")"),"intenso")</f>
        <v>intenso</v>
      </c>
    </row>
    <row r="3802">
      <c r="A3802" s="4">
        <v>4.0</v>
      </c>
      <c r="B3802" s="4" t="s">
        <v>9198</v>
      </c>
      <c r="C3802" s="4"/>
      <c r="D3802" s="4" t="s">
        <v>4747</v>
      </c>
      <c r="E3802" s="4" t="s">
        <v>9205</v>
      </c>
      <c r="F3802" s="4" t="s">
        <v>4747</v>
      </c>
      <c r="G3802" s="5" t="str">
        <f>IFERROR(__xludf.DUMMYFUNCTION("GOOGLETRANSLATE(D3802,""fi"",""es"")"),"akan")</f>
        <v>akan</v>
      </c>
      <c r="H3802" s="4" t="s">
        <v>9206</v>
      </c>
    </row>
    <row r="3803">
      <c r="A3803" s="4">
        <v>5.0</v>
      </c>
      <c r="B3803" s="4" t="s">
        <v>9198</v>
      </c>
      <c r="C3803" s="4"/>
      <c r="D3803" s="4" t="s">
        <v>9207</v>
      </c>
      <c r="E3803" s="4" t="s">
        <v>9208</v>
      </c>
      <c r="F3803" s="4" t="s">
        <v>9207</v>
      </c>
      <c r="G3803" s="5" t="str">
        <f>IFERROR(__xludf.DUMMYFUNCTION("GOOGLETRANSLATE(D3803,""fi"",""es"")"),"barba")</f>
        <v>barba</v>
      </c>
      <c r="H3803" s="4" t="s">
        <v>9209</v>
      </c>
      <c r="I3803" s="4" t="s">
        <v>9210</v>
      </c>
      <c r="J3803" s="4" t="s">
        <v>9211</v>
      </c>
      <c r="K3803" s="4" t="s">
        <v>9212</v>
      </c>
      <c r="L3803" s="4" t="s">
        <v>9213</v>
      </c>
    </row>
    <row r="3804">
      <c r="A3804" s="4">
        <v>6.0</v>
      </c>
      <c r="B3804" s="4" t="s">
        <v>9198</v>
      </c>
      <c r="C3804" s="4"/>
      <c r="D3804" s="4" t="s">
        <v>816</v>
      </c>
      <c r="E3804" s="4" t="s">
        <v>8039</v>
      </c>
      <c r="F3804" s="4" t="s">
        <v>816</v>
      </c>
      <c r="G3804" s="5" t="str">
        <f>IFERROR(__xludf.DUMMYFUNCTION("GOOGLETRANSLATE(D3804,""fi"",""es"")"),"Aki")</f>
        <v>Aki</v>
      </c>
    </row>
    <row r="3805">
      <c r="A3805" s="4">
        <v>7.0</v>
      </c>
      <c r="B3805" s="4" t="s">
        <v>9198</v>
      </c>
      <c r="C3805" s="4"/>
      <c r="D3805" s="4" t="s">
        <v>4910</v>
      </c>
      <c r="E3805" s="4" t="s">
        <v>9214</v>
      </c>
      <c r="F3805" s="4" t="s">
        <v>4910</v>
      </c>
      <c r="G3805" s="5" t="str">
        <f>IFERROR(__xludf.DUMMYFUNCTION("GOOGLETRANSLATE(D3805,""fi"",""es"")"),"batería")</f>
        <v>batería</v>
      </c>
      <c r="H3805" s="4" t="s">
        <v>9215</v>
      </c>
      <c r="I3805" s="4" t="s">
        <v>9216</v>
      </c>
    </row>
    <row r="3806">
      <c r="A3806" s="4">
        <v>8.0</v>
      </c>
      <c r="B3806" s="4" t="s">
        <v>9198</v>
      </c>
      <c r="C3806" s="4"/>
      <c r="D3806" s="4" t="s">
        <v>508</v>
      </c>
      <c r="E3806" s="4" t="s">
        <v>9217</v>
      </c>
      <c r="F3806" s="4" t="s">
        <v>508</v>
      </c>
      <c r="G3806" s="5" t="str">
        <f>IFERROR(__xludf.DUMMYFUNCTION("GOOGLETRANSLATE(D3806,""fi"",""es"")"),"área")</f>
        <v>área</v>
      </c>
      <c r="H3806" s="4" t="s">
        <v>9218</v>
      </c>
      <c r="I3806" s="4" t="s">
        <v>9219</v>
      </c>
      <c r="J3806" s="4" t="s">
        <v>9220</v>
      </c>
      <c r="K3806" s="4" t="s">
        <v>9221</v>
      </c>
      <c r="L3806" s="4" t="s">
        <v>1681</v>
      </c>
      <c r="M3806" s="4" t="s">
        <v>1366</v>
      </c>
      <c r="N3806" s="4" t="s">
        <v>9222</v>
      </c>
      <c r="O3806" s="4" t="s">
        <v>9223</v>
      </c>
      <c r="P3806" s="4" t="s">
        <v>9224</v>
      </c>
      <c r="Q3806" s="4" t="s">
        <v>1072</v>
      </c>
      <c r="R3806" s="4" t="s">
        <v>9225</v>
      </c>
      <c r="S3806" s="4" t="s">
        <v>9226</v>
      </c>
      <c r="T3806" s="4" t="s">
        <v>1065</v>
      </c>
      <c r="U3806" s="4" t="s">
        <v>9227</v>
      </c>
      <c r="V3806" s="4" t="s">
        <v>9228</v>
      </c>
      <c r="W3806" s="4" t="s">
        <v>9229</v>
      </c>
      <c r="X3806" s="4" t="s">
        <v>1066</v>
      </c>
      <c r="Y3806" s="4" t="s">
        <v>1067</v>
      </c>
      <c r="Z3806" s="4" t="s">
        <v>9230</v>
      </c>
      <c r="AA3806" s="4" t="s">
        <v>1068</v>
      </c>
      <c r="AB3806" s="4" t="s">
        <v>1069</v>
      </c>
      <c r="AC3806" s="4" t="s">
        <v>1070</v>
      </c>
      <c r="AD3806" s="4" t="s">
        <v>1071</v>
      </c>
      <c r="AE3806" s="4" t="s">
        <v>1072</v>
      </c>
      <c r="AF3806" s="4" t="s">
        <v>1073</v>
      </c>
      <c r="AG3806" s="4" t="s">
        <v>1074</v>
      </c>
      <c r="AH3806" s="4" t="s">
        <v>1075</v>
      </c>
      <c r="AI3806" s="4" t="s">
        <v>9231</v>
      </c>
      <c r="AJ3806" s="4" t="s">
        <v>9232</v>
      </c>
      <c r="AK3806" s="4" t="s">
        <v>9233</v>
      </c>
      <c r="AL3806" s="4" t="s">
        <v>9234</v>
      </c>
      <c r="AM3806" s="4" t="s">
        <v>1067</v>
      </c>
      <c r="AN3806" s="4" t="s">
        <v>1087</v>
      </c>
      <c r="AO3806" s="4" t="s">
        <v>1065</v>
      </c>
      <c r="AP3806" s="4" t="s">
        <v>1088</v>
      </c>
      <c r="AQ3806" s="4" t="s">
        <v>1072</v>
      </c>
      <c r="AR3806" s="4" t="s">
        <v>1059</v>
      </c>
      <c r="AS3806" s="4" t="s">
        <v>9235</v>
      </c>
    </row>
    <row r="3807">
      <c r="A3807" s="4">
        <v>9.0</v>
      </c>
      <c r="B3807" s="4" t="s">
        <v>9198</v>
      </c>
      <c r="C3807" s="4"/>
      <c r="D3807" s="4" t="s">
        <v>9236</v>
      </c>
      <c r="E3807" s="4" t="s">
        <v>9237</v>
      </c>
      <c r="F3807" s="4" t="s">
        <v>9238</v>
      </c>
      <c r="G3807" s="5" t="str">
        <f>IFERROR(__xludf.DUMMYFUNCTION("GOOGLETRANSLATE(D3807,""fi"",""es"")"),"cuesta abajo")</f>
        <v>cuesta abajo</v>
      </c>
      <c r="H3807" s="4" t="s">
        <v>9239</v>
      </c>
      <c r="I3807" s="4" t="s">
        <v>9240</v>
      </c>
      <c r="J3807" s="4" t="s">
        <v>4502</v>
      </c>
      <c r="K3807" s="4" t="s">
        <v>9241</v>
      </c>
      <c r="L3807" s="4" t="s">
        <v>9242</v>
      </c>
      <c r="M3807" s="4" t="s">
        <v>9243</v>
      </c>
      <c r="N3807" s="4" t="s">
        <v>9244</v>
      </c>
      <c r="O3807" s="4" t="s">
        <v>9245</v>
      </c>
    </row>
    <row r="3808">
      <c r="A3808" s="4">
        <v>10.0</v>
      </c>
      <c r="B3808" s="4" t="s">
        <v>9198</v>
      </c>
      <c r="C3808" s="4"/>
      <c r="D3808" s="4" t="s">
        <v>4900</v>
      </c>
      <c r="E3808" s="4" t="s">
        <v>9246</v>
      </c>
      <c r="F3808" s="4" t="s">
        <v>4900</v>
      </c>
      <c r="G3808" s="5" t="str">
        <f>IFERROR(__xludf.DUMMYFUNCTION("GOOGLETRANSLATE(D3808,""fi"",""es"")"),"abajo")</f>
        <v>abajo</v>
      </c>
      <c r="H3808" s="4" t="s">
        <v>3624</v>
      </c>
      <c r="I3808" s="4" t="s">
        <v>9247</v>
      </c>
      <c r="J3808" s="4" t="s">
        <v>9248</v>
      </c>
      <c r="K3808" s="4" t="s">
        <v>9249</v>
      </c>
      <c r="L3808" s="4" t="s">
        <v>9250</v>
      </c>
      <c r="M3808" s="4" t="s">
        <v>9251</v>
      </c>
    </row>
    <row r="3809">
      <c r="A3809" s="4">
        <v>11.0</v>
      </c>
      <c r="B3809" s="4" t="s">
        <v>9198</v>
      </c>
      <c r="C3809" s="4"/>
      <c r="D3809" s="4" t="s">
        <v>9252</v>
      </c>
      <c r="E3809" s="4" t="s">
        <v>9253</v>
      </c>
      <c r="F3809" s="4" t="s">
        <v>9252</v>
      </c>
      <c r="G3809" s="5" t="str">
        <f>IFERROR(__xludf.DUMMYFUNCTION("GOOGLETRANSLATE(D3809,""fi"",""es"")"),"yunque")</f>
        <v>yunque</v>
      </c>
      <c r="H3809" s="4" t="s">
        <v>9254</v>
      </c>
      <c r="I3809" s="4" t="s">
        <v>9255</v>
      </c>
      <c r="J3809" s="4" t="s">
        <v>9254</v>
      </c>
    </row>
    <row r="3810">
      <c r="A3810" s="4">
        <v>12.0</v>
      </c>
      <c r="B3810" s="4" t="s">
        <v>9198</v>
      </c>
      <c r="C3810" s="4"/>
      <c r="D3810" s="4" t="s">
        <v>9256</v>
      </c>
      <c r="E3810" s="4" t="s">
        <v>9257</v>
      </c>
      <c r="F3810" s="4" t="s">
        <v>9256</v>
      </c>
      <c r="G3810" s="5" t="str">
        <f>IFERROR(__xludf.DUMMYFUNCTION("GOOGLETRANSLATE(D3810,""fi"",""es"")"),"familia inferior")</f>
        <v>familia inferior</v>
      </c>
    </row>
    <row r="3811">
      <c r="A3811" s="4">
        <v>13.0</v>
      </c>
      <c r="B3811" s="4" t="s">
        <v>9198</v>
      </c>
      <c r="C3811" s="4"/>
      <c r="D3811" s="4" t="s">
        <v>5689</v>
      </c>
      <c r="E3811" s="4" t="s">
        <v>9258</v>
      </c>
      <c r="F3811" s="4" t="s">
        <v>5689</v>
      </c>
      <c r="G3811" s="5" t="str">
        <f>IFERROR(__xludf.DUMMYFUNCTION("GOOGLETRANSLATE(D3811,""fi"",""es"")"),"en todo momento")</f>
        <v>en todo momento</v>
      </c>
    </row>
    <row r="3812">
      <c r="A3812" s="4">
        <v>14.0</v>
      </c>
      <c r="B3812" s="4" t="s">
        <v>9198</v>
      </c>
      <c r="C3812" s="4"/>
      <c r="D3812" s="4" t="s">
        <v>5793</v>
      </c>
      <c r="E3812" s="4" t="s">
        <v>9259</v>
      </c>
      <c r="F3812" s="4" t="s">
        <v>5793</v>
      </c>
      <c r="G3812" s="5" t="str">
        <f>IFERROR(__xludf.DUMMYFUNCTION("GOOGLETRANSLATE(D3812,""fi"",""es"")"),"por debajo")</f>
        <v>por debajo</v>
      </c>
      <c r="H3812" s="4" t="s">
        <v>5795</v>
      </c>
      <c r="I3812" s="4" t="s">
        <v>5795</v>
      </c>
      <c r="J3812" s="4" t="s">
        <v>5796</v>
      </c>
      <c r="K3812" s="4" t="s">
        <v>5797</v>
      </c>
      <c r="L3812" s="4" t="s">
        <v>5798</v>
      </c>
    </row>
    <row r="3813">
      <c r="A3813" s="4">
        <v>15.0</v>
      </c>
      <c r="B3813" s="4" t="s">
        <v>9198</v>
      </c>
      <c r="C3813" s="4"/>
      <c r="D3813" s="4" t="s">
        <v>9260</v>
      </c>
      <c r="E3813" s="4" t="s">
        <v>9261</v>
      </c>
      <c r="F3813" s="4" t="s">
        <v>9260</v>
      </c>
      <c r="G3813" s="5" t="str">
        <f>IFERROR(__xludf.DUMMYFUNCTION("GOOGLETRANSLATE(D3813,""fi"",""es"")"),"inferior")</f>
        <v>inferior</v>
      </c>
    </row>
    <row r="3814">
      <c r="A3814" s="4">
        <v>16.0</v>
      </c>
      <c r="B3814" s="4" t="s">
        <v>9198</v>
      </c>
      <c r="C3814" s="4"/>
      <c r="D3814" s="4" t="s">
        <v>9262</v>
      </c>
      <c r="E3814" s="4" t="s">
        <v>9263</v>
      </c>
      <c r="F3814" s="4" t="s">
        <v>9262</v>
      </c>
      <c r="G3814" s="5" t="str">
        <f>IFERROR(__xludf.DUMMYFUNCTION("GOOGLETRANSLATE(D3814,""fi"",""es"")"),"el más bajo")</f>
        <v>el más bajo</v>
      </c>
      <c r="H3814" s="4" t="s">
        <v>1623</v>
      </c>
      <c r="I3814" s="4" t="s">
        <v>9264</v>
      </c>
      <c r="J3814" s="4" t="s">
        <v>9265</v>
      </c>
      <c r="K3814" s="4" t="s">
        <v>9266</v>
      </c>
    </row>
    <row r="3815">
      <c r="A3815" s="4">
        <v>17.0</v>
      </c>
      <c r="B3815" s="4" t="s">
        <v>9198</v>
      </c>
      <c r="C3815" s="4"/>
      <c r="D3815" s="4" t="s">
        <v>9267</v>
      </c>
      <c r="E3815" s="4" t="s">
        <v>9268</v>
      </c>
      <c r="F3815" s="4" t="s">
        <v>9267</v>
      </c>
      <c r="G3815" s="5" t="str">
        <f>IFERROR(__xludf.DUMMYFUNCTION("GOOGLETRANSLATE(D3815,""fi"",""es"")"),"Alina")</f>
        <v>Alina</v>
      </c>
    </row>
    <row r="3816">
      <c r="A3816" s="4">
        <v>18.0</v>
      </c>
      <c r="B3816" s="4" t="s">
        <v>9198</v>
      </c>
      <c r="C3816" s="4"/>
      <c r="D3816" s="4" t="s">
        <v>9269</v>
      </c>
      <c r="E3816" s="4" t="s">
        <v>9270</v>
      </c>
      <c r="F3816" s="4" t="s">
        <v>9269</v>
      </c>
      <c r="G3816" s="5" t="str">
        <f>IFERROR(__xludf.DUMMYFUNCTION("GOOGLETRANSLATE(D3816,""fi"",""es"")"),"Alisa")</f>
        <v>Alisa</v>
      </c>
    </row>
    <row r="3817">
      <c r="A3817" s="4">
        <v>19.0</v>
      </c>
      <c r="B3817" s="4" t="s">
        <v>9198</v>
      </c>
      <c r="C3817" s="4"/>
      <c r="D3817" s="4" t="s">
        <v>9271</v>
      </c>
      <c r="E3817" s="4" t="s">
        <v>9272</v>
      </c>
      <c r="F3817" s="4" t="s">
        <v>9271</v>
      </c>
      <c r="G3817" s="5" t="str">
        <f>IFERROR(__xludf.DUMMYFUNCTION("GOOGLETRANSLATE(D3817,""fi"",""es"")"),"nativo")</f>
        <v>nativo</v>
      </c>
      <c r="H3817" s="4" t="s">
        <v>9273</v>
      </c>
      <c r="I3817" s="4" t="s">
        <v>9271</v>
      </c>
      <c r="J3817" s="4" t="s">
        <v>9274</v>
      </c>
      <c r="K3817" s="4" t="s">
        <v>9271</v>
      </c>
      <c r="L3817" s="4" t="s">
        <v>9275</v>
      </c>
    </row>
    <row r="3818">
      <c r="A3818" s="4">
        <v>20.0</v>
      </c>
      <c r="B3818" s="4" t="s">
        <v>9198</v>
      </c>
      <c r="C3818" s="4"/>
      <c r="D3818" s="4" t="s">
        <v>9276</v>
      </c>
      <c r="E3818" s="4" t="s">
        <v>9277</v>
      </c>
      <c r="F3818" s="4" t="s">
        <v>9276</v>
      </c>
      <c r="G3818" s="5" t="str">
        <f>IFERROR(__xludf.DUMMYFUNCTION("GOOGLETRANSLATE(D3818,""fi"",""es"")"),"alumbre")</f>
        <v>alumbre</v>
      </c>
      <c r="H3818" s="4" t="s">
        <v>9278</v>
      </c>
      <c r="I3818" s="4" t="s">
        <v>9278</v>
      </c>
      <c r="J3818" s="4" t="s">
        <v>9279</v>
      </c>
      <c r="K3818" s="4" t="s">
        <v>9280</v>
      </c>
      <c r="L3818" s="4" t="s">
        <v>9278</v>
      </c>
      <c r="M3818" s="4" t="s">
        <v>9281</v>
      </c>
      <c r="N3818" s="4" t="s">
        <v>9282</v>
      </c>
    </row>
    <row r="3819">
      <c r="A3819" s="4">
        <v>21.0</v>
      </c>
      <c r="B3819" s="4" t="s">
        <v>9198</v>
      </c>
      <c r="C3819" s="4"/>
      <c r="D3819" s="4" t="s">
        <v>9283</v>
      </c>
      <c r="E3819" s="4" t="s">
        <v>9284</v>
      </c>
      <c r="F3819" s="4" t="s">
        <v>9283</v>
      </c>
      <c r="G3819" s="5" t="str">
        <f>IFERROR(__xludf.DUMMYFUNCTION("GOOGLETRANSLATE(D3819,""fi"",""es"")"),"buque")</f>
        <v>buque</v>
      </c>
      <c r="H3819" s="4" t="s">
        <v>2449</v>
      </c>
      <c r="I3819" s="4" t="s">
        <v>9285</v>
      </c>
      <c r="J3819" s="4" t="s">
        <v>4715</v>
      </c>
      <c r="K3819" s="4" t="s">
        <v>4829</v>
      </c>
      <c r="L3819" s="4" t="s">
        <v>9286</v>
      </c>
    </row>
    <row r="3820">
      <c r="A3820" s="4">
        <v>22.0</v>
      </c>
      <c r="B3820" s="4" t="s">
        <v>9198</v>
      </c>
      <c r="C3820" s="4"/>
      <c r="D3820" s="4" t="s">
        <v>9287</v>
      </c>
      <c r="E3820" s="4" t="s">
        <v>9288</v>
      </c>
      <c r="F3820" s="4" t="s">
        <v>9287</v>
      </c>
      <c r="G3820" s="5" t="str">
        <f>IFERROR(__xludf.DUMMYFUNCTION("GOOGLETRANSLATE(D3820,""fi"",""es"")"),"amis")</f>
        <v>amis</v>
      </c>
    </row>
    <row r="3821">
      <c r="A3821" s="4">
        <v>23.0</v>
      </c>
      <c r="B3821" s="4" t="s">
        <v>9198</v>
      </c>
      <c r="C3821" s="4"/>
      <c r="D3821" s="4" t="s">
        <v>3547</v>
      </c>
      <c r="E3821" s="4" t="s">
        <v>9289</v>
      </c>
      <c r="F3821" s="4" t="s">
        <v>3547</v>
      </c>
      <c r="G3821" s="5" t="str">
        <f>IFERROR(__xludf.DUMMYFUNCTION("GOOGLETRANSLATE(D3821,""fi"",""es"")"),"piña")</f>
        <v>piña</v>
      </c>
      <c r="H3821" s="4" t="s">
        <v>3546</v>
      </c>
      <c r="I3821" s="4" t="s">
        <v>3547</v>
      </c>
      <c r="J3821" s="4" t="s">
        <v>9290</v>
      </c>
      <c r="K3821" s="4" t="s">
        <v>9291</v>
      </c>
      <c r="L3821" s="4" t="s">
        <v>3546</v>
      </c>
      <c r="M3821" s="4" t="s">
        <v>8943</v>
      </c>
      <c r="N3821" s="4" t="s">
        <v>8944</v>
      </c>
    </row>
    <row r="3822">
      <c r="A3822" s="4">
        <v>24.0</v>
      </c>
      <c r="B3822" s="4" t="s">
        <v>9198</v>
      </c>
      <c r="C3822" s="4"/>
      <c r="D3822" s="4" t="s">
        <v>744</v>
      </c>
      <c r="E3822" s="4" t="s">
        <v>9292</v>
      </c>
      <c r="F3822" s="4" t="s">
        <v>744</v>
      </c>
      <c r="G3822" s="5" t="str">
        <f>IFERROR(__xludf.DUMMYFUNCTION("GOOGLETRANSLATE(D3822,""fi"",""es"")"),"muy")</f>
        <v>muy</v>
      </c>
      <c r="H3822" s="4" t="s">
        <v>744</v>
      </c>
    </row>
    <row r="3823">
      <c r="A3823" s="4">
        <v>25.0</v>
      </c>
      <c r="B3823" s="4" t="s">
        <v>9198</v>
      </c>
      <c r="C3823" s="4"/>
      <c r="D3823" s="4" t="s">
        <v>747</v>
      </c>
      <c r="E3823" s="4" t="s">
        <v>9293</v>
      </c>
      <c r="F3823" s="4" t="s">
        <v>747</v>
      </c>
      <c r="G3823" s="5" t="str">
        <f>IFERROR(__xludf.DUMMYFUNCTION("GOOGLETRANSLATE(D3823,""fi"",""es"")"),"anís")</f>
        <v>anís</v>
      </c>
      <c r="H3823" s="4" t="s">
        <v>748</v>
      </c>
      <c r="I3823" s="4" t="s">
        <v>749</v>
      </c>
      <c r="J3823" s="4" t="s">
        <v>750</v>
      </c>
      <c r="K3823" s="4" t="s">
        <v>748</v>
      </c>
      <c r="L3823" s="4" t="s">
        <v>753</v>
      </c>
      <c r="M3823" s="4" t="s">
        <v>754</v>
      </c>
    </row>
    <row r="3824">
      <c r="A3824" s="4">
        <v>26.0</v>
      </c>
      <c r="B3824" s="4" t="s">
        <v>9198</v>
      </c>
      <c r="C3824" s="4"/>
      <c r="D3824" s="4" t="s">
        <v>9294</v>
      </c>
      <c r="E3824" s="4" t="s">
        <v>9295</v>
      </c>
      <c r="F3824" s="4" t="s">
        <v>9294</v>
      </c>
      <c r="G3824" s="5" t="str">
        <f>IFERROR(__xludf.DUMMYFUNCTION("GOOGLETRANSLATE(D3824,""fi"",""es"")"),"Anita")</f>
        <v>Anita</v>
      </c>
    </row>
    <row r="3825">
      <c r="A3825" s="4">
        <v>27.0</v>
      </c>
      <c r="B3825" s="4" t="s">
        <v>9198</v>
      </c>
      <c r="C3825" s="4"/>
      <c r="D3825" s="4" t="s">
        <v>9296</v>
      </c>
      <c r="E3825" s="4" t="s">
        <v>9297</v>
      </c>
      <c r="F3825" s="4" t="s">
        <v>9296</v>
      </c>
      <c r="G3825" s="5" t="str">
        <f>IFERROR(__xludf.DUMMYFUNCTION("GOOGLETRANSLATE(D3825,""fi"",""es"")"),"Anu")</f>
        <v>Anu</v>
      </c>
      <c r="H3825" s="4" t="s">
        <v>9298</v>
      </c>
    </row>
    <row r="3826">
      <c r="A3826" s="4">
        <v>28.0</v>
      </c>
      <c r="B3826" s="4" t="s">
        <v>9198</v>
      </c>
      <c r="C3826" s="4"/>
      <c r="D3826" s="4" t="s">
        <v>731</v>
      </c>
      <c r="E3826" s="4" t="s">
        <v>9299</v>
      </c>
      <c r="F3826" s="4" t="s">
        <v>731</v>
      </c>
      <c r="G3826" s="5" t="str">
        <f>IFERROR(__xludf.DUMMYFUNCTION("GOOGLETRANSLATE(D3826,""fi"",""es"")"),"ano")</f>
        <v>ano</v>
      </c>
    </row>
    <row r="3827">
      <c r="A3827" s="4">
        <v>29.0</v>
      </c>
      <c r="B3827" s="4" t="s">
        <v>9198</v>
      </c>
      <c r="C3827" s="4"/>
      <c r="D3827" s="4" t="s">
        <v>9300</v>
      </c>
      <c r="E3827" s="4" t="s">
        <v>9301</v>
      </c>
      <c r="F3827" s="4" t="s">
        <v>9302</v>
      </c>
      <c r="G3827" s="5" t="str">
        <f>IFERROR(__xludf.DUMMYFUNCTION("GOOGLETRANSLATE(D3827,""fi"",""es"")"),"captura")</f>
        <v>captura</v>
      </c>
      <c r="H3827" s="4" t="s">
        <v>1375</v>
      </c>
      <c r="I3827" s="4" t="s">
        <v>4437</v>
      </c>
    </row>
    <row r="3828">
      <c r="A3828" s="4">
        <v>30.0</v>
      </c>
      <c r="B3828" s="4" t="s">
        <v>9198</v>
      </c>
      <c r="C3828" s="4"/>
      <c r="D3828" s="4" t="s">
        <v>9303</v>
      </c>
      <c r="E3828" s="4" t="s">
        <v>9304</v>
      </c>
      <c r="F3828" s="4" t="s">
        <v>9303</v>
      </c>
      <c r="G3828" s="5" t="str">
        <f>IFERROR(__xludf.DUMMYFUNCTION("GOOGLETRANSLATE(D3828,""fi"",""es"")"),"trébol")</f>
        <v>trébol</v>
      </c>
      <c r="H3828" s="4" t="s">
        <v>9305</v>
      </c>
      <c r="I3828" s="4" t="s">
        <v>9306</v>
      </c>
      <c r="J3828" s="4" t="s">
        <v>9307</v>
      </c>
      <c r="K3828" s="4" t="s">
        <v>9308</v>
      </c>
      <c r="L3828" s="4" t="s">
        <v>9309</v>
      </c>
      <c r="M3828" s="4" t="s">
        <v>9310</v>
      </c>
      <c r="N3828" s="4" t="s">
        <v>9311</v>
      </c>
      <c r="O3828" s="4" t="s">
        <v>9312</v>
      </c>
      <c r="P3828" s="4" t="s">
        <v>9313</v>
      </c>
      <c r="Q3828" s="4" t="s">
        <v>9314</v>
      </c>
      <c r="R3828" s="4" t="s">
        <v>9315</v>
      </c>
      <c r="S3828" s="4" t="s">
        <v>9308</v>
      </c>
      <c r="T3828" s="4" t="s">
        <v>9316</v>
      </c>
      <c r="U3828" s="4" t="s">
        <v>9317</v>
      </c>
      <c r="V3828" s="4" t="s">
        <v>9318</v>
      </c>
      <c r="W3828" s="4" t="s">
        <v>9306</v>
      </c>
    </row>
    <row r="3829">
      <c r="A3829" s="4">
        <v>31.0</v>
      </c>
      <c r="B3829" s="4" t="s">
        <v>9198</v>
      </c>
      <c r="C3829" s="4"/>
      <c r="D3829" s="4" t="s">
        <v>9319</v>
      </c>
      <c r="E3829" s="4" t="s">
        <v>9320</v>
      </c>
      <c r="F3829" s="4" t="s">
        <v>9319</v>
      </c>
      <c r="G3829" s="5" t="str">
        <f>IFERROR(__xludf.DUMMYFUNCTION("GOOGLETRANSLATE(D3829,""fi"",""es"")"),"mono")</f>
        <v>mono</v>
      </c>
      <c r="H3829" s="4" t="s">
        <v>3982</v>
      </c>
      <c r="I3829" s="4" t="s">
        <v>2617</v>
      </c>
      <c r="J3829" s="4" t="s">
        <v>2618</v>
      </c>
      <c r="K3829" s="4" t="s">
        <v>9321</v>
      </c>
      <c r="L3829" s="4" t="s">
        <v>2617</v>
      </c>
      <c r="M3829" s="4" t="s">
        <v>9322</v>
      </c>
      <c r="N3829" s="4" t="s">
        <v>9323</v>
      </c>
      <c r="O3829" s="4" t="s">
        <v>9324</v>
      </c>
      <c r="P3829" s="4" t="s">
        <v>2617</v>
      </c>
      <c r="Q3829" s="4" t="s">
        <v>9325</v>
      </c>
    </row>
    <row r="3830">
      <c r="A3830" s="4">
        <v>32.0</v>
      </c>
      <c r="B3830" s="4" t="s">
        <v>9198</v>
      </c>
      <c r="C3830" s="4"/>
      <c r="D3830" s="4" t="s">
        <v>9326</v>
      </c>
      <c r="E3830" s="4" t="s">
        <v>9327</v>
      </c>
      <c r="F3830" s="4" t="s">
        <v>9326</v>
      </c>
      <c r="G3830" s="5" t="str">
        <f>IFERROR(__xludf.DUMMYFUNCTION("GOOGLETRANSLATE(D3830,""fi"",""es"")"),"ayuda")</f>
        <v>ayuda</v>
      </c>
      <c r="H3830" s="4" t="s">
        <v>1649</v>
      </c>
      <c r="I3830" s="4" t="s">
        <v>1650</v>
      </c>
      <c r="J3830" s="4" t="s">
        <v>1651</v>
      </c>
      <c r="K3830" s="4" t="s">
        <v>1652</v>
      </c>
      <c r="L3830" s="4" t="s">
        <v>9328</v>
      </c>
      <c r="M3830" s="4" t="s">
        <v>1651</v>
      </c>
      <c r="N3830" s="4" t="s">
        <v>9329</v>
      </c>
      <c r="O3830" s="4" t="s">
        <v>9330</v>
      </c>
      <c r="P3830" s="4" t="s">
        <v>9331</v>
      </c>
      <c r="Q3830" s="4" t="s">
        <v>2858</v>
      </c>
      <c r="R3830" s="4" t="s">
        <v>9332</v>
      </c>
      <c r="S3830" s="4" t="s">
        <v>9328</v>
      </c>
      <c r="T3830" s="4" t="s">
        <v>9333</v>
      </c>
      <c r="U3830" s="4" t="s">
        <v>9334</v>
      </c>
      <c r="V3830" s="4" t="s">
        <v>9335</v>
      </c>
      <c r="W3830" s="4" t="s">
        <v>1800</v>
      </c>
      <c r="X3830" s="4" t="s">
        <v>9336</v>
      </c>
      <c r="Y3830" s="4" t="s">
        <v>9331</v>
      </c>
      <c r="Z3830" s="4" t="s">
        <v>9337</v>
      </c>
      <c r="AA3830" s="4" t="s">
        <v>9338</v>
      </c>
      <c r="AB3830" s="4" t="s">
        <v>9339</v>
      </c>
    </row>
    <row r="3831">
      <c r="A3831" s="4">
        <v>33.0</v>
      </c>
      <c r="B3831" s="4" t="s">
        <v>9198</v>
      </c>
      <c r="C3831" s="4"/>
      <c r="D3831" s="4" t="s">
        <v>9340</v>
      </c>
      <c r="E3831" s="4" t="s">
        <v>9341</v>
      </c>
      <c r="F3831" s="4" t="s">
        <v>9340</v>
      </c>
      <c r="G3831" s="5" t="str">
        <f>IFERROR(__xludf.DUMMYFUNCTION("GOOGLETRANSLATE(D3831,""fi"",""es"")"),"palabra auxiliar")</f>
        <v>palabra auxiliar</v>
      </c>
    </row>
    <row r="3832">
      <c r="A3832" s="4">
        <v>34.0</v>
      </c>
      <c r="B3832" s="4" t="s">
        <v>9198</v>
      </c>
      <c r="C3832" s="4"/>
      <c r="D3832" s="4" t="s">
        <v>295</v>
      </c>
      <c r="E3832" s="4" t="s">
        <v>8581</v>
      </c>
      <c r="F3832" s="4" t="s">
        <v>295</v>
      </c>
      <c r="G3832" s="5" t="str">
        <f>IFERROR(__xludf.DUMMYFUNCTION("GOOGLETRANSLATE(D3832,""fi"",""es"")"),"plano")</f>
        <v>plano</v>
      </c>
      <c r="H3832" s="4" t="s">
        <v>5855</v>
      </c>
      <c r="I3832" s="4" t="s">
        <v>5856</v>
      </c>
      <c r="J3832" s="4" t="s">
        <v>5857</v>
      </c>
      <c r="K3832" s="4" t="s">
        <v>5852</v>
      </c>
      <c r="L3832" s="4" t="s">
        <v>5853</v>
      </c>
      <c r="M3832" s="4" t="s">
        <v>5854</v>
      </c>
    </row>
    <row r="3833">
      <c r="A3833" s="4">
        <v>35.0</v>
      </c>
      <c r="B3833" s="4" t="s">
        <v>9198</v>
      </c>
      <c r="C3833" s="4"/>
      <c r="D3833" s="4" t="s">
        <v>9342</v>
      </c>
      <c r="E3833" s="4" t="s">
        <v>9343</v>
      </c>
      <c r="F3833" s="4" t="s">
        <v>9342</v>
      </c>
      <c r="G3833" s="5" t="str">
        <f>IFERROR(__xludf.DUMMYFUNCTION("GOOGLETRANSLATE(D3833,""fi"",""es"")"),"asana")</f>
        <v>asana</v>
      </c>
      <c r="H3833" s="4" t="s">
        <v>9342</v>
      </c>
    </row>
    <row r="3834">
      <c r="A3834" s="4">
        <v>36.0</v>
      </c>
      <c r="B3834" s="4" t="s">
        <v>9198</v>
      </c>
      <c r="C3834" s="4"/>
      <c r="D3834" s="4" t="s">
        <v>9344</v>
      </c>
      <c r="E3834" s="4" t="s">
        <v>9345</v>
      </c>
      <c r="F3834" s="4" t="s">
        <v>9344</v>
      </c>
      <c r="G3834" s="5" t="str">
        <f>IFERROR(__xludf.DUMMYFUNCTION("GOOGLETRANSLATE(D3834,""fi"",""es"")"),"Lo antes posible")</f>
        <v>Lo antes posible</v>
      </c>
      <c r="H3834" s="4" t="s">
        <v>9346</v>
      </c>
    </row>
    <row r="3835">
      <c r="A3835" s="4">
        <v>37.0</v>
      </c>
      <c r="B3835" s="4" t="s">
        <v>9198</v>
      </c>
      <c r="C3835" s="4"/>
      <c r="D3835" s="4" t="s">
        <v>9347</v>
      </c>
      <c r="E3835" s="4" t="s">
        <v>9348</v>
      </c>
      <c r="F3835" s="4" t="s">
        <v>9347</v>
      </c>
      <c r="G3835" s="5" t="str">
        <f>IFERROR(__xludf.DUMMYFUNCTION("GOOGLETRANSLATE(D3835,""fi"",""es"")"),"vestimenta")</f>
        <v>vestimenta</v>
      </c>
      <c r="H3835" s="4" t="s">
        <v>9349</v>
      </c>
      <c r="I3835" s="4" t="s">
        <v>9350</v>
      </c>
      <c r="J3835" s="4" t="s">
        <v>9351</v>
      </c>
      <c r="K3835" s="4" t="s">
        <v>9352</v>
      </c>
      <c r="L3835" s="4" t="s">
        <v>9353</v>
      </c>
      <c r="M3835" s="4" t="s">
        <v>9354</v>
      </c>
      <c r="N3835" s="4" t="s">
        <v>4797</v>
      </c>
      <c r="O3835" s="4" t="s">
        <v>9355</v>
      </c>
      <c r="P3835" s="4" t="s">
        <v>9356</v>
      </c>
      <c r="Q3835" s="4" t="s">
        <v>9357</v>
      </c>
      <c r="R3835" s="4" t="s">
        <v>9358</v>
      </c>
      <c r="S3835" s="4" t="s">
        <v>9359</v>
      </c>
      <c r="T3835" s="4" t="s">
        <v>9360</v>
      </c>
      <c r="U3835" s="4" t="s">
        <v>9361</v>
      </c>
    </row>
    <row r="3836">
      <c r="A3836" s="4">
        <v>38.0</v>
      </c>
      <c r="B3836" s="4" t="s">
        <v>9198</v>
      </c>
      <c r="C3836" s="4"/>
      <c r="D3836" s="4" t="s">
        <v>9362</v>
      </c>
      <c r="E3836" s="4" t="s">
        <v>9363</v>
      </c>
      <c r="F3836" s="4" t="s">
        <v>9364</v>
      </c>
      <c r="G3836" s="5" t="str">
        <f>IFERROR(__xludf.DUMMYFUNCTION("GOOGLETRANSLATE(D3836,""fi"",""es"")"),"trajes")</f>
        <v>trajes</v>
      </c>
      <c r="H3836" s="4" t="s">
        <v>9365</v>
      </c>
      <c r="I3836" s="4" t="s">
        <v>9366</v>
      </c>
      <c r="J3836" s="4" t="s">
        <v>9367</v>
      </c>
      <c r="K3836" s="4" t="s">
        <v>9368</v>
      </c>
      <c r="L3836" s="4" t="s">
        <v>9369</v>
      </c>
      <c r="M3836" s="4" t="s">
        <v>9370</v>
      </c>
      <c r="N3836" s="4" t="s">
        <v>9371</v>
      </c>
      <c r="O3836" s="4" t="s">
        <v>9372</v>
      </c>
    </row>
    <row r="3837">
      <c r="A3837" s="4">
        <v>39.0</v>
      </c>
      <c r="B3837" s="4" t="s">
        <v>9198</v>
      </c>
      <c r="C3837" s="4"/>
      <c r="D3837" s="4" t="s">
        <v>9373</v>
      </c>
      <c r="E3837" s="4" t="s">
        <v>9374</v>
      </c>
      <c r="F3837" s="4" t="s">
        <v>9373</v>
      </c>
      <c r="G3837" s="5" t="str">
        <f>IFERROR(__xludf.DUMMYFUNCTION("GOOGLETRANSLATE(D3837,""fi"",""es"")"),"residencia")</f>
        <v>residencia</v>
      </c>
    </row>
    <row r="3838">
      <c r="A3838" s="4">
        <v>40.0</v>
      </c>
      <c r="B3838" s="4" t="s">
        <v>9198</v>
      </c>
      <c r="C3838" s="4"/>
      <c r="D3838" s="4" t="s">
        <v>6034</v>
      </c>
      <c r="E3838" s="4" t="s">
        <v>4687</v>
      </c>
      <c r="F3838" s="4" t="s">
        <v>287</v>
      </c>
      <c r="G3838" s="5" t="str">
        <f>IFERROR(__xludf.DUMMYFUNCTION("GOOGLETRANSLATE(D3838,""fi"",""es"")"),"elegante")</f>
        <v>elegante</v>
      </c>
      <c r="H3838" s="4" t="s">
        <v>6034</v>
      </c>
      <c r="I3838" s="4" t="s">
        <v>6035</v>
      </c>
      <c r="J3838" s="4" t="s">
        <v>6031</v>
      </c>
      <c r="K3838" s="4" t="s">
        <v>6036</v>
      </c>
      <c r="L3838" s="4" t="s">
        <v>6037</v>
      </c>
      <c r="M3838" s="4" t="s">
        <v>6038</v>
      </c>
      <c r="N3838" s="4" t="s">
        <v>6039</v>
      </c>
      <c r="O3838" s="4" t="s">
        <v>6040</v>
      </c>
    </row>
    <row r="3839">
      <c r="A3839" s="4">
        <v>41.0</v>
      </c>
      <c r="B3839" s="4" t="s">
        <v>9198</v>
      </c>
      <c r="C3839" s="4"/>
      <c r="D3839" s="4" t="s">
        <v>6052</v>
      </c>
      <c r="E3839" s="4" t="s">
        <v>4005</v>
      </c>
      <c r="F3839" s="4" t="s">
        <v>4004</v>
      </c>
      <c r="G3839" s="5" t="str">
        <f>IFERROR(__xludf.DUMMYFUNCTION("GOOGLETRANSLATE(D3839,""fi"",""es"")"),"cis")</f>
        <v>cis</v>
      </c>
    </row>
    <row r="3840">
      <c r="A3840" s="4">
        <v>42.0</v>
      </c>
      <c r="B3840" s="4" t="s">
        <v>9198</v>
      </c>
      <c r="C3840" s="4"/>
      <c r="D3840" s="4" t="s">
        <v>9375</v>
      </c>
      <c r="E3840" s="4" t="s">
        <v>9376</v>
      </c>
      <c r="F3840" s="4" t="s">
        <v>9377</v>
      </c>
      <c r="G3840" s="5" t="str">
        <f>IFERROR(__xludf.DUMMYFUNCTION("GOOGLETRANSLATE(D3840,""fi"",""es"")"),"conejo de la ciudad")</f>
        <v>conejo de la ciudad</v>
      </c>
    </row>
    <row r="3841">
      <c r="A3841" s="4">
        <v>43.0</v>
      </c>
      <c r="B3841" s="4" t="s">
        <v>9198</v>
      </c>
      <c r="C3841" s="4"/>
      <c r="D3841" s="4" t="s">
        <v>1734</v>
      </c>
      <c r="E3841" s="4" t="s">
        <v>9378</v>
      </c>
      <c r="F3841" s="4" t="s">
        <v>9379</v>
      </c>
      <c r="G3841" s="5" t="str">
        <f>IFERROR(__xludf.DUMMYFUNCTION("GOOGLETRANSLATE(D3841,""fi"",""es"")"),"Cúmulo")</f>
        <v>Cúmulo</v>
      </c>
    </row>
    <row r="3842">
      <c r="A3842" s="4">
        <v>44.0</v>
      </c>
      <c r="B3842" s="4" t="s">
        <v>9198</v>
      </c>
      <c r="C3842" s="4"/>
      <c r="D3842" s="4" t="s">
        <v>4378</v>
      </c>
      <c r="E3842" s="4" t="s">
        <v>8233</v>
      </c>
      <c r="F3842" s="4" t="s">
        <v>322</v>
      </c>
      <c r="G3842" s="5" t="str">
        <f>IFERROR(__xludf.DUMMYFUNCTION("GOOGLETRANSLATE(D3842,""fi"",""es"")"),"taza")</f>
        <v>taza</v>
      </c>
      <c r="H3842" s="4" t="s">
        <v>4378</v>
      </c>
    </row>
    <row r="3843">
      <c r="A3843" s="4">
        <v>45.0</v>
      </c>
      <c r="B3843" s="4" t="s">
        <v>9198</v>
      </c>
      <c r="C3843" s="4"/>
      <c r="D3843" s="4" t="s">
        <v>4812</v>
      </c>
      <c r="E3843" s="4" t="s">
        <v>4874</v>
      </c>
      <c r="F3843" s="4" t="s">
        <v>4812</v>
      </c>
      <c r="G3843" s="5" t="str">
        <f>IFERROR(__xludf.DUMMYFUNCTION("GOOGLETRANSLATE(D3843,""fi"",""es"")"),"decir ah")</f>
        <v>decir ah</v>
      </c>
      <c r="H3843" s="4" t="s">
        <v>9380</v>
      </c>
      <c r="I3843" s="4" t="s">
        <v>9381</v>
      </c>
    </row>
    <row r="3844">
      <c r="A3844" s="4">
        <v>46.0</v>
      </c>
      <c r="B3844" s="4" t="s">
        <v>9198</v>
      </c>
      <c r="C3844" s="4"/>
      <c r="D3844" s="4" t="s">
        <v>9382</v>
      </c>
      <c r="E3844" s="4" t="s">
        <v>9383</v>
      </c>
      <c r="F3844" s="4" t="s">
        <v>9384</v>
      </c>
      <c r="G3844" s="5" t="str">
        <f>IFERROR(__xludf.DUMMYFUNCTION("GOOGLETRANSLATE(D3844,""fi"",""es"")"),"oler")</f>
        <v>oler</v>
      </c>
      <c r="H3844" s="4" t="s">
        <v>9385</v>
      </c>
      <c r="I3844" s="4" t="s">
        <v>3109</v>
      </c>
      <c r="J3844" s="4" t="s">
        <v>9386</v>
      </c>
      <c r="K3844" s="4" t="s">
        <v>9387</v>
      </c>
      <c r="L3844" s="4" t="s">
        <v>9388</v>
      </c>
      <c r="M3844" s="4" t="s">
        <v>3110</v>
      </c>
      <c r="N3844" s="4" t="s">
        <v>3109</v>
      </c>
      <c r="O3844" s="4" t="s">
        <v>9387</v>
      </c>
      <c r="P3844" s="4" t="s">
        <v>9388</v>
      </c>
      <c r="Q3844" s="4" t="s">
        <v>9389</v>
      </c>
      <c r="R3844" s="4" t="s">
        <v>9390</v>
      </c>
      <c r="S3844" s="4" t="s">
        <v>3110</v>
      </c>
      <c r="T3844" s="4" t="s">
        <v>9391</v>
      </c>
      <c r="U3844" s="4" t="s">
        <v>9392</v>
      </c>
      <c r="V3844" s="4" t="s">
        <v>9393</v>
      </c>
      <c r="W3844" s="4" t="s">
        <v>9394</v>
      </c>
      <c r="X3844" s="4" t="s">
        <v>9395</v>
      </c>
      <c r="Y3844" s="4" t="s">
        <v>9396</v>
      </c>
      <c r="Z3844" s="4" t="s">
        <v>9397</v>
      </c>
      <c r="AA3844" s="4" t="s">
        <v>9398</v>
      </c>
      <c r="AB3844" s="4" t="s">
        <v>4751</v>
      </c>
      <c r="AC3844" s="4" t="s">
        <v>6676</v>
      </c>
      <c r="AD3844" s="4" t="s">
        <v>3005</v>
      </c>
      <c r="AE3844" s="4" t="s">
        <v>6677</v>
      </c>
      <c r="AF3844" s="4" t="s">
        <v>6678</v>
      </c>
      <c r="AG3844" s="4" t="s">
        <v>6679</v>
      </c>
      <c r="AH3844" s="4" t="s">
        <v>6669</v>
      </c>
      <c r="AI3844" s="4" t="s">
        <v>3109</v>
      </c>
    </row>
    <row r="3845">
      <c r="A3845" s="4">
        <v>47.0</v>
      </c>
      <c r="B3845" s="4" t="s">
        <v>9198</v>
      </c>
      <c r="C3845" s="4"/>
      <c r="D3845" s="4" t="s">
        <v>9399</v>
      </c>
      <c r="E3845" s="4" t="s">
        <v>9400</v>
      </c>
      <c r="F3845" s="4" t="s">
        <v>9399</v>
      </c>
      <c r="G3845" s="5" t="str">
        <f>IFERROR(__xludf.DUMMYFUNCTION("GOOGLETRANSLATE(D3845,""fi"",""es"")"),"monóxido de carbono")</f>
        <v>monóxido de carbono</v>
      </c>
      <c r="H3845" s="4" t="s">
        <v>9401</v>
      </c>
      <c r="I3845" s="4" t="s">
        <v>1375</v>
      </c>
      <c r="J3845" s="4" t="s">
        <v>6278</v>
      </c>
      <c r="K3845" s="4" t="s">
        <v>6284</v>
      </c>
      <c r="L3845" s="4" t="s">
        <v>6278</v>
      </c>
      <c r="M3845" s="4" t="s">
        <v>9402</v>
      </c>
      <c r="N3845" s="4" t="s">
        <v>9403</v>
      </c>
      <c r="O3845" s="4" t="s">
        <v>7840</v>
      </c>
      <c r="P3845" s="4" t="s">
        <v>963</v>
      </c>
      <c r="Q3845" s="4" t="s">
        <v>9404</v>
      </c>
      <c r="R3845" s="4" t="s">
        <v>9405</v>
      </c>
      <c r="S3845" s="4" t="s">
        <v>9406</v>
      </c>
    </row>
    <row r="3846">
      <c r="A3846" s="4">
        <v>48.0</v>
      </c>
      <c r="B3846" s="4" t="s">
        <v>9198</v>
      </c>
      <c r="C3846" s="4"/>
      <c r="D3846" s="4" t="s">
        <v>9407</v>
      </c>
      <c r="E3846" s="4" t="s">
        <v>9408</v>
      </c>
      <c r="F3846" s="4" t="s">
        <v>9407</v>
      </c>
      <c r="G3846" s="5" t="str">
        <f>IFERROR(__xludf.DUMMYFUNCTION("GOOGLETRANSLATE(D3846,""fi"",""es"")"),"Hakala")</f>
        <v>Hakala</v>
      </c>
    </row>
    <row r="3847">
      <c r="A3847" s="4">
        <v>49.0</v>
      </c>
      <c r="B3847" s="4" t="s">
        <v>9198</v>
      </c>
      <c r="C3847" s="4"/>
      <c r="D3847" s="4" t="s">
        <v>9409</v>
      </c>
      <c r="E3847" s="4" t="s">
        <v>9410</v>
      </c>
      <c r="F3847" s="4" t="s">
        <v>9409</v>
      </c>
      <c r="G3847" s="5" t="str">
        <f>IFERROR(__xludf.DUMMYFUNCTION("GOOGLETRANSLATE(D3847,""fi"",""es"")"),"búsqueda")</f>
        <v>búsqueda</v>
      </c>
      <c r="H3847" s="4" t="s">
        <v>6682</v>
      </c>
      <c r="I3847" s="4" t="s">
        <v>9411</v>
      </c>
      <c r="J3847" s="4" t="s">
        <v>6682</v>
      </c>
      <c r="K3847" s="4" t="s">
        <v>9412</v>
      </c>
    </row>
    <row r="3848">
      <c r="A3848" s="4">
        <v>50.0</v>
      </c>
      <c r="B3848" s="4" t="s">
        <v>9198</v>
      </c>
      <c r="C3848" s="4"/>
      <c r="D3848" s="4" t="s">
        <v>9413</v>
      </c>
      <c r="E3848" s="4" t="s">
        <v>9414</v>
      </c>
      <c r="F3848" s="4" t="s">
        <v>9413</v>
      </c>
      <c r="G3848" s="5" t="str">
        <f>IFERROR(__xludf.DUMMYFUNCTION("GOOGLETRANSLATE(D3848,""fi"",""es"")"),"búsqueda")</f>
        <v>búsqueda</v>
      </c>
    </row>
    <row r="3849">
      <c r="A3849" s="4">
        <v>51.0</v>
      </c>
      <c r="B3849" s="4" t="s">
        <v>9198</v>
      </c>
      <c r="C3849" s="4"/>
      <c r="D3849" s="4" t="s">
        <v>9415</v>
      </c>
      <c r="E3849" s="4" t="s">
        <v>9416</v>
      </c>
      <c r="F3849" s="4" t="s">
        <v>9415</v>
      </c>
      <c r="G3849" s="5" t="str">
        <f>IFERROR(__xludf.DUMMYFUNCTION("GOOGLETRANSLATE(D3849,""fi"",""es"")"),"halal")</f>
        <v>halal</v>
      </c>
      <c r="H3849" s="4" t="s">
        <v>9415</v>
      </c>
      <c r="I3849" s="4" t="s">
        <v>9415</v>
      </c>
    </row>
    <row r="3850">
      <c r="A3850" s="4">
        <v>52.0</v>
      </c>
      <c r="B3850" s="4" t="s">
        <v>9198</v>
      </c>
      <c r="C3850" s="4"/>
      <c r="D3850" s="4" t="s">
        <v>6146</v>
      </c>
      <c r="E3850" s="4" t="s">
        <v>8322</v>
      </c>
      <c r="F3850" s="4" t="s">
        <v>6146</v>
      </c>
      <c r="G3850" s="5" t="str">
        <f>IFERROR(__xludf.DUMMYFUNCTION("GOOGLETRANSLATE(D3850,""fi"",""es"")"),"abrazo")</f>
        <v>abrazo</v>
      </c>
    </row>
    <row r="3851">
      <c r="A3851" s="4">
        <v>53.0</v>
      </c>
      <c r="B3851" s="4" t="s">
        <v>9198</v>
      </c>
      <c r="C3851" s="4"/>
      <c r="D3851" s="4" t="s">
        <v>9417</v>
      </c>
      <c r="E3851" s="4" t="s">
        <v>9418</v>
      </c>
      <c r="F3851" s="4" t="s">
        <v>9417</v>
      </c>
      <c r="G3851" s="5" t="str">
        <f>IFERROR(__xludf.DUMMYFUNCTION("GOOGLETRANSLATE(D3851,""fi"",""es"")"),"escasez de abrazos")</f>
        <v>escasez de abrazos</v>
      </c>
    </row>
    <row r="3852">
      <c r="A3852" s="4">
        <v>54.0</v>
      </c>
      <c r="B3852" s="4" t="s">
        <v>9198</v>
      </c>
      <c r="C3852" s="4"/>
      <c r="D3852" s="4" t="s">
        <v>9419</v>
      </c>
      <c r="E3852" s="4" t="s">
        <v>9420</v>
      </c>
      <c r="F3852" s="4" t="s">
        <v>9421</v>
      </c>
      <c r="G3852" s="5" t="str">
        <f>IFERROR(__xludf.DUMMYFUNCTION("GOOGLETRANSLATE(D3852,""fi"",""es"")"),"halloumi")</f>
        <v>halloumi</v>
      </c>
    </row>
    <row r="3853">
      <c r="A3853" s="4">
        <v>55.0</v>
      </c>
      <c r="B3853" s="4" t="s">
        <v>9198</v>
      </c>
      <c r="C3853" s="4"/>
      <c r="D3853" s="4" t="s">
        <v>9422</v>
      </c>
      <c r="E3853" s="4" t="s">
        <v>9423</v>
      </c>
      <c r="F3853" s="4" t="s">
        <v>9422</v>
      </c>
      <c r="G3853" s="5" t="str">
        <f>IFERROR(__xludf.DUMMYFUNCTION("GOOGLETRANSLATE(D3853,""fi"",""es"")"),"deseo")</f>
        <v>deseo</v>
      </c>
      <c r="H3853" s="4" t="s">
        <v>9424</v>
      </c>
      <c r="I3853" s="4" t="s">
        <v>9137</v>
      </c>
      <c r="J3853" s="4" t="s">
        <v>9425</v>
      </c>
      <c r="K3853" s="4" t="s">
        <v>9426</v>
      </c>
      <c r="L3853" s="4" t="s">
        <v>9427</v>
      </c>
      <c r="M3853" s="4" t="s">
        <v>9428</v>
      </c>
      <c r="N3853" s="4" t="s">
        <v>9429</v>
      </c>
      <c r="O3853" s="4" t="s">
        <v>9430</v>
      </c>
      <c r="P3853" s="4" t="s">
        <v>9431</v>
      </c>
      <c r="Q3853" s="4" t="s">
        <v>9137</v>
      </c>
      <c r="R3853" s="4" t="s">
        <v>9432</v>
      </c>
      <c r="S3853" s="4" t="s">
        <v>9433</v>
      </c>
      <c r="T3853" s="4" t="s">
        <v>9434</v>
      </c>
      <c r="U3853" s="4" t="s">
        <v>9435</v>
      </c>
      <c r="V3853" s="4" t="s">
        <v>9436</v>
      </c>
      <c r="W3853" s="4" t="s">
        <v>6528</v>
      </c>
      <c r="X3853" s="4" t="s">
        <v>9437</v>
      </c>
      <c r="Y3853" s="4" t="s">
        <v>3501</v>
      </c>
      <c r="Z3853" s="4" t="s">
        <v>9438</v>
      </c>
      <c r="AA3853" s="4" t="s">
        <v>9437</v>
      </c>
      <c r="AB3853" s="4" t="s">
        <v>9439</v>
      </c>
      <c r="AC3853" s="4" t="s">
        <v>9137</v>
      </c>
    </row>
    <row r="3854">
      <c r="A3854" s="4">
        <v>56.0</v>
      </c>
      <c r="B3854" s="4" t="s">
        <v>9198</v>
      </c>
      <c r="C3854" s="4"/>
      <c r="D3854" s="4" t="s">
        <v>9440</v>
      </c>
      <c r="E3854" s="4" t="s">
        <v>9441</v>
      </c>
      <c r="F3854" s="4" t="s">
        <v>9440</v>
      </c>
      <c r="G3854" s="5" t="str">
        <f>IFERROR(__xludf.DUMMYFUNCTION("GOOGLETRANSLATE(D3854,""fi"",""es"")"),"deseoso")</f>
        <v>deseoso</v>
      </c>
      <c r="H3854" s="4" t="s">
        <v>9442</v>
      </c>
      <c r="I3854" s="4" t="s">
        <v>2446</v>
      </c>
      <c r="J3854" s="4" t="s">
        <v>9443</v>
      </c>
      <c r="K3854" s="4" t="s">
        <v>9444</v>
      </c>
      <c r="L3854" s="4" t="s">
        <v>9445</v>
      </c>
      <c r="M3854" s="4" t="s">
        <v>9446</v>
      </c>
      <c r="N3854" s="4" t="s">
        <v>9447</v>
      </c>
      <c r="O3854" s="4" t="s">
        <v>9448</v>
      </c>
      <c r="P3854" s="4" t="s">
        <v>9449</v>
      </c>
      <c r="Q3854" s="4" t="s">
        <v>9450</v>
      </c>
      <c r="R3854" s="4" t="s">
        <v>9451</v>
      </c>
    </row>
    <row r="3855">
      <c r="A3855" s="4">
        <v>57.0</v>
      </c>
      <c r="B3855" s="4" t="s">
        <v>9198</v>
      </c>
      <c r="C3855" s="4"/>
      <c r="D3855" s="4" t="s">
        <v>9421</v>
      </c>
      <c r="E3855" s="4" t="s">
        <v>9420</v>
      </c>
      <c r="F3855" s="4" t="s">
        <v>9421</v>
      </c>
      <c r="G3855" s="5" t="str">
        <f>IFERROR(__xludf.DUMMYFUNCTION("GOOGLETRANSLATE(D3855,""fi"",""es"")"),"deseo")</f>
        <v>deseo</v>
      </c>
    </row>
    <row r="3856">
      <c r="A3856" s="4">
        <v>58.0</v>
      </c>
      <c r="B3856" s="4" t="s">
        <v>9198</v>
      </c>
      <c r="C3856" s="4"/>
      <c r="D3856" s="4" t="s">
        <v>9452</v>
      </c>
      <c r="E3856" s="4" t="s">
        <v>9453</v>
      </c>
      <c r="F3856" s="4" t="s">
        <v>9452</v>
      </c>
      <c r="G3856" s="5" t="str">
        <f>IFERROR(__xludf.DUMMYFUNCTION("GOOGLETRANSLATE(D3856,""fi"",""es"")"),"jerga")</f>
        <v>jerga</v>
      </c>
    </row>
    <row r="3857">
      <c r="A3857" s="4">
        <v>59.0</v>
      </c>
      <c r="B3857" s="4" t="s">
        <v>9198</v>
      </c>
      <c r="C3857" s="4"/>
      <c r="D3857" s="4" t="s">
        <v>9454</v>
      </c>
      <c r="E3857" s="4" t="s">
        <v>9455</v>
      </c>
      <c r="F3857" s="4" t="s">
        <v>9454</v>
      </c>
      <c r="G3857" s="5" t="str">
        <f>IFERROR(__xludf.DUMMYFUNCTION("GOOGLETRANSLATE(D3857,""fi"",""es"")"),"Hamina")</f>
        <v>Hamina</v>
      </c>
    </row>
    <row r="3858">
      <c r="A3858" s="4">
        <v>60.0</v>
      </c>
      <c r="B3858" s="4" t="s">
        <v>9198</v>
      </c>
      <c r="C3858" s="4"/>
      <c r="D3858" s="4" t="s">
        <v>9456</v>
      </c>
      <c r="E3858" s="4" t="s">
        <v>9457</v>
      </c>
      <c r="F3858" s="4" t="s">
        <v>9456</v>
      </c>
      <c r="G3858" s="5" t="str">
        <f>IFERROR(__xludf.DUMMYFUNCTION("GOOGLETRANSLATE(D3858,""fi"",""es"")"),"grifo")</f>
        <v>grifo</v>
      </c>
      <c r="H3858" s="4" t="s">
        <v>9458</v>
      </c>
      <c r="I3858" s="4" t="s">
        <v>7757</v>
      </c>
      <c r="J3858" s="4" t="s">
        <v>8161</v>
      </c>
      <c r="K3858" s="4" t="s">
        <v>3596</v>
      </c>
    </row>
    <row r="3859">
      <c r="A3859" s="4">
        <v>61.0</v>
      </c>
      <c r="B3859" s="4" t="s">
        <v>9198</v>
      </c>
      <c r="C3859" s="4"/>
      <c r="D3859" s="4" t="s">
        <v>9459</v>
      </c>
      <c r="E3859" s="4" t="s">
        <v>9460</v>
      </c>
      <c r="F3859" s="4" t="s">
        <v>9459</v>
      </c>
      <c r="G3859" s="5" t="str">
        <f>IFERROR(__xludf.DUMMYFUNCTION("GOOGLETRANSLATE(D3859,""fi"",""es"")"),"grifo")</f>
        <v>grifo</v>
      </c>
    </row>
    <row r="3860">
      <c r="A3860" s="4">
        <v>62.0</v>
      </c>
      <c r="B3860" s="4" t="s">
        <v>9198</v>
      </c>
      <c r="C3860" s="4"/>
      <c r="D3860" s="4" t="s">
        <v>9461</v>
      </c>
      <c r="E3860" s="4" t="s">
        <v>9462</v>
      </c>
      <c r="F3860" s="4" t="s">
        <v>9461</v>
      </c>
      <c r="G3860" s="5" t="str">
        <f>IFERROR(__xludf.DUMMYFUNCTION("GOOGLETRANSLATE(D3860,""fi"",""es"")"),"agrio")</f>
        <v>agrio</v>
      </c>
      <c r="H3860" s="4" t="s">
        <v>9463</v>
      </c>
      <c r="I3860" s="4" t="s">
        <v>9464</v>
      </c>
      <c r="J3860" s="4" t="s">
        <v>9465</v>
      </c>
      <c r="K3860" s="4" t="s">
        <v>9466</v>
      </c>
      <c r="L3860" s="4" t="s">
        <v>9049</v>
      </c>
      <c r="M3860" s="4" t="s">
        <v>9467</v>
      </c>
      <c r="N3860" s="4" t="s">
        <v>9468</v>
      </c>
      <c r="O3860" s="4" t="s">
        <v>9469</v>
      </c>
      <c r="P3860" s="4" t="s">
        <v>9470</v>
      </c>
      <c r="Q3860" s="4" t="s">
        <v>9471</v>
      </c>
      <c r="R3860" s="4" t="s">
        <v>9472</v>
      </c>
      <c r="S3860" s="4" t="s">
        <v>9465</v>
      </c>
      <c r="T3860" s="4" t="s">
        <v>9473</v>
      </c>
      <c r="U3860" s="4" t="s">
        <v>9474</v>
      </c>
      <c r="V3860" s="4" t="s">
        <v>9475</v>
      </c>
      <c r="W3860" s="4" t="s">
        <v>9476</v>
      </c>
      <c r="X3860" s="4" t="s">
        <v>9477</v>
      </c>
      <c r="Y3860" s="4" t="s">
        <v>9465</v>
      </c>
      <c r="Z3860" s="4" t="s">
        <v>9478</v>
      </c>
      <c r="AA3860" s="4" t="s">
        <v>9479</v>
      </c>
      <c r="AB3860" s="4" t="s">
        <v>9480</v>
      </c>
      <c r="AC3860" s="4" t="s">
        <v>9463</v>
      </c>
      <c r="AD3860" s="4" t="s">
        <v>9464</v>
      </c>
      <c r="AE3860" s="4" t="s">
        <v>9481</v>
      </c>
      <c r="AF3860" s="4" t="s">
        <v>9482</v>
      </c>
      <c r="AG3860" s="4" t="s">
        <v>9483</v>
      </c>
      <c r="AH3860" s="4" t="s">
        <v>9484</v>
      </c>
      <c r="AI3860" s="4" t="s">
        <v>9485</v>
      </c>
      <c r="AJ3860" s="4" t="s">
        <v>9486</v>
      </c>
      <c r="AK3860" s="4" t="s">
        <v>9487</v>
      </c>
      <c r="AL3860" s="4" t="s">
        <v>9488</v>
      </c>
      <c r="AM3860" s="4" t="s">
        <v>9489</v>
      </c>
      <c r="AN3860" s="4" t="s">
        <v>9465</v>
      </c>
    </row>
    <row r="3861">
      <c r="A3861" s="4">
        <v>63.0</v>
      </c>
      <c r="B3861" s="4" t="s">
        <v>9198</v>
      </c>
      <c r="C3861" s="4"/>
      <c r="D3861" s="4" t="s">
        <v>9490</v>
      </c>
      <c r="E3861" s="4" t="s">
        <v>9491</v>
      </c>
      <c r="F3861" s="4" t="s">
        <v>9490</v>
      </c>
      <c r="G3861" s="5" t="str">
        <f>IFERROR(__xludf.DUMMYFUNCTION("GOOGLETRANSLATE(D3861,""fi"",""es"")"),"levadura")</f>
        <v>levadura</v>
      </c>
    </row>
    <row r="3862">
      <c r="A3862" s="4">
        <v>64.0</v>
      </c>
      <c r="B3862" s="4" t="s">
        <v>9198</v>
      </c>
      <c r="C3862" s="4"/>
      <c r="D3862" s="4" t="s">
        <v>9492</v>
      </c>
      <c r="E3862" s="4" t="s">
        <v>9493</v>
      </c>
      <c r="F3862" s="4" t="s">
        <v>9492</v>
      </c>
      <c r="G3862" s="5" t="str">
        <f>IFERROR(__xludf.DUMMYFUNCTION("GOOGLETRANSLATE(D3862,""fi"",""es"")"),"levadura")</f>
        <v>levadura</v>
      </c>
    </row>
    <row r="3863">
      <c r="A3863" s="4">
        <v>65.0</v>
      </c>
      <c r="B3863" s="4" t="s">
        <v>9198</v>
      </c>
      <c r="C3863" s="4"/>
      <c r="D3863" s="4" t="s">
        <v>9494</v>
      </c>
      <c r="E3863" s="4" t="s">
        <v>9495</v>
      </c>
      <c r="F3863" s="4" t="s">
        <v>9494</v>
      </c>
      <c r="G3863" s="5" t="str">
        <f>IFERROR(__xludf.DUMMYFUNCTION("GOOGLETRANSLATE(D3863,""fi"",""es"")"),"manga")</f>
        <v>manga</v>
      </c>
      <c r="H3863" s="4" t="s">
        <v>9126</v>
      </c>
      <c r="I3863" s="4" t="s">
        <v>6625</v>
      </c>
    </row>
    <row r="3864">
      <c r="A3864" s="4">
        <v>66.0</v>
      </c>
      <c r="B3864" s="4" t="s">
        <v>9198</v>
      </c>
      <c r="C3864" s="4"/>
      <c r="D3864" s="4" t="s">
        <v>6221</v>
      </c>
      <c r="E3864" s="4" t="s">
        <v>9496</v>
      </c>
      <c r="F3864" s="4" t="s">
        <v>6221</v>
      </c>
      <c r="G3864" s="5" t="str">
        <f>IFERROR(__xludf.DUMMYFUNCTION("GOOGLETRANSLATE(D3864,""fi"",""es"")"),"sudor")</f>
        <v>sudor</v>
      </c>
      <c r="H3864" s="4" t="s">
        <v>9497</v>
      </c>
      <c r="I3864" s="4" t="s">
        <v>9498</v>
      </c>
      <c r="J3864" s="4" t="s">
        <v>9499</v>
      </c>
      <c r="K3864" s="4" t="s">
        <v>9500</v>
      </c>
      <c r="L3864" s="4" t="s">
        <v>9501</v>
      </c>
      <c r="M3864" s="4" t="s">
        <v>9502</v>
      </c>
    </row>
    <row r="3865">
      <c r="A3865" s="4">
        <v>67.0</v>
      </c>
      <c r="B3865" s="4" t="s">
        <v>9198</v>
      </c>
      <c r="C3865" s="4"/>
      <c r="D3865" s="4" t="s">
        <v>9503</v>
      </c>
      <c r="E3865" s="4" t="s">
        <v>9504</v>
      </c>
      <c r="F3865" s="4" t="s">
        <v>9505</v>
      </c>
      <c r="G3865" s="5" t="str">
        <f>IFERROR(__xludf.DUMMYFUNCTION("GOOGLETRANSLATE(D3865,""fi"",""es"")"),"fábrica con explotación exagerada")</f>
        <v>fábrica con explotación exagerada</v>
      </c>
      <c r="H3865" s="4" t="s">
        <v>9506</v>
      </c>
      <c r="I3865" s="4" t="s">
        <v>3916</v>
      </c>
      <c r="J3865" s="4" t="s">
        <v>9507</v>
      </c>
    </row>
    <row r="3866">
      <c r="A3866" s="4">
        <v>68.0</v>
      </c>
      <c r="B3866" s="4" t="s">
        <v>9198</v>
      </c>
      <c r="C3866" s="4"/>
      <c r="D3866" s="4" t="s">
        <v>9508</v>
      </c>
      <c r="E3866" s="4" t="s">
        <v>9509</v>
      </c>
      <c r="F3866" s="4" t="s">
        <v>9508</v>
      </c>
      <c r="G3866" s="5" t="str">
        <f>IFERROR(__xludf.DUMMYFUNCTION("GOOGLETRANSLATE(D3866,""fi"",""es"")"),"enrejado")</f>
        <v>enrejado</v>
      </c>
      <c r="H3866" s="4" t="s">
        <v>9510</v>
      </c>
      <c r="I3866" s="4" t="s">
        <v>9511</v>
      </c>
      <c r="J3866" s="4" t="s">
        <v>6595</v>
      </c>
      <c r="K3866" s="4" t="s">
        <v>9512</v>
      </c>
    </row>
    <row r="3867">
      <c r="A3867" s="4">
        <v>69.0</v>
      </c>
      <c r="B3867" s="4" t="s">
        <v>9198</v>
      </c>
      <c r="C3867" s="4"/>
      <c r="D3867" s="4" t="s">
        <v>9513</v>
      </c>
      <c r="E3867" s="4" t="s">
        <v>9514</v>
      </c>
      <c r="F3867" s="4" t="s">
        <v>9513</v>
      </c>
      <c r="G3867" s="5" t="str">
        <f>IFERROR(__xludf.DUMMYFUNCTION("GOOGLETRANSLATE(D3867,""fi"",""es"")"),"lujuria")</f>
        <v>lujuria</v>
      </c>
    </row>
    <row r="3868">
      <c r="A3868" s="4">
        <v>70.0</v>
      </c>
      <c r="B3868" s="4" t="s">
        <v>9198</v>
      </c>
      <c r="C3868" s="4"/>
      <c r="D3868" s="4" t="s">
        <v>9515</v>
      </c>
      <c r="E3868" s="4" t="s">
        <v>9516</v>
      </c>
      <c r="F3868" s="4" t="s">
        <v>9515</v>
      </c>
      <c r="G3868" s="5" t="str">
        <f>IFERROR(__xludf.DUMMYFUNCTION("GOOGLETRANSLATE(D3868,""fi"",""es"")"),"remolcar")</f>
        <v>remolcar</v>
      </c>
    </row>
    <row r="3869">
      <c r="A3869" s="4">
        <v>71.0</v>
      </c>
      <c r="B3869" s="4" t="s">
        <v>9198</v>
      </c>
      <c r="C3869" s="4"/>
      <c r="D3869" s="4" t="s">
        <v>6259</v>
      </c>
      <c r="E3869" s="4" t="s">
        <v>9517</v>
      </c>
      <c r="F3869" s="4" t="s">
        <v>6259</v>
      </c>
      <c r="G3869" s="5" t="str">
        <f>IFERROR(__xludf.DUMMYFUNCTION("GOOGLETRANSLATE(D3869,""fi"",""es"")"),"su")</f>
        <v>su</v>
      </c>
    </row>
    <row r="3870">
      <c r="A3870" s="4">
        <v>72.0</v>
      </c>
      <c r="B3870" s="4" t="s">
        <v>9198</v>
      </c>
      <c r="C3870" s="4"/>
      <c r="D3870" s="4" t="s">
        <v>9518</v>
      </c>
      <c r="E3870" s="4" t="s">
        <v>9519</v>
      </c>
      <c r="F3870" s="4" t="s">
        <v>9518</v>
      </c>
      <c r="G3870" s="5" t="str">
        <f>IFERROR(__xludf.DUMMYFUNCTION("GOOGLETRANSLATE(D3870,""fi"",""es"")"),"un poco")</f>
        <v>un poco</v>
      </c>
    </row>
    <row r="3871">
      <c r="A3871" s="4">
        <v>73.0</v>
      </c>
      <c r="B3871" s="4" t="s">
        <v>9198</v>
      </c>
      <c r="C3871" s="4"/>
      <c r="D3871" s="4" t="s">
        <v>9520</v>
      </c>
      <c r="E3871" s="4" t="s">
        <v>9521</v>
      </c>
      <c r="F3871" s="4" t="s">
        <v>9520</v>
      </c>
      <c r="G3871" s="5" t="str">
        <f>IFERROR(__xludf.DUMMYFUNCTION("GOOGLETRANSLATE(D3871,""fi"",""es"")"),"rumor")</f>
        <v>rumor</v>
      </c>
      <c r="H3871" s="4" t="s">
        <v>9522</v>
      </c>
      <c r="I3871" s="4" t="s">
        <v>9523</v>
      </c>
      <c r="J3871" s="4" t="s">
        <v>9524</v>
      </c>
      <c r="K3871" s="4" t="s">
        <v>9525</v>
      </c>
      <c r="L3871" s="4" t="s">
        <v>9526</v>
      </c>
      <c r="M3871" s="4" t="s">
        <v>9527</v>
      </c>
    </row>
    <row r="3872">
      <c r="A3872" s="4">
        <v>74.0</v>
      </c>
      <c r="B3872" s="4" t="s">
        <v>9198</v>
      </c>
      <c r="C3872" s="4"/>
      <c r="D3872" s="4" t="s">
        <v>6315</v>
      </c>
      <c r="E3872" s="4" t="s">
        <v>9528</v>
      </c>
      <c r="F3872" s="4" t="s">
        <v>6315</v>
      </c>
      <c r="G3872" s="5" t="str">
        <f>IFERROR(__xludf.DUMMYFUNCTION("GOOGLETRANSLATE(D3872,""fi"",""es"")"),"afición")</f>
        <v>afición</v>
      </c>
    </row>
    <row r="3873">
      <c r="A3873" s="4">
        <v>75.0</v>
      </c>
      <c r="B3873" s="4" t="s">
        <v>9198</v>
      </c>
      <c r="C3873" s="4"/>
      <c r="D3873" s="4" t="s">
        <v>9529</v>
      </c>
      <c r="E3873" s="4" t="s">
        <v>9530</v>
      </c>
      <c r="F3873" s="4" t="s">
        <v>9529</v>
      </c>
      <c r="G3873" s="5" t="str">
        <f>IFERROR(__xludf.DUMMYFUNCTION("GOOGLETRANSLATE(D3873,""fi"",""es"")"),"ahogo")</f>
        <v>ahogo</v>
      </c>
    </row>
    <row r="3874">
      <c r="A3874" s="4">
        <v>76.0</v>
      </c>
      <c r="B3874" s="4" t="s">
        <v>9198</v>
      </c>
      <c r="C3874" s="4"/>
      <c r="D3874" s="4" t="s">
        <v>9531</v>
      </c>
      <c r="E3874" s="4" t="s">
        <v>9532</v>
      </c>
      <c r="F3874" s="4" t="s">
        <v>9531</v>
      </c>
      <c r="G3874" s="5" t="str">
        <f>IFERROR(__xludf.DUMMYFUNCTION("GOOGLETRANSLATE(D3874,""fi"",""es"")"),"raszmatazz")</f>
        <v>raszmatazz</v>
      </c>
      <c r="H3874" s="4" t="s">
        <v>9533</v>
      </c>
      <c r="I3874" s="4" t="s">
        <v>9534</v>
      </c>
      <c r="J3874" s="4" t="s">
        <v>9535</v>
      </c>
      <c r="K3874" s="4" t="s">
        <v>9536</v>
      </c>
    </row>
    <row r="3875">
      <c r="A3875" s="4">
        <v>77.0</v>
      </c>
      <c r="B3875" s="4" t="s">
        <v>9198</v>
      </c>
      <c r="C3875" s="4"/>
      <c r="D3875" s="4" t="s">
        <v>9537</v>
      </c>
      <c r="E3875" s="4" t="s">
        <v>9538</v>
      </c>
      <c r="F3875" s="4" t="s">
        <v>9537</v>
      </c>
      <c r="G3875" s="5" t="str">
        <f>IFERROR(__xludf.DUMMYFUNCTION("GOOGLETRANSLATE(D3875,""fi"",""es"")"),"saltar")</f>
        <v>saltar</v>
      </c>
      <c r="H3875" s="4" t="s">
        <v>3924</v>
      </c>
      <c r="I3875" s="4" t="s">
        <v>8344</v>
      </c>
      <c r="J3875" s="4" t="s">
        <v>9539</v>
      </c>
      <c r="K3875" s="4" t="s">
        <v>9540</v>
      </c>
      <c r="L3875" s="4" t="s">
        <v>9541</v>
      </c>
      <c r="M3875" s="4" t="s">
        <v>9542</v>
      </c>
      <c r="N3875" s="4" t="s">
        <v>9543</v>
      </c>
      <c r="O3875" s="4" t="s">
        <v>9544</v>
      </c>
      <c r="P3875" s="4" t="s">
        <v>9545</v>
      </c>
      <c r="Q3875" s="4" t="s">
        <v>9546</v>
      </c>
      <c r="R3875" s="4" t="s">
        <v>9547</v>
      </c>
      <c r="S3875" s="4" t="s">
        <v>9548</v>
      </c>
      <c r="T3875" s="4" t="s">
        <v>9549</v>
      </c>
      <c r="U3875" s="4" t="s">
        <v>546</v>
      </c>
    </row>
    <row r="3876">
      <c r="A3876" s="4">
        <v>78.0</v>
      </c>
      <c r="B3876" s="4" t="s">
        <v>9198</v>
      </c>
      <c r="C3876" s="4"/>
      <c r="D3876" s="4" t="s">
        <v>9550</v>
      </c>
      <c r="E3876" s="4" t="s">
        <v>9551</v>
      </c>
      <c r="F3876" s="4" t="s">
        <v>9550</v>
      </c>
      <c r="G3876" s="5" t="str">
        <f>IFERROR(__xludf.DUMMYFUNCTION("GOOGLETRANSLATE(D3876,""fi"",""es"")"),"embriaguez")</f>
        <v>embriaguez</v>
      </c>
      <c r="H3876" s="4" t="s">
        <v>9552</v>
      </c>
      <c r="I3876" s="4" t="s">
        <v>9553</v>
      </c>
      <c r="J3876" s="4" t="s">
        <v>9545</v>
      </c>
      <c r="K3876" s="4" t="s">
        <v>9544</v>
      </c>
    </row>
    <row r="3877">
      <c r="A3877" s="4">
        <v>79.0</v>
      </c>
      <c r="B3877" s="4" t="s">
        <v>9198</v>
      </c>
      <c r="C3877" s="4"/>
      <c r="D3877" s="4" t="s">
        <v>9554</v>
      </c>
      <c r="E3877" s="4" t="s">
        <v>9555</v>
      </c>
      <c r="F3877" s="4" t="s">
        <v>9554</v>
      </c>
      <c r="G3877" s="5" t="str">
        <f>IFERROR(__xludf.DUMMYFUNCTION("GOOGLETRANSLATE(D3877,""fi"",""es"")"),"humus")</f>
        <v>humus</v>
      </c>
      <c r="H3877" s="4" t="s">
        <v>9554</v>
      </c>
    </row>
    <row r="3878">
      <c r="A3878" s="4">
        <v>80.0</v>
      </c>
      <c r="B3878" s="4" t="s">
        <v>9198</v>
      </c>
      <c r="C3878" s="4"/>
      <c r="D3878" s="4" t="s">
        <v>9556</v>
      </c>
      <c r="E3878" s="4" t="s">
        <v>9557</v>
      </c>
      <c r="F3878" s="4" t="s">
        <v>9558</v>
      </c>
      <c r="G3878" s="5" t="str">
        <f>IFERROR(__xludf.DUMMYFUNCTION("GOOGLETRANSLATE(D3878,""fi"",""es"")"),"miel")</f>
        <v>miel</v>
      </c>
      <c r="H3878" s="4" t="s">
        <v>9559</v>
      </c>
    </row>
    <row r="3879">
      <c r="A3879" s="4">
        <v>81.0</v>
      </c>
      <c r="B3879" s="4" t="s">
        <v>9198</v>
      </c>
      <c r="C3879" s="4"/>
      <c r="D3879" s="4" t="s">
        <v>9560</v>
      </c>
      <c r="E3879" s="4" t="s">
        <v>9561</v>
      </c>
      <c r="F3879" s="4" t="s">
        <v>9562</v>
      </c>
      <c r="G3879" s="5" t="str">
        <f>IFERROR(__xludf.DUMMYFUNCTION("GOOGLETRANSLATE(D3879,""fi"",""es"")"),"Conejito de miel")</f>
        <v>Conejito de miel</v>
      </c>
      <c r="H3879" s="4" t="s">
        <v>9563</v>
      </c>
      <c r="I3879" s="4" t="s">
        <v>9564</v>
      </c>
      <c r="J3879" s="4" t="s">
        <v>9565</v>
      </c>
    </row>
    <row r="3880">
      <c r="A3880" s="4">
        <v>82.0</v>
      </c>
      <c r="B3880" s="4" t="s">
        <v>9198</v>
      </c>
      <c r="C3880" s="4"/>
      <c r="D3880" s="4" t="s">
        <v>9566</v>
      </c>
      <c r="E3880" s="4" t="s">
        <v>9567</v>
      </c>
      <c r="F3880" s="4" t="s">
        <v>9566</v>
      </c>
      <c r="G3880" s="5" t="str">
        <f>IFERROR(__xludf.DUMMYFUNCTION("GOOGLETRANSLATE(D3880,""fi"",""es"")"),"gemido")</f>
        <v>gemido</v>
      </c>
      <c r="H3880" s="4" t="s">
        <v>9568</v>
      </c>
      <c r="I3880" s="4" t="s">
        <v>9568</v>
      </c>
    </row>
    <row r="3881">
      <c r="A3881" s="4">
        <v>83.0</v>
      </c>
      <c r="B3881" s="4" t="s">
        <v>9198</v>
      </c>
      <c r="C3881" s="4"/>
      <c r="D3881" s="4" t="s">
        <v>9569</v>
      </c>
      <c r="E3881" s="4" t="s">
        <v>9570</v>
      </c>
      <c r="F3881" s="4" t="s">
        <v>9569</v>
      </c>
      <c r="G3881" s="5" t="str">
        <f>IFERROR(__xludf.DUMMYFUNCTION("GOOGLETRANSLATE(D3881,""fi"",""es"")"),"divertida")</f>
        <v>divertida</v>
      </c>
      <c r="H3881" s="4" t="s">
        <v>9571</v>
      </c>
      <c r="I3881" s="4" t="s">
        <v>910</v>
      </c>
    </row>
    <row r="3882">
      <c r="A3882" s="4">
        <v>84.0</v>
      </c>
      <c r="B3882" s="4" t="s">
        <v>9198</v>
      </c>
      <c r="C3882" s="4"/>
      <c r="D3882" s="4" t="s">
        <v>9572</v>
      </c>
      <c r="E3882" s="4" t="s">
        <v>9573</v>
      </c>
      <c r="F3882" s="4" t="s">
        <v>9572</v>
      </c>
      <c r="G3882" s="5" t="str">
        <f>IFERROR(__xludf.DUMMYFUNCTION("GOOGLETRANSLATE(D3882,""fi"",""es"")"),"capucha")</f>
        <v>capucha</v>
      </c>
    </row>
    <row r="3883">
      <c r="A3883" s="4">
        <v>85.0</v>
      </c>
      <c r="B3883" s="4" t="s">
        <v>9198</v>
      </c>
      <c r="C3883" s="4"/>
      <c r="D3883" s="4" t="s">
        <v>9574</v>
      </c>
      <c r="E3883" s="4" t="s">
        <v>9575</v>
      </c>
      <c r="F3883" s="4" t="s">
        <v>9574</v>
      </c>
      <c r="G3883" s="5" t="str">
        <f>IFERROR(__xludf.DUMMYFUNCTION("GOOGLETRANSLATE(D3883,""fi"",""es"")"),"cáscara")</f>
        <v>cáscara</v>
      </c>
      <c r="H3883" s="4" t="s">
        <v>9576</v>
      </c>
      <c r="I3883" s="4" t="s">
        <v>9577</v>
      </c>
      <c r="J3883" s="4" t="s">
        <v>9578</v>
      </c>
      <c r="K3883" s="4" t="s">
        <v>9579</v>
      </c>
    </row>
    <row r="3884">
      <c r="A3884" s="4">
        <v>86.0</v>
      </c>
      <c r="B3884" s="4" t="s">
        <v>9198</v>
      </c>
      <c r="C3884" s="4"/>
      <c r="D3884" s="4" t="s">
        <v>9580</v>
      </c>
      <c r="E3884" s="4" t="s">
        <v>9581</v>
      </c>
      <c r="F3884" s="4" t="s">
        <v>9580</v>
      </c>
      <c r="G3884" s="5" t="str">
        <f>IFERROR(__xludf.DUMMYFUNCTION("GOOGLETRANSLATE(D3884,""fi"",""es"")"),"señorita")</f>
        <v>señorita</v>
      </c>
    </row>
    <row r="3885">
      <c r="A3885" s="4">
        <v>87.0</v>
      </c>
      <c r="B3885" s="4" t="s">
        <v>9198</v>
      </c>
      <c r="C3885" s="4"/>
      <c r="D3885" s="4" t="s">
        <v>9582</v>
      </c>
      <c r="E3885" s="4" t="s">
        <v>9583</v>
      </c>
      <c r="F3885" s="4" t="s">
        <v>9582</v>
      </c>
      <c r="G3885" s="5" t="str">
        <f>IFERROR(__xludf.DUMMYFUNCTION("GOOGLETRANSLATE(D3885,""fi"",""es"")"),"Hutilus")</f>
        <v>Hutilus</v>
      </c>
      <c r="H3885" s="4" t="s">
        <v>9584</v>
      </c>
      <c r="I3885" s="4" t="s">
        <v>9585</v>
      </c>
      <c r="J3885" s="4" t="s">
        <v>9586</v>
      </c>
      <c r="K3885" s="4" t="s">
        <v>9587</v>
      </c>
      <c r="L3885" s="4" t="s">
        <v>9588</v>
      </c>
      <c r="M3885" s="4" t="s">
        <v>9589</v>
      </c>
      <c r="N3885" s="4" t="s">
        <v>9590</v>
      </c>
      <c r="O3885" s="4" t="s">
        <v>8983</v>
      </c>
      <c r="P3885" s="4" t="s">
        <v>9591</v>
      </c>
    </row>
    <row r="3886">
      <c r="A3886" s="4">
        <v>88.0</v>
      </c>
      <c r="B3886" s="4" t="s">
        <v>9198</v>
      </c>
      <c r="C3886" s="4"/>
      <c r="D3886" s="4" t="s">
        <v>9592</v>
      </c>
      <c r="E3886" s="4" t="s">
        <v>9593</v>
      </c>
      <c r="F3886" s="4" t="s">
        <v>9592</v>
      </c>
      <c r="G3886" s="5" t="str">
        <f>IFERROR(__xludf.DUMMYFUNCTION("GOOGLETRANSLATE(D3886,""fi"",""es"")"),"cabaña")</f>
        <v>cabaña</v>
      </c>
      <c r="H3886" s="4" t="s">
        <v>9594</v>
      </c>
    </row>
    <row r="3887">
      <c r="A3887" s="4">
        <v>89.0</v>
      </c>
      <c r="B3887" s="4" t="s">
        <v>9198</v>
      </c>
      <c r="C3887" s="4"/>
      <c r="D3887" s="4" t="s">
        <v>9595</v>
      </c>
      <c r="E3887" s="4" t="s">
        <v>9596</v>
      </c>
      <c r="F3887" s="4" t="s">
        <v>4812</v>
      </c>
      <c r="G3887" s="5" t="str">
        <f>IFERROR(__xludf.DUMMYFUNCTION("GOOGLETRANSLATE(D3887,""fi"",""es"")"),"¿eh?")</f>
        <v>¿eh?</v>
      </c>
    </row>
    <row r="3888">
      <c r="A3888" s="4">
        <v>90.0</v>
      </c>
      <c r="B3888" s="4" t="s">
        <v>9198</v>
      </c>
      <c r="C3888" s="4"/>
      <c r="D3888" s="4" t="s">
        <v>9597</v>
      </c>
      <c r="E3888" s="4" t="s">
        <v>9598</v>
      </c>
      <c r="F3888" s="4" t="s">
        <v>9599</v>
      </c>
      <c r="G3888" s="5" t="str">
        <f>IFERROR(__xludf.DUMMYFUNCTION("GOOGLETRANSLATE(D3888,""fi"",""es"")"),"jaula")</f>
        <v>jaula</v>
      </c>
      <c r="H3888" s="4" t="s">
        <v>9600</v>
      </c>
      <c r="I3888" s="4" t="s">
        <v>9601</v>
      </c>
      <c r="J3888" s="4" t="s">
        <v>9602</v>
      </c>
    </row>
    <row r="3889">
      <c r="A3889" s="4">
        <v>91.0</v>
      </c>
      <c r="B3889" s="4" t="s">
        <v>9198</v>
      </c>
      <c r="C3889" s="4"/>
      <c r="D3889" s="4" t="s">
        <v>9603</v>
      </c>
      <c r="E3889" s="4" t="s">
        <v>9604</v>
      </c>
      <c r="F3889" s="4" t="s">
        <v>9399</v>
      </c>
      <c r="G3889" s="5" t="str">
        <f>IFERROR(__xludf.DUMMYFUNCTION("GOOGLETRANSLATE(D3889,""fi"",""es"")"),"monóxido de carbono")</f>
        <v>monóxido de carbono</v>
      </c>
      <c r="H3889" s="4" t="s">
        <v>8251</v>
      </c>
      <c r="I3889" s="4" t="s">
        <v>8252</v>
      </c>
      <c r="J3889" s="4" t="s">
        <v>8253</v>
      </c>
    </row>
    <row r="3890">
      <c r="A3890" s="4">
        <v>92.0</v>
      </c>
      <c r="B3890" s="4" t="s">
        <v>9198</v>
      </c>
      <c r="C3890" s="4"/>
      <c r="D3890" s="4" t="s">
        <v>9605</v>
      </c>
      <c r="E3890" s="4" t="s">
        <v>9606</v>
      </c>
      <c r="F3890" s="4" t="s">
        <v>9607</v>
      </c>
      <c r="G3890" s="5" t="str">
        <f>IFERROR(__xludf.DUMMYFUNCTION("GOOGLETRANSLATE(D3890,""fi"",""es"")"),"conmoción")</f>
        <v>conmoción</v>
      </c>
      <c r="H3890" s="4" t="s">
        <v>9608</v>
      </c>
      <c r="I3890" s="4" t="s">
        <v>9609</v>
      </c>
      <c r="J3890" s="4" t="s">
        <v>9610</v>
      </c>
      <c r="K3890" s="4" t="s">
        <v>9611</v>
      </c>
      <c r="L3890" s="4" t="s">
        <v>9612</v>
      </c>
      <c r="M3890" s="4" t="s">
        <v>9613</v>
      </c>
      <c r="N3890" s="4" t="s">
        <v>9614</v>
      </c>
      <c r="O3890" s="4" t="s">
        <v>9533</v>
      </c>
      <c r="P3890" s="4" t="s">
        <v>9615</v>
      </c>
      <c r="Q3890" s="4" t="s">
        <v>8198</v>
      </c>
      <c r="R3890" s="4" t="s">
        <v>9616</v>
      </c>
      <c r="S3890" s="4" t="s">
        <v>9617</v>
      </c>
      <c r="T3890" s="4" t="s">
        <v>9618</v>
      </c>
      <c r="U3890" s="4" t="s">
        <v>7520</v>
      </c>
      <c r="V3890" s="4" t="s">
        <v>9619</v>
      </c>
      <c r="W3890" s="4" t="s">
        <v>9620</v>
      </c>
      <c r="X3890" s="4" t="s">
        <v>9535</v>
      </c>
      <c r="Y3890" s="4" t="s">
        <v>9609</v>
      </c>
      <c r="Z3890" s="4" t="s">
        <v>9621</v>
      </c>
      <c r="AA3890" s="4" t="s">
        <v>7115</v>
      </c>
      <c r="AB3890" s="4" t="s">
        <v>9610</v>
      </c>
      <c r="AC3890" s="4" t="s">
        <v>9622</v>
      </c>
      <c r="AD3890" s="4" t="s">
        <v>9623</v>
      </c>
      <c r="AE3890" s="4" t="s">
        <v>9610</v>
      </c>
      <c r="AF3890" s="4" t="s">
        <v>9624</v>
      </c>
      <c r="AG3890" s="4" t="s">
        <v>9625</v>
      </c>
      <c r="AH3890" s="4" t="s">
        <v>9626</v>
      </c>
      <c r="AI3890" s="4" t="s">
        <v>9627</v>
      </c>
      <c r="AJ3890" s="4" t="s">
        <v>9628</v>
      </c>
      <c r="AK3890" s="4" t="s">
        <v>9629</v>
      </c>
    </row>
    <row r="3891">
      <c r="A3891" s="4">
        <v>93.0</v>
      </c>
      <c r="B3891" s="4" t="s">
        <v>9198</v>
      </c>
      <c r="C3891" s="4"/>
      <c r="D3891" s="4" t="s">
        <v>9630</v>
      </c>
      <c r="E3891" s="4" t="s">
        <v>9631</v>
      </c>
      <c r="F3891" s="4" t="s">
        <v>9632</v>
      </c>
      <c r="G3891" s="5" t="str">
        <f>IFERROR(__xludf.DUMMYFUNCTION("GOOGLETRANSLATE(D3891,""fi"",""es"")"),"custodia")</f>
        <v>custodia</v>
      </c>
    </row>
    <row r="3892">
      <c r="A3892" s="4">
        <v>94.0</v>
      </c>
      <c r="B3892" s="4" t="s">
        <v>9198</v>
      </c>
      <c r="C3892" s="4"/>
      <c r="D3892" s="4" t="s">
        <v>9633</v>
      </c>
      <c r="E3892" s="4" t="s">
        <v>4876</v>
      </c>
      <c r="F3892" s="4" t="s">
        <v>1786</v>
      </c>
      <c r="G3892" s="5" t="str">
        <f>IFERROR(__xludf.DUMMYFUNCTION("GOOGLETRANSLATE(D3892,""fi"",""es"")"),"él")</f>
        <v>él</v>
      </c>
    </row>
    <row r="3893">
      <c r="A3893" s="4">
        <v>95.0</v>
      </c>
      <c r="B3893" s="4" t="s">
        <v>9198</v>
      </c>
      <c r="C3893" s="4"/>
      <c r="D3893" s="4" t="s">
        <v>9634</v>
      </c>
      <c r="E3893" s="4" t="s">
        <v>9635</v>
      </c>
      <c r="F3893" s="4" t="s">
        <v>9636</v>
      </c>
      <c r="G3893" s="5" t="str">
        <f>IFERROR(__xludf.DUMMYFUNCTION("GOOGLETRANSLATE(D3893,""fi"",""es"")"),"emergencia")</f>
        <v>emergencia</v>
      </c>
      <c r="H3893" s="4" t="s">
        <v>9637</v>
      </c>
      <c r="I3893" s="4" t="s">
        <v>9140</v>
      </c>
      <c r="J3893" s="4" t="s">
        <v>9638</v>
      </c>
      <c r="K3893" s="4" t="s">
        <v>9637</v>
      </c>
      <c r="L3893" s="4" t="s">
        <v>9144</v>
      </c>
      <c r="M3893" s="4" t="s">
        <v>9639</v>
      </c>
    </row>
    <row r="3894">
      <c r="A3894" s="4">
        <v>96.0</v>
      </c>
      <c r="B3894" s="4" t="s">
        <v>9198</v>
      </c>
      <c r="C3894" s="4"/>
      <c r="D3894" s="4" t="s">
        <v>9640</v>
      </c>
      <c r="E3894" s="4" t="s">
        <v>9641</v>
      </c>
      <c r="F3894" s="4" t="s">
        <v>9642</v>
      </c>
      <c r="G3894" s="5" t="str">
        <f>IFERROR(__xludf.DUMMYFUNCTION("GOOGLETRANSLATE(D3894,""fi"",""es"")"),"puerto de emergencia")</f>
        <v>puerto de emergencia</v>
      </c>
    </row>
    <row r="3895">
      <c r="A3895" s="4">
        <v>97.0</v>
      </c>
      <c r="B3895" s="4" t="s">
        <v>9198</v>
      </c>
      <c r="C3895" s="4"/>
      <c r="D3895" s="4" t="s">
        <v>9643</v>
      </c>
      <c r="E3895" s="4" t="s">
        <v>9644</v>
      </c>
      <c r="F3895" s="4" t="s">
        <v>9645</v>
      </c>
      <c r="G3895" s="5" t="str">
        <f>IFERROR(__xludf.DUMMYFUNCTION("GOOGLETRANSLATE(D3895,""fi"",""es"")"),"emergencia")</f>
        <v>emergencia</v>
      </c>
      <c r="H3895" s="4" t="s">
        <v>9646</v>
      </c>
    </row>
    <row r="3896">
      <c r="A3896" s="4">
        <v>98.0</v>
      </c>
      <c r="B3896" s="4" t="s">
        <v>9198</v>
      </c>
      <c r="C3896" s="4"/>
      <c r="D3896" s="4" t="s">
        <v>9647</v>
      </c>
      <c r="E3896" s="4" t="s">
        <v>9648</v>
      </c>
      <c r="F3896" s="4" t="s">
        <v>9649</v>
      </c>
      <c r="G3896" s="5" t="str">
        <f>IFERROR(__xludf.DUMMYFUNCTION("GOOGLETRANSLATE(D3896,""fi"",""es"")"),"ley de emergencia")</f>
        <v>ley de emergencia</v>
      </c>
    </row>
    <row r="3897">
      <c r="A3897" s="4">
        <v>99.0</v>
      </c>
      <c r="B3897" s="4" t="s">
        <v>9198</v>
      </c>
      <c r="C3897" s="4"/>
      <c r="D3897" s="4" t="s">
        <v>9650</v>
      </c>
      <c r="E3897" s="4" t="s">
        <v>9651</v>
      </c>
      <c r="F3897" s="4" t="s">
        <v>9650</v>
      </c>
      <c r="G3897" s="5" t="str">
        <f>IFERROR(__xludf.DUMMYFUNCTION("GOOGLETRANSLATE(D3897,""fi"",""es"")"),"atractivo")</f>
        <v>atractivo</v>
      </c>
    </row>
    <row r="3898">
      <c r="A3898" s="4">
        <v>100.0</v>
      </c>
      <c r="B3898" s="4" t="s">
        <v>9198</v>
      </c>
      <c r="C3898" s="4"/>
      <c r="D3898" s="4" t="s">
        <v>9652</v>
      </c>
      <c r="E3898" s="4" t="s">
        <v>9653</v>
      </c>
      <c r="F3898" s="4" t="s">
        <v>9652</v>
      </c>
      <c r="G3898" s="5" t="str">
        <f>IFERROR(__xludf.DUMMYFUNCTION("GOOGLETRANSLATE(D3898,""fi"",""es"")"),"bastante")</f>
        <v>bastante</v>
      </c>
      <c r="H3898" s="4" t="s">
        <v>9654</v>
      </c>
      <c r="I3898" s="4" t="s">
        <v>9655</v>
      </c>
      <c r="J3898" s="4" t="s">
        <v>9656</v>
      </c>
    </row>
    <row r="3899">
      <c r="A3899" s="4">
        <v>101.0</v>
      </c>
      <c r="B3899" s="4" t="s">
        <v>9198</v>
      </c>
      <c r="C3899" s="4"/>
      <c r="D3899" s="4" t="s">
        <v>9657</v>
      </c>
      <c r="E3899" s="4" t="s">
        <v>9658</v>
      </c>
      <c r="F3899" s="4" t="s">
        <v>9657</v>
      </c>
      <c r="G3899" s="5" t="str">
        <f>IFERROR(__xludf.DUMMYFUNCTION("GOOGLETRANSLATE(D3899,""fi"",""es"")"),"maravilloso")</f>
        <v>maravilloso</v>
      </c>
      <c r="H3899" s="4" t="s">
        <v>9659</v>
      </c>
      <c r="I3899" s="4" t="s">
        <v>9660</v>
      </c>
      <c r="J3899" s="4" t="s">
        <v>8363</v>
      </c>
      <c r="K3899" s="4" t="s">
        <v>9661</v>
      </c>
      <c r="L3899" s="4" t="s">
        <v>9659</v>
      </c>
      <c r="M3899" s="4" t="s">
        <v>9662</v>
      </c>
      <c r="N3899" s="4" t="s">
        <v>9663</v>
      </c>
      <c r="O3899" s="4" t="s">
        <v>9664</v>
      </c>
      <c r="P3899" s="4" t="s">
        <v>9665</v>
      </c>
      <c r="Q3899" s="4" t="s">
        <v>9666</v>
      </c>
      <c r="R3899" s="4" t="s">
        <v>9667</v>
      </c>
    </row>
    <row r="3900">
      <c r="A3900" s="4">
        <v>102.0</v>
      </c>
      <c r="B3900" s="4" t="s">
        <v>9198</v>
      </c>
      <c r="C3900" s="4"/>
      <c r="D3900" s="4" t="s">
        <v>9668</v>
      </c>
      <c r="E3900" s="4" t="s">
        <v>9669</v>
      </c>
      <c r="F3900" s="4" t="s">
        <v>9670</v>
      </c>
      <c r="G3900" s="5" t="str">
        <f>IFERROR(__xludf.DUMMYFUNCTION("GOOGLETRANSLATE(D3900,""fi"",""es"")"),"alguna vez")</f>
        <v>alguna vez</v>
      </c>
    </row>
    <row r="3901">
      <c r="A3901" s="4">
        <v>103.0</v>
      </c>
      <c r="B3901" s="4" t="s">
        <v>9198</v>
      </c>
      <c r="C3901" s="4"/>
      <c r="D3901" s="4" t="s">
        <v>9671</v>
      </c>
      <c r="E3901" s="4" t="s">
        <v>9672</v>
      </c>
      <c r="F3901" s="4" t="s">
        <v>5090</v>
      </c>
      <c r="G3901" s="5" t="str">
        <f>IFERROR(__xludf.DUMMYFUNCTION("GOOGLETRANSLATE(D3901,""fi"",""es"")"),"años")</f>
        <v>años</v>
      </c>
      <c r="H3901" s="4" t="s">
        <v>9673</v>
      </c>
      <c r="I3901" s="4" t="s">
        <v>9673</v>
      </c>
      <c r="J3901" s="4" t="s">
        <v>9674</v>
      </c>
    </row>
    <row r="3902">
      <c r="A3902" s="4">
        <v>104.0</v>
      </c>
      <c r="B3902" s="4" t="s">
        <v>9198</v>
      </c>
      <c r="C3902" s="4"/>
      <c r="D3902" s="4" t="s">
        <v>9675</v>
      </c>
      <c r="E3902" s="4" t="s">
        <v>9676</v>
      </c>
      <c r="F3902" s="4" t="s">
        <v>9677</v>
      </c>
      <c r="G3902" s="5" t="str">
        <f>IFERROR(__xludf.DUMMYFUNCTION("GOOGLETRANSLATE(D3902,""fi"",""es"")"),"años")</f>
        <v>años</v>
      </c>
    </row>
    <row r="3903">
      <c r="A3903" s="4">
        <v>105.0</v>
      </c>
      <c r="B3903" s="4" t="s">
        <v>9198</v>
      </c>
      <c r="C3903" s="4"/>
      <c r="D3903" s="4" t="s">
        <v>9678</v>
      </c>
      <c r="E3903" s="4" t="s">
        <v>9679</v>
      </c>
      <c r="F3903" s="4" t="s">
        <v>9680</v>
      </c>
      <c r="G3903" s="5" t="str">
        <f>IFERROR(__xludf.DUMMYFUNCTION("GOOGLETRANSLATE(D3903,""fi"",""es"")"),"años")</f>
        <v>años</v>
      </c>
    </row>
    <row r="3904">
      <c r="A3904" s="4">
        <v>106.0</v>
      </c>
      <c r="B3904" s="4" t="s">
        <v>9198</v>
      </c>
      <c r="C3904" s="4"/>
      <c r="D3904" s="4" t="s">
        <v>9681</v>
      </c>
      <c r="E3904" s="4" t="s">
        <v>9682</v>
      </c>
      <c r="F3904" s="4" t="s">
        <v>9681</v>
      </c>
      <c r="G3904" s="5" t="str">
        <f>IFERROR(__xludf.DUMMYFUNCTION("GOOGLETRANSLATE(D3904,""fi"",""es"")"),"chupado")</f>
        <v>chupado</v>
      </c>
    </row>
    <row r="3905">
      <c r="A3905" s="4">
        <v>107.0</v>
      </c>
      <c r="B3905" s="4" t="s">
        <v>9198</v>
      </c>
      <c r="C3905" s="4"/>
      <c r="D3905" s="4" t="s">
        <v>9683</v>
      </c>
      <c r="E3905" s="4" t="s">
        <v>9684</v>
      </c>
      <c r="F3905" s="4" t="s">
        <v>9685</v>
      </c>
      <c r="G3905" s="5" t="str">
        <f>IFERROR(__xludf.DUMMYFUNCTION("GOOGLETRANSLATE(D3905,""fi"",""es"")"),"chupar")</f>
        <v>chupar</v>
      </c>
    </row>
    <row r="3906">
      <c r="A3906" s="4">
        <v>108.0</v>
      </c>
      <c r="B3906" s="4" t="s">
        <v>9198</v>
      </c>
      <c r="C3906" s="4"/>
      <c r="D3906" s="4" t="s">
        <v>9686</v>
      </c>
      <c r="E3906" s="4" t="s">
        <v>9687</v>
      </c>
      <c r="F3906" s="4" t="s">
        <v>9686</v>
      </c>
      <c r="G3906" s="5" t="str">
        <f>IFERROR(__xludf.DUMMYFUNCTION("GOOGLETRANSLATE(D3906,""fi"",""es"")"),"succión")</f>
        <v>succión</v>
      </c>
      <c r="H3906" s="4" t="s">
        <v>9688</v>
      </c>
      <c r="I3906" s="4" t="s">
        <v>9689</v>
      </c>
      <c r="J3906" s="4" t="s">
        <v>9690</v>
      </c>
    </row>
    <row r="3907">
      <c r="A3907" s="4">
        <v>109.0</v>
      </c>
      <c r="B3907" s="4" t="s">
        <v>9198</v>
      </c>
      <c r="C3907" s="4"/>
      <c r="D3907" s="4" t="s">
        <v>9691</v>
      </c>
      <c r="E3907" s="4" t="s">
        <v>9692</v>
      </c>
      <c r="F3907" s="4" t="s">
        <v>9691</v>
      </c>
      <c r="G3907" s="5" t="str">
        <f>IFERROR(__xludf.DUMMYFUNCTION("GOOGLETRANSLATE(D3907,""fi"",""es"")"),"pescado de succión")</f>
        <v>pescado de succión</v>
      </c>
      <c r="H3907" s="4" t="s">
        <v>9693</v>
      </c>
      <c r="I3907" s="4" t="s">
        <v>9694</v>
      </c>
      <c r="J3907" s="4" t="s">
        <v>9695</v>
      </c>
      <c r="K3907" s="4" t="s">
        <v>9696</v>
      </c>
      <c r="L3907" s="4" t="s">
        <v>3234</v>
      </c>
    </row>
    <row r="3908">
      <c r="A3908" s="4">
        <v>110.0</v>
      </c>
      <c r="B3908" s="4" t="s">
        <v>9198</v>
      </c>
      <c r="C3908" s="4"/>
      <c r="D3908" s="4" t="s">
        <v>9697</v>
      </c>
      <c r="E3908" s="4" t="s">
        <v>9698</v>
      </c>
      <c r="F3908" s="4" t="s">
        <v>9697</v>
      </c>
      <c r="G3908" s="5" t="str">
        <f>IFERROR(__xludf.DUMMYFUNCTION("GOOGLETRANSLATE(D3908,""fi"",""es"")"),"succión")</f>
        <v>succión</v>
      </c>
    </row>
    <row r="3909">
      <c r="A3909" s="4">
        <v>111.0</v>
      </c>
      <c r="B3909" s="4" t="s">
        <v>9198</v>
      </c>
      <c r="C3909" s="4"/>
      <c r="D3909" s="4" t="s">
        <v>4824</v>
      </c>
      <c r="E3909" s="4" t="s">
        <v>9699</v>
      </c>
      <c r="F3909" s="4" t="s">
        <v>4824</v>
      </c>
      <c r="G3909" s="5" t="str">
        <f>IFERROR(__xludf.DUMMYFUNCTION("GOOGLETRANSLATE(D3909,""fi"",""es"")"),"en")</f>
        <v>en</v>
      </c>
      <c r="H3909" s="4" t="s">
        <v>6350</v>
      </c>
      <c r="I3909" s="4" t="s">
        <v>6351</v>
      </c>
      <c r="J3909" s="4" t="s">
        <v>6352</v>
      </c>
      <c r="K3909" s="4" t="s">
        <v>6347</v>
      </c>
      <c r="L3909" s="4" t="s">
        <v>6348</v>
      </c>
      <c r="M3909" s="4" t="s">
        <v>6349</v>
      </c>
    </row>
    <row r="3910">
      <c r="A3910" s="4">
        <v>112.0</v>
      </c>
      <c r="B3910" s="4" t="s">
        <v>9198</v>
      </c>
      <c r="C3910" s="4"/>
      <c r="D3910" s="4" t="s">
        <v>9700</v>
      </c>
      <c r="E3910" s="4" t="s">
        <v>9701</v>
      </c>
      <c r="F3910" s="4" t="s">
        <v>9700</v>
      </c>
      <c r="G3910" s="5" t="str">
        <f>IFERROR(__xludf.DUMMYFUNCTION("GOOGLETRANSLATE(D3910,""fi"",""es"")"),"pececillo")</f>
        <v>pececillo</v>
      </c>
      <c r="H3910" s="4" t="s">
        <v>4701</v>
      </c>
      <c r="I3910" s="4" t="s">
        <v>4702</v>
      </c>
      <c r="J3910" s="4" t="s">
        <v>4703</v>
      </c>
      <c r="K3910" s="4" t="s">
        <v>4704</v>
      </c>
      <c r="L3910" s="4" t="s">
        <v>4705</v>
      </c>
      <c r="M3910" s="4" t="s">
        <v>4706</v>
      </c>
      <c r="N3910" s="4" t="s">
        <v>4707</v>
      </c>
      <c r="O3910" s="4" t="s">
        <v>4708</v>
      </c>
      <c r="P3910" s="4" t="s">
        <v>3256</v>
      </c>
      <c r="Q3910" s="4" t="s">
        <v>3255</v>
      </c>
      <c r="R3910" s="4" t="s">
        <v>4709</v>
      </c>
      <c r="S3910" s="4" t="s">
        <v>4710</v>
      </c>
      <c r="T3910" s="4" t="s">
        <v>9702</v>
      </c>
      <c r="U3910" s="4" t="s">
        <v>9703</v>
      </c>
    </row>
    <row r="3911">
      <c r="A3911" s="4">
        <v>113.0</v>
      </c>
      <c r="B3911" s="4" t="s">
        <v>9198</v>
      </c>
      <c r="C3911" s="4"/>
      <c r="D3911" s="4" t="s">
        <v>9704</v>
      </c>
      <c r="E3911" s="4" t="s">
        <v>9705</v>
      </c>
      <c r="F3911" s="4" t="s">
        <v>9704</v>
      </c>
      <c r="G3911" s="5" t="str">
        <f>IFERROR(__xludf.DUMMYFUNCTION("GOOGLETRANSLATE(D3911,""fi"",""es"")"),"papi")</f>
        <v>papi</v>
      </c>
      <c r="H3911" s="4" t="s">
        <v>9706</v>
      </c>
      <c r="I3911" s="4" t="s">
        <v>9707</v>
      </c>
      <c r="J3911" s="4" t="s">
        <v>9708</v>
      </c>
      <c r="K3911" s="4" t="s">
        <v>3294</v>
      </c>
      <c r="L3911" s="4" t="s">
        <v>3295</v>
      </c>
      <c r="M3911" s="4" t="s">
        <v>3296</v>
      </c>
      <c r="N3911" s="4" t="s">
        <v>3147</v>
      </c>
      <c r="O3911" s="4" t="s">
        <v>3292</v>
      </c>
      <c r="P3911" s="4" t="s">
        <v>3297</v>
      </c>
      <c r="Q3911" s="4" t="s">
        <v>3298</v>
      </c>
    </row>
    <row r="3912">
      <c r="A3912" s="4">
        <v>114.0</v>
      </c>
      <c r="B3912" s="4" t="s">
        <v>9198</v>
      </c>
      <c r="C3912" s="4"/>
      <c r="D3912" s="4" t="s">
        <v>9709</v>
      </c>
      <c r="E3912" s="4" t="s">
        <v>9710</v>
      </c>
      <c r="F3912" s="4" t="s">
        <v>9709</v>
      </c>
      <c r="G3912" s="5" t="str">
        <f>IFERROR(__xludf.DUMMYFUNCTION("GOOGLETRANSLATE(D3912,""fi"",""es"")"),"tu papi")</f>
        <v>tu papi</v>
      </c>
    </row>
    <row r="3913">
      <c r="A3913" s="4">
        <v>115.0</v>
      </c>
      <c r="B3913" s="4" t="s">
        <v>9198</v>
      </c>
      <c r="C3913" s="4"/>
      <c r="D3913" s="4" t="s">
        <v>9711</v>
      </c>
      <c r="E3913" s="4" t="s">
        <v>9712</v>
      </c>
      <c r="F3913" s="4" t="s">
        <v>1798</v>
      </c>
      <c r="G3913" s="5" t="str">
        <f>IFERROR(__xludf.DUMMYFUNCTION("GOOGLETRANSLATE(D3913,""fi"",""es"")"),"padre")</f>
        <v>padre</v>
      </c>
      <c r="H3913" s="4" t="s">
        <v>9713</v>
      </c>
      <c r="I3913" s="4" t="s">
        <v>9714</v>
      </c>
      <c r="J3913" s="4" t="s">
        <v>9715</v>
      </c>
      <c r="K3913" s="4" t="s">
        <v>9716</v>
      </c>
      <c r="L3913" s="4" t="s">
        <v>3299</v>
      </c>
      <c r="M3913" s="4" t="s">
        <v>3299</v>
      </c>
      <c r="N3913" s="4" t="s">
        <v>3300</v>
      </c>
      <c r="O3913" s="4" t="s">
        <v>3301</v>
      </c>
      <c r="P3913" s="4" t="s">
        <v>9713</v>
      </c>
      <c r="Q3913" s="4" t="s">
        <v>9717</v>
      </c>
      <c r="R3913" s="4" t="s">
        <v>9718</v>
      </c>
      <c r="S3913" s="4" t="s">
        <v>3299</v>
      </c>
      <c r="T3913" s="4" t="s">
        <v>9719</v>
      </c>
      <c r="U3913" s="4" t="s">
        <v>9720</v>
      </c>
      <c r="V3913" s="4" t="s">
        <v>9721</v>
      </c>
      <c r="W3913" s="4" t="s">
        <v>9722</v>
      </c>
      <c r="X3913" s="4" t="s">
        <v>3299</v>
      </c>
      <c r="Y3913" s="4" t="s">
        <v>9723</v>
      </c>
    </row>
    <row r="3914">
      <c r="A3914" s="4">
        <v>116.0</v>
      </c>
      <c r="B3914" s="4" t="s">
        <v>9198</v>
      </c>
      <c r="C3914" s="4"/>
      <c r="D3914" s="4" t="s">
        <v>9724</v>
      </c>
      <c r="E3914" s="4" t="s">
        <v>9725</v>
      </c>
      <c r="F3914" s="4" t="s">
        <v>9726</v>
      </c>
      <c r="G3914" s="5" t="str">
        <f>IFERROR(__xludf.DUMMYFUNCTION("GOOGLETRANSLATE(D3914,""fi"",""es"")"),"abuelo paterno")</f>
        <v>abuelo paterno</v>
      </c>
    </row>
    <row r="3915">
      <c r="A3915" s="4">
        <v>117.0</v>
      </c>
      <c r="B3915" s="4" t="s">
        <v>9198</v>
      </c>
      <c r="C3915" s="4"/>
      <c r="D3915" s="4" t="s">
        <v>9727</v>
      </c>
      <c r="E3915" s="4" t="s">
        <v>9728</v>
      </c>
      <c r="F3915" s="4" t="s">
        <v>9729</v>
      </c>
      <c r="G3915" s="5" t="str">
        <f>IFERROR(__xludf.DUMMYFUNCTION("GOOGLETRANSLATE(D3915,""fi"",""es"")"),"su padre")</f>
        <v>su padre</v>
      </c>
    </row>
    <row r="3916">
      <c r="A3916" s="4">
        <v>118.0</v>
      </c>
      <c r="B3916" s="4" t="s">
        <v>9198</v>
      </c>
      <c r="C3916" s="4"/>
      <c r="D3916" s="4" t="s">
        <v>6385</v>
      </c>
      <c r="E3916" s="4" t="s">
        <v>9730</v>
      </c>
      <c r="F3916" s="4" t="s">
        <v>6385</v>
      </c>
      <c r="G3916" s="5" t="str">
        <f>IFERROR(__xludf.DUMMYFUNCTION("GOOGLETRANSLATE(D3916,""fi"",""es"")"),"brote")</f>
        <v>brote</v>
      </c>
    </row>
    <row r="3917">
      <c r="A3917" s="4">
        <v>119.0</v>
      </c>
      <c r="B3917" s="4" t="s">
        <v>9198</v>
      </c>
      <c r="C3917" s="4"/>
      <c r="D3917" s="4" t="s">
        <v>9731</v>
      </c>
      <c r="E3917" s="4" t="s">
        <v>9732</v>
      </c>
      <c r="F3917" s="4" t="s">
        <v>9731</v>
      </c>
      <c r="G3917" s="5" t="str">
        <f>IFERROR(__xludf.DUMMYFUNCTION("GOOGLETRANSLATE(D3917,""fi"",""es"")"),"brote")</f>
        <v>brote</v>
      </c>
      <c r="H3917" s="4" t="s">
        <v>1134</v>
      </c>
      <c r="I3917" s="4" t="s">
        <v>6094</v>
      </c>
      <c r="J3917" s="4" t="s">
        <v>9733</v>
      </c>
      <c r="K3917" s="4" t="s">
        <v>9734</v>
      </c>
    </row>
    <row r="3918">
      <c r="A3918" s="4">
        <v>120.0</v>
      </c>
      <c r="B3918" s="4" t="s">
        <v>9198</v>
      </c>
      <c r="C3918" s="4"/>
      <c r="D3918" s="4" t="s">
        <v>9735</v>
      </c>
      <c r="E3918" s="4" t="s">
        <v>9736</v>
      </c>
      <c r="F3918" s="4" t="s">
        <v>4932</v>
      </c>
      <c r="G3918" s="5" t="str">
        <f>IFERROR(__xludf.DUMMYFUNCTION("GOOGLETRANSLATE(D3918,""fi"",""es"")"),"este")</f>
        <v>este</v>
      </c>
      <c r="H3918" s="4" t="s">
        <v>9737</v>
      </c>
      <c r="I3918" s="4" t="s">
        <v>9738</v>
      </c>
      <c r="J3918" s="4" t="s">
        <v>9739</v>
      </c>
      <c r="K3918" s="4" t="s">
        <v>9740</v>
      </c>
      <c r="L3918" s="4" t="s">
        <v>9741</v>
      </c>
      <c r="M3918" s="4" t="s">
        <v>9737</v>
      </c>
      <c r="N3918" s="4" t="s">
        <v>9742</v>
      </c>
      <c r="O3918" s="4" t="s">
        <v>9743</v>
      </c>
      <c r="P3918" s="4" t="s">
        <v>9744</v>
      </c>
      <c r="Q3918" s="4" t="s">
        <v>9737</v>
      </c>
    </row>
    <row r="3919">
      <c r="A3919" s="4">
        <v>121.0</v>
      </c>
      <c r="B3919" s="4" t="s">
        <v>9198</v>
      </c>
      <c r="C3919" s="4"/>
      <c r="D3919" s="4" t="s">
        <v>2009</v>
      </c>
      <c r="E3919" s="4" t="s">
        <v>7968</v>
      </c>
      <c r="F3919" s="4" t="s">
        <v>2011</v>
      </c>
      <c r="G3919" s="5" t="str">
        <f>IFERROR(__xludf.DUMMYFUNCTION("GOOGLETRANSLATE(D3919,""fi"",""es"")"),"y")</f>
        <v>y</v>
      </c>
    </row>
    <row r="3920">
      <c r="A3920" s="4">
        <v>122.0</v>
      </c>
      <c r="B3920" s="4" t="s">
        <v>9198</v>
      </c>
      <c r="C3920" s="4"/>
      <c r="D3920" s="4" t="s">
        <v>9745</v>
      </c>
      <c r="E3920" s="4" t="s">
        <v>9746</v>
      </c>
      <c r="F3920" s="4" t="s">
        <v>9747</v>
      </c>
      <c r="G3920" s="5" t="str">
        <f>IFERROR(__xludf.DUMMYFUNCTION("GOOGLETRANSLATE(D3920,""fi"",""es"")"),"bien")</f>
        <v>bien</v>
      </c>
    </row>
    <row r="3921">
      <c r="A3921" s="4">
        <v>123.0</v>
      </c>
      <c r="B3921" s="4" t="s">
        <v>9198</v>
      </c>
      <c r="C3921" s="4"/>
      <c r="D3921" s="4" t="s">
        <v>9748</v>
      </c>
      <c r="E3921" s="4" t="s">
        <v>9749</v>
      </c>
      <c r="F3921" s="4" t="s">
        <v>9750</v>
      </c>
      <c r="G3921" s="5" t="str">
        <f>IFERROR(__xludf.DUMMYFUNCTION("GOOGLETRANSLATE(D3921,""fi"",""es"")"),"dividido")</f>
        <v>dividido</v>
      </c>
    </row>
    <row r="3922">
      <c r="A3922" s="4">
        <v>124.0</v>
      </c>
      <c r="B3922" s="4" t="s">
        <v>9198</v>
      </c>
      <c r="C3922" s="4"/>
      <c r="D3922" s="4" t="s">
        <v>9751</v>
      </c>
      <c r="E3922" s="4" t="s">
        <v>9752</v>
      </c>
      <c r="F3922" s="4" t="s">
        <v>9753</v>
      </c>
      <c r="G3922" s="5" t="str">
        <f>IFERROR(__xludf.DUMMYFUNCTION("GOOGLETRANSLATE(D3922,""fi"",""es"")"),"en marcha")</f>
        <v>en marcha</v>
      </c>
      <c r="H3922" s="4" t="s">
        <v>9754</v>
      </c>
    </row>
    <row r="3923">
      <c r="A3923" s="4">
        <v>125.0</v>
      </c>
      <c r="B3923" s="4" t="s">
        <v>9198</v>
      </c>
      <c r="C3923" s="4"/>
      <c r="D3923" s="4" t="s">
        <v>9755</v>
      </c>
      <c r="E3923" s="4" t="s">
        <v>9756</v>
      </c>
      <c r="F3923" s="4" t="s">
        <v>9757</v>
      </c>
      <c r="G3923" s="5" t="str">
        <f>IFERROR(__xludf.DUMMYFUNCTION("GOOGLETRANSLATE(D3923,""fi"",""es"")"),"patinar")</f>
        <v>patinar</v>
      </c>
      <c r="H3923" s="4" t="s">
        <v>9758</v>
      </c>
      <c r="I3923" s="4" t="s">
        <v>9759</v>
      </c>
    </row>
    <row r="3924">
      <c r="A3924" s="4">
        <v>126.0</v>
      </c>
      <c r="B3924" s="4" t="s">
        <v>9198</v>
      </c>
      <c r="C3924" s="4"/>
      <c r="D3924" s="4" t="s">
        <v>9760</v>
      </c>
      <c r="E3924" s="4" t="s">
        <v>9761</v>
      </c>
      <c r="F3924" s="4" t="s">
        <v>9762</v>
      </c>
      <c r="G3924" s="5" t="str">
        <f>IFERROR(__xludf.DUMMYFUNCTION("GOOGLETRANSLATE(D3924,""fi"",""es"")"),"pie")</f>
        <v>pie</v>
      </c>
    </row>
    <row r="3925">
      <c r="A3925" s="4">
        <v>127.0</v>
      </c>
      <c r="B3925" s="4" t="s">
        <v>9198</v>
      </c>
      <c r="C3925" s="4"/>
      <c r="D3925" s="4" t="s">
        <v>9763</v>
      </c>
      <c r="E3925" s="4" t="s">
        <v>9764</v>
      </c>
      <c r="F3925" s="4" t="s">
        <v>9765</v>
      </c>
      <c r="G3925" s="5" t="str">
        <f>IFERROR(__xludf.DUMMYFUNCTION("GOOGLETRANSLATE(D3925,""fi"",""es"")"),"descansar")</f>
        <v>descansar</v>
      </c>
      <c r="H3925" s="4" t="s">
        <v>647</v>
      </c>
      <c r="I3925" s="4" t="s">
        <v>1209</v>
      </c>
      <c r="J3925" s="4" t="s">
        <v>7110</v>
      </c>
    </row>
    <row r="3926">
      <c r="A3926" s="4">
        <v>128.0</v>
      </c>
      <c r="B3926" s="4" t="s">
        <v>9198</v>
      </c>
      <c r="C3926" s="4"/>
      <c r="D3926" s="4" t="s">
        <v>9766</v>
      </c>
      <c r="E3926" s="4" t="s">
        <v>9767</v>
      </c>
      <c r="F3926" s="4" t="s">
        <v>9768</v>
      </c>
      <c r="G3926" s="5" t="str">
        <f>IFERROR(__xludf.DUMMYFUNCTION("GOOGLETRANSLATE(D3926,""fi"",""es"")"),"mermelada")</f>
        <v>mermelada</v>
      </c>
    </row>
    <row r="3927">
      <c r="A3927" s="4">
        <v>129.0</v>
      </c>
      <c r="B3927" s="4" t="s">
        <v>9198</v>
      </c>
      <c r="C3927" s="4"/>
      <c r="D3927" s="4" t="s">
        <v>9769</v>
      </c>
      <c r="E3927" s="4" t="s">
        <v>9770</v>
      </c>
      <c r="F3927" s="4" t="s">
        <v>9771</v>
      </c>
      <c r="G3927" s="5" t="str">
        <f>IFERROR(__xludf.DUMMYFUNCTION("GOOGLETRANSLATE(D3927,""fi"",""es"")"),"segmento")</f>
        <v>segmento</v>
      </c>
    </row>
    <row r="3928">
      <c r="A3928" s="4">
        <v>130.0</v>
      </c>
      <c r="B3928" s="4" t="s">
        <v>9198</v>
      </c>
      <c r="C3928" s="4"/>
      <c r="D3928" s="4" t="s">
        <v>9772</v>
      </c>
      <c r="E3928" s="4" t="s">
        <v>9773</v>
      </c>
      <c r="F3928" s="4" t="s">
        <v>9774</v>
      </c>
      <c r="G3928" s="5" t="str">
        <f>IFERROR(__xludf.DUMMYFUNCTION("GOOGLETRANSLATE(D3928,""fi"",""es"")"),"Jani")</f>
        <v>Jani</v>
      </c>
    </row>
    <row r="3929">
      <c r="A3929" s="4">
        <v>131.0</v>
      </c>
      <c r="B3929" s="4" t="s">
        <v>9198</v>
      </c>
      <c r="C3929" s="4"/>
      <c r="D3929" s="4" t="s">
        <v>9775</v>
      </c>
      <c r="E3929" s="4" t="s">
        <v>9776</v>
      </c>
      <c r="F3929" s="4" t="s">
        <v>9777</v>
      </c>
      <c r="G3929" s="5" t="str">
        <f>IFERROR(__xludf.DUMMYFUNCTION("GOOGLETRANSLATE(D3929,""fi"",""es"")"),"Janika")</f>
        <v>Janika</v>
      </c>
    </row>
    <row r="3930">
      <c r="A3930" s="4">
        <v>132.0</v>
      </c>
      <c r="B3930" s="4" t="s">
        <v>9198</v>
      </c>
      <c r="C3930" s="4"/>
      <c r="D3930" s="4" t="s">
        <v>9778</v>
      </c>
      <c r="E3930" s="4" t="s">
        <v>9779</v>
      </c>
      <c r="F3930" s="4" t="s">
        <v>9780</v>
      </c>
      <c r="G3930" s="5" t="str">
        <f>IFERROR(__xludf.DUMMYFUNCTION("GOOGLETRANSLATE(D3930,""fi"",""es"")"),"sed")</f>
        <v>sed</v>
      </c>
    </row>
    <row r="3931">
      <c r="A3931" s="4">
        <v>133.0</v>
      </c>
      <c r="B3931" s="4" t="s">
        <v>9198</v>
      </c>
      <c r="C3931" s="4"/>
      <c r="D3931" s="4" t="s">
        <v>9781</v>
      </c>
      <c r="E3931" s="4" t="s">
        <v>9782</v>
      </c>
      <c r="F3931" s="4" t="s">
        <v>9783</v>
      </c>
      <c r="G3931" s="5" t="str">
        <f>IFERROR(__xludf.DUMMYFUNCTION("GOOGLETRANSLATE(D3931,""fi"",""es"")"),"Janita")</f>
        <v>Janita</v>
      </c>
    </row>
    <row r="3932">
      <c r="A3932" s="4">
        <v>134.0</v>
      </c>
      <c r="B3932" s="4" t="s">
        <v>9198</v>
      </c>
      <c r="C3932" s="4"/>
      <c r="D3932" s="4" t="s">
        <v>9784</v>
      </c>
      <c r="E3932" s="4" t="s">
        <v>9785</v>
      </c>
      <c r="F3932" s="4" t="s">
        <v>9786</v>
      </c>
      <c r="G3932" s="5" t="str">
        <f>IFERROR(__xludf.DUMMYFUNCTION("GOOGLETRANSLATE(D3932,""fi"",""es"")"),"Japón")</f>
        <v>Japón</v>
      </c>
      <c r="H3932" s="4" t="s">
        <v>9787</v>
      </c>
      <c r="I3932" s="4" t="s">
        <v>8568</v>
      </c>
      <c r="J3932" s="4" t="s">
        <v>9788</v>
      </c>
      <c r="K3932" s="4" t="s">
        <v>9789</v>
      </c>
      <c r="L3932" s="4" t="s">
        <v>8568</v>
      </c>
      <c r="M3932" s="4" t="s">
        <v>8569</v>
      </c>
      <c r="N3932" s="4" t="s">
        <v>8570</v>
      </c>
    </row>
    <row r="3933">
      <c r="A3933" s="4">
        <v>135.0</v>
      </c>
      <c r="B3933" s="4" t="s">
        <v>9198</v>
      </c>
      <c r="C3933" s="4"/>
      <c r="D3933" s="4" t="s">
        <v>9790</v>
      </c>
      <c r="E3933" s="4" t="s">
        <v>9791</v>
      </c>
      <c r="F3933" s="4" t="s">
        <v>9792</v>
      </c>
      <c r="G3933" s="5" t="str">
        <f>IFERROR(__xludf.DUMMYFUNCTION("GOOGLETRANSLATE(D3933,""fi"",""es"")"),"jateo")</f>
        <v>jateo</v>
      </c>
    </row>
    <row r="3934">
      <c r="A3934" s="4">
        <v>136.0</v>
      </c>
      <c r="B3934" s="4" t="s">
        <v>9198</v>
      </c>
      <c r="C3934" s="4"/>
      <c r="D3934" s="4" t="s">
        <v>9793</v>
      </c>
      <c r="E3934" s="4" t="s">
        <v>9794</v>
      </c>
      <c r="F3934" s="4" t="s">
        <v>9795</v>
      </c>
      <c r="G3934" s="5" t="str">
        <f>IFERROR(__xludf.DUMMYFUNCTION("GOOGLETRANSLATE(D3934,""fi"",""es"")"),"jimi")</f>
        <v>jimi</v>
      </c>
    </row>
    <row r="3935">
      <c r="A3935" s="4">
        <v>137.0</v>
      </c>
      <c r="B3935" s="4" t="s">
        <v>9198</v>
      </c>
      <c r="C3935" s="4"/>
      <c r="D3935" s="4" t="s">
        <v>9796</v>
      </c>
      <c r="E3935" s="4" t="s">
        <v>9797</v>
      </c>
      <c r="F3935" s="4" t="s">
        <v>9798</v>
      </c>
      <c r="G3935" s="5" t="str">
        <f>IFERROR(__xludf.DUMMYFUNCTION("GOOGLETRANSLATE(D3935,""fi"",""es"")"),"Juha")</f>
        <v>Juha</v>
      </c>
    </row>
    <row r="3936">
      <c r="A3936" s="4">
        <v>138.0</v>
      </c>
      <c r="B3936" s="4" t="s">
        <v>9198</v>
      </c>
      <c r="C3936" s="4"/>
      <c r="D3936" s="4" t="s">
        <v>9799</v>
      </c>
      <c r="E3936" s="4" t="s">
        <v>9800</v>
      </c>
      <c r="F3936" s="4" t="s">
        <v>9801</v>
      </c>
      <c r="G3936" s="5" t="str">
        <f>IFERROR(__xludf.DUMMYFUNCTION("GOOGLETRANSLATE(D3936,""fi"",""es"")"),"Juhana")</f>
        <v>Juhana</v>
      </c>
      <c r="H3936" s="4" t="s">
        <v>9802</v>
      </c>
      <c r="I3936" s="4" t="s">
        <v>9803</v>
      </c>
      <c r="J3936" s="4" t="s">
        <v>9804</v>
      </c>
    </row>
    <row r="3937">
      <c r="A3937" s="4">
        <v>139.0</v>
      </c>
      <c r="B3937" s="4" t="s">
        <v>9198</v>
      </c>
      <c r="C3937" s="4"/>
      <c r="D3937" s="4" t="s">
        <v>9805</v>
      </c>
      <c r="E3937" s="4" t="s">
        <v>9806</v>
      </c>
      <c r="F3937" s="4" t="s">
        <v>9807</v>
      </c>
      <c r="G3937" s="5" t="str">
        <f>IFERROR(__xludf.DUMMYFUNCTION("GOOGLETRANSLATE(D3937,""fi"",""es"")"),"Juhani")</f>
        <v>Juhani</v>
      </c>
    </row>
    <row r="3938">
      <c r="A3938" s="4">
        <v>140.0</v>
      </c>
      <c r="B3938" s="4" t="s">
        <v>9198</v>
      </c>
      <c r="C3938" s="4"/>
      <c r="D3938" s="4" t="s">
        <v>9808</v>
      </c>
      <c r="E3938" s="4" t="s">
        <v>9809</v>
      </c>
      <c r="F3938" s="4" t="s">
        <v>9810</v>
      </c>
      <c r="G3938" s="5" t="str">
        <f>IFERROR(__xludf.DUMMYFUNCTION("GOOGLETRANSLATE(D3938,""fi"",""es"")"),"truco")</f>
        <v>truco</v>
      </c>
      <c r="H3938" s="4" t="s">
        <v>9811</v>
      </c>
      <c r="I3938" s="4" t="s">
        <v>9812</v>
      </c>
      <c r="J3938" s="4" t="s">
        <v>7299</v>
      </c>
      <c r="K3938" s="4" t="s">
        <v>1375</v>
      </c>
      <c r="L3938" s="4" t="s">
        <v>9812</v>
      </c>
      <c r="M3938" s="4" t="s">
        <v>3334</v>
      </c>
      <c r="N3938" s="4" t="s">
        <v>6282</v>
      </c>
      <c r="O3938" s="4" t="s">
        <v>6278</v>
      </c>
      <c r="P3938" s="4" t="s">
        <v>3336</v>
      </c>
      <c r="Q3938" s="4" t="s">
        <v>6283</v>
      </c>
      <c r="R3938" s="4" t="s">
        <v>9808</v>
      </c>
    </row>
    <row r="3939">
      <c r="A3939" s="4">
        <v>141.0</v>
      </c>
      <c r="B3939" s="4" t="s">
        <v>9198</v>
      </c>
      <c r="C3939" s="4"/>
      <c r="D3939" s="4" t="s">
        <v>9813</v>
      </c>
      <c r="E3939" s="4" t="s">
        <v>9814</v>
      </c>
      <c r="F3939" s="4" t="s">
        <v>9815</v>
      </c>
      <c r="G3939" s="5" t="str">
        <f>IFERROR(__xludf.DUMMYFUNCTION("GOOGLETRANSLATE(D3939,""fi"",""es"")"),"yuma")</f>
        <v>yuma</v>
      </c>
    </row>
    <row r="3940">
      <c r="A3940" s="4">
        <v>142.0</v>
      </c>
      <c r="B3940" s="4" t="s">
        <v>9198</v>
      </c>
      <c r="C3940" s="4"/>
      <c r="D3940" s="4" t="s">
        <v>9816</v>
      </c>
      <c r="E3940" s="4" t="s">
        <v>9817</v>
      </c>
      <c r="F3940" s="4" t="s">
        <v>9818</v>
      </c>
      <c r="G3940" s="5" t="str">
        <f>IFERROR(__xludf.DUMMYFUNCTION("GOOGLETRANSLATE(D3940,""fi"",""es"")"),"Dios")</f>
        <v>Dios</v>
      </c>
      <c r="H3940" s="4" t="s">
        <v>9819</v>
      </c>
      <c r="I3940" s="4" t="s">
        <v>9820</v>
      </c>
      <c r="J3940" s="4" t="s">
        <v>9821</v>
      </c>
      <c r="K3940" s="4" t="s">
        <v>9822</v>
      </c>
      <c r="L3940" s="4" t="s">
        <v>9823</v>
      </c>
      <c r="M3940" s="4" t="s">
        <v>9821</v>
      </c>
      <c r="N3940" s="4" t="s">
        <v>9824</v>
      </c>
      <c r="O3940" s="4" t="s">
        <v>9825</v>
      </c>
      <c r="P3940" s="4" t="s">
        <v>9826</v>
      </c>
      <c r="Q3940" s="4" t="s">
        <v>9827</v>
      </c>
      <c r="R3940" s="4" t="s">
        <v>9828</v>
      </c>
      <c r="S3940" s="4" t="s">
        <v>9829</v>
      </c>
      <c r="T3940" s="4" t="s">
        <v>9830</v>
      </c>
      <c r="U3940" s="4" t="s">
        <v>9831</v>
      </c>
      <c r="V3940" s="4" t="s">
        <v>9832</v>
      </c>
      <c r="W3940" s="4" t="s">
        <v>9833</v>
      </c>
      <c r="X3940" s="4" t="s">
        <v>9834</v>
      </c>
      <c r="Y3940" s="4" t="s">
        <v>9821</v>
      </c>
    </row>
    <row r="3941">
      <c r="A3941" s="4">
        <v>143.0</v>
      </c>
      <c r="B3941" s="4" t="s">
        <v>9198</v>
      </c>
      <c r="C3941" s="4"/>
      <c r="D3941" s="4" t="s">
        <v>9835</v>
      </c>
      <c r="E3941" s="4" t="s">
        <v>9836</v>
      </c>
      <c r="F3941" s="4" t="s">
        <v>9837</v>
      </c>
      <c r="G3941" s="5" t="str">
        <f>IFERROR(__xludf.DUMMYFUNCTION("GOOGLETRANSLATE(D3941,""fi"",""es"")"),"atascado")</f>
        <v>atascado</v>
      </c>
    </row>
    <row r="3942">
      <c r="A3942" s="4">
        <v>144.0</v>
      </c>
      <c r="B3942" s="4" t="s">
        <v>9198</v>
      </c>
      <c r="C3942" s="4"/>
      <c r="D3942" s="4" t="s">
        <v>9838</v>
      </c>
      <c r="E3942" s="4" t="s">
        <v>9839</v>
      </c>
      <c r="F3942" s="4" t="s">
        <v>9840</v>
      </c>
      <c r="G3942" s="5" t="str">
        <f>IFERROR(__xludf.DUMMYFUNCTION("GOOGLETRANSLATE(D3942,""fi"",""es"")"),"tren")</f>
        <v>tren</v>
      </c>
      <c r="H3942" s="4" t="s">
        <v>9841</v>
      </c>
      <c r="I3942" s="4" t="s">
        <v>7938</v>
      </c>
      <c r="J3942" s="4" t="s">
        <v>9842</v>
      </c>
    </row>
    <row r="3943">
      <c r="A3943" s="4">
        <v>145.0</v>
      </c>
      <c r="B3943" s="4" t="s">
        <v>9198</v>
      </c>
      <c r="C3943" s="4"/>
      <c r="D3943" s="4" t="s">
        <v>9843</v>
      </c>
      <c r="E3943" s="4" t="s">
        <v>9844</v>
      </c>
      <c r="F3943" s="4" t="s">
        <v>9845</v>
      </c>
      <c r="G3943" s="5" t="str">
        <f>IFERROR(__xludf.DUMMYFUNCTION("GOOGLETRANSLATE(D3943,""fi"",""es"")"),"Jupik")</f>
        <v>Jupik</v>
      </c>
    </row>
    <row r="3944">
      <c r="A3944" s="4">
        <v>146.0</v>
      </c>
      <c r="B3944" s="4" t="s">
        <v>9198</v>
      </c>
      <c r="C3944" s="4"/>
      <c r="D3944" s="4" t="s">
        <v>9846</v>
      </c>
      <c r="E3944" s="4" t="s">
        <v>9847</v>
      </c>
      <c r="F3944" s="4" t="s">
        <v>9848</v>
      </c>
      <c r="G3944" s="5" t="str">
        <f>IFERROR(__xludf.DUMMYFUNCTION("GOOGLETRANSLATE(D3944,""fi"",""es"")"),"liquen")</f>
        <v>liquen</v>
      </c>
      <c r="H3944" s="4" t="s">
        <v>9849</v>
      </c>
      <c r="I3944" s="4" t="s">
        <v>9850</v>
      </c>
      <c r="J3944" s="4" t="s">
        <v>9851</v>
      </c>
      <c r="K3944" s="4" t="s">
        <v>9852</v>
      </c>
    </row>
    <row r="3945">
      <c r="A3945" s="4">
        <v>147.0</v>
      </c>
      <c r="B3945" s="4" t="s">
        <v>9198</v>
      </c>
      <c r="C3945" s="4"/>
      <c r="D3945" s="4" t="s">
        <v>9853</v>
      </c>
      <c r="E3945" s="4" t="s">
        <v>9854</v>
      </c>
      <c r="F3945" s="4" t="s">
        <v>9765</v>
      </c>
      <c r="G3945" s="5" t="str">
        <f>IFERROR(__xludf.DUMMYFUNCTION("GOOGLETRANSLATE(D3945,""fi"",""es"")"),"descansar")</f>
        <v>descansar</v>
      </c>
    </row>
    <row r="3946">
      <c r="A3946" s="4">
        <v>148.0</v>
      </c>
      <c r="B3946" s="4" t="s">
        <v>9198</v>
      </c>
      <c r="C3946" s="4"/>
      <c r="D3946" s="4" t="s">
        <v>9855</v>
      </c>
      <c r="E3946" s="4" t="s">
        <v>9856</v>
      </c>
      <c r="F3946" s="4" t="s">
        <v>9857</v>
      </c>
      <c r="G3946" s="5" t="str">
        <f>IFERROR(__xludf.DUMMYFUNCTION("GOOGLETRANSLATE(D3946,""fi"",""es"")"),"Conejo")</f>
        <v>Conejo</v>
      </c>
      <c r="H3946" s="4" t="s">
        <v>1546</v>
      </c>
      <c r="I3946" s="4" t="s">
        <v>1547</v>
      </c>
      <c r="J3946" s="4" t="s">
        <v>1548</v>
      </c>
      <c r="K3946" s="4" t="s">
        <v>9858</v>
      </c>
      <c r="L3946" s="4" t="s">
        <v>9859</v>
      </c>
      <c r="M3946" s="4" t="s">
        <v>9860</v>
      </c>
      <c r="N3946" s="4" t="s">
        <v>9861</v>
      </c>
      <c r="O3946" s="4" t="s">
        <v>9862</v>
      </c>
      <c r="P3946" s="4" t="s">
        <v>9863</v>
      </c>
      <c r="Q3946" s="4" t="s">
        <v>1549</v>
      </c>
      <c r="R3946" s="4" t="s">
        <v>9864</v>
      </c>
      <c r="S3946" s="4" t="s">
        <v>9865</v>
      </c>
      <c r="T3946" s="4" t="s">
        <v>9866</v>
      </c>
      <c r="U3946" s="4" t="s">
        <v>1546</v>
      </c>
      <c r="V3946" s="4" t="s">
        <v>1549</v>
      </c>
      <c r="W3946" s="4" t="s">
        <v>9867</v>
      </c>
    </row>
    <row r="3947">
      <c r="A3947" s="4">
        <v>149.0</v>
      </c>
      <c r="B3947" s="4" t="s">
        <v>9198</v>
      </c>
      <c r="C3947" s="4"/>
      <c r="D3947" s="4" t="s">
        <v>962</v>
      </c>
      <c r="E3947" s="4" t="s">
        <v>9868</v>
      </c>
      <c r="F3947" s="4" t="s">
        <v>962</v>
      </c>
      <c r="G3947" s="5" t="str">
        <f>IFERROR(__xludf.DUMMYFUNCTION("GOOGLETRANSLATE(D3947,""fi"",""es"")"),"ka")</f>
        <v>ka</v>
      </c>
      <c r="H3947" s="4" t="s">
        <v>9869</v>
      </c>
    </row>
    <row r="3948">
      <c r="A3948" s="4">
        <v>150.0</v>
      </c>
      <c r="B3948" s="4" t="s">
        <v>9198</v>
      </c>
      <c r="C3948" s="4"/>
      <c r="D3948" s="4" t="s">
        <v>9870</v>
      </c>
      <c r="E3948" s="4" t="s">
        <v>9871</v>
      </c>
      <c r="F3948" s="4" t="s">
        <v>9870</v>
      </c>
      <c r="G3948" s="5" t="str">
        <f>IFERROR(__xludf.DUMMYFUNCTION("GOOGLETRANSLATE(D3948,""fi"",""es"")"),"gancho")</f>
        <v>gancho</v>
      </c>
    </row>
    <row r="3949">
      <c r="A3949" s="4">
        <v>151.0</v>
      </c>
      <c r="B3949" s="4" t="s">
        <v>9198</v>
      </c>
      <c r="C3949" s="4"/>
      <c r="D3949" s="4" t="s">
        <v>9872</v>
      </c>
      <c r="E3949" s="4" t="s">
        <v>9873</v>
      </c>
      <c r="F3949" s="4" t="s">
        <v>9872</v>
      </c>
      <c r="G3949" s="5" t="str">
        <f>IFERROR(__xludf.DUMMYFUNCTION("GOOGLETRANSLATE(D3949,""fi"",""es"")"),"raspar")</f>
        <v>raspar</v>
      </c>
      <c r="H3949" s="4" t="s">
        <v>9874</v>
      </c>
      <c r="I3949" s="4" t="s">
        <v>9875</v>
      </c>
      <c r="J3949" s="4" t="s">
        <v>9876</v>
      </c>
      <c r="K3949" s="4" t="s">
        <v>9877</v>
      </c>
    </row>
    <row r="3950">
      <c r="A3950" s="4">
        <v>152.0</v>
      </c>
      <c r="B3950" s="4" t="s">
        <v>9198</v>
      </c>
      <c r="C3950" s="4"/>
      <c r="D3950" s="4" t="s">
        <v>9878</v>
      </c>
      <c r="E3950" s="4" t="s">
        <v>9879</v>
      </c>
      <c r="F3950" s="4" t="s">
        <v>9878</v>
      </c>
      <c r="G3950" s="5" t="str">
        <f>IFERROR(__xludf.DUMMYFUNCTION("GOOGLETRANSLATE(D3950,""fi"",""es"")"),"carrera")</f>
        <v>carrera</v>
      </c>
    </row>
    <row r="3951">
      <c r="A3951" s="4">
        <v>153.0</v>
      </c>
      <c r="B3951" s="4" t="s">
        <v>9198</v>
      </c>
      <c r="C3951" s="4"/>
      <c r="D3951" s="4" t="s">
        <v>9073</v>
      </c>
      <c r="E3951" s="4" t="s">
        <v>9880</v>
      </c>
      <c r="F3951" s="4" t="s">
        <v>9073</v>
      </c>
      <c r="G3951" s="5" t="str">
        <f>IFERROR(__xludf.DUMMYFUNCTION("GOOGLETRANSLATE(D3951,""fi"",""es"")"),"caca")</f>
        <v>caca</v>
      </c>
    </row>
    <row r="3952">
      <c r="A3952" s="4">
        <v>154.0</v>
      </c>
      <c r="B3952" s="4" t="s">
        <v>9198</v>
      </c>
      <c r="C3952" s="4"/>
      <c r="D3952" s="4" t="s">
        <v>1297</v>
      </c>
      <c r="E3952" s="4" t="s">
        <v>8169</v>
      </c>
      <c r="F3952" s="4" t="s">
        <v>1297</v>
      </c>
      <c r="G3952" s="5" t="str">
        <f>IFERROR(__xludf.DUMMYFUNCTION("GOOGLETRANSLATE(D3952,""fi"",""es"")"),"caqui")</f>
        <v>caqui</v>
      </c>
      <c r="H3952" s="4" t="s">
        <v>1299</v>
      </c>
      <c r="I3952" s="4" t="s">
        <v>6396</v>
      </c>
      <c r="J3952" s="4" t="s">
        <v>1297</v>
      </c>
      <c r="K3952" s="4" t="s">
        <v>6397</v>
      </c>
    </row>
    <row r="3953">
      <c r="A3953" s="4">
        <v>155.0</v>
      </c>
      <c r="B3953" s="4" t="s">
        <v>9198</v>
      </c>
      <c r="C3953" s="4"/>
      <c r="D3953" s="4" t="s">
        <v>978</v>
      </c>
      <c r="E3953" s="4" t="s">
        <v>9881</v>
      </c>
      <c r="F3953" s="4" t="s">
        <v>978</v>
      </c>
      <c r="G3953" s="5" t="str">
        <f>IFERROR(__xludf.DUMMYFUNCTION("GOOGLETRANSLATE(D3953,""fi"",""es"")"),"pez")</f>
        <v>pez</v>
      </c>
      <c r="H3953" s="4" t="s">
        <v>9882</v>
      </c>
      <c r="I3953" s="4" t="s">
        <v>9883</v>
      </c>
      <c r="J3953" s="4" t="s">
        <v>9884</v>
      </c>
      <c r="K3953" s="4" t="s">
        <v>9885</v>
      </c>
      <c r="L3953" s="4" t="s">
        <v>9886</v>
      </c>
      <c r="M3953" s="4" t="s">
        <v>9887</v>
      </c>
      <c r="N3953" s="4" t="s">
        <v>9888</v>
      </c>
      <c r="O3953" s="4" t="s">
        <v>9889</v>
      </c>
      <c r="P3953" s="4" t="s">
        <v>9890</v>
      </c>
      <c r="Q3953" s="4" t="s">
        <v>9891</v>
      </c>
      <c r="R3953" s="4" t="s">
        <v>9892</v>
      </c>
      <c r="S3953" s="4" t="s">
        <v>9893</v>
      </c>
      <c r="T3953" s="4" t="s">
        <v>9894</v>
      </c>
      <c r="U3953" s="4" t="s">
        <v>9895</v>
      </c>
      <c r="V3953" s="4" t="s">
        <v>9896</v>
      </c>
      <c r="W3953" s="4" t="s">
        <v>9897</v>
      </c>
      <c r="X3953" s="4" t="s">
        <v>9898</v>
      </c>
      <c r="Y3953" s="4" t="s">
        <v>9899</v>
      </c>
      <c r="Z3953" s="4" t="s">
        <v>9900</v>
      </c>
      <c r="AA3953" s="4" t="s">
        <v>9901</v>
      </c>
      <c r="AB3953" s="4" t="s">
        <v>9902</v>
      </c>
      <c r="AC3953" s="4" t="s">
        <v>9903</v>
      </c>
      <c r="AD3953" s="4" t="s">
        <v>9904</v>
      </c>
      <c r="AE3953" s="4" t="s">
        <v>9905</v>
      </c>
      <c r="AF3953" s="4" t="s">
        <v>9886</v>
      </c>
    </row>
    <row r="3954">
      <c r="A3954" s="4">
        <v>156.0</v>
      </c>
      <c r="B3954" s="4" t="s">
        <v>9198</v>
      </c>
      <c r="C3954" s="4"/>
      <c r="D3954" s="4" t="s">
        <v>9906</v>
      </c>
      <c r="E3954" s="4" t="s">
        <v>9907</v>
      </c>
      <c r="F3954" s="4" t="s">
        <v>9908</v>
      </c>
      <c r="G3954" s="5" t="str">
        <f>IFERROR(__xludf.DUMMYFUNCTION("GOOGLETRANSLATE(D3954,""fi"",""es"")"),"kalamaja")</f>
        <v>kalamaja</v>
      </c>
    </row>
    <row r="3955">
      <c r="A3955" s="4">
        <v>157.0</v>
      </c>
      <c r="B3955" s="4" t="s">
        <v>9198</v>
      </c>
      <c r="C3955" s="4"/>
      <c r="D3955" s="4" t="s">
        <v>9909</v>
      </c>
      <c r="E3955" s="4" t="s">
        <v>9910</v>
      </c>
      <c r="F3955" s="4" t="s">
        <v>9909</v>
      </c>
      <c r="G3955" s="5" t="str">
        <f>IFERROR(__xludf.DUMMYFUNCTION("GOOGLETRANSLATE(D3955,""fi"",""es"")"),"Puerto pesquero")</f>
        <v>Puerto pesquero</v>
      </c>
    </row>
    <row r="3956">
      <c r="A3956" s="4">
        <v>158.0</v>
      </c>
      <c r="B3956" s="4" t="s">
        <v>9198</v>
      </c>
      <c r="C3956" s="4"/>
      <c r="D3956" s="4" t="s">
        <v>5148</v>
      </c>
      <c r="E3956" s="4" t="s">
        <v>9911</v>
      </c>
      <c r="F3956" s="4" t="s">
        <v>5148</v>
      </c>
      <c r="G3956" s="5" t="str">
        <f>IFERROR(__xludf.DUMMYFUNCTION("GOOGLETRANSLATE(D3956,""fi"",""es"")"),"kali")</f>
        <v>kali</v>
      </c>
      <c r="H3956" s="4" t="s">
        <v>9912</v>
      </c>
    </row>
    <row r="3957">
      <c r="A3957" s="4">
        <v>159.0</v>
      </c>
      <c r="B3957" s="4" t="s">
        <v>9198</v>
      </c>
      <c r="C3957" s="4"/>
      <c r="D3957" s="4" t="s">
        <v>8172</v>
      </c>
      <c r="E3957" s="4" t="s">
        <v>8174</v>
      </c>
      <c r="F3957" s="4" t="s">
        <v>8172</v>
      </c>
      <c r="G3957" s="5" t="str">
        <f>IFERROR(__xludf.DUMMYFUNCTION("GOOGLETRANSLATE(D3957,""fi"",""es"")"),"Kalin")</f>
        <v>Kalin</v>
      </c>
    </row>
    <row r="3958">
      <c r="A3958" s="4">
        <v>160.0</v>
      </c>
      <c r="B3958" s="4" t="s">
        <v>9198</v>
      </c>
      <c r="C3958" s="4"/>
      <c r="D3958" s="4" t="s">
        <v>1035</v>
      </c>
      <c r="E3958" s="4" t="s">
        <v>9913</v>
      </c>
      <c r="F3958" s="4" t="s">
        <v>1035</v>
      </c>
      <c r="G3958" s="5" t="str">
        <f>IFERROR(__xludf.DUMMYFUNCTION("GOOGLETRANSLATE(D3958,""fi"",""es"")"),"polla")</f>
        <v>polla</v>
      </c>
      <c r="H3958" s="4" t="s">
        <v>3596</v>
      </c>
      <c r="I3958" s="4" t="s">
        <v>3497</v>
      </c>
      <c r="J3958" s="4" t="s">
        <v>3597</v>
      </c>
      <c r="K3958" s="4" t="s">
        <v>3598</v>
      </c>
      <c r="L3958" s="4" t="s">
        <v>3599</v>
      </c>
      <c r="M3958" s="4" t="s">
        <v>3600</v>
      </c>
      <c r="N3958" s="4" t="s">
        <v>3601</v>
      </c>
      <c r="O3958" s="4" t="s">
        <v>3602</v>
      </c>
    </row>
    <row r="3959">
      <c r="A3959" s="4">
        <v>161.0</v>
      </c>
      <c r="B3959" s="4" t="s">
        <v>9198</v>
      </c>
      <c r="C3959" s="4"/>
      <c r="D3959" s="4" t="s">
        <v>1042</v>
      </c>
      <c r="E3959" s="4" t="s">
        <v>9914</v>
      </c>
      <c r="F3959" s="4" t="s">
        <v>1042</v>
      </c>
      <c r="G3959" s="5" t="str">
        <f>IFERROR(__xludf.DUMMYFUNCTION("GOOGLETRANSLATE(D3959,""fi"",""es"")"),"cosas")</f>
        <v>cosas</v>
      </c>
      <c r="H3959" s="4" t="s">
        <v>9915</v>
      </c>
      <c r="I3959" s="4" t="s">
        <v>9916</v>
      </c>
      <c r="J3959" s="4" t="s">
        <v>9917</v>
      </c>
      <c r="K3959" s="4" t="s">
        <v>9812</v>
      </c>
      <c r="L3959" s="4" t="s">
        <v>9918</v>
      </c>
      <c r="M3959" s="4" t="s">
        <v>9919</v>
      </c>
      <c r="N3959" s="4" t="s">
        <v>9920</v>
      </c>
      <c r="O3959" s="4" t="s">
        <v>9921</v>
      </c>
      <c r="P3959" s="4" t="s">
        <v>9922</v>
      </c>
      <c r="Q3959" s="4" t="s">
        <v>9923</v>
      </c>
      <c r="R3959" s="4" t="s">
        <v>9924</v>
      </c>
      <c r="S3959" s="4" t="s">
        <v>9925</v>
      </c>
      <c r="T3959" s="4" t="s">
        <v>9926</v>
      </c>
      <c r="U3959" s="4" t="s">
        <v>9927</v>
      </c>
      <c r="V3959" s="4" t="s">
        <v>9928</v>
      </c>
      <c r="W3959" s="4" t="s">
        <v>9929</v>
      </c>
      <c r="X3959" s="4" t="s">
        <v>9930</v>
      </c>
      <c r="Y3959" s="4" t="s">
        <v>9931</v>
      </c>
      <c r="Z3959" s="4" t="s">
        <v>9932</v>
      </c>
      <c r="AA3959" s="4" t="s">
        <v>9933</v>
      </c>
    </row>
    <row r="3960">
      <c r="A3960" s="4">
        <v>162.0</v>
      </c>
      <c r="B3960" s="4" t="s">
        <v>9198</v>
      </c>
      <c r="C3960" s="4"/>
      <c r="D3960" s="4" t="s">
        <v>9934</v>
      </c>
      <c r="E3960" s="4" t="s">
        <v>9935</v>
      </c>
      <c r="F3960" s="4" t="s">
        <v>9934</v>
      </c>
      <c r="G3960" s="5" t="str">
        <f>IFERROR(__xludf.DUMMYFUNCTION("GOOGLETRANSLATE(D3960,""fi"",""es"")"),"horrible")</f>
        <v>horrible</v>
      </c>
      <c r="H3960" s="4" t="s">
        <v>9936</v>
      </c>
      <c r="I3960" s="4" t="s">
        <v>9937</v>
      </c>
      <c r="J3960" s="4" t="s">
        <v>9938</v>
      </c>
      <c r="K3960" s="4" t="s">
        <v>9939</v>
      </c>
      <c r="L3960" s="4" t="s">
        <v>9940</v>
      </c>
      <c r="M3960" s="4" t="s">
        <v>9936</v>
      </c>
      <c r="N3960" s="4" t="s">
        <v>9941</v>
      </c>
      <c r="O3960" s="4" t="s">
        <v>9942</v>
      </c>
      <c r="P3960" s="4" t="s">
        <v>9943</v>
      </c>
      <c r="Q3960" s="4" t="s">
        <v>9944</v>
      </c>
      <c r="R3960" s="4" t="s">
        <v>9945</v>
      </c>
      <c r="S3960" s="4" t="s">
        <v>9946</v>
      </c>
      <c r="T3960" s="4" t="s">
        <v>9947</v>
      </c>
      <c r="U3960" s="4" t="s">
        <v>6330</v>
      </c>
      <c r="V3960" s="4" t="s">
        <v>6333</v>
      </c>
      <c r="W3960" s="4" t="s">
        <v>6334</v>
      </c>
      <c r="X3960" s="4" t="s">
        <v>6335</v>
      </c>
      <c r="Y3960" s="4" t="s">
        <v>6336</v>
      </c>
      <c r="Z3960" s="4" t="s">
        <v>6337</v>
      </c>
      <c r="AA3960" s="4" t="s">
        <v>6338</v>
      </c>
      <c r="AB3960" s="4" t="s">
        <v>9948</v>
      </c>
      <c r="AC3960" s="4" t="s">
        <v>9949</v>
      </c>
      <c r="AD3960" s="4" t="s">
        <v>9950</v>
      </c>
      <c r="AE3960" s="4" t="s">
        <v>9942</v>
      </c>
      <c r="AF3960" s="4" t="s">
        <v>9951</v>
      </c>
      <c r="AG3960" s="4" t="s">
        <v>9952</v>
      </c>
      <c r="AH3960" s="4" t="s">
        <v>9942</v>
      </c>
      <c r="AI3960" s="4" t="s">
        <v>9937</v>
      </c>
      <c r="AJ3960" s="4" t="s">
        <v>9945</v>
      </c>
      <c r="AK3960" s="4" t="s">
        <v>9942</v>
      </c>
      <c r="AL3960" s="4" t="s">
        <v>9953</v>
      </c>
      <c r="AM3960" s="4" t="s">
        <v>9954</v>
      </c>
      <c r="AN3960" s="4" t="s">
        <v>9955</v>
      </c>
      <c r="AO3960" s="4" t="s">
        <v>9956</v>
      </c>
    </row>
    <row r="3961">
      <c r="A3961" s="4">
        <v>163.0</v>
      </c>
      <c r="B3961" s="4" t="s">
        <v>9198</v>
      </c>
      <c r="C3961" s="4"/>
      <c r="D3961" s="4" t="s">
        <v>9957</v>
      </c>
      <c r="E3961" s="4" t="s">
        <v>9958</v>
      </c>
      <c r="F3961" s="4" t="s">
        <v>9957</v>
      </c>
      <c r="G3961" s="5" t="str">
        <f>IFERROR(__xludf.DUMMYFUNCTION("GOOGLETRANSLATE(D3961,""fi"",""es"")"),"dintel")</f>
        <v>dintel</v>
      </c>
      <c r="H3961" s="4" t="s">
        <v>9187</v>
      </c>
      <c r="I3961" s="4" t="s">
        <v>9959</v>
      </c>
      <c r="J3961" s="4" t="s">
        <v>9960</v>
      </c>
    </row>
    <row r="3962">
      <c r="A3962" s="4">
        <v>164.0</v>
      </c>
      <c r="B3962" s="4" t="s">
        <v>9198</v>
      </c>
      <c r="C3962" s="4"/>
      <c r="D3962" s="4" t="s">
        <v>9961</v>
      </c>
      <c r="E3962" s="4" t="s">
        <v>9962</v>
      </c>
      <c r="F3962" s="4" t="s">
        <v>9961</v>
      </c>
      <c r="G3962" s="5" t="str">
        <f>IFERROR(__xludf.DUMMYFUNCTION("GOOGLETRANSLATE(D3962,""fi"",""es"")"),"camarada")</f>
        <v>camarada</v>
      </c>
      <c r="H3962" s="4" t="s">
        <v>7053</v>
      </c>
      <c r="I3962" s="4" t="s">
        <v>7054</v>
      </c>
      <c r="J3962" s="4" t="s">
        <v>7055</v>
      </c>
      <c r="K3962" s="4" t="s">
        <v>7056</v>
      </c>
      <c r="L3962" s="4" t="s">
        <v>3161</v>
      </c>
      <c r="M3962" s="4" t="s">
        <v>7057</v>
      </c>
    </row>
    <row r="3963">
      <c r="A3963" s="4">
        <v>165.0</v>
      </c>
      <c r="B3963" s="4" t="s">
        <v>9198</v>
      </c>
      <c r="C3963" s="4"/>
      <c r="D3963" s="4" t="s">
        <v>1125</v>
      </c>
      <c r="E3963" s="4" t="s">
        <v>9963</v>
      </c>
      <c r="F3963" s="4" t="s">
        <v>1125</v>
      </c>
      <c r="G3963" s="5" t="str">
        <f>IFERROR(__xludf.DUMMYFUNCTION("GOOGLETRANSLATE(D3963,""fi"",""es"")"),"pollo")</f>
        <v>pollo</v>
      </c>
      <c r="H3963" s="4" t="s">
        <v>3655</v>
      </c>
      <c r="I3963" s="4" t="s">
        <v>9964</v>
      </c>
      <c r="J3963" s="4" t="s">
        <v>9965</v>
      </c>
      <c r="K3963" s="4" t="s">
        <v>9966</v>
      </c>
      <c r="L3963" s="4" t="s">
        <v>3655</v>
      </c>
      <c r="M3963" s="4" t="s">
        <v>9967</v>
      </c>
      <c r="N3963" s="4" t="s">
        <v>9968</v>
      </c>
      <c r="O3963" s="4" t="s">
        <v>9965</v>
      </c>
    </row>
    <row r="3964">
      <c r="A3964" s="4">
        <v>166.0</v>
      </c>
      <c r="B3964" s="4" t="s">
        <v>9198</v>
      </c>
      <c r="C3964" s="4"/>
      <c r="D3964" s="4" t="s">
        <v>9969</v>
      </c>
      <c r="E3964" s="4" t="s">
        <v>9970</v>
      </c>
      <c r="F3964" s="4" t="s">
        <v>9969</v>
      </c>
      <c r="G3964" s="5" t="str">
        <f>IFERROR(__xludf.DUMMYFUNCTION("GOOGLETRANSLATE(D3964,""fi"",""es"")"),"gallinero")</f>
        <v>gallinero</v>
      </c>
      <c r="H3964" s="4" t="s">
        <v>9971</v>
      </c>
      <c r="I3964" s="4" t="s">
        <v>9972</v>
      </c>
      <c r="J3964" s="4" t="s">
        <v>9973</v>
      </c>
      <c r="K3964" s="4" t="s">
        <v>9974</v>
      </c>
    </row>
    <row r="3965">
      <c r="A3965" s="4">
        <v>167.0</v>
      </c>
      <c r="B3965" s="4" t="s">
        <v>9198</v>
      </c>
      <c r="C3965" s="4"/>
      <c r="D3965" s="4" t="s">
        <v>1207</v>
      </c>
      <c r="E3965" s="4" t="s">
        <v>9975</v>
      </c>
      <c r="F3965" s="4" t="s">
        <v>1207</v>
      </c>
      <c r="G3965" s="5" t="str">
        <f>IFERROR(__xludf.DUMMYFUNCTION("GOOGLETRANSLATE(D3965,""fi"",""es"")"),"Conejo")</f>
        <v>Conejo</v>
      </c>
      <c r="H3965" s="4" t="s">
        <v>1546</v>
      </c>
      <c r="I3965" s="4" t="s">
        <v>1547</v>
      </c>
      <c r="J3965" s="4" t="s">
        <v>1548</v>
      </c>
      <c r="K3965" s="4" t="s">
        <v>9976</v>
      </c>
      <c r="L3965" s="4" t="s">
        <v>1546</v>
      </c>
    </row>
    <row r="3966">
      <c r="A3966" s="4">
        <v>168.0</v>
      </c>
      <c r="B3966" s="4" t="s">
        <v>9198</v>
      </c>
      <c r="C3966" s="4"/>
      <c r="D3966" s="4" t="s">
        <v>9977</v>
      </c>
      <c r="E3966" s="4" t="s">
        <v>9978</v>
      </c>
      <c r="F3966" s="4" t="s">
        <v>9977</v>
      </c>
      <c r="G3966" s="5" t="str">
        <f>IFERROR(__xludf.DUMMYFUNCTION("GOOGLETRANSLATE(D3966,""fi"",""es"")"),"taberna")</f>
        <v>taberna</v>
      </c>
      <c r="H3966" s="4" t="s">
        <v>9979</v>
      </c>
    </row>
    <row r="3967">
      <c r="A3967" s="4">
        <v>169.0</v>
      </c>
      <c r="B3967" s="4" t="s">
        <v>9198</v>
      </c>
      <c r="C3967" s="4"/>
      <c r="D3967" s="4" t="s">
        <v>9980</v>
      </c>
      <c r="E3967" s="4" t="s">
        <v>9981</v>
      </c>
      <c r="F3967" s="4" t="s">
        <v>9980</v>
      </c>
      <c r="G3967" s="5" t="str">
        <f>IFERROR(__xludf.DUMMYFUNCTION("GOOGLETRANSLATE(D3967,""fi"",""es"")"),"kapanala")</f>
        <v>kapanala</v>
      </c>
    </row>
    <row r="3968">
      <c r="A3968" s="4">
        <v>170.0</v>
      </c>
      <c r="B3968" s="4" t="s">
        <v>9198</v>
      </c>
      <c r="C3968" s="4"/>
      <c r="D3968" s="4" t="s">
        <v>5638</v>
      </c>
      <c r="E3968" s="4" t="s">
        <v>8240</v>
      </c>
      <c r="F3968" s="4" t="s">
        <v>5638</v>
      </c>
      <c r="G3968" s="5" t="str">
        <f>IFERROR(__xludf.DUMMYFUNCTION("GOOGLETRANSLATE(D3968,""fi"",""es"")"),"sarna")</f>
        <v>sarna</v>
      </c>
    </row>
    <row r="3969">
      <c r="A3969" s="4">
        <v>171.0</v>
      </c>
      <c r="B3969" s="4" t="s">
        <v>9198</v>
      </c>
      <c r="C3969" s="4"/>
      <c r="D3969" s="4" t="s">
        <v>9982</v>
      </c>
      <c r="E3969" s="4" t="s">
        <v>9983</v>
      </c>
      <c r="F3969" s="4" t="s">
        <v>9982</v>
      </c>
      <c r="G3969" s="5" t="str">
        <f>IFERROR(__xludf.DUMMYFUNCTION("GOOGLETRANSLATE(D3969,""fi"",""es"")"),"rebelión")</f>
        <v>rebelión</v>
      </c>
      <c r="H3969" s="4" t="s">
        <v>9984</v>
      </c>
      <c r="I3969" s="4" t="s">
        <v>9985</v>
      </c>
      <c r="J3969" s="4" t="s">
        <v>9986</v>
      </c>
      <c r="K3969" s="4" t="s">
        <v>9987</v>
      </c>
      <c r="L3969" s="4" t="s">
        <v>9988</v>
      </c>
      <c r="M3969" s="4" t="s">
        <v>9989</v>
      </c>
      <c r="N3969" s="4" t="s">
        <v>9990</v>
      </c>
      <c r="O3969" s="4" t="s">
        <v>2780</v>
      </c>
      <c r="P3969" s="4" t="s">
        <v>9984</v>
      </c>
    </row>
    <row r="3970">
      <c r="A3970" s="4">
        <v>172.0</v>
      </c>
      <c r="B3970" s="4" t="s">
        <v>9198</v>
      </c>
      <c r="C3970" s="4"/>
      <c r="D3970" s="4" t="s">
        <v>9991</v>
      </c>
      <c r="E3970" s="4" t="s">
        <v>9992</v>
      </c>
      <c r="F3970" s="4" t="s">
        <v>9991</v>
      </c>
      <c r="G3970" s="5" t="str">
        <f>IFERROR(__xludf.DUMMYFUNCTION("GOOGLETRANSLATE(D3970,""fi"",""es"")"),"capita")</f>
        <v>capita</v>
      </c>
    </row>
    <row r="3971">
      <c r="A3971" s="4">
        <v>173.0</v>
      </c>
      <c r="B3971" s="4" t="s">
        <v>9198</v>
      </c>
      <c r="C3971" s="4"/>
      <c r="D3971" s="4" t="s">
        <v>9993</v>
      </c>
      <c r="E3971" s="4" t="s">
        <v>9994</v>
      </c>
      <c r="F3971" s="4" t="s">
        <v>9993</v>
      </c>
      <c r="G3971" s="5" t="str">
        <f>IFERROR(__xludf.DUMMYFUNCTION("GOOGLETRANSLATE(D3971,""fi"",""es"")"),"kapu")</f>
        <v>kapu</v>
      </c>
    </row>
    <row r="3972">
      <c r="A3972" s="4">
        <v>174.0</v>
      </c>
      <c r="B3972" s="4" t="s">
        <v>9198</v>
      </c>
      <c r="C3972" s="4"/>
      <c r="D3972" s="4" t="s">
        <v>9995</v>
      </c>
      <c r="E3972" s="4" t="s">
        <v>9996</v>
      </c>
      <c r="F3972" s="4" t="s">
        <v>9995</v>
      </c>
      <c r="G3972" s="5" t="str">
        <f>IFERROR(__xludf.DUMMYFUNCTION("GOOGLETRANSLATE(D3972,""fi"",""es"")"),"palo redondo")</f>
        <v>palo redondo</v>
      </c>
      <c r="H3972" s="4" t="s">
        <v>9997</v>
      </c>
      <c r="I3972" s="4" t="s">
        <v>8161</v>
      </c>
    </row>
    <row r="3973">
      <c r="A3973" s="4">
        <v>175.0</v>
      </c>
      <c r="B3973" s="4" t="s">
        <v>9198</v>
      </c>
      <c r="C3973" s="4"/>
      <c r="D3973" s="4" t="s">
        <v>1359</v>
      </c>
      <c r="E3973" s="4" t="s">
        <v>9998</v>
      </c>
      <c r="F3973" s="4" t="s">
        <v>1359</v>
      </c>
      <c r="G3973" s="5" t="str">
        <f>IFERROR(__xludf.DUMMYFUNCTION("GOOGLETRANSLATE(D3973,""fi"",""es"")"),"montón")</f>
        <v>montón</v>
      </c>
      <c r="H3973" s="4" t="s">
        <v>2824</v>
      </c>
      <c r="I3973" s="4" t="s">
        <v>4536</v>
      </c>
      <c r="J3973" s="4" t="s">
        <v>483</v>
      </c>
      <c r="K3973" s="4" t="s">
        <v>484</v>
      </c>
      <c r="L3973" s="4" t="s">
        <v>2824</v>
      </c>
      <c r="M3973" s="4" t="s">
        <v>2825</v>
      </c>
      <c r="N3973" s="4" t="s">
        <v>2826</v>
      </c>
      <c r="O3973" s="4" t="s">
        <v>1734</v>
      </c>
      <c r="P3973" s="4" t="s">
        <v>4554</v>
      </c>
      <c r="Q3973" s="4" t="s">
        <v>9999</v>
      </c>
      <c r="R3973" s="4" t="s">
        <v>10000</v>
      </c>
    </row>
    <row r="3974">
      <c r="A3974" s="4">
        <v>176.0</v>
      </c>
      <c r="B3974" s="4" t="s">
        <v>9198</v>
      </c>
      <c r="C3974" s="4"/>
      <c r="D3974" s="4" t="s">
        <v>8121</v>
      </c>
      <c r="E3974" s="4" t="s">
        <v>10001</v>
      </c>
      <c r="F3974" s="4" t="s">
        <v>8121</v>
      </c>
      <c r="G3974" s="5" t="str">
        <f>IFERROR(__xludf.DUMMYFUNCTION("GOOGLETRANSLATE(D3974,""fi"",""es"")"),"mano")</f>
        <v>mano</v>
      </c>
    </row>
    <row r="3975">
      <c r="A3975" s="4">
        <v>177.0</v>
      </c>
      <c r="B3975" s="4" t="s">
        <v>9198</v>
      </c>
      <c r="C3975" s="4"/>
      <c r="D3975" s="4" t="s">
        <v>5162</v>
      </c>
      <c r="E3975" s="4" t="s">
        <v>10002</v>
      </c>
      <c r="F3975" s="4" t="s">
        <v>5162</v>
      </c>
      <c r="G3975" s="5" t="str">
        <f>IFERROR(__xludf.DUMMYFUNCTION("GOOGLETRANSLATE(D3975,""fi"",""es"")"),"cubrir")</f>
        <v>cubrir</v>
      </c>
    </row>
    <row r="3976">
      <c r="A3976" s="4">
        <v>178.0</v>
      </c>
      <c r="B3976" s="4" t="s">
        <v>9198</v>
      </c>
      <c r="C3976" s="4"/>
      <c r="D3976" s="4" t="s">
        <v>10003</v>
      </c>
      <c r="E3976" s="4" t="s">
        <v>10004</v>
      </c>
      <c r="F3976" s="4" t="s">
        <v>10005</v>
      </c>
      <c r="G3976" s="5" t="str">
        <f>IFERROR(__xludf.DUMMYFUNCTION("GOOGLETRANSLATE(D3976,""fi"",""es"")"),"enebro")</f>
        <v>enebro</v>
      </c>
      <c r="H3976" s="4" t="s">
        <v>10006</v>
      </c>
      <c r="I3976" s="4" t="s">
        <v>10007</v>
      </c>
      <c r="J3976" s="4" t="s">
        <v>10008</v>
      </c>
      <c r="K3976" s="4" t="s">
        <v>10009</v>
      </c>
      <c r="L3976" s="4" t="s">
        <v>10010</v>
      </c>
      <c r="M3976" s="4" t="s">
        <v>10011</v>
      </c>
      <c r="N3976" s="4" t="s">
        <v>10006</v>
      </c>
      <c r="O3976" s="4" t="s">
        <v>10012</v>
      </c>
      <c r="P3976" s="4" t="s">
        <v>10013</v>
      </c>
    </row>
    <row r="3977">
      <c r="A3977" s="4">
        <v>179.0</v>
      </c>
      <c r="B3977" s="4" t="s">
        <v>9198</v>
      </c>
      <c r="C3977" s="4"/>
      <c r="D3977" s="4" t="s">
        <v>10014</v>
      </c>
      <c r="E3977" s="4" t="s">
        <v>10015</v>
      </c>
      <c r="F3977" s="4" t="s">
        <v>10014</v>
      </c>
      <c r="G3977" s="5" t="str">
        <f>IFERROR(__xludf.DUMMYFUNCTION("GOOGLETRANSLATE(D3977,""fi"",""es"")"),"catalogar")</f>
        <v>catalogar</v>
      </c>
    </row>
    <row r="3978">
      <c r="A3978" s="4">
        <v>180.0</v>
      </c>
      <c r="B3978" s="4" t="s">
        <v>9198</v>
      </c>
      <c r="C3978" s="4"/>
      <c r="D3978" s="4" t="s">
        <v>8131</v>
      </c>
      <c r="E3978" s="4" t="s">
        <v>10016</v>
      </c>
      <c r="F3978" s="4" t="s">
        <v>8131</v>
      </c>
      <c r="G3978" s="5" t="str">
        <f>IFERROR(__xludf.DUMMYFUNCTION("GOOGLETRANSLATE(D3978,""fi"",""es"")"),"Kati")</f>
        <v>Kati</v>
      </c>
      <c r="H3978" s="4" t="s">
        <v>10017</v>
      </c>
    </row>
    <row r="3979">
      <c r="A3979" s="4">
        <v>181.0</v>
      </c>
      <c r="B3979" s="4" t="s">
        <v>9198</v>
      </c>
      <c r="C3979" s="4"/>
      <c r="D3979" s="4" t="s">
        <v>9103</v>
      </c>
      <c r="E3979" s="4" t="s">
        <v>10018</v>
      </c>
      <c r="F3979" s="4" t="s">
        <v>9103</v>
      </c>
      <c r="G3979" s="5" t="str">
        <f>IFERROR(__xludf.DUMMYFUNCTION("GOOGLETRANSLATE(D3979,""fi"",""es"")"),"Calle")</f>
        <v>Calle</v>
      </c>
      <c r="H3979" s="4" t="s">
        <v>9142</v>
      </c>
      <c r="I3979" s="4" t="s">
        <v>10019</v>
      </c>
      <c r="J3979" s="4" t="s">
        <v>10019</v>
      </c>
      <c r="K3979" s="4" t="s">
        <v>10019</v>
      </c>
      <c r="L3979" s="4" t="s">
        <v>10019</v>
      </c>
    </row>
    <row r="3980">
      <c r="A3980" s="4">
        <v>182.0</v>
      </c>
      <c r="B3980" s="4" t="s">
        <v>9198</v>
      </c>
      <c r="C3980" s="4"/>
      <c r="D3980" s="4" t="s">
        <v>10020</v>
      </c>
      <c r="E3980" s="4" t="s">
        <v>10021</v>
      </c>
      <c r="F3980" s="4" t="s">
        <v>10022</v>
      </c>
      <c r="G3980" s="5" t="str">
        <f>IFERROR(__xludf.DUMMYFUNCTION("GOOGLETRANSLATE(D3980,""fi"",""es"")"),"calles")</f>
        <v>calles</v>
      </c>
    </row>
    <row r="3981">
      <c r="A3981" s="4">
        <v>183.0</v>
      </c>
      <c r="B3981" s="4" t="s">
        <v>9198</v>
      </c>
      <c r="C3981" s="4"/>
      <c r="D3981" s="4" t="s">
        <v>10023</v>
      </c>
      <c r="E3981" s="4" t="s">
        <v>10024</v>
      </c>
      <c r="F3981" s="4" t="s">
        <v>10025</v>
      </c>
      <c r="G3981" s="5" t="str">
        <f>IFERROR(__xludf.DUMMYFUNCTION("GOOGLETRANSLATE(D3981,""fi"",""es"")"),"silbido")</f>
        <v>silbido</v>
      </c>
      <c r="H3981" s="4" t="s">
        <v>7502</v>
      </c>
      <c r="I3981" s="4" t="s">
        <v>10026</v>
      </c>
      <c r="J3981" s="4" t="s">
        <v>10027</v>
      </c>
    </row>
    <row r="3982">
      <c r="A3982" s="4">
        <v>184.0</v>
      </c>
      <c r="B3982" s="4" t="s">
        <v>9198</v>
      </c>
      <c r="C3982" s="4"/>
      <c r="D3982" s="4" t="s">
        <v>10028</v>
      </c>
      <c r="E3982" s="4" t="s">
        <v>10029</v>
      </c>
      <c r="F3982" s="4" t="s">
        <v>10028</v>
      </c>
      <c r="G3982" s="5" t="str">
        <f>IFERROR(__xludf.DUMMYFUNCTION("GOOGLETRANSLATE(D3982,""fi"",""es"")"),"skua")</f>
        <v>skua</v>
      </c>
      <c r="H3982" s="4" t="s">
        <v>10030</v>
      </c>
    </row>
    <row r="3983">
      <c r="A3983" s="4">
        <v>185.0</v>
      </c>
      <c r="B3983" s="4" t="s">
        <v>9198</v>
      </c>
      <c r="C3983" s="4"/>
      <c r="D3983" s="4" t="s">
        <v>10031</v>
      </c>
      <c r="E3983" s="4" t="s">
        <v>10032</v>
      </c>
      <c r="F3983" s="4" t="s">
        <v>10033</v>
      </c>
      <c r="G3983" s="5" t="str">
        <f>IFERROR(__xludf.DUMMYFUNCTION("GOOGLETRANSLATE(D3983,""fi"",""es"")"),"kikuju")</f>
        <v>kikuju</v>
      </c>
      <c r="H3983" s="4" t="s">
        <v>10034</v>
      </c>
    </row>
    <row r="3984">
      <c r="A3984" s="4">
        <v>186.0</v>
      </c>
      <c r="B3984" s="4" t="s">
        <v>9198</v>
      </c>
      <c r="C3984" s="4"/>
      <c r="D3984" s="4" t="s">
        <v>10035</v>
      </c>
      <c r="E3984" s="4" t="s">
        <v>10036</v>
      </c>
      <c r="F3984" s="4" t="s">
        <v>10035</v>
      </c>
      <c r="G3984" s="5" t="str">
        <f>IFERROR(__xludf.DUMMYFUNCTION("GOOGLETRANSLATE(D3984,""fi"",""es"")"),"niño")</f>
        <v>niño</v>
      </c>
      <c r="H3984" s="4" t="s">
        <v>4702</v>
      </c>
    </row>
    <row r="3985">
      <c r="A3985" s="4">
        <v>187.0</v>
      </c>
      <c r="B3985" s="4" t="s">
        <v>9198</v>
      </c>
      <c r="C3985" s="4"/>
      <c r="D3985" s="4" t="s">
        <v>10037</v>
      </c>
      <c r="E3985" s="4" t="s">
        <v>10038</v>
      </c>
      <c r="F3985" s="4" t="s">
        <v>10039</v>
      </c>
      <c r="G3985" s="5" t="str">
        <f>IFERROR(__xludf.DUMMYFUNCTION("GOOGLETRANSLATE(D3985,""fi"",""es"")"),"tintinar")</f>
        <v>tintinar</v>
      </c>
      <c r="H3985" s="4" t="s">
        <v>7971</v>
      </c>
      <c r="I3985" s="4" t="s">
        <v>10040</v>
      </c>
      <c r="J3985" s="4" t="s">
        <v>10041</v>
      </c>
      <c r="K3985" s="4" t="s">
        <v>7840</v>
      </c>
      <c r="L3985" s="4" t="s">
        <v>10042</v>
      </c>
      <c r="M3985" s="4" t="s">
        <v>10043</v>
      </c>
      <c r="N3985" s="4" t="s">
        <v>10044</v>
      </c>
      <c r="O3985" s="4" t="s">
        <v>10045</v>
      </c>
      <c r="P3985" s="4" t="s">
        <v>10046</v>
      </c>
      <c r="Q3985" s="4" t="s">
        <v>10047</v>
      </c>
      <c r="R3985" s="4" t="s">
        <v>4080</v>
      </c>
      <c r="S3985" s="4" t="s">
        <v>10048</v>
      </c>
      <c r="T3985" s="4" t="s">
        <v>10049</v>
      </c>
      <c r="U3985" s="4" t="s">
        <v>10050</v>
      </c>
      <c r="V3985" s="4" t="s">
        <v>10051</v>
      </c>
    </row>
    <row r="3986">
      <c r="A3986" s="4">
        <v>188.0</v>
      </c>
      <c r="B3986" s="4" t="s">
        <v>9198</v>
      </c>
      <c r="C3986" s="4"/>
      <c r="D3986" s="4" t="s">
        <v>3808</v>
      </c>
      <c r="E3986" s="4" t="s">
        <v>3807</v>
      </c>
      <c r="F3986" s="4" t="s">
        <v>3808</v>
      </c>
      <c r="G3986" s="5" t="str">
        <f>IFERROR(__xludf.DUMMYFUNCTION("GOOGLETRANSLATE(D3986,""fi"",""es"")"),"grito")</f>
        <v>grito</v>
      </c>
    </row>
    <row r="3987">
      <c r="A3987" s="4">
        <v>189.0</v>
      </c>
      <c r="B3987" s="4" t="s">
        <v>9198</v>
      </c>
      <c r="C3987" s="4"/>
      <c r="D3987" s="4" t="s">
        <v>6435</v>
      </c>
      <c r="E3987" s="4" t="s">
        <v>10052</v>
      </c>
      <c r="F3987" s="4" t="s">
        <v>6435</v>
      </c>
      <c r="G3987" s="5" t="str">
        <f>IFERROR(__xludf.DUMMYFUNCTION("GOOGLETRANSLATE(D3987,""fi"",""es"")"),"kimi")</f>
        <v>kimi</v>
      </c>
    </row>
    <row r="3988">
      <c r="A3988" s="4">
        <v>190.0</v>
      </c>
      <c r="B3988" s="4" t="s">
        <v>9198</v>
      </c>
      <c r="C3988" s="4"/>
      <c r="D3988" s="4" t="s">
        <v>3820</v>
      </c>
      <c r="E3988" s="4" t="s">
        <v>10053</v>
      </c>
      <c r="F3988" s="4" t="s">
        <v>3820</v>
      </c>
      <c r="G3988" s="5" t="str">
        <f>IFERROR(__xludf.DUMMYFUNCTION("GOOGLETRANSLATE(D3988,""fi"",""es"")"),"disputa")</f>
        <v>disputa</v>
      </c>
      <c r="H3988" s="4" t="s">
        <v>10054</v>
      </c>
      <c r="I3988" s="4" t="s">
        <v>10055</v>
      </c>
      <c r="J3988" s="4" t="s">
        <v>10056</v>
      </c>
      <c r="K3988" s="4" t="s">
        <v>10057</v>
      </c>
      <c r="L3988" s="4" t="s">
        <v>10058</v>
      </c>
      <c r="M3988" s="4" t="s">
        <v>10056</v>
      </c>
      <c r="N3988" s="4" t="s">
        <v>10059</v>
      </c>
      <c r="O3988" s="4" t="s">
        <v>10060</v>
      </c>
      <c r="P3988" s="4" t="s">
        <v>10061</v>
      </c>
      <c r="Q3988" s="4" t="s">
        <v>10062</v>
      </c>
      <c r="R3988" s="4" t="s">
        <v>10063</v>
      </c>
      <c r="S3988" s="4" t="s">
        <v>10064</v>
      </c>
      <c r="T3988" s="4" t="s">
        <v>10065</v>
      </c>
      <c r="U3988" s="4" t="s">
        <v>10066</v>
      </c>
      <c r="V3988" s="4" t="s">
        <v>10067</v>
      </c>
      <c r="W3988" s="4" t="s">
        <v>10068</v>
      </c>
      <c r="X3988" s="4" t="s">
        <v>9618</v>
      </c>
      <c r="Y3988" s="4" t="s">
        <v>3820</v>
      </c>
      <c r="Z3988" s="4" t="s">
        <v>10069</v>
      </c>
    </row>
    <row r="3989">
      <c r="A3989" s="4">
        <v>191.0</v>
      </c>
      <c r="B3989" s="4" t="s">
        <v>9198</v>
      </c>
      <c r="C3989" s="4"/>
      <c r="D3989" s="4" t="s">
        <v>10070</v>
      </c>
      <c r="E3989" s="4" t="s">
        <v>10071</v>
      </c>
      <c r="F3989" s="4" t="s">
        <v>10072</v>
      </c>
      <c r="G3989" s="5" t="str">
        <f>IFERROR(__xludf.DUMMYFUNCTION("GOOGLETRANSLATE(D3989,""fi"",""es"")"),"Chispa - chispear")</f>
        <v>Chispa - chispear</v>
      </c>
      <c r="H3989" s="4" t="s">
        <v>10073</v>
      </c>
      <c r="I3989" s="4" t="s">
        <v>10074</v>
      </c>
      <c r="J3989" s="4" t="s">
        <v>10075</v>
      </c>
      <c r="K3989" s="4" t="s">
        <v>10074</v>
      </c>
      <c r="L3989" s="4" t="s">
        <v>7373</v>
      </c>
      <c r="M3989" s="4" t="s">
        <v>10074</v>
      </c>
      <c r="N3989" s="4" t="s">
        <v>10076</v>
      </c>
      <c r="O3989" s="4" t="s">
        <v>10077</v>
      </c>
      <c r="P3989" s="4" t="s">
        <v>10078</v>
      </c>
      <c r="Q3989" s="4" t="s">
        <v>10074</v>
      </c>
    </row>
    <row r="3990">
      <c r="A3990" s="4">
        <v>192.0</v>
      </c>
      <c r="B3990" s="4" t="s">
        <v>9198</v>
      </c>
      <c r="C3990" s="4"/>
      <c r="D3990" s="4" t="s">
        <v>7359</v>
      </c>
      <c r="E3990" s="4" t="s">
        <v>7358</v>
      </c>
      <c r="F3990" s="4" t="s">
        <v>7359</v>
      </c>
      <c r="G3990" s="5" t="str">
        <f>IFERROR(__xludf.DUMMYFUNCTION("GOOGLETRANSLATE(D3990,""fi"",""es"")"),"dolor")</f>
        <v>dolor</v>
      </c>
      <c r="H3990" s="4" t="s">
        <v>2339</v>
      </c>
      <c r="I3990" s="4" t="s">
        <v>2340</v>
      </c>
      <c r="J3990" s="4" t="s">
        <v>2341</v>
      </c>
      <c r="K3990" s="4" t="s">
        <v>10079</v>
      </c>
      <c r="L3990" s="4" t="s">
        <v>9144</v>
      </c>
      <c r="M3990" s="4" t="s">
        <v>2326</v>
      </c>
      <c r="N3990" s="4" t="s">
        <v>2342</v>
      </c>
      <c r="O3990" s="4" t="s">
        <v>2339</v>
      </c>
      <c r="P3990" s="4" t="s">
        <v>2348</v>
      </c>
      <c r="Q3990" s="4" t="s">
        <v>2349</v>
      </c>
      <c r="R3990" s="4" t="s">
        <v>2350</v>
      </c>
      <c r="S3990" s="4" t="s">
        <v>10080</v>
      </c>
      <c r="T3990" s="4" t="s">
        <v>3502</v>
      </c>
      <c r="U3990" s="4" t="s">
        <v>10081</v>
      </c>
      <c r="V3990" s="4" t="s">
        <v>6037</v>
      </c>
      <c r="W3990" s="4" t="s">
        <v>10082</v>
      </c>
      <c r="X3990" s="4" t="s">
        <v>10083</v>
      </c>
      <c r="Y3990" s="4" t="s">
        <v>10084</v>
      </c>
    </row>
    <row r="3991">
      <c r="A3991" s="4">
        <v>193.0</v>
      </c>
      <c r="B3991" s="4" t="s">
        <v>9198</v>
      </c>
      <c r="C3991" s="4"/>
      <c r="D3991" s="4" t="s">
        <v>10085</v>
      </c>
      <c r="E3991" s="4" t="s">
        <v>10086</v>
      </c>
      <c r="F3991" s="4" t="s">
        <v>10085</v>
      </c>
      <c r="G3991" s="5" t="str">
        <f>IFERROR(__xludf.DUMMYFUNCTION("GOOGLETRANSLATE(D3991,""fi"",""es"")"),"dolor")</f>
        <v>dolor</v>
      </c>
    </row>
    <row r="3992">
      <c r="A3992" s="4">
        <v>194.0</v>
      </c>
      <c r="B3992" s="4" t="s">
        <v>9198</v>
      </c>
      <c r="C3992" s="4"/>
      <c r="D3992" s="4" t="s">
        <v>3832</v>
      </c>
      <c r="E3992" s="4" t="s">
        <v>10087</v>
      </c>
      <c r="F3992" s="4" t="s">
        <v>3832</v>
      </c>
      <c r="G3992" s="5" t="str">
        <f>IFERROR(__xludf.DUMMYFUNCTION("GOOGLETRANSLATE(D3992,""fi"",""es"")"),"competencia")</f>
        <v>competencia</v>
      </c>
      <c r="H3992" s="4" t="s">
        <v>10088</v>
      </c>
      <c r="I3992" s="4" t="s">
        <v>1269</v>
      </c>
      <c r="J3992" s="4" t="s">
        <v>10089</v>
      </c>
    </row>
    <row r="3993">
      <c r="A3993" s="4">
        <v>195.0</v>
      </c>
      <c r="B3993" s="4" t="s">
        <v>9198</v>
      </c>
      <c r="C3993" s="4"/>
      <c r="D3993" s="4" t="s">
        <v>10090</v>
      </c>
      <c r="E3993" s="4" t="s">
        <v>10091</v>
      </c>
      <c r="F3993" s="4" t="s">
        <v>10090</v>
      </c>
      <c r="G3993" s="5" t="str">
        <f>IFERROR(__xludf.DUMMYFUNCTION("GOOGLETRANSLATE(D3993,""fi"",""es"")"),"gatito")</f>
        <v>gatito</v>
      </c>
      <c r="H3993" s="4" t="s">
        <v>2722</v>
      </c>
      <c r="I3993" s="4" t="s">
        <v>2723</v>
      </c>
      <c r="J3993" s="4" t="s">
        <v>2724</v>
      </c>
      <c r="K3993" s="4" t="s">
        <v>2725</v>
      </c>
      <c r="L3993" s="4" t="s">
        <v>2726</v>
      </c>
    </row>
    <row r="3994">
      <c r="A3994" s="4">
        <v>196.0</v>
      </c>
      <c r="B3994" s="4" t="s">
        <v>9198</v>
      </c>
      <c r="C3994" s="4"/>
      <c r="D3994" s="4" t="s">
        <v>3835</v>
      </c>
      <c r="E3994" s="4" t="s">
        <v>10092</v>
      </c>
      <c r="F3994" s="4" t="s">
        <v>3835</v>
      </c>
      <c r="G3994" s="5" t="str">
        <f>IFERROR(__xludf.DUMMYFUNCTION("GOOGLETRANSLATE(D3994,""fi"",""es"")"),"mandíbula")</f>
        <v>mandíbula</v>
      </c>
      <c r="H3994" s="4" t="s">
        <v>7219</v>
      </c>
      <c r="I3994" s="4" t="s">
        <v>7989</v>
      </c>
      <c r="J3994" s="4" t="s">
        <v>7990</v>
      </c>
      <c r="K3994" s="4" t="s">
        <v>7991</v>
      </c>
      <c r="L3994" s="4" t="s">
        <v>7987</v>
      </c>
      <c r="M3994" s="4" t="s">
        <v>2514</v>
      </c>
      <c r="N3994" s="4" t="s">
        <v>6656</v>
      </c>
      <c r="O3994" s="4" t="s">
        <v>10093</v>
      </c>
      <c r="P3994" s="4" t="s">
        <v>10094</v>
      </c>
      <c r="Q3994" s="4" t="s">
        <v>10095</v>
      </c>
    </row>
    <row r="3995">
      <c r="A3995" s="4">
        <v>197.0</v>
      </c>
      <c r="B3995" s="4" t="s">
        <v>9198</v>
      </c>
      <c r="C3995" s="4"/>
      <c r="D3995" s="4" t="s">
        <v>3845</v>
      </c>
      <c r="E3995" s="4" t="s">
        <v>3844</v>
      </c>
      <c r="F3995" s="4" t="s">
        <v>3845</v>
      </c>
      <c r="G3995" s="5" t="str">
        <f>IFERROR(__xludf.DUMMYFUNCTION("GOOGLETRANSLATE(D3995,""fi"",""es"")"),"carrera")</f>
        <v>carrera</v>
      </c>
    </row>
    <row r="3996">
      <c r="A3996" s="4">
        <v>198.0</v>
      </c>
      <c r="B3996" s="4" t="s">
        <v>9198</v>
      </c>
      <c r="C3996" s="4"/>
      <c r="D3996" s="4" t="s">
        <v>10096</v>
      </c>
      <c r="E3996" s="4" t="s">
        <v>10097</v>
      </c>
      <c r="F3996" s="4" t="s">
        <v>10096</v>
      </c>
      <c r="G3996" s="5" t="str">
        <f>IFERROR(__xludf.DUMMYFUNCTION("GOOGLETRANSLATE(D3996,""fi"",""es"")"),"percha de lucio")</f>
        <v>percha de lucio</v>
      </c>
      <c r="H3996" s="4" t="s">
        <v>10098</v>
      </c>
      <c r="I3996" s="4" t="s">
        <v>10099</v>
      </c>
    </row>
    <row r="3997">
      <c r="A3997" s="4">
        <v>199.0</v>
      </c>
      <c r="B3997" s="4" t="s">
        <v>9198</v>
      </c>
      <c r="C3997" s="4"/>
      <c r="D3997" s="4" t="s">
        <v>10100</v>
      </c>
      <c r="E3997" s="4" t="s">
        <v>10101</v>
      </c>
      <c r="F3997" s="4" t="s">
        <v>10100</v>
      </c>
      <c r="G3997" s="5" t="str">
        <f>IFERROR(__xludf.DUMMYFUNCTION("GOOGLETRANSLATE(D3997,""fi"",""es"")"),"enjambre")</f>
        <v>enjambre</v>
      </c>
    </row>
    <row r="3998">
      <c r="A3998" s="4">
        <v>200.0</v>
      </c>
      <c r="B3998" s="4" t="s">
        <v>9198</v>
      </c>
      <c r="C3998" s="4"/>
      <c r="D3998" s="4" t="s">
        <v>10102</v>
      </c>
      <c r="E3998" s="4" t="s">
        <v>10103</v>
      </c>
      <c r="F3998" s="4" t="s">
        <v>10102</v>
      </c>
      <c r="G3998" s="5" t="str">
        <f>IFERROR(__xludf.DUMMYFUNCTION("GOOGLETRANSLATE(D3998,""fi"",""es"")"),"kuh")</f>
        <v>kuh</v>
      </c>
    </row>
    <row r="3999">
      <c r="A3999" s="4">
        <v>201.0</v>
      </c>
      <c r="B3999" s="4" t="s">
        <v>9198</v>
      </c>
      <c r="C3999" s="4"/>
      <c r="D3999" s="4" t="s">
        <v>10104</v>
      </c>
      <c r="E3999" s="4" t="s">
        <v>10105</v>
      </c>
      <c r="F3999" s="4" t="s">
        <v>10106</v>
      </c>
      <c r="G3999" s="5" t="str">
        <f>IFERROR(__xludf.DUMMYFUNCTION("GOOGLETRANSLATE(D3999,""fi"",""es"")"),"callejón")</f>
        <v>callejón</v>
      </c>
      <c r="H3999" s="4" t="s">
        <v>5802</v>
      </c>
      <c r="I3999" s="4" t="s">
        <v>5803</v>
      </c>
      <c r="J3999" s="4" t="s">
        <v>5804</v>
      </c>
      <c r="K3999" s="4" t="s">
        <v>10107</v>
      </c>
    </row>
    <row r="4000">
      <c r="A4000" s="4">
        <v>202.0</v>
      </c>
      <c r="B4000" s="4" t="s">
        <v>9198</v>
      </c>
      <c r="C4000" s="4"/>
      <c r="D4000" s="4" t="s">
        <v>10108</v>
      </c>
      <c r="E4000" s="4" t="s">
        <v>10109</v>
      </c>
      <c r="F4000" s="4" t="s">
        <v>10110</v>
      </c>
      <c r="G4000" s="5" t="str">
        <f>IFERROR(__xludf.DUMMYFUNCTION("GOOGLETRANSLATE(D4000,""fi"",""es"")"),"Kujala")</f>
        <v>Kujala</v>
      </c>
    </row>
    <row r="4001">
      <c r="A4001" s="4">
        <v>203.0</v>
      </c>
      <c r="B4001" s="4" t="s">
        <v>9198</v>
      </c>
      <c r="C4001" s="4"/>
      <c r="D4001" s="4" t="s">
        <v>10111</v>
      </c>
      <c r="E4001" s="4" t="s">
        <v>10112</v>
      </c>
      <c r="F4001" s="4" t="s">
        <v>10111</v>
      </c>
      <c r="G4001" s="5" t="str">
        <f>IFERROR(__xludf.DUMMYFUNCTION("GOOGLETRANSLATE(D4001,""fi"",""es"")"),"Quién")</f>
        <v>Quién</v>
      </c>
    </row>
    <row r="4002">
      <c r="A4002" s="4">
        <v>204.0</v>
      </c>
      <c r="B4002" s="4" t="s">
        <v>9198</v>
      </c>
      <c r="C4002" s="4"/>
      <c r="D4002" s="4" t="s">
        <v>10113</v>
      </c>
      <c r="E4002" s="4" t="s">
        <v>10114</v>
      </c>
      <c r="F4002" s="4" t="s">
        <v>10113</v>
      </c>
      <c r="G4002" s="5" t="str">
        <f>IFERROR(__xludf.DUMMYFUNCTION("GOOGLETRANSLATE(D4002,""fi"",""es"")"),"cada")</f>
        <v>cada</v>
      </c>
      <c r="H4002" s="4" t="s">
        <v>10115</v>
      </c>
      <c r="I4002" s="4" t="s">
        <v>10116</v>
      </c>
    </row>
    <row r="4003">
      <c r="A4003" s="4">
        <v>205.0</v>
      </c>
      <c r="B4003" s="4" t="s">
        <v>9198</v>
      </c>
      <c r="C4003" s="4"/>
      <c r="D4003" s="4" t="s">
        <v>9114</v>
      </c>
      <c r="E4003" s="4" t="s">
        <v>9115</v>
      </c>
      <c r="F4003" s="4" t="s">
        <v>9114</v>
      </c>
      <c r="G4003" s="5" t="str">
        <f>IFERROR(__xludf.DUMMYFUNCTION("GOOGLETRANSLATE(D4003,""fi"",""es"")"),"presentar")</f>
        <v>presentar</v>
      </c>
    </row>
    <row r="4004">
      <c r="A4004" s="4">
        <v>206.0</v>
      </c>
      <c r="B4004" s="4" t="s">
        <v>9198</v>
      </c>
      <c r="C4004" s="4"/>
      <c r="D4004" s="4" t="s">
        <v>1480</v>
      </c>
      <c r="E4004" s="4" t="s">
        <v>1479</v>
      </c>
      <c r="F4004" s="4" t="s">
        <v>1480</v>
      </c>
      <c r="G4004" s="5" t="str">
        <f>IFERROR(__xludf.DUMMYFUNCTION("GOOGLETRANSLATE(D4004,""fi"",""es"")"),"culi")</f>
        <v>culi</v>
      </c>
      <c r="H4004" s="4" t="s">
        <v>10117</v>
      </c>
      <c r="I4004" s="4" t="s">
        <v>10118</v>
      </c>
    </row>
    <row r="4005">
      <c r="A4005" s="4">
        <v>207.0</v>
      </c>
      <c r="B4005" s="4" t="s">
        <v>9198</v>
      </c>
      <c r="C4005" s="4"/>
      <c r="D4005" s="4" t="s">
        <v>10119</v>
      </c>
      <c r="E4005" s="4" t="s">
        <v>10120</v>
      </c>
      <c r="F4005" s="4" t="s">
        <v>10119</v>
      </c>
      <c r="G4005" s="5" t="str">
        <f>IFERROR(__xludf.DUMMYFUNCTION("GOOGLETRANSLATE(D4005,""fi"",""es"")"),"gastos")</f>
        <v>gastos</v>
      </c>
    </row>
    <row r="4006">
      <c r="A4006" s="4">
        <v>208.0</v>
      </c>
      <c r="B4006" s="4" t="s">
        <v>9198</v>
      </c>
      <c r="C4006" s="4"/>
      <c r="D4006" s="4" t="s">
        <v>1471</v>
      </c>
      <c r="E4006" s="4" t="s">
        <v>10121</v>
      </c>
      <c r="F4006" s="4" t="s">
        <v>1471</v>
      </c>
      <c r="G4006" s="5" t="str">
        <f>IFERROR(__xludf.DUMMYFUNCTION("GOOGLETRANSLATE(D4006,""fi"",""es"")"),"tener puesto")</f>
        <v>tener puesto</v>
      </c>
    </row>
    <row r="4007">
      <c r="A4007" s="4">
        <v>209.0</v>
      </c>
      <c r="B4007" s="4" t="s">
        <v>9198</v>
      </c>
      <c r="C4007" s="4"/>
      <c r="D4007" s="4" t="s">
        <v>10122</v>
      </c>
      <c r="E4007" s="4" t="s">
        <v>10123</v>
      </c>
      <c r="F4007" s="4" t="s">
        <v>10122</v>
      </c>
      <c r="G4007" s="5" t="str">
        <f>IFERROR(__xludf.DUMMYFUNCTION("GOOGLETRANSLATE(D4007,""fi"",""es"")"),"comino")</f>
        <v>comino</v>
      </c>
      <c r="H4007" s="4" t="s">
        <v>10124</v>
      </c>
      <c r="I4007" s="4" t="s">
        <v>10124</v>
      </c>
      <c r="J4007" s="4" t="s">
        <v>10125</v>
      </c>
      <c r="K4007" s="4" t="s">
        <v>10126</v>
      </c>
      <c r="L4007" s="4" t="s">
        <v>10127</v>
      </c>
      <c r="M4007" s="4" t="s">
        <v>10128</v>
      </c>
      <c r="N4007" s="4" t="s">
        <v>10129</v>
      </c>
      <c r="O4007" s="4" t="s">
        <v>1521</v>
      </c>
      <c r="P4007" s="4" t="s">
        <v>1522</v>
      </c>
      <c r="Q4007" s="4" t="s">
        <v>1523</v>
      </c>
      <c r="R4007" s="4" t="s">
        <v>1523</v>
      </c>
      <c r="S4007" s="4" t="s">
        <v>10130</v>
      </c>
    </row>
    <row r="4008">
      <c r="A4008" s="4">
        <v>210.0</v>
      </c>
      <c r="B4008" s="4" t="s">
        <v>9198</v>
      </c>
      <c r="C4008" s="4"/>
      <c r="D4008" s="4" t="s">
        <v>10131</v>
      </c>
      <c r="E4008" s="4" t="s">
        <v>10132</v>
      </c>
      <c r="F4008" s="4" t="s">
        <v>10131</v>
      </c>
      <c r="G4008" s="5" t="str">
        <f>IFERROR(__xludf.DUMMYFUNCTION("GOOGLETRANSLATE(D4008,""fi"",""es"")"),"traje de goma")</f>
        <v>traje de goma</v>
      </c>
    </row>
    <row r="4009">
      <c r="A4009" s="4">
        <v>211.0</v>
      </c>
      <c r="B4009" s="4" t="s">
        <v>9198</v>
      </c>
      <c r="C4009" s="4"/>
      <c r="D4009" s="4" t="s">
        <v>10133</v>
      </c>
      <c r="E4009" s="4" t="s">
        <v>10134</v>
      </c>
      <c r="F4009" s="4" t="s">
        <v>10133</v>
      </c>
      <c r="G4009" s="5" t="str">
        <f>IFERROR(__xludf.DUMMYFUNCTION("GOOGLETRANSLATE(D4009,""fi"",""es"")"),"goma")</f>
        <v>goma</v>
      </c>
    </row>
    <row r="4010">
      <c r="A4010" s="4">
        <v>212.0</v>
      </c>
      <c r="B4010" s="4" t="s">
        <v>9198</v>
      </c>
      <c r="C4010" s="4"/>
      <c r="D4010" s="4" t="s">
        <v>8223</v>
      </c>
      <c r="E4010" s="4" t="s">
        <v>8222</v>
      </c>
      <c r="F4010" s="4" t="s">
        <v>8223</v>
      </c>
      <c r="G4010" s="5" t="str">
        <f>IFERROR(__xludf.DUMMYFUNCTION("GOOGLETRANSLATE(D4010,""fi"",""es"")"),"cuando")</f>
        <v>cuando</v>
      </c>
    </row>
    <row r="4011">
      <c r="A4011" s="4">
        <v>213.0</v>
      </c>
      <c r="B4011" s="4" t="s">
        <v>9198</v>
      </c>
      <c r="C4011" s="4"/>
      <c r="D4011" s="4" t="s">
        <v>10135</v>
      </c>
      <c r="E4011" s="4" t="s">
        <v>10136</v>
      </c>
      <c r="F4011" s="4" t="s">
        <v>10135</v>
      </c>
      <c r="G4011" s="5" t="str">
        <f>IFERROR(__xludf.DUMMYFUNCTION("GOOGLETRANSLATE(D4011,""fi"",""es"")"),"kuna")</f>
        <v>kuna</v>
      </c>
    </row>
    <row r="4012">
      <c r="A4012" s="4">
        <v>214.0</v>
      </c>
      <c r="B4012" s="4" t="s">
        <v>9198</v>
      </c>
      <c r="C4012" s="4"/>
      <c r="D4012" s="4" t="s">
        <v>10137</v>
      </c>
      <c r="E4012" s="4" t="s">
        <v>10138</v>
      </c>
      <c r="F4012" s="4" t="s">
        <v>10137</v>
      </c>
      <c r="G4012" s="5" t="str">
        <f>IFERROR(__xludf.DUMMYFUNCTION("GOOGLETRANSLATE(D4012,""fi"",""es"")"),"capucha")</f>
        <v>capucha</v>
      </c>
      <c r="H4012" s="4" t="s">
        <v>10139</v>
      </c>
      <c r="I4012" s="4" t="s">
        <v>10140</v>
      </c>
      <c r="J4012" s="4" t="s">
        <v>10141</v>
      </c>
      <c r="K4012" s="4" t="s">
        <v>10142</v>
      </c>
      <c r="L4012" s="4" t="s">
        <v>10143</v>
      </c>
      <c r="M4012" s="4" t="s">
        <v>10144</v>
      </c>
      <c r="N4012" s="4" t="s">
        <v>10145</v>
      </c>
      <c r="O4012" s="4" t="s">
        <v>1401</v>
      </c>
      <c r="P4012" s="4" t="s">
        <v>10146</v>
      </c>
      <c r="Q4012" s="4" t="s">
        <v>10147</v>
      </c>
      <c r="R4012" s="4" t="s">
        <v>10148</v>
      </c>
      <c r="S4012" s="4" t="s">
        <v>5920</v>
      </c>
    </row>
    <row r="4013">
      <c r="A4013" s="4">
        <v>215.0</v>
      </c>
      <c r="B4013" s="4" t="s">
        <v>9198</v>
      </c>
      <c r="C4013" s="4"/>
      <c r="D4013" s="4" t="s">
        <v>10149</v>
      </c>
      <c r="E4013" s="4" t="s">
        <v>10150</v>
      </c>
      <c r="F4013" s="4" t="s">
        <v>10149</v>
      </c>
      <c r="G4013" s="5" t="str">
        <f>IFERROR(__xludf.DUMMYFUNCTION("GOOGLETRANSLATE(D4013,""fi"",""es"")"),"pipí")</f>
        <v>pipí</v>
      </c>
      <c r="H4013" s="4" t="s">
        <v>7241</v>
      </c>
      <c r="I4013" s="4" t="s">
        <v>7239</v>
      </c>
      <c r="J4013" s="4" t="s">
        <v>7242</v>
      </c>
      <c r="K4013" s="4" t="s">
        <v>7243</v>
      </c>
      <c r="L4013" s="4" t="s">
        <v>7244</v>
      </c>
      <c r="M4013" s="4" t="s">
        <v>7245</v>
      </c>
    </row>
    <row r="4014">
      <c r="A4014" s="4">
        <v>216.0</v>
      </c>
      <c r="B4014" s="4" t="s">
        <v>9198</v>
      </c>
      <c r="C4014" s="4"/>
      <c r="D4014" s="4" t="s">
        <v>10151</v>
      </c>
      <c r="E4014" s="4" t="s">
        <v>10152</v>
      </c>
      <c r="F4014" s="4" t="s">
        <v>10153</v>
      </c>
      <c r="G4014" s="5" t="str">
        <f>IFERROR(__xludf.DUMMYFUNCTION("GOOGLETRANSLATE(D4014,""fi"",""es"")"),"Estúpido")</f>
        <v>Estúpido</v>
      </c>
    </row>
    <row r="4015">
      <c r="A4015" s="4">
        <v>217.0</v>
      </c>
      <c r="B4015" s="4" t="s">
        <v>9198</v>
      </c>
      <c r="C4015" s="4"/>
      <c r="D4015" s="4" t="s">
        <v>10154</v>
      </c>
      <c r="E4015" s="4" t="s">
        <v>10155</v>
      </c>
      <c r="F4015" s="4" t="s">
        <v>10154</v>
      </c>
      <c r="G4015" s="5" t="str">
        <f>IFERROR(__xludf.DUMMYFUNCTION("GOOGLETRANSLATE(D4015,""fi"",""es"")"),"puñetazo")</f>
        <v>puñetazo</v>
      </c>
    </row>
    <row r="4016">
      <c r="A4016" s="4">
        <v>218.0</v>
      </c>
      <c r="B4016" s="4" t="s">
        <v>9198</v>
      </c>
      <c r="C4016" s="4"/>
      <c r="D4016" s="4" t="s">
        <v>10156</v>
      </c>
      <c r="E4016" s="4" t="s">
        <v>10157</v>
      </c>
      <c r="F4016" s="4" t="s">
        <v>10156</v>
      </c>
      <c r="G4016" s="5" t="str">
        <f>IFERROR(__xludf.DUMMYFUNCTION("GOOGLETRANSLATE(D4016,""fi"",""es"")"),"Kuta")</f>
        <v>Kuta</v>
      </c>
    </row>
    <row r="4017">
      <c r="A4017" s="4">
        <v>219.0</v>
      </c>
      <c r="B4017" s="4" t="s">
        <v>9198</v>
      </c>
      <c r="C4017" s="4"/>
      <c r="D4017" s="4" t="s">
        <v>10158</v>
      </c>
      <c r="E4017" s="4" t="s">
        <v>10159</v>
      </c>
      <c r="F4017" s="4" t="s">
        <v>10158</v>
      </c>
      <c r="G4017" s="5" t="str">
        <f>IFERROR(__xludf.DUMMYFUNCTION("GOOGLETRANSLATE(D4017,""fi"",""es"")"),"Disparo")</f>
        <v>Disparo</v>
      </c>
    </row>
    <row r="4018">
      <c r="A4018" s="4">
        <v>220.0</v>
      </c>
      <c r="B4018" s="4" t="s">
        <v>9198</v>
      </c>
      <c r="C4018" s="4"/>
      <c r="D4018" s="4" t="s">
        <v>10160</v>
      </c>
      <c r="E4018" s="4" t="s">
        <v>10161</v>
      </c>
      <c r="F4018" s="4" t="s">
        <v>10160</v>
      </c>
      <c r="G4018" s="5" t="str">
        <f>IFERROR(__xludf.DUMMYFUNCTION("GOOGLETRANSLATE(D4018,""fi"",""es"")"),"Aparecer")</f>
        <v>Aparecer</v>
      </c>
    </row>
    <row r="4019">
      <c r="A4019" s="4">
        <v>221.0</v>
      </c>
      <c r="B4019" s="4" t="s">
        <v>9198</v>
      </c>
      <c r="C4019" s="4"/>
      <c r="D4019" s="4" t="s">
        <v>10162</v>
      </c>
      <c r="E4019" s="4" t="s">
        <v>10163</v>
      </c>
      <c r="F4019" s="4" t="s">
        <v>10162</v>
      </c>
      <c r="G4019" s="5" t="str">
        <f>IFERROR(__xludf.DUMMYFUNCTION("GOOGLETRANSLATE(D4019,""fi"",""es"")"),"picar")</f>
        <v>picar</v>
      </c>
      <c r="H4019" s="4" t="s">
        <v>3501</v>
      </c>
      <c r="I4019" s="4" t="s">
        <v>10164</v>
      </c>
      <c r="J4019" s="4" t="s">
        <v>10165</v>
      </c>
      <c r="K4019" s="4" t="s">
        <v>10166</v>
      </c>
    </row>
    <row r="4020">
      <c r="A4020" s="4">
        <v>222.0</v>
      </c>
      <c r="B4020" s="4" t="s">
        <v>9198</v>
      </c>
      <c r="C4020" s="4"/>
      <c r="D4020" s="4" t="s">
        <v>10167</v>
      </c>
      <c r="E4020" s="4" t="s">
        <v>10168</v>
      </c>
      <c r="F4020" s="4" t="s">
        <v>10167</v>
      </c>
      <c r="G4020" s="5" t="str">
        <f>IFERROR(__xludf.DUMMYFUNCTION("GOOGLETRANSLATE(D4020,""fi"",""es"")"),"Aparecer")</f>
        <v>Aparecer</v>
      </c>
      <c r="H4020" s="4" t="s">
        <v>10169</v>
      </c>
    </row>
    <row r="4021">
      <c r="A4021" s="4">
        <v>223.0</v>
      </c>
      <c r="B4021" s="4" t="s">
        <v>9198</v>
      </c>
      <c r="C4021" s="4"/>
      <c r="D4021" s="4" t="s">
        <v>10170</v>
      </c>
      <c r="E4021" s="4" t="s">
        <v>10171</v>
      </c>
      <c r="F4021" s="4" t="s">
        <v>10170</v>
      </c>
      <c r="G4021" s="5" t="str">
        <f>IFERROR(__xludf.DUMMYFUNCTION("GOOGLETRANSLATE(D4021,""fi"",""es"")"),"desove")</f>
        <v>desove</v>
      </c>
      <c r="H4021" s="4" t="s">
        <v>10172</v>
      </c>
    </row>
    <row r="4022">
      <c r="A4022" s="4">
        <v>224.0</v>
      </c>
      <c r="B4022" s="4" t="s">
        <v>9198</v>
      </c>
      <c r="C4022" s="4"/>
      <c r="D4022" s="4" t="s">
        <v>10173</v>
      </c>
      <c r="E4022" s="4" t="s">
        <v>10174</v>
      </c>
      <c r="F4022" s="4" t="s">
        <v>10173</v>
      </c>
      <c r="G4022" s="5" t="str">
        <f>IFERROR(__xludf.DUMMYFUNCTION("GOOGLETRANSLATE(D4022,""fi"",""es"")"),"traje de desove")</f>
        <v>traje de desove</v>
      </c>
    </row>
    <row r="4023">
      <c r="A4023" s="4">
        <v>225.0</v>
      </c>
      <c r="B4023" s="4" t="s">
        <v>9198</v>
      </c>
      <c r="C4023" s="4"/>
      <c r="D4023" s="4" t="s">
        <v>10175</v>
      </c>
      <c r="E4023" s="4" t="s">
        <v>6395</v>
      </c>
      <c r="F4023" s="4" t="s">
        <v>1297</v>
      </c>
      <c r="G4023" s="5" t="str">
        <f>IFERROR(__xludf.DUMMYFUNCTION("GOOGLETRANSLATE(D4023,""fi"",""es"")"),"caqui")</f>
        <v>caqui</v>
      </c>
      <c r="H4023" s="4" t="s">
        <v>9118</v>
      </c>
      <c r="I4023" s="4" t="s">
        <v>10176</v>
      </c>
      <c r="J4023" s="4" t="s">
        <v>10177</v>
      </c>
    </row>
    <row r="4024">
      <c r="A4024" s="4">
        <v>226.0</v>
      </c>
      <c r="B4024" s="4" t="s">
        <v>9198</v>
      </c>
      <c r="C4024" s="4"/>
      <c r="D4024" s="4" t="s">
        <v>10178</v>
      </c>
      <c r="E4024" s="4" t="s">
        <v>10179</v>
      </c>
      <c r="F4024" s="4" t="s">
        <v>10180</v>
      </c>
      <c r="G4024" s="5" t="str">
        <f>IFERROR(__xludf.DUMMYFUNCTION("GOOGLETRANSLATE(D4024,""fi"",""es"")"),"pata")</f>
        <v>pata</v>
      </c>
      <c r="H4024" s="4" t="s">
        <v>10181</v>
      </c>
      <c r="I4024" s="4" t="s">
        <v>7188</v>
      </c>
      <c r="J4024" s="4" t="s">
        <v>2861</v>
      </c>
      <c r="K4024" s="4" t="s">
        <v>2858</v>
      </c>
      <c r="L4024" s="4" t="s">
        <v>2859</v>
      </c>
      <c r="M4024" s="4" t="s">
        <v>2860</v>
      </c>
      <c r="N4024" s="4" t="s">
        <v>2861</v>
      </c>
    </row>
    <row r="4025">
      <c r="A4025" s="4">
        <v>227.0</v>
      </c>
      <c r="B4025" s="4" t="s">
        <v>9198</v>
      </c>
      <c r="C4025" s="4"/>
      <c r="D4025" s="4" t="s">
        <v>10182</v>
      </c>
      <c r="E4025" s="4" t="s">
        <v>8120</v>
      </c>
      <c r="F4025" s="4" t="s">
        <v>8121</v>
      </c>
      <c r="G4025" s="5" t="str">
        <f>IFERROR(__xludf.DUMMYFUNCTION("GOOGLETRANSLATE(D4025,""fi"",""es"")"),"mano")</f>
        <v>mano</v>
      </c>
      <c r="H4025" s="4" t="s">
        <v>2858</v>
      </c>
      <c r="I4025" s="4" t="s">
        <v>2858</v>
      </c>
      <c r="J4025" s="4" t="s">
        <v>2859</v>
      </c>
      <c r="K4025" s="4" t="s">
        <v>2860</v>
      </c>
      <c r="L4025" s="4" t="s">
        <v>2861</v>
      </c>
      <c r="M4025" s="4" t="s">
        <v>10183</v>
      </c>
    </row>
    <row r="4026">
      <c r="A4026" s="4">
        <v>228.0</v>
      </c>
      <c r="B4026" s="4" t="s">
        <v>9198</v>
      </c>
      <c r="C4026" s="4"/>
      <c r="D4026" s="4" t="s">
        <v>10184</v>
      </c>
      <c r="E4026" s="4" t="s">
        <v>10185</v>
      </c>
      <c r="F4026" s="4" t="s">
        <v>10186</v>
      </c>
      <c r="G4026" s="5" t="str">
        <f>IFERROR(__xludf.DUMMYFUNCTION("GOOGLETRANSLATE(D4026,""fi"",""es"")"),"a mano")</f>
        <v>a mano</v>
      </c>
      <c r="H4026" s="4" t="s">
        <v>10187</v>
      </c>
    </row>
    <row r="4027">
      <c r="A4027" s="4">
        <v>229.0</v>
      </c>
      <c r="B4027" s="4" t="s">
        <v>9198</v>
      </c>
      <c r="C4027" s="4"/>
      <c r="D4027" s="4" t="s">
        <v>10188</v>
      </c>
      <c r="E4027" s="4" t="s">
        <v>10189</v>
      </c>
      <c r="F4027" s="4" t="s">
        <v>5665</v>
      </c>
      <c r="G4027" s="5" t="str">
        <f>IFERROR(__xludf.DUMMYFUNCTION("GOOGLETRANSLATE(D4027,""fi"",""es"")"),"mano")</f>
        <v>mano</v>
      </c>
    </row>
    <row r="4028">
      <c r="A4028" s="4">
        <v>230.0</v>
      </c>
      <c r="B4028" s="4" t="s">
        <v>9198</v>
      </c>
      <c r="C4028" s="4"/>
      <c r="D4028" s="4" t="s">
        <v>10190</v>
      </c>
      <c r="E4028" s="4" t="s">
        <v>10191</v>
      </c>
      <c r="F4028" s="4" t="s">
        <v>10192</v>
      </c>
      <c r="G4028" s="5" t="str">
        <f>IFERROR(__xludf.DUMMYFUNCTION("GOOGLETRANSLATE(D4028,""fi"",""es"")"),"brazo")</f>
        <v>brazo</v>
      </c>
      <c r="H4028" s="4" t="s">
        <v>10193</v>
      </c>
    </row>
    <row r="4029">
      <c r="A4029" s="4">
        <v>231.0</v>
      </c>
      <c r="B4029" s="4" t="s">
        <v>9198</v>
      </c>
      <c r="C4029" s="4"/>
      <c r="D4029" s="4" t="s">
        <v>10194</v>
      </c>
      <c r="E4029" s="4" t="s">
        <v>5782</v>
      </c>
      <c r="F4029" s="4" t="s">
        <v>506</v>
      </c>
      <c r="G4029" s="5" t="str">
        <f>IFERROR(__xludf.DUMMYFUNCTION("GOOGLETRANSLATE(D4029,""fi"",""es"")"),"l")</f>
        <v>l</v>
      </c>
      <c r="H4029" s="4" t="s">
        <v>10195</v>
      </c>
      <c r="I4029" s="4" t="s">
        <v>10194</v>
      </c>
      <c r="J4029" s="4" t="s">
        <v>10195</v>
      </c>
      <c r="K4029" s="4" t="s">
        <v>10194</v>
      </c>
      <c r="L4029" s="4" t="s">
        <v>10196</v>
      </c>
      <c r="M4029" s="4" t="s">
        <v>10197</v>
      </c>
      <c r="N4029" s="4" t="s">
        <v>10194</v>
      </c>
      <c r="O4029" s="4" t="s">
        <v>10198</v>
      </c>
      <c r="P4029" s="4" t="s">
        <v>10199</v>
      </c>
      <c r="Q4029" s="4" t="s">
        <v>10200</v>
      </c>
      <c r="R4029" s="4" t="s">
        <v>10195</v>
      </c>
      <c r="S4029" s="4" t="s">
        <v>10201</v>
      </c>
      <c r="T4029" s="4">
        <v>50.0</v>
      </c>
      <c r="U4029" s="4" t="s">
        <v>10195</v>
      </c>
      <c r="V4029" s="4" t="s">
        <v>10202</v>
      </c>
      <c r="W4029" s="4" t="s">
        <v>10203</v>
      </c>
      <c r="X4029" s="4" t="s">
        <v>10204</v>
      </c>
      <c r="Y4029" s="4" t="s">
        <v>10205</v>
      </c>
    </row>
    <row r="4030">
      <c r="A4030" s="4">
        <v>232.0</v>
      </c>
      <c r="B4030" s="4" t="s">
        <v>9198</v>
      </c>
      <c r="C4030" s="4"/>
      <c r="D4030" s="4" t="s">
        <v>10206</v>
      </c>
      <c r="E4030" s="4" t="s">
        <v>10207</v>
      </c>
      <c r="F4030" s="4" t="s">
        <v>10208</v>
      </c>
      <c r="G4030" s="5" t="str">
        <f>IFERROR(__xludf.DUMMYFUNCTION("GOOGLETRANSLATE(D4030,""fi"",""es"")"),"especies")</f>
        <v>especies</v>
      </c>
      <c r="H4030" s="4" t="s">
        <v>4414</v>
      </c>
      <c r="I4030" s="4" t="s">
        <v>4413</v>
      </c>
      <c r="J4030" s="4" t="s">
        <v>4414</v>
      </c>
      <c r="K4030" s="4" t="s">
        <v>1679</v>
      </c>
      <c r="L4030" s="4" t="s">
        <v>4415</v>
      </c>
      <c r="M4030" s="4" t="s">
        <v>10209</v>
      </c>
      <c r="N4030" s="4" t="s">
        <v>10210</v>
      </c>
      <c r="O4030" s="4" t="s">
        <v>10211</v>
      </c>
      <c r="P4030" s="4" t="s">
        <v>10212</v>
      </c>
      <c r="Q4030" s="4" t="s">
        <v>3988</v>
      </c>
      <c r="R4030" s="4" t="s">
        <v>10213</v>
      </c>
      <c r="S4030" s="4" t="s">
        <v>4422</v>
      </c>
      <c r="T4030" s="4" t="s">
        <v>4412</v>
      </c>
      <c r="U4030" s="4" t="s">
        <v>10214</v>
      </c>
      <c r="V4030" s="4" t="s">
        <v>10215</v>
      </c>
      <c r="W4030" s="4" t="s">
        <v>10216</v>
      </c>
      <c r="X4030" s="4" t="s">
        <v>10217</v>
      </c>
      <c r="Y4030" s="4" t="s">
        <v>10218</v>
      </c>
      <c r="Z4030" s="4" t="s">
        <v>10211</v>
      </c>
      <c r="AA4030" s="4" t="s">
        <v>4412</v>
      </c>
    </row>
    <row r="4031">
      <c r="A4031" s="4">
        <v>233.0</v>
      </c>
      <c r="B4031" s="4" t="s">
        <v>9198</v>
      </c>
      <c r="C4031" s="4"/>
      <c r="D4031" s="4" t="s">
        <v>10219</v>
      </c>
      <c r="E4031" s="4" t="s">
        <v>10220</v>
      </c>
      <c r="F4031" s="4" t="s">
        <v>10221</v>
      </c>
      <c r="G4031" s="5" t="str">
        <f>IFERROR(__xludf.DUMMYFUNCTION("GOOGLETRANSLATE(D4031,""fi"",""es"")"),"Nombre de la especie")</f>
        <v>Nombre de la especie</v>
      </c>
      <c r="H4031" s="4" t="s">
        <v>10222</v>
      </c>
    </row>
    <row r="4032">
      <c r="A4032" s="4">
        <v>234.0</v>
      </c>
      <c r="B4032" s="4" t="s">
        <v>9198</v>
      </c>
      <c r="C4032" s="4"/>
      <c r="D4032" s="4" t="s">
        <v>10223</v>
      </c>
      <c r="E4032" s="4" t="s">
        <v>10224</v>
      </c>
      <c r="F4032" s="4" t="s">
        <v>10225</v>
      </c>
      <c r="G4032" s="5" t="str">
        <f>IFERROR(__xludf.DUMMYFUNCTION("GOOGLETRANSLATE(D4032,""fi"",""es"")"),"clasificar")</f>
        <v>clasificar</v>
      </c>
    </row>
    <row r="4033">
      <c r="A4033" s="4">
        <v>235.0</v>
      </c>
      <c r="B4033" s="4" t="s">
        <v>9198</v>
      </c>
      <c r="C4033" s="4"/>
      <c r="D4033" s="4" t="s">
        <v>10226</v>
      </c>
      <c r="E4033" s="4" t="s">
        <v>10227</v>
      </c>
      <c r="F4033" s="4" t="s">
        <v>10226</v>
      </c>
      <c r="G4033" s="5" t="str">
        <f>IFERROR(__xludf.DUMMYFUNCTION("GOOGLETRANSLATE(D4033,""fi"",""es"")"),"sábana")</f>
        <v>sábana</v>
      </c>
    </row>
    <row r="4034">
      <c r="A4034" s="4">
        <v>236.0</v>
      </c>
      <c r="B4034" s="4" t="s">
        <v>9198</v>
      </c>
      <c r="C4034" s="4"/>
      <c r="D4034" s="4" t="s">
        <v>6531</v>
      </c>
      <c r="E4034" s="4" t="s">
        <v>10228</v>
      </c>
      <c r="F4034" s="4" t="s">
        <v>6531</v>
      </c>
      <c r="G4034" s="5" t="str">
        <f>IFERROR(__xludf.DUMMYFUNCTION("GOOGLETRANSLATE(D4034,""fi"",""es"")"),"ley")</f>
        <v>ley</v>
      </c>
      <c r="H4034" s="4" t="s">
        <v>10229</v>
      </c>
      <c r="I4034" s="4" t="s">
        <v>10230</v>
      </c>
      <c r="J4034" s="4" t="s">
        <v>10231</v>
      </c>
      <c r="K4034" s="4" t="s">
        <v>10230</v>
      </c>
      <c r="L4034" s="4" t="s">
        <v>10232</v>
      </c>
      <c r="M4034" s="4" t="s">
        <v>10233</v>
      </c>
      <c r="N4034" s="4" t="s">
        <v>10234</v>
      </c>
      <c r="O4034" s="4" t="s">
        <v>10235</v>
      </c>
      <c r="P4034" s="4" t="s">
        <v>3993</v>
      </c>
      <c r="Q4034" s="4" t="s">
        <v>10236</v>
      </c>
      <c r="R4034" s="4" t="s">
        <v>10230</v>
      </c>
      <c r="S4034" s="4" t="s">
        <v>10237</v>
      </c>
      <c r="T4034" s="4" t="s">
        <v>10238</v>
      </c>
      <c r="U4034" s="4" t="s">
        <v>10230</v>
      </c>
      <c r="V4034" s="4" t="s">
        <v>10239</v>
      </c>
    </row>
    <row r="4035">
      <c r="A4035" s="4">
        <v>237.0</v>
      </c>
      <c r="B4035" s="4" t="s">
        <v>9198</v>
      </c>
      <c r="C4035" s="4"/>
      <c r="D4035" s="4" t="s">
        <v>10240</v>
      </c>
      <c r="E4035" s="4" t="s">
        <v>10241</v>
      </c>
      <c r="F4035" s="4" t="s">
        <v>10240</v>
      </c>
      <c r="G4035" s="5" t="str">
        <f>IFERROR(__xludf.DUMMYFUNCTION("GOOGLETRANSLATE(D4035,""fi"",""es"")"),"habitación legal")</f>
        <v>habitación legal</v>
      </c>
    </row>
    <row r="4036">
      <c r="A4036" s="4">
        <v>238.0</v>
      </c>
      <c r="B4036" s="4" t="s">
        <v>9198</v>
      </c>
      <c r="C4036" s="4"/>
      <c r="D4036" s="4" t="s">
        <v>10242</v>
      </c>
      <c r="E4036" s="4" t="s">
        <v>10243</v>
      </c>
      <c r="F4036" s="4" t="s">
        <v>10242</v>
      </c>
      <c r="G4036" s="5" t="str">
        <f>IFERROR(__xludf.DUMMYFUNCTION("GOOGLETRANSLATE(D4036,""fi"",""es"")"),"barniz")</f>
        <v>barniz</v>
      </c>
    </row>
    <row r="4037">
      <c r="A4037" s="4">
        <v>239.0</v>
      </c>
      <c r="B4037" s="4" t="s">
        <v>9198</v>
      </c>
      <c r="C4037" s="4"/>
      <c r="D4037" s="4" t="s">
        <v>10244</v>
      </c>
      <c r="E4037" s="4" t="s">
        <v>10245</v>
      </c>
      <c r="F4037" s="4" t="s">
        <v>10244</v>
      </c>
      <c r="G4037" s="5" t="str">
        <f>IFERROR(__xludf.DUMMYFUNCTION("GOOGLETRANSLATE(D4037,""fi"",""es"")"),"recesión")</f>
        <v>recesión</v>
      </c>
      <c r="H4037" s="4" t="s">
        <v>10246</v>
      </c>
      <c r="I4037" s="4" t="s">
        <v>10247</v>
      </c>
      <c r="J4037" s="4" t="s">
        <v>10244</v>
      </c>
      <c r="K4037" s="4" t="s">
        <v>10248</v>
      </c>
      <c r="L4037" s="4" t="s">
        <v>10249</v>
      </c>
      <c r="M4037" s="4" t="s">
        <v>10250</v>
      </c>
      <c r="N4037" s="4" t="s">
        <v>10251</v>
      </c>
      <c r="O4037" s="4" t="s">
        <v>10252</v>
      </c>
    </row>
    <row r="4038">
      <c r="A4038" s="4">
        <v>240.0</v>
      </c>
      <c r="B4038" s="4" t="s">
        <v>9198</v>
      </c>
      <c r="C4038" s="4"/>
      <c r="D4038" s="4" t="s">
        <v>10253</v>
      </c>
      <c r="E4038" s="4" t="s">
        <v>10254</v>
      </c>
      <c r="F4038" s="4" t="s">
        <v>10253</v>
      </c>
      <c r="G4038" s="5" t="str">
        <f>IFERROR(__xludf.DUMMYFUNCTION("GOOGLETRANSLATE(D4038,""fi"",""es"")"),"recesión")</f>
        <v>recesión</v>
      </c>
    </row>
    <row r="4039">
      <c r="A4039" s="4">
        <v>241.0</v>
      </c>
      <c r="B4039" s="4" t="s">
        <v>9198</v>
      </c>
      <c r="C4039" s="4"/>
      <c r="D4039" s="4" t="s">
        <v>10255</v>
      </c>
      <c r="E4039" s="4" t="s">
        <v>10256</v>
      </c>
      <c r="F4039" s="4" t="s">
        <v>10255</v>
      </c>
      <c r="G4039" s="5" t="str">
        <f>IFERROR(__xludf.DUMMYFUNCTION("GOOGLETRANSLATE(D4039,""fi"",""es"")"),"lana")</f>
        <v>lana</v>
      </c>
    </row>
    <row r="4040">
      <c r="A4040" s="4">
        <v>242.0</v>
      </c>
      <c r="B4040" s="4" t="s">
        <v>9198</v>
      </c>
      <c r="C4040" s="4"/>
      <c r="D4040" s="4" t="s">
        <v>10257</v>
      </c>
      <c r="E4040" s="4" t="s">
        <v>10258</v>
      </c>
      <c r="F4040" s="4" t="s">
        <v>10257</v>
      </c>
      <c r="G4040" s="5" t="str">
        <f>IFERROR(__xludf.DUMMYFUNCTION("GOOGLETRANSLATE(D4040,""fi"",""es"")"),"hombro")</f>
        <v>hombro</v>
      </c>
      <c r="H4040" s="4" t="s">
        <v>10259</v>
      </c>
      <c r="I4040" s="4" t="s">
        <v>10260</v>
      </c>
      <c r="J4040" s="4" t="s">
        <v>10259</v>
      </c>
      <c r="K4040" s="4" t="s">
        <v>10259</v>
      </c>
      <c r="L4040" s="4" t="s">
        <v>10261</v>
      </c>
    </row>
    <row r="4041">
      <c r="A4041" s="4">
        <v>243.0</v>
      </c>
      <c r="B4041" s="4" t="s">
        <v>9198</v>
      </c>
      <c r="C4041" s="4"/>
      <c r="D4041" s="4" t="s">
        <v>10262</v>
      </c>
      <c r="E4041" s="4" t="s">
        <v>10263</v>
      </c>
      <c r="F4041" s="4" t="s">
        <v>10262</v>
      </c>
      <c r="G4041" s="5" t="str">
        <f>IFERROR(__xludf.DUMMYFUNCTION("GOOGLETRANSLATE(D4041,""fi"",""es"")"),"omoplato")</f>
        <v>omoplato</v>
      </c>
    </row>
    <row r="4042">
      <c r="A4042" s="4">
        <v>244.0</v>
      </c>
      <c r="B4042" s="4" t="s">
        <v>9198</v>
      </c>
      <c r="C4042" s="4"/>
      <c r="D4042" s="4" t="s">
        <v>2020</v>
      </c>
      <c r="E4042" s="4" t="s">
        <v>8494</v>
      </c>
      <c r="F4042" s="4" t="s">
        <v>2020</v>
      </c>
      <c r="G4042" s="5" t="str">
        <f>IFERROR(__xludf.DUMMYFUNCTION("GOOGLETRANSLATE(D4042,""fi"",""es"")"),"vidrio")</f>
        <v>vidrio</v>
      </c>
      <c r="H4042" s="4" t="s">
        <v>10264</v>
      </c>
      <c r="I4042" s="4" t="s">
        <v>10265</v>
      </c>
      <c r="J4042" s="4" t="s">
        <v>10264</v>
      </c>
      <c r="K4042" s="4" t="s">
        <v>10266</v>
      </c>
      <c r="L4042" s="4" t="s">
        <v>10264</v>
      </c>
    </row>
    <row r="4043">
      <c r="A4043" s="4">
        <v>245.0</v>
      </c>
      <c r="B4043" s="4" t="s">
        <v>9198</v>
      </c>
      <c r="C4043" s="4"/>
      <c r="D4043" s="4" t="s">
        <v>10267</v>
      </c>
      <c r="E4043" s="4" t="s">
        <v>10268</v>
      </c>
      <c r="F4043" s="4" t="s">
        <v>10267</v>
      </c>
      <c r="G4043" s="5" t="str">
        <f>IFERROR(__xludf.DUMMYFUNCTION("GOOGLETRANSLATE(D4043,""fi"",""es"")"),"campana de cristal")</f>
        <v>campana de cristal</v>
      </c>
      <c r="H4043" s="4" t="s">
        <v>10269</v>
      </c>
      <c r="I4043" s="4" t="s">
        <v>10270</v>
      </c>
      <c r="J4043" s="4" t="s">
        <v>10146</v>
      </c>
      <c r="K4043" s="4" t="s">
        <v>10147</v>
      </c>
    </row>
    <row r="4044">
      <c r="A4044" s="4">
        <v>246.0</v>
      </c>
      <c r="B4044" s="4" t="s">
        <v>9198</v>
      </c>
      <c r="C4044" s="4"/>
      <c r="D4044" s="4" t="s">
        <v>10271</v>
      </c>
      <c r="E4044" s="4" t="s">
        <v>10272</v>
      </c>
      <c r="F4044" s="4" t="s">
        <v>10271</v>
      </c>
      <c r="G4044" s="5" t="str">
        <f>IFERROR(__xludf.DUMMYFUNCTION("GOOGLETRANSLATE(D4044,""fi"",""es"")"),"acristalamiento")</f>
        <v>acristalamiento</v>
      </c>
      <c r="H4044" s="4" t="s">
        <v>10273</v>
      </c>
      <c r="I4044" s="4" t="s">
        <v>10274</v>
      </c>
      <c r="J4044" s="4" t="s">
        <v>10273</v>
      </c>
    </row>
    <row r="4045">
      <c r="A4045" s="4">
        <v>247.0</v>
      </c>
      <c r="B4045" s="4" t="s">
        <v>9198</v>
      </c>
      <c r="C4045" s="4"/>
      <c r="D4045" s="4" t="s">
        <v>10275</v>
      </c>
      <c r="E4045" s="4" t="s">
        <v>10276</v>
      </c>
      <c r="F4045" s="4" t="s">
        <v>10275</v>
      </c>
      <c r="G4045" s="5" t="str">
        <f>IFERROR(__xludf.DUMMYFUNCTION("GOOGLETRANSLATE(D4045,""fi"",""es"")"),"latín")</f>
        <v>latín</v>
      </c>
      <c r="H4045" s="4" t="s">
        <v>2141</v>
      </c>
    </row>
    <row r="4046">
      <c r="A4046" s="4">
        <v>248.0</v>
      </c>
      <c r="B4046" s="4" t="s">
        <v>9198</v>
      </c>
      <c r="C4046" s="4"/>
      <c r="D4046" s="4" t="s">
        <v>10277</v>
      </c>
      <c r="E4046" s="4" t="s">
        <v>10278</v>
      </c>
      <c r="F4046" s="4" t="s">
        <v>10277</v>
      </c>
      <c r="G4046" s="5" t="str">
        <f>IFERROR(__xludf.DUMMYFUNCTION("GOOGLETRANSLATE(D4046,""fi"",""es"")"),"sendero de esquí")</f>
        <v>sendero de esquí</v>
      </c>
      <c r="H4046" s="4" t="s">
        <v>10279</v>
      </c>
      <c r="I4046" s="4" t="s">
        <v>10280</v>
      </c>
    </row>
    <row r="4047">
      <c r="A4047" s="4">
        <v>249.0</v>
      </c>
      <c r="B4047" s="4" t="s">
        <v>9198</v>
      </c>
      <c r="C4047" s="4"/>
      <c r="D4047" s="4" t="s">
        <v>10281</v>
      </c>
      <c r="E4047" s="4" t="s">
        <v>10282</v>
      </c>
      <c r="F4047" s="4" t="s">
        <v>10281</v>
      </c>
      <c r="G4047" s="5" t="str">
        <f>IFERROR(__xludf.DUMMYFUNCTION("GOOGLETRANSLATE(D4047,""fi"",""es"")"),"carne")</f>
        <v>carne</v>
      </c>
      <c r="H4047" s="4" t="s">
        <v>6020</v>
      </c>
      <c r="I4047" s="4" t="s">
        <v>6021</v>
      </c>
      <c r="J4047" s="4" t="s">
        <v>6022</v>
      </c>
      <c r="K4047" s="4" t="s">
        <v>6023</v>
      </c>
      <c r="L4047" s="4" t="s">
        <v>6024</v>
      </c>
      <c r="M4047" s="4" t="s">
        <v>4861</v>
      </c>
      <c r="N4047" s="4" t="s">
        <v>6025</v>
      </c>
      <c r="O4047" s="4" t="s">
        <v>6026</v>
      </c>
      <c r="P4047" s="4" t="s">
        <v>6027</v>
      </c>
      <c r="Q4047" s="4" t="s">
        <v>6028</v>
      </c>
      <c r="R4047" s="4" t="s">
        <v>6017</v>
      </c>
      <c r="S4047" s="4" t="s">
        <v>6029</v>
      </c>
      <c r="T4047" s="4" t="s">
        <v>1679</v>
      </c>
      <c r="U4047" s="4" t="s">
        <v>6030</v>
      </c>
      <c r="V4047" s="4" t="s">
        <v>6030</v>
      </c>
      <c r="W4047" s="4" t="s">
        <v>10283</v>
      </c>
      <c r="X4047" s="4" t="s">
        <v>7270</v>
      </c>
      <c r="Y4047" s="4" t="s">
        <v>7263</v>
      </c>
      <c r="Z4047" s="4" t="s">
        <v>7270</v>
      </c>
    </row>
    <row r="4048">
      <c r="A4048" s="4">
        <v>250.0</v>
      </c>
      <c r="B4048" s="4" t="s">
        <v>9198</v>
      </c>
      <c r="C4048" s="4"/>
      <c r="D4048" s="4" t="s">
        <v>10284</v>
      </c>
      <c r="E4048" s="4" t="s">
        <v>10285</v>
      </c>
      <c r="F4048" s="4" t="s">
        <v>10284</v>
      </c>
      <c r="G4048" s="5" t="str">
        <f>IFERROR(__xludf.DUMMYFUNCTION("GOOGLETRANSLATE(D4048,""fi"",""es"")"),"enfriador")</f>
        <v>enfriador</v>
      </c>
      <c r="H4048" s="4" t="s">
        <v>10286</v>
      </c>
      <c r="I4048" s="4" t="s">
        <v>10287</v>
      </c>
      <c r="J4048" s="4" t="s">
        <v>10288</v>
      </c>
      <c r="K4048" s="4" t="s">
        <v>10289</v>
      </c>
    </row>
    <row r="4049">
      <c r="A4049" s="4">
        <v>251.0</v>
      </c>
      <c r="B4049" s="4" t="s">
        <v>9198</v>
      </c>
      <c r="C4049" s="4"/>
      <c r="D4049" s="4" t="s">
        <v>10290</v>
      </c>
      <c r="E4049" s="4" t="s">
        <v>10291</v>
      </c>
      <c r="F4049" s="4" t="s">
        <v>10290</v>
      </c>
      <c r="G4049" s="5" t="str">
        <f>IFERROR(__xludf.DUMMYFUNCTION("GOOGLETRANSLATE(D4049,""fi"",""es"")"),"músculo")</f>
        <v>músculo</v>
      </c>
      <c r="H4049" s="4" t="s">
        <v>10292</v>
      </c>
      <c r="I4049" s="4" t="s">
        <v>10293</v>
      </c>
      <c r="J4049" s="4" t="s">
        <v>10292</v>
      </c>
      <c r="K4049" s="4" t="s">
        <v>10294</v>
      </c>
    </row>
    <row r="4050">
      <c r="A4050" s="4">
        <v>252.0</v>
      </c>
      <c r="B4050" s="4" t="s">
        <v>9198</v>
      </c>
      <c r="C4050" s="4"/>
      <c r="D4050" s="4" t="s">
        <v>10295</v>
      </c>
      <c r="E4050" s="4" t="s">
        <v>10296</v>
      </c>
      <c r="F4050" s="4" t="s">
        <v>10295</v>
      </c>
      <c r="G4050" s="5" t="str">
        <f>IFERROR(__xludf.DUMMYFUNCTION("GOOGLETRANSLATE(D4050,""fi"",""es"")"),"músculo")</f>
        <v>músculo</v>
      </c>
    </row>
    <row r="4051">
      <c r="A4051" s="4">
        <v>253.0</v>
      </c>
      <c r="B4051" s="4" t="s">
        <v>9198</v>
      </c>
      <c r="C4051" s="4"/>
      <c r="D4051" s="4" t="s">
        <v>10297</v>
      </c>
      <c r="E4051" s="4" t="s">
        <v>10298</v>
      </c>
      <c r="F4051" s="4" t="s">
        <v>10297</v>
      </c>
      <c r="G4051" s="5" t="str">
        <f>IFERROR(__xludf.DUMMYFUNCTION("GOOGLETRANSLATE(D4051,""fi"",""es"")"),"suciedad")</f>
        <v>suciedad</v>
      </c>
      <c r="H4051" s="4" t="s">
        <v>10299</v>
      </c>
      <c r="I4051" s="4" t="s">
        <v>10300</v>
      </c>
      <c r="J4051" s="4" t="s">
        <v>10301</v>
      </c>
      <c r="K4051" s="4" t="s">
        <v>10302</v>
      </c>
      <c r="L4051" s="4" t="s">
        <v>10303</v>
      </c>
      <c r="M4051" s="4" t="s">
        <v>10300</v>
      </c>
      <c r="N4051" s="4" t="s">
        <v>10304</v>
      </c>
      <c r="O4051" s="4" t="s">
        <v>10305</v>
      </c>
    </row>
    <row r="4052">
      <c r="A4052" s="4">
        <v>254.0</v>
      </c>
      <c r="B4052" s="4" t="s">
        <v>9198</v>
      </c>
      <c r="C4052" s="4"/>
      <c r="D4052" s="4" t="s">
        <v>10306</v>
      </c>
      <c r="E4052" s="4" t="s">
        <v>10307</v>
      </c>
      <c r="F4052" s="4" t="s">
        <v>10306</v>
      </c>
      <c r="G4052" s="5" t="str">
        <f>IFERROR(__xludf.DUMMYFUNCTION("GOOGLETRANSLATE(D4052,""fi"",""es"")"),"casi casi")</f>
        <v>casi casi</v>
      </c>
      <c r="H4052" s="4" t="s">
        <v>10308</v>
      </c>
      <c r="I4052" s="4" t="s">
        <v>10309</v>
      </c>
      <c r="J4052" s="4" t="s">
        <v>10310</v>
      </c>
      <c r="K4052" s="4" t="s">
        <v>10311</v>
      </c>
      <c r="L4052" s="4" t="s">
        <v>10312</v>
      </c>
    </row>
    <row r="4053">
      <c r="A4053" s="4">
        <v>255.0</v>
      </c>
      <c r="B4053" s="4" t="s">
        <v>9198</v>
      </c>
      <c r="C4053" s="4"/>
      <c r="D4053" s="4" t="s">
        <v>10313</v>
      </c>
      <c r="E4053" s="4" t="s">
        <v>10314</v>
      </c>
      <c r="F4053" s="4" t="s">
        <v>10313</v>
      </c>
      <c r="G4053" s="5" t="str">
        <f>IFERROR(__xludf.DUMMYFUNCTION("GOOGLETRANSLATE(D4053,""fi"",""es"")"),"moco")</f>
        <v>moco</v>
      </c>
      <c r="H4053" s="4" t="s">
        <v>10315</v>
      </c>
      <c r="I4053" s="4" t="s">
        <v>10316</v>
      </c>
      <c r="J4053" s="4" t="s">
        <v>10317</v>
      </c>
      <c r="K4053" s="4" t="s">
        <v>10318</v>
      </c>
      <c r="L4053" s="4" t="s">
        <v>10319</v>
      </c>
      <c r="M4053" s="4" t="s">
        <v>10320</v>
      </c>
      <c r="N4053" s="4" t="s">
        <v>2155</v>
      </c>
      <c r="O4053" s="4" t="s">
        <v>2156</v>
      </c>
      <c r="P4053" s="4" t="s">
        <v>2157</v>
      </c>
      <c r="Q4053" s="4" t="s">
        <v>2158</v>
      </c>
      <c r="R4053" s="4" t="s">
        <v>2159</v>
      </c>
      <c r="S4053" s="4" t="s">
        <v>2160</v>
      </c>
      <c r="T4053" s="4" t="s">
        <v>2161</v>
      </c>
      <c r="U4053" s="4" t="s">
        <v>2162</v>
      </c>
      <c r="V4053" s="4" t="s">
        <v>2163</v>
      </c>
    </row>
    <row r="4054">
      <c r="A4054" s="4">
        <v>256.0</v>
      </c>
      <c r="B4054" s="4" t="s">
        <v>9198</v>
      </c>
      <c r="C4054" s="4"/>
      <c r="D4054" s="4" t="s">
        <v>10321</v>
      </c>
      <c r="E4054" s="4" t="s">
        <v>10322</v>
      </c>
      <c r="F4054" s="4" t="s">
        <v>10321</v>
      </c>
      <c r="G4054" s="5" t="str">
        <f>IFERROR(__xludf.DUMMYFUNCTION("GOOGLETRANSLATE(D4054,""fi"",""es"")"),"moco")</f>
        <v>moco</v>
      </c>
      <c r="H4054" s="4" t="s">
        <v>10323</v>
      </c>
      <c r="I4054" s="4" t="s">
        <v>10324</v>
      </c>
      <c r="J4054" s="4" t="s">
        <v>10325</v>
      </c>
    </row>
    <row r="4055">
      <c r="A4055" s="4">
        <v>257.0</v>
      </c>
      <c r="B4055" s="4" t="s">
        <v>9198</v>
      </c>
      <c r="C4055" s="4"/>
      <c r="D4055" s="4" t="s">
        <v>6629</v>
      </c>
      <c r="E4055" s="4" t="s">
        <v>10326</v>
      </c>
      <c r="F4055" s="4" t="s">
        <v>6629</v>
      </c>
      <c r="G4055" s="5" t="str">
        <f>IFERROR(__xludf.DUMMYFUNCTION("GOOGLETRANSLATE(D4055,""fi"",""es"")"),"superposición")</f>
        <v>superposición</v>
      </c>
    </row>
    <row r="4056">
      <c r="A4056" s="4">
        <v>258.0</v>
      </c>
      <c r="B4056" s="4" t="s">
        <v>9198</v>
      </c>
      <c r="C4056" s="4"/>
      <c r="D4056" s="4" t="s">
        <v>10327</v>
      </c>
      <c r="E4056" s="4" t="s">
        <v>10328</v>
      </c>
      <c r="F4056" s="4" t="s">
        <v>10327</v>
      </c>
      <c r="G4056" s="5" t="str">
        <f>IFERROR(__xludf.DUMMYFUNCTION("GOOGLETRANSLATE(D4056,""fi"",""es"")"),"Lima")</f>
        <v>Lima</v>
      </c>
    </row>
    <row r="4057">
      <c r="A4057" s="4">
        <v>259.0</v>
      </c>
      <c r="B4057" s="4" t="s">
        <v>9198</v>
      </c>
      <c r="C4057" s="4"/>
      <c r="D4057" s="4" t="s">
        <v>10329</v>
      </c>
      <c r="E4057" s="4" t="s">
        <v>10330</v>
      </c>
      <c r="F4057" s="4" t="s">
        <v>10329</v>
      </c>
      <c r="G4057" s="5" t="str">
        <f>IFERROR(__xludf.DUMMYFUNCTION("GOOGLETRANSLATE(D4057,""fi"",""es"")"),"estallido")</f>
        <v>estallido</v>
      </c>
    </row>
    <row r="4058">
      <c r="A4058" s="4">
        <v>260.0</v>
      </c>
      <c r="B4058" s="4" t="s">
        <v>9198</v>
      </c>
      <c r="C4058" s="4"/>
      <c r="D4058" s="4" t="s">
        <v>10331</v>
      </c>
      <c r="E4058" s="4" t="s">
        <v>10332</v>
      </c>
      <c r="F4058" s="4" t="s">
        <v>10331</v>
      </c>
      <c r="G4058" s="5" t="str">
        <f>IFERROR(__xludf.DUMMYFUNCTION("GOOGLETRANSLATE(D4058,""fi"",""es"")"),"revista")</f>
        <v>revista</v>
      </c>
      <c r="H4058" s="4" t="s">
        <v>10333</v>
      </c>
      <c r="I4058" s="4" t="s">
        <v>10334</v>
      </c>
      <c r="J4058" s="4" t="s">
        <v>10335</v>
      </c>
      <c r="K4058" s="4" t="s">
        <v>10336</v>
      </c>
    </row>
    <row r="4059">
      <c r="A4059" s="4">
        <v>261.0</v>
      </c>
      <c r="B4059" s="4" t="s">
        <v>9198</v>
      </c>
      <c r="C4059" s="4"/>
      <c r="D4059" s="4" t="s">
        <v>10337</v>
      </c>
      <c r="E4059" s="4" t="s">
        <v>10338</v>
      </c>
      <c r="F4059" s="4" t="s">
        <v>10337</v>
      </c>
      <c r="G4059" s="5" t="str">
        <f>IFERROR(__xludf.DUMMYFUNCTION("GOOGLETRANSLATE(D4059,""fi"",""es"")"),"flojo")</f>
        <v>flojo</v>
      </c>
    </row>
    <row r="4060">
      <c r="A4060" s="4">
        <v>262.0</v>
      </c>
      <c r="B4060" s="4" t="s">
        <v>9198</v>
      </c>
      <c r="C4060" s="4"/>
      <c r="D4060" s="4" t="s">
        <v>10339</v>
      </c>
      <c r="E4060" s="4" t="s">
        <v>10340</v>
      </c>
      <c r="F4060" s="4" t="s">
        <v>5308</v>
      </c>
      <c r="G4060" s="5" t="str">
        <f>IFERROR(__xludf.DUMMYFUNCTION("GOOGLETRANSLATE(D4060,""fi"",""es"")"),"adicional")</f>
        <v>adicional</v>
      </c>
      <c r="H4060" s="4" t="s">
        <v>4121</v>
      </c>
      <c r="I4060" s="4" t="s">
        <v>4121</v>
      </c>
      <c r="J4060" s="4" t="s">
        <v>10341</v>
      </c>
      <c r="K4060" s="4" t="s">
        <v>1827</v>
      </c>
      <c r="L4060" s="4" t="s">
        <v>10342</v>
      </c>
      <c r="M4060" s="4" t="s">
        <v>10343</v>
      </c>
      <c r="N4060" s="4" t="s">
        <v>4121</v>
      </c>
      <c r="O4060" s="4" t="s">
        <v>4121</v>
      </c>
      <c r="P4060" s="4" t="s">
        <v>10344</v>
      </c>
      <c r="Q4060" s="4" t="s">
        <v>10345</v>
      </c>
      <c r="R4060" s="4" t="s">
        <v>10346</v>
      </c>
      <c r="S4060" s="4" t="s">
        <v>10347</v>
      </c>
    </row>
    <row r="4061">
      <c r="A4061" s="4">
        <v>263.0</v>
      </c>
      <c r="B4061" s="4" t="s">
        <v>9198</v>
      </c>
      <c r="C4061" s="4"/>
      <c r="D4061" s="4" t="s">
        <v>10348</v>
      </c>
      <c r="E4061" s="4" t="s">
        <v>10349</v>
      </c>
      <c r="F4061" s="4" t="s">
        <v>10350</v>
      </c>
      <c r="G4061" s="5" t="str">
        <f>IFERROR(__xludf.DUMMYFUNCTION("GOOGLETRANSLATE(D4061,""fi"",""es"")"),"búsqueda adicional")</f>
        <v>búsqueda adicional</v>
      </c>
    </row>
    <row r="4062">
      <c r="A4062" s="4">
        <v>264.0</v>
      </c>
      <c r="B4062" s="4" t="s">
        <v>9198</v>
      </c>
      <c r="C4062" s="4"/>
      <c r="D4062" s="4" t="s">
        <v>10351</v>
      </c>
      <c r="E4062" s="4" t="s">
        <v>10352</v>
      </c>
      <c r="F4062" s="4" t="s">
        <v>10353</v>
      </c>
      <c r="G4062" s="5" t="str">
        <f>IFERROR(__xludf.DUMMYFUNCTION("GOOGLETRANSLATE(D4062,""fi"",""es"")"),"tren adicional")</f>
        <v>tren adicional</v>
      </c>
    </row>
    <row r="4063">
      <c r="A4063" s="4">
        <v>265.0</v>
      </c>
      <c r="B4063" s="4" t="s">
        <v>9198</v>
      </c>
      <c r="C4063" s="4"/>
      <c r="D4063" s="4" t="s">
        <v>2083</v>
      </c>
      <c r="E4063" s="4" t="s">
        <v>2084</v>
      </c>
      <c r="F4063" s="4" t="s">
        <v>2083</v>
      </c>
      <c r="G4063" s="5" t="str">
        <f>IFERROR(__xludf.DUMMYFUNCTION("GOOGLETRANSLATE(D4063,""fi"",""es"")"),"liti")</f>
        <v>liti</v>
      </c>
      <c r="H4063" s="4" t="s">
        <v>6662</v>
      </c>
    </row>
    <row r="4064">
      <c r="A4064" s="4">
        <v>266.0</v>
      </c>
      <c r="B4064" s="4" t="s">
        <v>9198</v>
      </c>
      <c r="C4064" s="4"/>
      <c r="D4064" s="4" t="s">
        <v>10354</v>
      </c>
      <c r="E4064" s="4" t="s">
        <v>10355</v>
      </c>
      <c r="F4064" s="4" t="s">
        <v>10356</v>
      </c>
      <c r="G4064" s="5" t="str">
        <f>IFERROR(__xludf.DUMMYFUNCTION("GOOGLETRANSLATE(D4064,""fi"",""es"")"),"aplastar")</f>
        <v>aplastar</v>
      </c>
      <c r="H4064" s="4" t="s">
        <v>10357</v>
      </c>
    </row>
    <row r="4065">
      <c r="A4065" s="4">
        <v>267.0</v>
      </c>
      <c r="B4065" s="4" t="s">
        <v>9198</v>
      </c>
      <c r="C4065" s="4"/>
      <c r="D4065" s="4" t="s">
        <v>10358</v>
      </c>
      <c r="E4065" s="4" t="s">
        <v>10359</v>
      </c>
      <c r="F4065" s="4" t="s">
        <v>10358</v>
      </c>
      <c r="G4065" s="5" t="str">
        <f>IFERROR(__xludf.DUMMYFUNCTION("GOOGLETRANSLATE(D4065,""fi"",""es"")"),"iluminado")</f>
        <v>iluminado</v>
      </c>
      <c r="H4065" s="4" t="s">
        <v>7581</v>
      </c>
      <c r="I4065" s="4" t="s">
        <v>7584</v>
      </c>
      <c r="J4065" s="4" t="s">
        <v>10360</v>
      </c>
    </row>
    <row r="4066">
      <c r="A4066" s="4">
        <v>268.0</v>
      </c>
      <c r="B4066" s="4" t="s">
        <v>9198</v>
      </c>
      <c r="C4066" s="4"/>
      <c r="D4066" s="4" t="s">
        <v>10361</v>
      </c>
      <c r="E4066" s="4" t="s">
        <v>10362</v>
      </c>
      <c r="F4066" s="4" t="s">
        <v>10361</v>
      </c>
      <c r="G4066" s="5" t="str">
        <f>IFERROR(__xludf.DUMMYFUNCTION("GOOGLETRANSLATE(D4066,""fi"",""es"")"),"listón")</f>
        <v>listón</v>
      </c>
      <c r="H4066" s="4" t="s">
        <v>10363</v>
      </c>
    </row>
    <row r="4067">
      <c r="A4067" s="4">
        <v>269.0</v>
      </c>
      <c r="B4067" s="4" t="s">
        <v>9198</v>
      </c>
      <c r="C4067" s="4"/>
      <c r="D4067" s="4" t="s">
        <v>10364</v>
      </c>
      <c r="E4067" s="4" t="s">
        <v>10365</v>
      </c>
      <c r="F4067" s="4" t="s">
        <v>10366</v>
      </c>
      <c r="G4067" s="5" t="str">
        <f>IFERROR(__xludf.DUMMYFUNCTION("GOOGLETRANSLATE(D4067,""fi"",""es"")"),"fuerte")</f>
        <v>fuerte</v>
      </c>
      <c r="H4067" s="4" t="s">
        <v>1366</v>
      </c>
      <c r="I4067" s="4" t="s">
        <v>3468</v>
      </c>
      <c r="J4067" s="4" t="s">
        <v>3469</v>
      </c>
      <c r="K4067" s="4" t="s">
        <v>10367</v>
      </c>
      <c r="L4067" s="4" t="s">
        <v>10368</v>
      </c>
      <c r="M4067" s="4" t="s">
        <v>10369</v>
      </c>
      <c r="N4067" s="4" t="s">
        <v>10370</v>
      </c>
      <c r="O4067" s="4" t="s">
        <v>2547</v>
      </c>
      <c r="P4067" s="4" t="s">
        <v>2550</v>
      </c>
      <c r="Q4067" s="4" t="s">
        <v>10371</v>
      </c>
      <c r="R4067" s="4" t="s">
        <v>10372</v>
      </c>
      <c r="S4067" s="4" t="s">
        <v>2548</v>
      </c>
      <c r="T4067" s="4" t="s">
        <v>10373</v>
      </c>
      <c r="U4067" s="4" t="s">
        <v>10374</v>
      </c>
      <c r="V4067" s="4" t="s">
        <v>10375</v>
      </c>
      <c r="W4067" s="4" t="s">
        <v>10376</v>
      </c>
      <c r="X4067" s="4" t="s">
        <v>10377</v>
      </c>
      <c r="Y4067" s="4" t="s">
        <v>10378</v>
      </c>
      <c r="Z4067" s="4" t="s">
        <v>10379</v>
      </c>
      <c r="AA4067" s="4" t="s">
        <v>9467</v>
      </c>
      <c r="AB4067" s="4" t="s">
        <v>10380</v>
      </c>
      <c r="AC4067" s="4" t="s">
        <v>10381</v>
      </c>
      <c r="AD4067" s="4" t="s">
        <v>10382</v>
      </c>
      <c r="AE4067" s="4" t="s">
        <v>10383</v>
      </c>
    </row>
    <row r="4068">
      <c r="A4068" s="4">
        <v>270.0</v>
      </c>
      <c r="B4068" s="4" t="s">
        <v>9198</v>
      </c>
      <c r="C4068" s="4"/>
      <c r="D4068" s="4" t="s">
        <v>10384</v>
      </c>
      <c r="E4068" s="4" t="s">
        <v>10385</v>
      </c>
      <c r="F4068" s="4" t="s">
        <v>10386</v>
      </c>
      <c r="G4068" s="5" t="str">
        <f>IFERROR(__xludf.DUMMYFUNCTION("GOOGLETRANSLATE(D4068,""fi"",""es"")"),"reforzamiento")</f>
        <v>reforzamiento</v>
      </c>
    </row>
    <row r="4069">
      <c r="A4069" s="4">
        <v>271.0</v>
      </c>
      <c r="B4069" s="4" t="s">
        <v>9198</v>
      </c>
      <c r="C4069" s="4"/>
      <c r="D4069" s="4" t="s">
        <v>10387</v>
      </c>
      <c r="E4069" s="4" t="s">
        <v>10388</v>
      </c>
      <c r="F4069" s="4" t="s">
        <v>10387</v>
      </c>
      <c r="G4069" s="5" t="str">
        <f>IFERROR(__xludf.DUMMYFUNCTION("GOOGLETRANSLATE(D4069,""fi"",""es"")"),"Luka")</f>
        <v>Luka</v>
      </c>
    </row>
    <row r="4070">
      <c r="A4070" s="4">
        <v>272.0</v>
      </c>
      <c r="B4070" s="4" t="s">
        <v>9198</v>
      </c>
      <c r="C4070" s="4"/>
      <c r="D4070" s="4" t="s">
        <v>10389</v>
      </c>
      <c r="E4070" s="4" t="s">
        <v>10390</v>
      </c>
      <c r="F4070" s="4" t="s">
        <v>10391</v>
      </c>
      <c r="G4070" s="5" t="str">
        <f>IFERROR(__xludf.DUMMYFUNCTION("GOOGLETRANSLATE(D4070,""fi"",""es"")"),"lector")</f>
        <v>lector</v>
      </c>
      <c r="H4070" s="4" t="s">
        <v>10392</v>
      </c>
      <c r="I4070" s="4" t="s">
        <v>10393</v>
      </c>
      <c r="J4070" s="4" t="s">
        <v>10394</v>
      </c>
      <c r="K4070" s="4" t="s">
        <v>10395</v>
      </c>
      <c r="L4070" s="4" t="s">
        <v>10393</v>
      </c>
      <c r="M4070" s="4" t="s">
        <v>10396</v>
      </c>
      <c r="N4070" s="4" t="s">
        <v>10393</v>
      </c>
    </row>
    <row r="4071">
      <c r="A4071" s="4">
        <v>273.0</v>
      </c>
      <c r="B4071" s="4" t="s">
        <v>9198</v>
      </c>
      <c r="C4071" s="4"/>
      <c r="D4071" s="4" t="s">
        <v>10397</v>
      </c>
      <c r="E4071" s="4" t="s">
        <v>10398</v>
      </c>
      <c r="F4071" s="4" t="s">
        <v>10397</v>
      </c>
      <c r="G4071" s="5" t="str">
        <f>IFERROR(__xludf.DUMMYFUNCTION("GOOGLETRANSLATE(D4071,""fi"",""es"")"),"número")</f>
        <v>número</v>
      </c>
      <c r="H4071" s="4" t="s">
        <v>4145</v>
      </c>
      <c r="I4071" s="4" t="s">
        <v>4861</v>
      </c>
      <c r="J4071" s="4" t="s">
        <v>10399</v>
      </c>
      <c r="K4071" s="4" t="s">
        <v>4145</v>
      </c>
      <c r="L4071" s="4" t="s">
        <v>10400</v>
      </c>
      <c r="M4071" s="4" t="s">
        <v>10401</v>
      </c>
      <c r="N4071" s="4" t="s">
        <v>10402</v>
      </c>
      <c r="O4071" s="4" t="s">
        <v>4861</v>
      </c>
      <c r="P4071" s="4" t="s">
        <v>10401</v>
      </c>
    </row>
    <row r="4072">
      <c r="A4072" s="4">
        <v>274.0</v>
      </c>
      <c r="B4072" s="4" t="s">
        <v>9198</v>
      </c>
      <c r="C4072" s="4"/>
      <c r="D4072" s="4" t="s">
        <v>10403</v>
      </c>
      <c r="E4072" s="4" t="s">
        <v>10404</v>
      </c>
      <c r="F4072" s="4" t="s">
        <v>10403</v>
      </c>
      <c r="G4072" s="5" t="str">
        <f>IFERROR(__xludf.DUMMYFUNCTION("GOOGLETRANSLATE(D4072,""fi"",""es"")"),"deseo de lectura")</f>
        <v>deseo de lectura</v>
      </c>
    </row>
    <row r="4073">
      <c r="A4073" s="4">
        <v>275.0</v>
      </c>
      <c r="B4073" s="4" t="s">
        <v>9198</v>
      </c>
      <c r="C4073" s="4"/>
      <c r="D4073" s="4" t="s">
        <v>10405</v>
      </c>
      <c r="E4073" s="4" t="s">
        <v>10406</v>
      </c>
      <c r="F4073" s="4" t="s">
        <v>10405</v>
      </c>
      <c r="G4073" s="5" t="str">
        <f>IFERROR(__xludf.DUMMYFUNCTION("GOOGLETRANSLATE(D4073,""fi"",""es"")"),"lectura")</f>
        <v>lectura</v>
      </c>
    </row>
    <row r="4074">
      <c r="A4074" s="4">
        <v>276.0</v>
      </c>
      <c r="B4074" s="4" t="s">
        <v>9198</v>
      </c>
      <c r="C4074" s="4"/>
      <c r="D4074" s="4" t="s">
        <v>10407</v>
      </c>
      <c r="E4074" s="4" t="s">
        <v>10408</v>
      </c>
      <c r="F4074" s="4" t="s">
        <v>10407</v>
      </c>
      <c r="G4074" s="5" t="str">
        <f>IFERROR(__xludf.DUMMYFUNCTION("GOOGLETRANSLATE(D4074,""fi"",""es"")"),"lectura")</f>
        <v>lectura</v>
      </c>
    </row>
    <row r="4075">
      <c r="A4075" s="4">
        <v>277.0</v>
      </c>
      <c r="B4075" s="4" t="s">
        <v>9198</v>
      </c>
      <c r="C4075" s="4"/>
      <c r="D4075" s="4" t="s">
        <v>10409</v>
      </c>
      <c r="E4075" s="4" t="s">
        <v>10410</v>
      </c>
      <c r="F4075" s="4" t="s">
        <v>10409</v>
      </c>
      <c r="G4075" s="5" t="str">
        <f>IFERROR(__xludf.DUMMYFUNCTION("GOOGLETRANSLATE(D4075,""fi"",""es"")"),"nieve")</f>
        <v>nieve</v>
      </c>
      <c r="H4075" s="4" t="s">
        <v>10411</v>
      </c>
      <c r="I4075" s="4" t="s">
        <v>4163</v>
      </c>
      <c r="J4075" s="4" t="s">
        <v>10412</v>
      </c>
      <c r="K4075" s="4" t="s">
        <v>10413</v>
      </c>
      <c r="L4075" s="4" t="s">
        <v>8268</v>
      </c>
      <c r="M4075" s="4" t="s">
        <v>10413</v>
      </c>
      <c r="N4075" s="4" t="s">
        <v>10414</v>
      </c>
      <c r="O4075" s="4" t="s">
        <v>10413</v>
      </c>
    </row>
    <row r="4076">
      <c r="A4076" s="4">
        <v>278.0</v>
      </c>
      <c r="B4076" s="4" t="s">
        <v>9198</v>
      </c>
      <c r="C4076" s="4"/>
      <c r="D4076" s="4" t="s">
        <v>10415</v>
      </c>
      <c r="E4076" s="4" t="s">
        <v>10416</v>
      </c>
      <c r="F4076" s="4" t="s">
        <v>10415</v>
      </c>
      <c r="G4076" s="5" t="str">
        <f>IFERROR(__xludf.DUMMYFUNCTION("GOOGLETRANSLATE(D4076,""fi"",""es"")"),"nevada")</f>
        <v>nevada</v>
      </c>
    </row>
    <row r="4077">
      <c r="A4077" s="4">
        <v>279.0</v>
      </c>
      <c r="B4077" s="4" t="s">
        <v>9198</v>
      </c>
      <c r="C4077" s="4"/>
      <c r="D4077" s="4" t="s">
        <v>10417</v>
      </c>
      <c r="E4077" s="4" t="s">
        <v>10418</v>
      </c>
      <c r="F4077" s="4" t="s">
        <v>10419</v>
      </c>
      <c r="G4077" s="5" t="str">
        <f>IFERROR(__xludf.DUMMYFUNCTION("GOOGLETRANSLATE(D4077,""fi"",""es"")"),"muñeco de nieve")</f>
        <v>muñeco de nieve</v>
      </c>
    </row>
    <row r="4078">
      <c r="A4078" s="4">
        <v>280.0</v>
      </c>
      <c r="B4078" s="4" t="s">
        <v>9198</v>
      </c>
      <c r="C4078" s="4"/>
      <c r="D4078" s="4" t="s">
        <v>2251</v>
      </c>
      <c r="E4078" s="4" t="s">
        <v>10420</v>
      </c>
      <c r="F4078" s="4" t="s">
        <v>2251</v>
      </c>
      <c r="G4078" s="5" t="str">
        <f>IFERROR(__xludf.DUMMYFUNCTION("GOOGLETRANSLATE(D4078,""fi"",""es"")"),"permiso")</f>
        <v>permiso</v>
      </c>
      <c r="H4078" s="4" t="s">
        <v>10421</v>
      </c>
      <c r="I4078" s="4" t="s">
        <v>10422</v>
      </c>
      <c r="J4078" s="4" t="s">
        <v>10423</v>
      </c>
      <c r="K4078" s="4" t="s">
        <v>10424</v>
      </c>
      <c r="L4078" s="4" t="s">
        <v>10425</v>
      </c>
      <c r="M4078" s="4" t="s">
        <v>10426</v>
      </c>
      <c r="N4078" s="4" t="s">
        <v>10427</v>
      </c>
      <c r="O4078" s="4" t="s">
        <v>10428</v>
      </c>
      <c r="P4078" s="4" t="s">
        <v>10229</v>
      </c>
      <c r="Q4078" s="4" t="s">
        <v>10426</v>
      </c>
      <c r="R4078" s="4" t="s">
        <v>10427</v>
      </c>
      <c r="S4078" s="4" t="s">
        <v>10428</v>
      </c>
      <c r="T4078" s="4" t="s">
        <v>8937</v>
      </c>
      <c r="U4078" s="4" t="s">
        <v>10429</v>
      </c>
      <c r="V4078" s="4" t="s">
        <v>10430</v>
      </c>
      <c r="W4078" s="4" t="s">
        <v>10421</v>
      </c>
      <c r="X4078" s="4" t="s">
        <v>10431</v>
      </c>
      <c r="Y4078" s="4" t="s">
        <v>10423</v>
      </c>
      <c r="Z4078" s="4" t="s">
        <v>10432</v>
      </c>
      <c r="AA4078" s="4" t="s">
        <v>10427</v>
      </c>
      <c r="AB4078" s="4" t="s">
        <v>10428</v>
      </c>
      <c r="AC4078" s="4" t="s">
        <v>10433</v>
      </c>
      <c r="AD4078" s="4" t="s">
        <v>10229</v>
      </c>
      <c r="AE4078" s="4" t="s">
        <v>10434</v>
      </c>
      <c r="AF4078" s="4" t="s">
        <v>10435</v>
      </c>
      <c r="AG4078" s="4" t="s">
        <v>10436</v>
      </c>
      <c r="AH4078" s="4" t="s">
        <v>10437</v>
      </c>
      <c r="AI4078" s="4" t="s">
        <v>10438</v>
      </c>
      <c r="AJ4078" s="4" t="s">
        <v>10422</v>
      </c>
      <c r="AK4078" s="4" t="s">
        <v>643</v>
      </c>
      <c r="AL4078" s="4" t="s">
        <v>647</v>
      </c>
      <c r="AM4078" s="4" t="s">
        <v>7108</v>
      </c>
      <c r="AN4078" s="4" t="s">
        <v>647</v>
      </c>
      <c r="AO4078" s="4" t="s">
        <v>7107</v>
      </c>
      <c r="AP4078" s="4" t="s">
        <v>10439</v>
      </c>
      <c r="AQ4078" s="4" t="s">
        <v>10440</v>
      </c>
      <c r="AR4078" s="4" t="s">
        <v>10430</v>
      </c>
      <c r="AS4078" s="4" t="s">
        <v>10430</v>
      </c>
      <c r="AT4078" s="4" t="s">
        <v>10421</v>
      </c>
      <c r="AU4078" s="4" t="s">
        <v>10431</v>
      </c>
    </row>
    <row r="4079">
      <c r="A4079" s="4">
        <v>281.0</v>
      </c>
      <c r="B4079" s="4" t="s">
        <v>9198</v>
      </c>
      <c r="C4079" s="4"/>
      <c r="D4079" s="4" t="s">
        <v>10441</v>
      </c>
      <c r="E4079" s="4" t="s">
        <v>10442</v>
      </c>
      <c r="F4079" s="4" t="s">
        <v>10441</v>
      </c>
      <c r="G4079" s="5" t="str">
        <f>IFERROR(__xludf.DUMMYFUNCTION("GOOGLETRANSLATE(D4079,""fi"",""es"")"),"puñetazo")</f>
        <v>puñetazo</v>
      </c>
    </row>
    <row r="4080">
      <c r="A4080" s="4">
        <v>282.0</v>
      </c>
      <c r="B4080" s="4" t="s">
        <v>9198</v>
      </c>
      <c r="C4080" s="4"/>
      <c r="D4080" s="4" t="s">
        <v>10443</v>
      </c>
      <c r="E4080" s="4" t="s">
        <v>10444</v>
      </c>
      <c r="F4080" s="4" t="s">
        <v>10445</v>
      </c>
      <c r="G4080" s="5" t="str">
        <f>IFERROR(__xludf.DUMMYFUNCTION("GOOGLETRANSLATE(D4080,""fi"",""es"")"),"tren de cercanías")</f>
        <v>tren de cercanías</v>
      </c>
    </row>
    <row r="4081">
      <c r="A4081" s="4">
        <v>283.0</v>
      </c>
      <c r="B4081" s="4" t="s">
        <v>9198</v>
      </c>
      <c r="C4081" s="4"/>
      <c r="D4081" s="4" t="s">
        <v>10446</v>
      </c>
      <c r="E4081" s="4" t="s">
        <v>10447</v>
      </c>
      <c r="F4081" s="4" t="s">
        <v>10448</v>
      </c>
      <c r="G4081" s="5" t="str">
        <f>IFERROR(__xludf.DUMMYFUNCTION("GOOGLETRANSLATE(D4081,""fi"",""es"")"),"de cerca")</f>
        <v>de cerca</v>
      </c>
    </row>
    <row r="4082">
      <c r="A4082" s="4">
        <v>284.0</v>
      </c>
      <c r="B4082" s="4" t="s">
        <v>9198</v>
      </c>
      <c r="C4082" s="4"/>
      <c r="D4082" s="4" t="s">
        <v>10449</v>
      </c>
      <c r="E4082" s="4" t="s">
        <v>10450</v>
      </c>
      <c r="F4082" s="4" t="s">
        <v>10451</v>
      </c>
      <c r="G4082" s="5" t="str">
        <f>IFERROR(__xludf.DUMMYFUNCTION("GOOGLETRANSLATE(D4082,""fi"",""es"")"),"Siguiente")</f>
        <v>Siguiente</v>
      </c>
      <c r="H4082" s="4" t="s">
        <v>10452</v>
      </c>
    </row>
    <row r="4083">
      <c r="A4083" s="4">
        <v>285.0</v>
      </c>
      <c r="B4083" s="4" t="s">
        <v>9198</v>
      </c>
      <c r="C4083" s="4"/>
      <c r="D4083" s="4" t="s">
        <v>10453</v>
      </c>
      <c r="E4083" s="4" t="s">
        <v>10454</v>
      </c>
      <c r="F4083" s="4" t="s">
        <v>10455</v>
      </c>
      <c r="G4083" s="5" t="str">
        <f>IFERROR(__xludf.DUMMYFUNCTION("GOOGLETRANSLATE(D4083,""fi"",""es"")"),"de cerca")</f>
        <v>de cerca</v>
      </c>
    </row>
    <row r="4084">
      <c r="A4084" s="4">
        <v>286.0</v>
      </c>
      <c r="B4084" s="4" t="s">
        <v>9198</v>
      </c>
      <c r="C4084" s="4"/>
      <c r="D4084" s="4" t="s">
        <v>10456</v>
      </c>
      <c r="E4084" s="4" t="s">
        <v>10457</v>
      </c>
      <c r="F4084" s="4" t="s">
        <v>2023</v>
      </c>
      <c r="G4084" s="5" t="str">
        <f>IFERROR(__xludf.DUMMYFUNCTION("GOOGLETRANSLATE(D4084,""fi"",""es"")"),"montón")</f>
        <v>montón</v>
      </c>
      <c r="H4084" s="4" t="s">
        <v>1736</v>
      </c>
      <c r="I4084" s="4" t="s">
        <v>1737</v>
      </c>
      <c r="J4084" s="4" t="s">
        <v>1738</v>
      </c>
      <c r="K4084" s="4" t="s">
        <v>1739</v>
      </c>
      <c r="L4084" s="4" t="s">
        <v>1740</v>
      </c>
      <c r="M4084" s="4" t="s">
        <v>1741</v>
      </c>
      <c r="N4084" s="4" t="s">
        <v>484</v>
      </c>
      <c r="O4084" s="4" t="s">
        <v>1742</v>
      </c>
      <c r="P4084" s="4" t="s">
        <v>1743</v>
      </c>
      <c r="Q4084" s="4" t="s">
        <v>1744</v>
      </c>
      <c r="R4084" s="4" t="s">
        <v>1745</v>
      </c>
      <c r="S4084" s="4" t="s">
        <v>1746</v>
      </c>
      <c r="T4084" s="4" t="s">
        <v>1747</v>
      </c>
      <c r="U4084" s="4" t="s">
        <v>1748</v>
      </c>
      <c r="V4084" s="4" t="s">
        <v>1749</v>
      </c>
      <c r="W4084" s="4" t="s">
        <v>1750</v>
      </c>
      <c r="X4084" s="4" t="s">
        <v>483</v>
      </c>
      <c r="Y4084" s="4" t="s">
        <v>1751</v>
      </c>
      <c r="Z4084" s="4" t="s">
        <v>1752</v>
      </c>
      <c r="AA4084" s="4" t="s">
        <v>1753</v>
      </c>
      <c r="AB4084" s="4" t="s">
        <v>1754</v>
      </c>
      <c r="AC4084" s="4" t="s">
        <v>1755</v>
      </c>
      <c r="AD4084" s="4" t="s">
        <v>1756</v>
      </c>
      <c r="AE4084" s="4" t="s">
        <v>1757</v>
      </c>
      <c r="AF4084" s="4" t="s">
        <v>482</v>
      </c>
      <c r="AG4084" s="4" t="s">
        <v>1758</v>
      </c>
      <c r="AH4084" s="4" t="s">
        <v>780</v>
      </c>
    </row>
    <row r="4085">
      <c r="A4085" s="4">
        <v>287.0</v>
      </c>
      <c r="B4085" s="4" t="s">
        <v>9198</v>
      </c>
      <c r="C4085" s="4"/>
      <c r="D4085" s="4" t="s">
        <v>10458</v>
      </c>
      <c r="E4085" s="4" t="s">
        <v>10459</v>
      </c>
      <c r="F4085" s="4" t="s">
        <v>10460</v>
      </c>
      <c r="G4085" s="5" t="str">
        <f>IFERROR(__xludf.DUMMYFUNCTION("GOOGLETRANSLATE(D4085,""fi"",""es"")"),"mediante")</f>
        <v>mediante</v>
      </c>
      <c r="H4085" s="4" t="s">
        <v>10461</v>
      </c>
      <c r="I4085" s="4" t="s">
        <v>10461</v>
      </c>
      <c r="J4085" s="4" t="s">
        <v>10461</v>
      </c>
      <c r="K4085" s="4" t="s">
        <v>10461</v>
      </c>
      <c r="L4085" s="4" t="s">
        <v>7219</v>
      </c>
      <c r="M4085" s="4" t="s">
        <v>7989</v>
      </c>
      <c r="N4085" s="4" t="s">
        <v>7990</v>
      </c>
      <c r="O4085" s="4" t="s">
        <v>7991</v>
      </c>
      <c r="P4085" s="4" t="s">
        <v>7987</v>
      </c>
      <c r="Q4085" s="4" t="s">
        <v>2514</v>
      </c>
    </row>
    <row r="4086">
      <c r="A4086" s="4">
        <v>288.0</v>
      </c>
      <c r="B4086" s="4" t="s">
        <v>9198</v>
      </c>
      <c r="C4086" s="4"/>
      <c r="D4086" s="4" t="s">
        <v>10462</v>
      </c>
      <c r="E4086" s="4" t="s">
        <v>10463</v>
      </c>
      <c r="F4086" s="4" t="s">
        <v>10464</v>
      </c>
      <c r="G4086" s="5" t="str">
        <f>IFERROR(__xludf.DUMMYFUNCTION("GOOGLETRANSLATE(D4086,""fi"",""es"")"),"disolver")</f>
        <v>disolver</v>
      </c>
    </row>
    <row r="4087">
      <c r="A4087" s="4">
        <v>289.0</v>
      </c>
      <c r="B4087" s="4" t="s">
        <v>9198</v>
      </c>
      <c r="C4087" s="4"/>
      <c r="D4087" s="4" t="s">
        <v>10465</v>
      </c>
      <c r="E4087" s="4" t="s">
        <v>6586</v>
      </c>
      <c r="F4087" s="4" t="s">
        <v>2020</v>
      </c>
      <c r="G4087" s="5" t="str">
        <f>IFERROR(__xludf.DUMMYFUNCTION("GOOGLETRANSLATE(D4087,""fi"",""es"")"),"vidrio")</f>
        <v>vidrio</v>
      </c>
    </row>
    <row r="4088">
      <c r="A4088" s="4">
        <v>290.0</v>
      </c>
      <c r="B4088" s="4" t="s">
        <v>9198</v>
      </c>
      <c r="C4088" s="4"/>
      <c r="D4088" s="4" t="s">
        <v>2278</v>
      </c>
      <c r="E4088" s="4" t="s">
        <v>10466</v>
      </c>
      <c r="F4088" s="4" t="s">
        <v>2278</v>
      </c>
      <c r="G4088" s="5" t="str">
        <f>IFERROR(__xludf.DUMMYFUNCTION("GOOGLETRANSLATE(D4088,""fi"",""es"")"),"mamá")</f>
        <v>mamá</v>
      </c>
      <c r="H4088" s="4" t="s">
        <v>8010</v>
      </c>
      <c r="I4088" s="4" t="s">
        <v>8011</v>
      </c>
      <c r="J4088" s="4" t="s">
        <v>8012</v>
      </c>
      <c r="K4088" s="4" t="s">
        <v>8013</v>
      </c>
      <c r="L4088" s="4" t="s">
        <v>10467</v>
      </c>
      <c r="M4088" s="4" t="s">
        <v>10468</v>
      </c>
      <c r="N4088" s="4" t="s">
        <v>10469</v>
      </c>
      <c r="O4088" s="4" t="s">
        <v>8011</v>
      </c>
      <c r="P4088" s="4" t="s">
        <v>10470</v>
      </c>
      <c r="Q4088" s="4" t="s">
        <v>10471</v>
      </c>
      <c r="R4088" s="4" t="s">
        <v>8530</v>
      </c>
      <c r="S4088" s="4" t="s">
        <v>8531</v>
      </c>
    </row>
    <row r="4089">
      <c r="A4089" s="4">
        <v>291.0</v>
      </c>
      <c r="B4089" s="4" t="s">
        <v>9198</v>
      </c>
      <c r="C4089" s="4"/>
      <c r="D4089" s="4" t="s">
        <v>10472</v>
      </c>
      <c r="E4089" s="4" t="s">
        <v>10473</v>
      </c>
      <c r="F4089" s="4" t="s">
        <v>10472</v>
      </c>
      <c r="G4089" s="5" t="str">
        <f>IFERROR(__xludf.DUMMYFUNCTION("GOOGLETRANSLATE(D4089,""fi"",""es"")"),"estómago")</f>
        <v>estómago</v>
      </c>
      <c r="H4089" s="4" t="s">
        <v>10474</v>
      </c>
      <c r="I4089" s="4" t="s">
        <v>9438</v>
      </c>
      <c r="J4089" s="4" t="s">
        <v>10475</v>
      </c>
      <c r="K4089" s="4" t="s">
        <v>8847</v>
      </c>
      <c r="L4089" s="4" t="s">
        <v>10476</v>
      </c>
      <c r="M4089" s="4" t="s">
        <v>10474</v>
      </c>
      <c r="N4089" s="4" t="s">
        <v>10477</v>
      </c>
      <c r="O4089" s="4" t="s">
        <v>1752</v>
      </c>
      <c r="P4089" s="4" t="s">
        <v>10478</v>
      </c>
      <c r="Q4089" s="4" t="s">
        <v>10479</v>
      </c>
      <c r="R4089" s="4" t="s">
        <v>10480</v>
      </c>
      <c r="S4089" s="4" t="s">
        <v>10475</v>
      </c>
      <c r="T4089" s="4" t="s">
        <v>10481</v>
      </c>
      <c r="U4089" s="4" t="s">
        <v>10482</v>
      </c>
      <c r="V4089" s="4" t="s">
        <v>9438</v>
      </c>
      <c r="W4089" s="4" t="s">
        <v>10474</v>
      </c>
      <c r="X4089" s="4" t="s">
        <v>10483</v>
      </c>
      <c r="Y4089" s="4" t="s">
        <v>10484</v>
      </c>
    </row>
    <row r="4090">
      <c r="A4090" s="4">
        <v>292.0</v>
      </c>
      <c r="B4090" s="4" t="s">
        <v>9198</v>
      </c>
      <c r="C4090" s="4"/>
      <c r="D4090" s="4" t="s">
        <v>10485</v>
      </c>
      <c r="E4090" s="4" t="s">
        <v>10486</v>
      </c>
      <c r="F4090" s="4" t="s">
        <v>10485</v>
      </c>
      <c r="G4090" s="5" t="str">
        <f>IFERROR(__xludf.DUMMYFUNCTION("GOOGLETRANSLATE(D4090,""fi"",""es"")"),"dolor de estómago")</f>
        <v>dolor de estómago</v>
      </c>
      <c r="H4090" s="4" t="s">
        <v>10487</v>
      </c>
      <c r="I4090" s="4" t="s">
        <v>10488</v>
      </c>
      <c r="J4090" s="4" t="s">
        <v>10489</v>
      </c>
      <c r="K4090" s="4" t="s">
        <v>10490</v>
      </c>
    </row>
    <row r="4091">
      <c r="A4091" s="4">
        <v>293.0</v>
      </c>
      <c r="B4091" s="4" t="s">
        <v>9198</v>
      </c>
      <c r="C4091" s="4"/>
      <c r="D4091" s="4" t="s">
        <v>10491</v>
      </c>
      <c r="E4091" s="4" t="s">
        <v>10492</v>
      </c>
      <c r="F4091" s="4" t="s">
        <v>10491</v>
      </c>
      <c r="G4091" s="5" t="str">
        <f>IFERROR(__xludf.DUMMYFUNCTION("GOOGLETRANSLATE(D4091,""fi"",""es"")"),"estómago")</f>
        <v>estómago</v>
      </c>
    </row>
    <row r="4092">
      <c r="A4092" s="4">
        <v>294.0</v>
      </c>
      <c r="B4092" s="4" t="s">
        <v>9198</v>
      </c>
      <c r="C4092" s="4"/>
      <c r="D4092" s="4" t="s">
        <v>10493</v>
      </c>
      <c r="E4092" s="4" t="s">
        <v>10494</v>
      </c>
      <c r="F4092" s="4" t="s">
        <v>2315</v>
      </c>
      <c r="G4092" s="5" t="str">
        <f>IFERROR(__xludf.DUMMYFUNCTION("GOOGLETRANSLATE(D4092,""fi"",""es"")"),"refugio")</f>
        <v>refugio</v>
      </c>
      <c r="H4092" s="4" t="s">
        <v>7455</v>
      </c>
      <c r="I4092" s="4" t="s">
        <v>7456</v>
      </c>
      <c r="J4092" s="4" t="s">
        <v>7457</v>
      </c>
      <c r="K4092" s="4" t="s">
        <v>7452</v>
      </c>
      <c r="L4092" s="4" t="s">
        <v>7458</v>
      </c>
      <c r="M4092" s="4" t="s">
        <v>7456</v>
      </c>
      <c r="N4092" s="4" t="s">
        <v>10495</v>
      </c>
      <c r="O4092" s="4" t="s">
        <v>10496</v>
      </c>
      <c r="P4092" s="4" t="s">
        <v>6364</v>
      </c>
      <c r="Q4092" s="4" t="s">
        <v>10497</v>
      </c>
      <c r="R4092" s="4" t="s">
        <v>10498</v>
      </c>
    </row>
    <row r="4093">
      <c r="A4093" s="4">
        <v>295.0</v>
      </c>
      <c r="B4093" s="4" t="s">
        <v>9198</v>
      </c>
      <c r="C4093" s="4"/>
      <c r="D4093" s="4" t="s">
        <v>2288</v>
      </c>
      <c r="E4093" s="4" t="s">
        <v>10499</v>
      </c>
      <c r="F4093" s="4" t="s">
        <v>2288</v>
      </c>
      <c r="G4093" s="5" t="str">
        <f>IFERROR(__xludf.DUMMYFUNCTION("GOOGLETRANSLATE(D4093,""fi"",""es"")"),"gusto")</f>
        <v>gusto</v>
      </c>
      <c r="H4093" s="4" t="s">
        <v>10500</v>
      </c>
      <c r="I4093" s="4" t="s">
        <v>10501</v>
      </c>
      <c r="J4093" s="4" t="s">
        <v>10502</v>
      </c>
      <c r="K4093" s="4" t="s">
        <v>10503</v>
      </c>
      <c r="L4093" s="4" t="s">
        <v>10504</v>
      </c>
      <c r="M4093" s="4" t="s">
        <v>10505</v>
      </c>
      <c r="N4093" s="4" t="s">
        <v>10506</v>
      </c>
      <c r="O4093" s="4" t="s">
        <v>7001</v>
      </c>
      <c r="P4093" s="4" t="s">
        <v>6678</v>
      </c>
      <c r="Q4093" s="4" t="s">
        <v>6679</v>
      </c>
      <c r="R4093" s="4" t="s">
        <v>7002</v>
      </c>
      <c r="S4093" s="4" t="s">
        <v>7003</v>
      </c>
      <c r="T4093" s="4" t="s">
        <v>7004</v>
      </c>
      <c r="U4093" s="4" t="s">
        <v>7005</v>
      </c>
      <c r="V4093" s="4" t="s">
        <v>4298</v>
      </c>
      <c r="W4093" s="4" t="s">
        <v>7006</v>
      </c>
      <c r="X4093" s="4" t="s">
        <v>10503</v>
      </c>
      <c r="Y4093" s="4" t="s">
        <v>10507</v>
      </c>
      <c r="Z4093" s="4" t="s">
        <v>10508</v>
      </c>
      <c r="AA4093" s="4" t="s">
        <v>10509</v>
      </c>
      <c r="AB4093" s="4" t="s">
        <v>6678</v>
      </c>
      <c r="AC4093" s="4" t="s">
        <v>6679</v>
      </c>
    </row>
    <row r="4094">
      <c r="A4094" s="4">
        <v>296.0</v>
      </c>
      <c r="B4094" s="4" t="s">
        <v>9198</v>
      </c>
      <c r="C4094" s="4"/>
      <c r="D4094" s="4" t="s">
        <v>5314</v>
      </c>
      <c r="E4094" s="4" t="s">
        <v>8500</v>
      </c>
      <c r="F4094" s="4" t="s">
        <v>5314</v>
      </c>
      <c r="G4094" s="5" t="str">
        <f>IFERROR(__xludf.DUMMYFUNCTION("GOOGLETRANSLATE(D4094,""fi"",""es"")"),"ajenjo")</f>
        <v>ajenjo</v>
      </c>
      <c r="H4094" s="4" t="s">
        <v>5347</v>
      </c>
      <c r="I4094" s="4" t="s">
        <v>5348</v>
      </c>
      <c r="J4094" s="4" t="s">
        <v>5349</v>
      </c>
      <c r="K4094" s="4" t="s">
        <v>10510</v>
      </c>
      <c r="L4094" s="4" t="s">
        <v>10511</v>
      </c>
      <c r="M4094" s="4" t="s">
        <v>1893</v>
      </c>
      <c r="N4094" s="4" t="s">
        <v>10512</v>
      </c>
      <c r="O4094" s="4" t="s">
        <v>10513</v>
      </c>
    </row>
    <row r="4095">
      <c r="A4095" s="4">
        <v>297.0</v>
      </c>
      <c r="B4095" s="4" t="s">
        <v>9198</v>
      </c>
      <c r="C4095" s="4"/>
      <c r="D4095" s="4" t="s">
        <v>2401</v>
      </c>
      <c r="E4095" s="4" t="s">
        <v>10514</v>
      </c>
      <c r="F4095" s="4" t="s">
        <v>2401</v>
      </c>
      <c r="G4095" s="5" t="str">
        <f>IFERROR(__xludf.DUMMYFUNCTION("GOOGLETRANSLATE(D4095,""fi"",""es"")"),"maná")</f>
        <v>maná</v>
      </c>
    </row>
    <row r="4096">
      <c r="A4096" s="4">
        <v>298.0</v>
      </c>
      <c r="B4096" s="4" t="s">
        <v>9198</v>
      </c>
      <c r="C4096" s="4"/>
      <c r="D4096" s="4" t="s">
        <v>10515</v>
      </c>
      <c r="E4096" s="4" t="s">
        <v>10516</v>
      </c>
      <c r="F4096" s="4" t="s">
        <v>10515</v>
      </c>
      <c r="G4096" s="5" t="str">
        <f>IFERROR(__xludf.DUMMYFUNCTION("GOOGLETRANSLATE(D4096,""fi"",""es"")"),"Nether World")</f>
        <v>Nether World</v>
      </c>
      <c r="H4096" s="4" t="s">
        <v>10517</v>
      </c>
      <c r="I4096" s="4" t="s">
        <v>10518</v>
      </c>
      <c r="J4096" s="4" t="s">
        <v>10519</v>
      </c>
      <c r="K4096" s="4" t="s">
        <v>10520</v>
      </c>
      <c r="L4096" s="4" t="s">
        <v>10521</v>
      </c>
      <c r="M4096" s="4" t="s">
        <v>10522</v>
      </c>
      <c r="N4096" s="4" t="s">
        <v>10517</v>
      </c>
      <c r="O4096" s="4" t="s">
        <v>10523</v>
      </c>
      <c r="P4096" s="4" t="s">
        <v>10524</v>
      </c>
      <c r="Q4096" s="4" t="s">
        <v>10519</v>
      </c>
      <c r="R4096" s="4" t="s">
        <v>10525</v>
      </c>
      <c r="S4096" s="4" t="s">
        <v>8645</v>
      </c>
    </row>
    <row r="4097">
      <c r="A4097" s="4">
        <v>299.0</v>
      </c>
      <c r="B4097" s="4" t="s">
        <v>9198</v>
      </c>
      <c r="C4097" s="4"/>
      <c r="D4097" s="4" t="s">
        <v>2442</v>
      </c>
      <c r="E4097" s="4" t="s">
        <v>10526</v>
      </c>
      <c r="F4097" s="4" t="s">
        <v>2442</v>
      </c>
      <c r="G4097" s="5" t="str">
        <f>IFERROR(__xludf.DUMMYFUNCTION("GOOGLETRANSLATE(D4097,""fi"",""es"")"),"Manu")</f>
        <v>Manu</v>
      </c>
    </row>
    <row r="4098">
      <c r="A4098" s="4">
        <v>300.0</v>
      </c>
      <c r="B4098" s="4" t="s">
        <v>9198</v>
      </c>
      <c r="C4098" s="4"/>
      <c r="D4098" s="4" t="s">
        <v>10527</v>
      </c>
      <c r="E4098" s="4" t="s">
        <v>10528</v>
      </c>
      <c r="F4098" s="4" t="s">
        <v>10527</v>
      </c>
      <c r="G4098" s="5" t="str">
        <f>IFERROR(__xludf.DUMMYFUNCTION("GOOGLETRANSLATE(D4098,""fi"",""es"")"),"Mapito")</f>
        <v>Mapito</v>
      </c>
    </row>
    <row r="4099">
      <c r="A4099" s="4">
        <v>301.0</v>
      </c>
      <c r="B4099" s="4" t="s">
        <v>9198</v>
      </c>
      <c r="C4099" s="4"/>
      <c r="D4099" s="4" t="s">
        <v>2525</v>
      </c>
      <c r="E4099" s="4" t="s">
        <v>10529</v>
      </c>
      <c r="F4099" s="4" t="s">
        <v>2525</v>
      </c>
      <c r="G4099" s="5" t="str">
        <f>IFERROR(__xludf.DUMMYFUNCTION("GOOGLETRANSLATE(D4099,""fi"",""es"")"),"masa")</f>
        <v>masa</v>
      </c>
      <c r="H4099" s="4" t="s">
        <v>2528</v>
      </c>
    </row>
    <row r="4100">
      <c r="A4100" s="4">
        <v>302.0</v>
      </c>
      <c r="B4100" s="4" t="s">
        <v>9198</v>
      </c>
      <c r="C4100" s="4"/>
      <c r="D4100" s="4" t="s">
        <v>10530</v>
      </c>
      <c r="E4100" s="4" t="s">
        <v>10531</v>
      </c>
      <c r="F4100" s="4" t="s">
        <v>10530</v>
      </c>
      <c r="G4100" s="5" t="str">
        <f>IFERROR(__xludf.DUMMYFUNCTION("GOOGLETRANSLATE(D4100,""fi"",""es"")"),"barriguita")</f>
        <v>barriguita</v>
      </c>
      <c r="H4100" s="4" t="s">
        <v>9438</v>
      </c>
      <c r="I4100" s="4" t="s">
        <v>10475</v>
      </c>
      <c r="J4100" s="4" t="s">
        <v>8847</v>
      </c>
      <c r="K4100" s="4" t="s">
        <v>10476</v>
      </c>
    </row>
    <row r="4101">
      <c r="A4101" s="4">
        <v>303.0</v>
      </c>
      <c r="B4101" s="4" t="s">
        <v>9198</v>
      </c>
      <c r="C4101" s="4"/>
      <c r="D4101" s="4" t="s">
        <v>10532</v>
      </c>
      <c r="E4101" s="4" t="s">
        <v>10533</v>
      </c>
      <c r="F4101" s="4" t="s">
        <v>10532</v>
      </c>
      <c r="G4101" s="5" t="str">
        <f>IFERROR(__xludf.DUMMYFUNCTION("GOOGLETRANSLATE(D4101,""fi"",""es"")"),"bajo")</f>
        <v>bajo</v>
      </c>
      <c r="H4101" s="4" t="s">
        <v>10534</v>
      </c>
      <c r="I4101" s="4" t="s">
        <v>1839</v>
      </c>
      <c r="J4101" s="4" t="s">
        <v>10535</v>
      </c>
      <c r="K4101" s="4" t="s">
        <v>10536</v>
      </c>
      <c r="L4101" s="4" t="s">
        <v>10537</v>
      </c>
      <c r="M4101" s="4" t="s">
        <v>1839</v>
      </c>
      <c r="N4101" s="4" t="s">
        <v>10538</v>
      </c>
      <c r="O4101" s="4" t="s">
        <v>10539</v>
      </c>
      <c r="P4101" s="4" t="s">
        <v>7804</v>
      </c>
      <c r="Q4101" s="4" t="s">
        <v>10540</v>
      </c>
    </row>
    <row r="4102">
      <c r="A4102" s="4">
        <v>304.0</v>
      </c>
      <c r="B4102" s="4" t="s">
        <v>9198</v>
      </c>
      <c r="C4102" s="4"/>
      <c r="D4102" s="4" t="s">
        <v>342</v>
      </c>
      <c r="E4102" s="4" t="s">
        <v>341</v>
      </c>
      <c r="F4102" s="4" t="s">
        <v>342</v>
      </c>
      <c r="G4102" s="5" t="str">
        <f>IFERROR(__xludf.DUMMYFUNCTION("GOOGLETRANSLATE(D4102,""fi"",""es"")"),"mi")</f>
        <v>mi</v>
      </c>
      <c r="H4102" s="4" t="s">
        <v>342</v>
      </c>
      <c r="I4102" s="4" t="s">
        <v>10541</v>
      </c>
      <c r="J4102" s="4" t="s">
        <v>10542</v>
      </c>
      <c r="K4102" s="4" t="s">
        <v>10543</v>
      </c>
      <c r="L4102" s="4" t="s">
        <v>10544</v>
      </c>
      <c r="M4102" s="4" t="s">
        <v>10542</v>
      </c>
      <c r="N4102" s="4" t="s">
        <v>10545</v>
      </c>
      <c r="O4102" s="4" t="s">
        <v>10546</v>
      </c>
      <c r="P4102" s="4" t="s">
        <v>10547</v>
      </c>
      <c r="Q4102" s="4" t="s">
        <v>10548</v>
      </c>
      <c r="R4102" s="4" t="s">
        <v>10542</v>
      </c>
      <c r="S4102" s="4" t="s">
        <v>2622</v>
      </c>
      <c r="T4102" s="4" t="s">
        <v>2653</v>
      </c>
      <c r="U4102" s="4" t="s">
        <v>2654</v>
      </c>
      <c r="V4102" s="4" t="s">
        <v>2655</v>
      </c>
      <c r="W4102" s="4" t="s">
        <v>2656</v>
      </c>
      <c r="X4102" s="4" t="s">
        <v>2657</v>
      </c>
      <c r="Y4102" s="4" t="s">
        <v>342</v>
      </c>
      <c r="Z4102" s="4" t="s">
        <v>2660</v>
      </c>
      <c r="AA4102" s="4" t="s">
        <v>2653</v>
      </c>
      <c r="AB4102" s="4" t="s">
        <v>342</v>
      </c>
      <c r="AC4102" s="4" t="s">
        <v>2661</v>
      </c>
      <c r="AD4102" s="4" t="s">
        <v>2145</v>
      </c>
      <c r="AE4102" s="4" t="s">
        <v>2662</v>
      </c>
      <c r="AF4102" s="4" t="s">
        <v>2663</v>
      </c>
    </row>
    <row r="4103">
      <c r="A4103" s="4">
        <v>305.0</v>
      </c>
      <c r="B4103" s="4" t="s">
        <v>9198</v>
      </c>
      <c r="C4103" s="4"/>
      <c r="D4103" s="4" t="s">
        <v>2601</v>
      </c>
      <c r="E4103" s="4" t="s">
        <v>10549</v>
      </c>
      <c r="F4103" s="4" t="s">
        <v>2601</v>
      </c>
      <c r="G4103" s="5" t="str">
        <f>IFERROR(__xludf.DUMMYFUNCTION("GOOGLETRANSLATE(D4103,""fi"",""es"")"),"Qué")</f>
        <v>Qué</v>
      </c>
    </row>
    <row r="4104">
      <c r="A4104" s="4">
        <v>306.0</v>
      </c>
      <c r="B4104" s="4" t="s">
        <v>9198</v>
      </c>
      <c r="C4104" s="4"/>
      <c r="D4104" s="4" t="s">
        <v>6811</v>
      </c>
      <c r="E4104" s="4" t="s">
        <v>10550</v>
      </c>
      <c r="F4104" s="4" t="s">
        <v>6811</v>
      </c>
      <c r="G4104" s="5" t="str">
        <f>IFERROR(__xludf.DUMMYFUNCTION("GOOGLETRANSLATE(D4104,""fi"",""es"")"),"miki")</f>
        <v>miki</v>
      </c>
    </row>
    <row r="4105">
      <c r="A4105" s="4">
        <v>307.0</v>
      </c>
      <c r="B4105" s="4" t="s">
        <v>9198</v>
      </c>
      <c r="C4105" s="4"/>
      <c r="D4105" s="4" t="s">
        <v>10551</v>
      </c>
      <c r="E4105" s="4" t="s">
        <v>10552</v>
      </c>
      <c r="F4105" s="4" t="s">
        <v>10551</v>
      </c>
      <c r="G4105" s="5" t="str">
        <f>IFERROR(__xludf.DUMMYFUNCTION("GOOGLETRANSLATE(D4105,""fi"",""es"")"),"cada")</f>
        <v>cada</v>
      </c>
    </row>
    <row r="4106">
      <c r="A4106" s="4">
        <v>308.0</v>
      </c>
      <c r="B4106" s="4" t="s">
        <v>9198</v>
      </c>
      <c r="C4106" s="4"/>
      <c r="D4106" s="4" t="s">
        <v>10553</v>
      </c>
      <c r="E4106" s="4" t="s">
        <v>10554</v>
      </c>
      <c r="F4106" s="4" t="s">
        <v>2601</v>
      </c>
      <c r="G4106" s="5" t="str">
        <f>IFERROR(__xludf.DUMMYFUNCTION("GOOGLETRANSLATE(D4106,""fi"",""es"")"),"Qué")</f>
        <v>Qué</v>
      </c>
    </row>
    <row r="4107">
      <c r="A4107" s="4">
        <v>309.0</v>
      </c>
      <c r="B4107" s="4" t="s">
        <v>9198</v>
      </c>
      <c r="C4107" s="4"/>
      <c r="D4107" s="4" t="s">
        <v>10555</v>
      </c>
      <c r="E4107" s="4" t="s">
        <v>10556</v>
      </c>
      <c r="F4107" s="4" t="s">
        <v>10557</v>
      </c>
      <c r="G4107" s="5" t="str">
        <f>IFERROR(__xludf.DUMMYFUNCTION("GOOGLETRANSLATE(D4107,""fi"",""es"")"),"ningún")</f>
        <v>ningún</v>
      </c>
    </row>
    <row r="4108">
      <c r="A4108" s="4">
        <v>310.0</v>
      </c>
      <c r="B4108" s="4" t="s">
        <v>9198</v>
      </c>
      <c r="C4108" s="4"/>
      <c r="D4108" s="4" t="s">
        <v>10558</v>
      </c>
      <c r="E4108" s="4" t="s">
        <v>10559</v>
      </c>
      <c r="F4108" s="4" t="s">
        <v>10560</v>
      </c>
      <c r="G4108" s="5" t="str">
        <f>IFERROR(__xludf.DUMMYFUNCTION("GOOGLETRANSLATE(D4108,""fi"",""es"")"),"previsto")</f>
        <v>previsto</v>
      </c>
      <c r="H4108" s="4" t="s">
        <v>10561</v>
      </c>
      <c r="I4108" s="4" t="s">
        <v>10562</v>
      </c>
    </row>
    <row r="4109">
      <c r="A4109" s="4">
        <v>311.0</v>
      </c>
      <c r="B4109" s="4" t="s">
        <v>9198</v>
      </c>
      <c r="C4109" s="4"/>
      <c r="D4109" s="4" t="s">
        <v>2686</v>
      </c>
      <c r="E4109" s="4" t="s">
        <v>10563</v>
      </c>
      <c r="F4109" s="4" t="s">
        <v>2686</v>
      </c>
      <c r="G4109" s="5" t="str">
        <f>IFERROR(__xludf.DUMMYFUNCTION("GOOGLETRANSLATE(D4109,""fi"",""es"")"),"Mila")</f>
        <v>Mila</v>
      </c>
    </row>
    <row r="4110">
      <c r="A4110" s="4">
        <v>312.0</v>
      </c>
      <c r="B4110" s="4" t="s">
        <v>9198</v>
      </c>
      <c r="C4110" s="4"/>
      <c r="D4110" s="4" t="s">
        <v>2695</v>
      </c>
      <c r="E4110" s="4" t="s">
        <v>10564</v>
      </c>
      <c r="F4110" s="4" t="s">
        <v>2695</v>
      </c>
      <c r="G4110" s="5" t="str">
        <f>IFERROR(__xludf.DUMMYFUNCTION("GOOGLETRANSLATE(D4110,""fi"",""es"")"),"yo")</f>
        <v>yo</v>
      </c>
    </row>
    <row r="4111">
      <c r="A4111" s="4">
        <v>313.0</v>
      </c>
      <c r="B4111" s="4" t="s">
        <v>9198</v>
      </c>
      <c r="C4111" s="4"/>
      <c r="D4111" s="4" t="s">
        <v>10565</v>
      </c>
      <c r="E4111" s="4" t="s">
        <v>10566</v>
      </c>
      <c r="F4111" s="4" t="s">
        <v>10565</v>
      </c>
      <c r="G4111" s="5" t="str">
        <f>IFERROR(__xludf.DUMMYFUNCTION("GOOGLETRANSLATE(D4111,""fi"",""es"")"),"mi")</f>
        <v>mi</v>
      </c>
    </row>
    <row r="4112">
      <c r="A4112" s="4">
        <v>314.0</v>
      </c>
      <c r="B4112" s="4" t="s">
        <v>9198</v>
      </c>
      <c r="C4112" s="4"/>
      <c r="D4112" s="4" t="s">
        <v>10567</v>
      </c>
      <c r="E4112" s="4" t="s">
        <v>10568</v>
      </c>
      <c r="F4112" s="4" t="s">
        <v>10567</v>
      </c>
      <c r="G4112" s="5" t="str">
        <f>IFERROR(__xludf.DUMMYFUNCTION("GOOGLETRANSLATE(D4112,""fi"",""es"")"),"yo")</f>
        <v>yo</v>
      </c>
    </row>
    <row r="4113">
      <c r="A4113" s="4">
        <v>315.0</v>
      </c>
      <c r="B4113" s="4" t="s">
        <v>9198</v>
      </c>
      <c r="C4113" s="4"/>
      <c r="D4113" s="4" t="s">
        <v>10569</v>
      </c>
      <c r="E4113" s="4" t="s">
        <v>10570</v>
      </c>
      <c r="F4113" s="4" t="s">
        <v>2695</v>
      </c>
      <c r="G4113" s="5" t="str">
        <f>IFERROR(__xludf.DUMMYFUNCTION("GOOGLETRANSLATE(D4113,""fi"",""es"")"),"yo")</f>
        <v>yo</v>
      </c>
    </row>
    <row r="4114">
      <c r="A4114" s="4">
        <v>316.0</v>
      </c>
      <c r="B4114" s="4" t="s">
        <v>9198</v>
      </c>
      <c r="C4114" s="4"/>
      <c r="D4114" s="4" t="s">
        <v>10571</v>
      </c>
      <c r="E4114" s="4" t="s">
        <v>10572</v>
      </c>
      <c r="F4114" s="4" t="s">
        <v>10573</v>
      </c>
      <c r="G4114" s="5" t="str">
        <f>IFERROR(__xludf.DUMMYFUNCTION("GOOGLETRANSLATE(D4114,""fi"",""es"")"),"Yo también")</f>
        <v>Yo también</v>
      </c>
    </row>
    <row r="4115">
      <c r="A4115" s="4">
        <v>317.0</v>
      </c>
      <c r="B4115" s="4" t="s">
        <v>9198</v>
      </c>
      <c r="C4115" s="4"/>
      <c r="D4115" s="4" t="s">
        <v>8517</v>
      </c>
      <c r="E4115" s="4" t="s">
        <v>2717</v>
      </c>
      <c r="F4115" s="4" t="s">
        <v>2718</v>
      </c>
      <c r="G4115" s="5" t="str">
        <f>IFERROR(__xludf.DUMMYFUNCTION("GOOGLETRANSLATE(D4115,""fi"",""es"")"),"Misisipí")</f>
        <v>Misisipí</v>
      </c>
      <c r="H4115" s="4" t="s">
        <v>8519</v>
      </c>
      <c r="I4115" s="4" t="s">
        <v>8521</v>
      </c>
      <c r="J4115" s="4" t="s">
        <v>8522</v>
      </c>
      <c r="K4115" s="4" t="s">
        <v>8519</v>
      </c>
      <c r="L4115" s="4" t="s">
        <v>8520</v>
      </c>
    </row>
    <row r="4116">
      <c r="A4116" s="4">
        <v>318.0</v>
      </c>
      <c r="B4116" s="4" t="s">
        <v>9198</v>
      </c>
      <c r="C4116" s="4"/>
      <c r="D4116" s="4" t="s">
        <v>10574</v>
      </c>
      <c r="E4116" s="4" t="s">
        <v>10575</v>
      </c>
      <c r="F4116" s="4" t="s">
        <v>10574</v>
      </c>
      <c r="G4116" s="5" t="str">
        <f>IFERROR(__xludf.DUMMYFUNCTION("GOOGLETRANSLATE(D4116,""fi"",""es"")"),"misisa")</f>
        <v>misisa</v>
      </c>
      <c r="H4116" s="4" t="s">
        <v>9563</v>
      </c>
      <c r="I4116" s="4" t="s">
        <v>9564</v>
      </c>
      <c r="J4116" s="4" t="s">
        <v>9565</v>
      </c>
    </row>
    <row r="4117">
      <c r="A4117" s="4">
        <v>319.0</v>
      </c>
      <c r="B4117" s="4" t="s">
        <v>9198</v>
      </c>
      <c r="C4117" s="4"/>
      <c r="D4117" s="4" t="s">
        <v>10576</v>
      </c>
      <c r="E4117" s="4" t="s">
        <v>10577</v>
      </c>
      <c r="F4117" s="4" t="s">
        <v>10578</v>
      </c>
      <c r="G4117" s="5" t="str">
        <f>IFERROR(__xludf.DUMMYFUNCTION("GOOGLETRANSLATE(D4117,""fi"",""es"")"),"medallista")</f>
        <v>medallista</v>
      </c>
    </row>
    <row r="4118">
      <c r="A4118" s="4">
        <v>320.0</v>
      </c>
      <c r="B4118" s="4" t="s">
        <v>9198</v>
      </c>
      <c r="C4118" s="4"/>
      <c r="D4118" s="4" t="s">
        <v>10579</v>
      </c>
      <c r="E4118" s="4" t="s">
        <v>10580</v>
      </c>
      <c r="F4118" s="4" t="s">
        <v>10579</v>
      </c>
      <c r="G4118" s="5" t="str">
        <f>IFERROR(__xludf.DUMMYFUNCTION("GOOGLETRANSLATE(D4118,""fi"",""es"")"),"cuenta de medallas")</f>
        <v>cuenta de medallas</v>
      </c>
    </row>
    <row r="4119">
      <c r="A4119" s="4">
        <v>321.0</v>
      </c>
      <c r="B4119" s="4" t="s">
        <v>9198</v>
      </c>
      <c r="C4119" s="4"/>
      <c r="D4119" s="4" t="s">
        <v>10581</v>
      </c>
      <c r="E4119" s="4" t="s">
        <v>10582</v>
      </c>
      <c r="F4119" s="4" t="s">
        <v>10583</v>
      </c>
      <c r="G4119" s="5" t="str">
        <f>IFERROR(__xludf.DUMMYFUNCTION("GOOGLETRANSLATE(D4119,""fi"",""es"")"),"qué")</f>
        <v>qué</v>
      </c>
    </row>
    <row r="4120">
      <c r="A4120" s="4">
        <v>322.0</v>
      </c>
      <c r="B4120" s="4" t="s">
        <v>9198</v>
      </c>
      <c r="C4120" s="4"/>
      <c r="D4120" s="4" t="s">
        <v>10584</v>
      </c>
      <c r="E4120" s="4" t="s">
        <v>10585</v>
      </c>
      <c r="F4120" s="4" t="s">
        <v>10584</v>
      </c>
      <c r="G4120" s="5" t="str">
        <f>IFERROR(__xludf.DUMMYFUNCTION("GOOGLETRANSLATE(D4120,""fi"",""es"")"),"tocón")</f>
        <v>tocón</v>
      </c>
    </row>
    <row r="4121">
      <c r="A4121" s="4">
        <v>323.0</v>
      </c>
      <c r="B4121" s="4" t="s">
        <v>9198</v>
      </c>
      <c r="C4121" s="4"/>
      <c r="D4121" s="4" t="s">
        <v>10586</v>
      </c>
      <c r="E4121" s="4" t="s">
        <v>10587</v>
      </c>
      <c r="F4121" s="4" t="s">
        <v>10588</v>
      </c>
      <c r="G4121" s="5" t="str">
        <f>IFERROR(__xludf.DUMMYFUNCTION("GOOGLETRANSLATE(D4121,""fi"",""es"")"),"tazón")</f>
        <v>tazón</v>
      </c>
    </row>
    <row r="4122">
      <c r="A4122" s="4">
        <v>324.0</v>
      </c>
      <c r="B4122" s="4" t="s">
        <v>9198</v>
      </c>
      <c r="C4122" s="4"/>
      <c r="D4122" s="4" t="s">
        <v>370</v>
      </c>
      <c r="E4122" s="4" t="s">
        <v>10589</v>
      </c>
      <c r="F4122" s="4" t="s">
        <v>370</v>
      </c>
      <c r="G4122" s="5" t="str">
        <f>IFERROR(__xludf.DUMMYFUNCTION("GOOGLETRANSLATE(D4122,""fi"",""es"")"),"según cabe suponer")</f>
        <v>según cabe suponer</v>
      </c>
    </row>
    <row r="4123">
      <c r="A4123" s="4">
        <v>325.0</v>
      </c>
      <c r="B4123" s="4" t="s">
        <v>9198</v>
      </c>
      <c r="C4123" s="4"/>
      <c r="D4123" s="4" t="s">
        <v>10590</v>
      </c>
      <c r="E4123" s="4" t="s">
        <v>10591</v>
      </c>
      <c r="F4123" s="4" t="s">
        <v>10590</v>
      </c>
      <c r="G4123" s="5" t="str">
        <f>IFERROR(__xludf.DUMMYFUNCTION("GOOGLETRANSLATE(D4123,""fi"",""es"")"),"tazón")</f>
        <v>tazón</v>
      </c>
      <c r="H4123" s="4" t="s">
        <v>3236</v>
      </c>
      <c r="I4123" s="4" t="s">
        <v>3236</v>
      </c>
      <c r="J4123" s="4" t="s">
        <v>10592</v>
      </c>
    </row>
    <row r="4124">
      <c r="A4124" s="4">
        <v>326.0</v>
      </c>
      <c r="B4124" s="4" t="s">
        <v>9198</v>
      </c>
      <c r="C4124" s="4"/>
      <c r="D4124" s="4" t="s">
        <v>10593</v>
      </c>
      <c r="E4124" s="4" t="s">
        <v>10594</v>
      </c>
      <c r="F4124" s="4" t="s">
        <v>10593</v>
      </c>
      <c r="G4124" s="5" t="str">
        <f>IFERROR(__xludf.DUMMYFUNCTION("GOOGLETRANSLATE(D4124,""fi"",""es"")"),"murmullo")</f>
        <v>murmullo</v>
      </c>
    </row>
    <row r="4125">
      <c r="A4125" s="4">
        <v>327.0</v>
      </c>
      <c r="B4125" s="4" t="s">
        <v>9198</v>
      </c>
      <c r="C4125" s="4"/>
      <c r="D4125" s="4" t="s">
        <v>10595</v>
      </c>
      <c r="E4125" s="4" t="s">
        <v>10596</v>
      </c>
      <c r="F4125" s="4" t="s">
        <v>10595</v>
      </c>
      <c r="G4125" s="5" t="str">
        <f>IFERROR(__xludf.DUMMYFUNCTION("GOOGLETRANSLATE(D4125,""fi"",""es"")"),"tubérculo")</f>
        <v>tubérculo</v>
      </c>
      <c r="H4125" s="4" t="s">
        <v>10145</v>
      </c>
      <c r="I4125" s="4" t="s">
        <v>10597</v>
      </c>
      <c r="J4125" s="4" t="s">
        <v>10598</v>
      </c>
    </row>
    <row r="4126">
      <c r="A4126" s="4">
        <v>328.0</v>
      </c>
      <c r="B4126" s="4" t="s">
        <v>9198</v>
      </c>
      <c r="C4126" s="4"/>
      <c r="D4126" s="4" t="s">
        <v>10599</v>
      </c>
      <c r="E4126" s="4" t="s">
        <v>10600</v>
      </c>
      <c r="F4126" s="4" t="s">
        <v>10599</v>
      </c>
      <c r="G4126" s="5" t="str">
        <f>IFERROR(__xludf.DUMMYFUNCTION("GOOGLETRANSLATE(D4126,""fi"",""es"")"),"huevo")</f>
        <v>huevo</v>
      </c>
      <c r="H4126" s="4" t="s">
        <v>10601</v>
      </c>
      <c r="I4126" s="4" t="s">
        <v>10602</v>
      </c>
      <c r="J4126" s="4" t="s">
        <v>10603</v>
      </c>
      <c r="K4126" s="4" t="s">
        <v>10601</v>
      </c>
      <c r="L4126" s="4" t="s">
        <v>10604</v>
      </c>
    </row>
    <row r="4127">
      <c r="A4127" s="4">
        <v>329.0</v>
      </c>
      <c r="B4127" s="4" t="s">
        <v>9198</v>
      </c>
      <c r="C4127" s="4"/>
      <c r="D4127" s="4" t="s">
        <v>10605</v>
      </c>
      <c r="E4127" s="4" t="s">
        <v>10606</v>
      </c>
      <c r="F4127" s="4" t="s">
        <v>10605</v>
      </c>
      <c r="G4127" s="5" t="str">
        <f>IFERROR(__xludf.DUMMYFUNCTION("GOOGLETRANSLATE(D4127,""fi"",""es"")"),"tortilla")</f>
        <v>tortilla</v>
      </c>
      <c r="H4127" s="4" t="s">
        <v>10607</v>
      </c>
      <c r="I4127" s="4" t="s">
        <v>10608</v>
      </c>
      <c r="J4127" s="4" t="s">
        <v>10609</v>
      </c>
    </row>
    <row r="4128">
      <c r="A4128" s="4">
        <v>330.0</v>
      </c>
      <c r="B4128" s="4" t="s">
        <v>9198</v>
      </c>
      <c r="C4128" s="4"/>
      <c r="D4128" s="4" t="s">
        <v>10610</v>
      </c>
      <c r="E4128" s="4" t="s">
        <v>10611</v>
      </c>
      <c r="F4128" s="4" t="s">
        <v>10612</v>
      </c>
      <c r="G4128" s="5" t="str">
        <f>IFERROR(__xludf.DUMMYFUNCTION("GOOGLETRANSLATE(D4128,""fi"",""es"")"),"huevo")</f>
        <v>huevo</v>
      </c>
      <c r="H4128" s="4" t="s">
        <v>1237</v>
      </c>
    </row>
    <row r="4129">
      <c r="A4129" s="4">
        <v>331.0</v>
      </c>
      <c r="B4129" s="4" t="s">
        <v>9198</v>
      </c>
      <c r="C4129" s="4"/>
      <c r="D4129" s="4" t="s">
        <v>10613</v>
      </c>
      <c r="E4129" s="4" t="s">
        <v>10614</v>
      </c>
      <c r="F4129" s="4" t="s">
        <v>10613</v>
      </c>
      <c r="G4129" s="5" t="str">
        <f>IFERROR(__xludf.DUMMYFUNCTION("GOOGLETRANSLATE(D4129,""fi"",""es"")"),"colocación")</f>
        <v>colocación</v>
      </c>
    </row>
    <row r="4130">
      <c r="A4130" s="4">
        <v>332.0</v>
      </c>
      <c r="B4130" s="4" t="s">
        <v>9198</v>
      </c>
      <c r="C4130" s="4"/>
      <c r="D4130" s="4" t="s">
        <v>2847</v>
      </c>
      <c r="E4130" s="4" t="s">
        <v>10615</v>
      </c>
      <c r="F4130" s="4" t="s">
        <v>2847</v>
      </c>
      <c r="G4130" s="5" t="str">
        <f>IFERROR(__xludf.DUMMYFUNCTION("GOOGLETRANSLATE(D4130,""fi"",""es"")"),"música")</f>
        <v>música</v>
      </c>
    </row>
    <row r="4131">
      <c r="A4131" s="4">
        <v>333.0</v>
      </c>
      <c r="B4131" s="4" t="s">
        <v>9198</v>
      </c>
      <c r="C4131" s="4"/>
      <c r="D4131" s="4" t="s">
        <v>2850</v>
      </c>
      <c r="E4131" s="4" t="s">
        <v>10616</v>
      </c>
      <c r="F4131" s="4" t="s">
        <v>2850</v>
      </c>
      <c r="G4131" s="5" t="str">
        <f>IFERROR(__xludf.DUMMYFUNCTION("GOOGLETRANSLATE(D4131,""fi"",""es"")"),"lodo")</f>
        <v>lodo</v>
      </c>
      <c r="H4131" s="4" t="s">
        <v>10617</v>
      </c>
      <c r="I4131" s="4" t="s">
        <v>10618</v>
      </c>
      <c r="J4131" s="4" t="s">
        <v>6900</v>
      </c>
      <c r="K4131" s="4" t="s">
        <v>10619</v>
      </c>
      <c r="L4131" s="4" t="s">
        <v>2155</v>
      </c>
      <c r="M4131" s="4" t="s">
        <v>2156</v>
      </c>
      <c r="N4131" s="4" t="s">
        <v>2157</v>
      </c>
      <c r="O4131" s="4" t="s">
        <v>2158</v>
      </c>
      <c r="P4131" s="4" t="s">
        <v>2159</v>
      </c>
      <c r="Q4131" s="4" t="s">
        <v>2160</v>
      </c>
      <c r="R4131" s="4" t="s">
        <v>2161</v>
      </c>
      <c r="S4131" s="4" t="s">
        <v>2162</v>
      </c>
      <c r="T4131" s="4" t="s">
        <v>2163</v>
      </c>
    </row>
    <row r="4132">
      <c r="A4132" s="4">
        <v>334.0</v>
      </c>
      <c r="B4132" s="4" t="s">
        <v>9198</v>
      </c>
      <c r="C4132" s="4"/>
      <c r="D4132" s="4" t="s">
        <v>10620</v>
      </c>
      <c r="E4132" s="4" t="s">
        <v>10621</v>
      </c>
      <c r="F4132" s="4" t="s">
        <v>10620</v>
      </c>
      <c r="G4132" s="5" t="str">
        <f>IFERROR(__xludf.DUMMYFUNCTION("GOOGLETRANSLATE(D4132,""fi"",""es"")"),"pez de barro")</f>
        <v>pez de barro</v>
      </c>
    </row>
    <row r="4133">
      <c r="A4133" s="4">
        <v>335.0</v>
      </c>
      <c r="B4133" s="4" t="s">
        <v>9198</v>
      </c>
      <c r="C4133" s="4"/>
      <c r="D4133" s="4" t="s">
        <v>10622</v>
      </c>
      <c r="E4133" s="4" t="s">
        <v>10623</v>
      </c>
      <c r="F4133" s="4" t="s">
        <v>10622</v>
      </c>
      <c r="G4133" s="5" t="str">
        <f>IFERROR(__xludf.DUMMYFUNCTION("GOOGLETRANSLATE(D4133,""fi"",""es"")"),"murmurar")</f>
        <v>murmurar</v>
      </c>
      <c r="H4133" s="4" t="s">
        <v>10624</v>
      </c>
      <c r="I4133" s="4" t="s">
        <v>10625</v>
      </c>
      <c r="J4133" s="4" t="s">
        <v>10626</v>
      </c>
      <c r="K4133" s="4" t="s">
        <v>10627</v>
      </c>
      <c r="L4133" s="4" t="s">
        <v>10628</v>
      </c>
      <c r="M4133" s="4" t="s">
        <v>10629</v>
      </c>
      <c r="N4133" s="4" t="s">
        <v>10628</v>
      </c>
      <c r="O4133" s="4" t="s">
        <v>10629</v>
      </c>
      <c r="P4133" s="4" t="s">
        <v>10626</v>
      </c>
      <c r="Q4133" s="4" t="s">
        <v>10627</v>
      </c>
      <c r="R4133" s="4" t="s">
        <v>10630</v>
      </c>
      <c r="S4133" s="4" t="s">
        <v>10631</v>
      </c>
    </row>
    <row r="4134">
      <c r="A4134" s="4">
        <v>336.0</v>
      </c>
      <c r="B4134" s="4" t="s">
        <v>9198</v>
      </c>
      <c r="C4134" s="4"/>
      <c r="D4134" s="4" t="s">
        <v>2853</v>
      </c>
      <c r="E4134" s="4" t="s">
        <v>2854</v>
      </c>
      <c r="F4134" s="4" t="s">
        <v>2853</v>
      </c>
      <c r="G4134" s="5" t="str">
        <f>IFERROR(__xludf.DUMMYFUNCTION("GOOGLETRANSLATE(D4134,""fi"",""es"")"),"pececillo")</f>
        <v>pececillo</v>
      </c>
      <c r="H4134" s="4" t="s">
        <v>10632</v>
      </c>
      <c r="I4134" s="4" t="s">
        <v>10633</v>
      </c>
    </row>
    <row r="4135">
      <c r="A4135" s="4">
        <v>337.0</v>
      </c>
      <c r="B4135" s="4" t="s">
        <v>9198</v>
      </c>
      <c r="C4135" s="4"/>
      <c r="D4135" s="4" t="s">
        <v>10634</v>
      </c>
      <c r="E4135" s="4" t="s">
        <v>10635</v>
      </c>
      <c r="F4135" s="4" t="s">
        <v>2278</v>
      </c>
      <c r="G4135" s="5" t="str">
        <f>IFERROR(__xludf.DUMMYFUNCTION("GOOGLETRANSLATE(D4135,""fi"",""es"")"),"yo")</f>
        <v>yo</v>
      </c>
    </row>
    <row r="4136">
      <c r="A4136" s="4">
        <v>338.0</v>
      </c>
      <c r="B4136" s="4" t="s">
        <v>9198</v>
      </c>
      <c r="C4136" s="4"/>
      <c r="D4136" s="4" t="s">
        <v>10636</v>
      </c>
      <c r="E4136" s="4" t="s">
        <v>6715</v>
      </c>
      <c r="F4136" s="4" t="s">
        <v>2463</v>
      </c>
      <c r="G4136" s="5" t="str">
        <f>IFERROR(__xludf.DUMMYFUNCTION("GOOGLETRANSLATE(D4136,""fi"",""es"")"),"Cerro")</f>
        <v>Cerro</v>
      </c>
      <c r="H4136" s="4" t="s">
        <v>4536</v>
      </c>
      <c r="I4136" s="4" t="s">
        <v>10637</v>
      </c>
      <c r="J4136" s="4" t="s">
        <v>1410</v>
      </c>
      <c r="K4136" s="4" t="s">
        <v>10638</v>
      </c>
      <c r="L4136" s="4" t="s">
        <v>10639</v>
      </c>
      <c r="M4136" s="4" t="s">
        <v>515</v>
      </c>
    </row>
    <row r="4137">
      <c r="A4137" s="4">
        <v>339.0</v>
      </c>
      <c r="B4137" s="4" t="s">
        <v>9198</v>
      </c>
      <c r="C4137" s="4"/>
      <c r="D4137" s="4" t="s">
        <v>10640</v>
      </c>
      <c r="E4137" s="4" t="s">
        <v>10641</v>
      </c>
      <c r="F4137" s="4" t="s">
        <v>10642</v>
      </c>
      <c r="G4137" s="5" t="str">
        <f>IFERROR(__xludf.DUMMYFUNCTION("GOOGLETRANSLATE(D4137,""fi"",""es"")"),"Cerro")</f>
        <v>Cerro</v>
      </c>
    </row>
    <row r="4138">
      <c r="A4138" s="4">
        <v>340.0</v>
      </c>
      <c r="B4138" s="4" t="s">
        <v>9198</v>
      </c>
      <c r="C4138" s="4"/>
      <c r="D4138" s="4" t="s">
        <v>10643</v>
      </c>
      <c r="E4138" s="4" t="s">
        <v>10644</v>
      </c>
      <c r="F4138" s="4" t="s">
        <v>10645</v>
      </c>
      <c r="G4138" s="5" t="str">
        <f>IFERROR(__xludf.DUMMYFUNCTION("GOOGLETRANSLATE(D4138,""fi"",""es"")"),"cabaña")</f>
        <v>cabaña</v>
      </c>
    </row>
    <row r="4139">
      <c r="A4139" s="4">
        <v>341.0</v>
      </c>
      <c r="B4139" s="4" t="s">
        <v>9198</v>
      </c>
      <c r="C4139" s="4"/>
      <c r="D4139" s="4" t="s">
        <v>10646</v>
      </c>
      <c r="E4139" s="4" t="s">
        <v>10647</v>
      </c>
      <c r="F4139" s="4" t="s">
        <v>2525</v>
      </c>
      <c r="G4139" s="5" t="str">
        <f>IFERROR(__xludf.DUMMYFUNCTION("GOOGLETRANSLATE(D4139,""fi"",""es"")"),"picadura")</f>
        <v>picadura</v>
      </c>
    </row>
    <row r="4140">
      <c r="A4140" s="4">
        <v>342.0</v>
      </c>
      <c r="B4140" s="4" t="s">
        <v>9198</v>
      </c>
      <c r="C4140" s="4"/>
      <c r="D4140" s="4" t="s">
        <v>10648</v>
      </c>
      <c r="E4140" s="4" t="s">
        <v>10649</v>
      </c>
      <c r="F4140" s="4" t="s">
        <v>10650</v>
      </c>
      <c r="G4140" s="5" t="str">
        <f>IFERROR(__xludf.DUMMYFUNCTION("GOOGLETRANSLATE(D4140,""fi"",""es"")"),"en un elemento básico")</f>
        <v>en un elemento básico</v>
      </c>
    </row>
    <row r="4141">
      <c r="A4141" s="4">
        <v>343.0</v>
      </c>
      <c r="B4141" s="4" t="s">
        <v>9198</v>
      </c>
      <c r="C4141" s="4"/>
      <c r="D4141" s="4" t="s">
        <v>10651</v>
      </c>
      <c r="E4141" s="4" t="s">
        <v>6794</v>
      </c>
      <c r="F4141" s="4" t="s">
        <v>2575</v>
      </c>
      <c r="G4141" s="5" t="str">
        <f>IFERROR(__xludf.DUMMYFUNCTION("GOOGLETRANSLATE(D4141,""fi"",""es"")"),"hueva")</f>
        <v>hueva</v>
      </c>
      <c r="H4141" s="4" t="s">
        <v>10169</v>
      </c>
      <c r="I4141" s="4" t="s">
        <v>10652</v>
      </c>
      <c r="J4141" s="4" t="s">
        <v>10652</v>
      </c>
      <c r="K4141" s="4" t="s">
        <v>10652</v>
      </c>
      <c r="L4141" s="4" t="s">
        <v>10652</v>
      </c>
      <c r="M4141" s="4" t="s">
        <v>10653</v>
      </c>
      <c r="N4141" s="4" t="s">
        <v>10654</v>
      </c>
      <c r="O4141" s="4" t="s">
        <v>10655</v>
      </c>
    </row>
    <row r="4142">
      <c r="A4142" s="4">
        <v>344.0</v>
      </c>
      <c r="B4142" s="4" t="s">
        <v>9198</v>
      </c>
      <c r="C4142" s="4"/>
      <c r="D4142" s="4" t="s">
        <v>10656</v>
      </c>
      <c r="E4142" s="4" t="s">
        <v>10657</v>
      </c>
      <c r="F4142" s="4" t="s">
        <v>10658</v>
      </c>
      <c r="G4142" s="5" t="str">
        <f>IFERROR(__xludf.DUMMYFUNCTION("GOOGLETRANSLATE(D4142,""fi"",""es"")"),"cucaracha")</f>
        <v>cucaracha</v>
      </c>
    </row>
    <row r="4143">
      <c r="A4143" s="4">
        <v>345.0</v>
      </c>
      <c r="B4143" s="4" t="s">
        <v>9198</v>
      </c>
      <c r="C4143" s="4"/>
      <c r="D4143" s="4" t="s">
        <v>10659</v>
      </c>
      <c r="E4143" s="4" t="s">
        <v>10660</v>
      </c>
      <c r="F4143" s="4" t="s">
        <v>10661</v>
      </c>
      <c r="G4143" s="5" t="str">
        <f>IFERROR(__xludf.DUMMYFUNCTION("GOOGLETRANSLATE(D4143,""fi"",""es"")"),"tipo")</f>
        <v>tipo</v>
      </c>
    </row>
    <row r="4144">
      <c r="A4144" s="4">
        <v>346.0</v>
      </c>
      <c r="B4144" s="4" t="s">
        <v>9198</v>
      </c>
      <c r="C4144" s="4"/>
      <c r="D4144" s="4" t="s">
        <v>10662</v>
      </c>
      <c r="E4144" s="4" t="s">
        <v>10663</v>
      </c>
      <c r="F4144" s="4" t="s">
        <v>2553</v>
      </c>
      <c r="G4144" s="5" t="str">
        <f>IFERROR(__xludf.DUMMYFUNCTION("GOOGLETRANSLATE(D4144,""fi"",""es"")"),"podrido")</f>
        <v>podrido</v>
      </c>
      <c r="H4144" s="4" t="s">
        <v>7568</v>
      </c>
      <c r="I4144" s="4" t="s">
        <v>7569</v>
      </c>
      <c r="J4144" s="4" t="s">
        <v>7570</v>
      </c>
      <c r="K4144" s="4" t="s">
        <v>7571</v>
      </c>
      <c r="L4144" s="4" t="s">
        <v>7572</v>
      </c>
      <c r="M4144" s="4" t="s">
        <v>4402</v>
      </c>
      <c r="N4144" s="4" t="s">
        <v>10664</v>
      </c>
      <c r="O4144" s="4" t="s">
        <v>2328</v>
      </c>
      <c r="P4144" s="4" t="s">
        <v>2329</v>
      </c>
      <c r="Q4144" s="4" t="s">
        <v>2330</v>
      </c>
      <c r="R4144" s="4" t="s">
        <v>6335</v>
      </c>
      <c r="S4144" s="4" t="s">
        <v>10665</v>
      </c>
      <c r="T4144" s="4" t="s">
        <v>10666</v>
      </c>
      <c r="U4144" s="4" t="s">
        <v>10667</v>
      </c>
      <c r="V4144" s="4" t="s">
        <v>6335</v>
      </c>
      <c r="W4144" s="4" t="s">
        <v>10668</v>
      </c>
      <c r="X4144" s="4" t="s">
        <v>3766</v>
      </c>
      <c r="Y4144" s="4" t="s">
        <v>3768</v>
      </c>
      <c r="Z4144" s="4" t="s">
        <v>3769</v>
      </c>
      <c r="AA4144" s="4" t="s">
        <v>3770</v>
      </c>
      <c r="AB4144" s="4" t="s">
        <v>3771</v>
      </c>
      <c r="AC4144" s="4" t="s">
        <v>3772</v>
      </c>
      <c r="AD4144" s="4" t="s">
        <v>10669</v>
      </c>
      <c r="AE4144" s="4" t="s">
        <v>10670</v>
      </c>
      <c r="AF4144" s="4" t="s">
        <v>10671</v>
      </c>
      <c r="AG4144" s="4" t="s">
        <v>10672</v>
      </c>
      <c r="AH4144" s="4" t="s">
        <v>10673</v>
      </c>
      <c r="AI4144" s="4" t="s">
        <v>10674</v>
      </c>
    </row>
    <row r="4145">
      <c r="A4145" s="4">
        <v>347.0</v>
      </c>
      <c r="B4145" s="4" t="s">
        <v>9198</v>
      </c>
      <c r="C4145" s="4"/>
      <c r="D4145" s="4" t="s">
        <v>10675</v>
      </c>
      <c r="E4145" s="4" t="s">
        <v>10676</v>
      </c>
      <c r="F4145" s="4" t="s">
        <v>10677</v>
      </c>
      <c r="G4145" s="5" t="str">
        <f>IFERROR(__xludf.DUMMYFUNCTION("GOOGLETRANSLATE(D4145,""fi"",""es"")"),"podrido")</f>
        <v>podrido</v>
      </c>
    </row>
    <row r="4146">
      <c r="A4146" s="4">
        <v>348.0</v>
      </c>
      <c r="B4146" s="4" t="s">
        <v>9198</v>
      </c>
      <c r="C4146" s="4"/>
      <c r="D4146" s="4" t="s">
        <v>10678</v>
      </c>
      <c r="E4146" s="4" t="s">
        <v>10679</v>
      </c>
      <c r="F4146" s="4" t="s">
        <v>10680</v>
      </c>
      <c r="G4146" s="5" t="str">
        <f>IFERROR(__xludf.DUMMYFUNCTION("GOOGLETRANSLATE(D4146,""fi"",""es"")"),"montículo")</f>
        <v>montículo</v>
      </c>
      <c r="H4146" s="4" t="s">
        <v>10681</v>
      </c>
      <c r="I4146" s="4" t="s">
        <v>10682</v>
      </c>
      <c r="J4146" s="4" t="s">
        <v>10683</v>
      </c>
      <c r="K4146" s="4" t="s">
        <v>2824</v>
      </c>
      <c r="L4146" s="4" t="s">
        <v>10684</v>
      </c>
      <c r="M4146" s="4" t="s">
        <v>10685</v>
      </c>
      <c r="N4146" s="4" t="s">
        <v>1784</v>
      </c>
    </row>
    <row r="4147">
      <c r="A4147" s="4">
        <v>349.0</v>
      </c>
      <c r="B4147" s="4" t="s">
        <v>9198</v>
      </c>
      <c r="C4147" s="4"/>
      <c r="D4147" s="4" t="s">
        <v>10686</v>
      </c>
      <c r="E4147" s="4" t="s">
        <v>10687</v>
      </c>
      <c r="F4147" s="4" t="s">
        <v>10686</v>
      </c>
      <c r="G4147" s="5" t="str">
        <f>IFERROR(__xludf.DUMMYFUNCTION("GOOGLETRANSLATE(D4147,""fi"",""es"")"),"correoso")</f>
        <v>correoso</v>
      </c>
    </row>
    <row r="4148">
      <c r="A4148" s="4">
        <v>350.0</v>
      </c>
      <c r="B4148" s="4" t="s">
        <v>9198</v>
      </c>
      <c r="C4148" s="4"/>
      <c r="D4148" s="4" t="s">
        <v>10688</v>
      </c>
      <c r="E4148" s="4" t="s">
        <v>10689</v>
      </c>
      <c r="F4148" s="4" t="s">
        <v>10688</v>
      </c>
      <c r="G4148" s="5" t="str">
        <f>IFERROR(__xludf.DUMMYFUNCTION("GOOGLETRANSLATE(D4148,""fi"",""es"")"),"NAC")</f>
        <v>NAC</v>
      </c>
      <c r="H4148" s="4" t="s">
        <v>3019</v>
      </c>
      <c r="I4148" s="4" t="s">
        <v>3020</v>
      </c>
      <c r="J4148" s="4" t="s">
        <v>3021</v>
      </c>
      <c r="K4148" s="4" t="s">
        <v>3022</v>
      </c>
      <c r="L4148" s="4" t="s">
        <v>10690</v>
      </c>
      <c r="M4148" s="4" t="s">
        <v>10691</v>
      </c>
      <c r="N4148" s="4" t="s">
        <v>10692</v>
      </c>
      <c r="O4148" s="4" t="s">
        <v>10693</v>
      </c>
      <c r="P4148" s="4" t="s">
        <v>10694</v>
      </c>
      <c r="Q4148" s="4" t="s">
        <v>2963</v>
      </c>
      <c r="R4148" s="4" t="s">
        <v>10695</v>
      </c>
      <c r="S4148" s="4" t="s">
        <v>10696</v>
      </c>
      <c r="T4148" s="4" t="s">
        <v>10697</v>
      </c>
      <c r="U4148" s="4" t="s">
        <v>2963</v>
      </c>
      <c r="V4148" s="4" t="s">
        <v>10698</v>
      </c>
      <c r="W4148" s="4" t="s">
        <v>10699</v>
      </c>
    </row>
    <row r="4149">
      <c r="A4149" s="4">
        <v>351.0</v>
      </c>
      <c r="B4149" s="4" t="s">
        <v>9198</v>
      </c>
      <c r="C4149" s="4"/>
      <c r="D4149" s="4" t="s">
        <v>10700</v>
      </c>
      <c r="E4149" s="4" t="s">
        <v>10701</v>
      </c>
      <c r="F4149" s="4" t="s">
        <v>10700</v>
      </c>
      <c r="G4149" s="5" t="str">
        <f>IFERROR(__xludf.DUMMYFUNCTION("GOOGLETRANSLATE(D4149,""fi"",""es"")"),"golpear")</f>
        <v>golpear</v>
      </c>
      <c r="H4149" s="4" t="s">
        <v>10702</v>
      </c>
      <c r="I4149" s="4" t="s">
        <v>10703</v>
      </c>
      <c r="J4149" s="4" t="s">
        <v>10704</v>
      </c>
    </row>
    <row r="4150">
      <c r="A4150" s="4">
        <v>352.0</v>
      </c>
      <c r="B4150" s="4" t="s">
        <v>9198</v>
      </c>
      <c r="C4150" s="4"/>
      <c r="D4150" s="4" t="s">
        <v>10705</v>
      </c>
      <c r="E4150" s="4" t="s">
        <v>10706</v>
      </c>
      <c r="F4150" s="4" t="s">
        <v>10705</v>
      </c>
      <c r="G4150" s="5" t="str">
        <f>IFERROR(__xludf.DUMMYFUNCTION("GOOGLETRANSLATE(D4150,""fi"",""es"")"),"dulces")</f>
        <v>dulces</v>
      </c>
      <c r="H4150" s="4" t="s">
        <v>10707</v>
      </c>
      <c r="I4150" s="4" t="s">
        <v>10708</v>
      </c>
      <c r="J4150" s="4" t="s">
        <v>10709</v>
      </c>
      <c r="K4150" s="4" t="s">
        <v>10710</v>
      </c>
      <c r="L4150" s="4" t="s">
        <v>10711</v>
      </c>
    </row>
    <row r="4151">
      <c r="A4151" s="4">
        <v>353.0</v>
      </c>
      <c r="B4151" s="4" t="s">
        <v>9198</v>
      </c>
      <c r="C4151" s="4"/>
      <c r="D4151" s="4" t="s">
        <v>10712</v>
      </c>
      <c r="E4151" s="4" t="s">
        <v>10713</v>
      </c>
      <c r="F4151" s="4" t="s">
        <v>10712</v>
      </c>
      <c r="G4151" s="5" t="str">
        <f>IFERROR(__xludf.DUMMYFUNCTION("GOOGLETRANSLATE(D4151,""fi"",""es"")"),"asentir")</f>
        <v>asentir</v>
      </c>
      <c r="H4151" s="4" t="s">
        <v>10714</v>
      </c>
      <c r="I4151" s="4" t="s">
        <v>10715</v>
      </c>
      <c r="J4151" s="4" t="s">
        <v>10716</v>
      </c>
      <c r="K4151" s="4" t="s">
        <v>10717</v>
      </c>
      <c r="L4151" s="4" t="s">
        <v>10718</v>
      </c>
      <c r="M4151" s="4" t="s">
        <v>10719</v>
      </c>
      <c r="N4151" s="4" t="s">
        <v>8814</v>
      </c>
      <c r="O4151" s="4" t="s">
        <v>10720</v>
      </c>
      <c r="P4151" s="4" t="s">
        <v>10721</v>
      </c>
      <c r="Q4151" s="4" t="s">
        <v>10722</v>
      </c>
      <c r="R4151" s="4" t="s">
        <v>10723</v>
      </c>
    </row>
    <row r="4152">
      <c r="A4152" s="4">
        <v>354.0</v>
      </c>
      <c r="B4152" s="4" t="s">
        <v>9198</v>
      </c>
      <c r="C4152" s="4"/>
      <c r="D4152" s="4" t="s">
        <v>10724</v>
      </c>
      <c r="E4152" s="4" t="s">
        <v>10725</v>
      </c>
      <c r="F4152" s="4" t="s">
        <v>10724</v>
      </c>
      <c r="G4152" s="5" t="str">
        <f>IFERROR(__xludf.DUMMYFUNCTION("GOOGLETRANSLATE(D4152,""fi"",""es"")"),"conejito")</f>
        <v>conejito</v>
      </c>
      <c r="H4152" s="4" t="s">
        <v>10714</v>
      </c>
      <c r="I4152" s="4" t="s">
        <v>10715</v>
      </c>
      <c r="J4152" s="4" t="s">
        <v>10716</v>
      </c>
      <c r="K4152" s="4" t="s">
        <v>10717</v>
      </c>
      <c r="L4152" s="4" t="s">
        <v>10718</v>
      </c>
      <c r="M4152" s="4" t="s">
        <v>10719</v>
      </c>
      <c r="N4152" s="4" t="s">
        <v>8814</v>
      </c>
      <c r="O4152" s="4" t="s">
        <v>10720</v>
      </c>
      <c r="P4152" s="4" t="s">
        <v>10721</v>
      </c>
      <c r="Q4152" s="4" t="s">
        <v>10722</v>
      </c>
      <c r="R4152" s="4" t="s">
        <v>10723</v>
      </c>
    </row>
    <row r="4153">
      <c r="A4153" s="4">
        <v>355.0</v>
      </c>
      <c r="B4153" s="4" t="s">
        <v>9198</v>
      </c>
      <c r="C4153" s="4"/>
      <c r="D4153" s="4" t="s">
        <v>2923</v>
      </c>
      <c r="E4153" s="4" t="s">
        <v>10726</v>
      </c>
      <c r="F4153" s="4" t="s">
        <v>2923</v>
      </c>
      <c r="G4153" s="5" t="str">
        <f>IFERROR(__xludf.DUMMYFUNCTION("GOOGLETRANSLATE(D4153,""fi"",""es"")"),"nana")</f>
        <v>nana</v>
      </c>
    </row>
    <row r="4154">
      <c r="A4154" s="4">
        <v>356.0</v>
      </c>
      <c r="B4154" s="4" t="s">
        <v>9198</v>
      </c>
      <c r="C4154" s="4"/>
      <c r="D4154" s="4" t="s">
        <v>10727</v>
      </c>
      <c r="E4154" s="4" t="s">
        <v>10728</v>
      </c>
      <c r="F4154" s="4" t="s">
        <v>10727</v>
      </c>
      <c r="G4154" s="5" t="str">
        <f>IFERROR(__xludf.DUMMYFUNCTION("GOOGLETRANSLATE(D4154,""fi"",""es"")"),"polo")</f>
        <v>polo</v>
      </c>
      <c r="H4154" s="4" t="s">
        <v>10729</v>
      </c>
      <c r="I4154" s="4" t="s">
        <v>10730</v>
      </c>
      <c r="J4154" s="4" t="s">
        <v>10731</v>
      </c>
      <c r="K4154" s="4" t="s">
        <v>7212</v>
      </c>
      <c r="L4154" s="4" t="s">
        <v>3170</v>
      </c>
      <c r="M4154" s="4" t="s">
        <v>3167</v>
      </c>
      <c r="N4154" s="4" t="s">
        <v>10732</v>
      </c>
      <c r="O4154" s="4" t="s">
        <v>1216</v>
      </c>
      <c r="P4154" s="4" t="s">
        <v>3167</v>
      </c>
      <c r="Q4154" s="4" t="s">
        <v>10733</v>
      </c>
      <c r="R4154" s="4" t="s">
        <v>10734</v>
      </c>
      <c r="S4154" s="4" t="s">
        <v>10735</v>
      </c>
      <c r="T4154" s="4" t="s">
        <v>10736</v>
      </c>
      <c r="U4154" s="4" t="s">
        <v>10737</v>
      </c>
      <c r="V4154" s="4" t="s">
        <v>10738</v>
      </c>
      <c r="W4154" s="4" t="s">
        <v>10733</v>
      </c>
      <c r="X4154" s="4" t="s">
        <v>10739</v>
      </c>
      <c r="Y4154" s="4" t="s">
        <v>10740</v>
      </c>
      <c r="Z4154" s="4" t="s">
        <v>3167</v>
      </c>
      <c r="AA4154" s="4" t="s">
        <v>3167</v>
      </c>
      <c r="AB4154" s="4" t="s">
        <v>10741</v>
      </c>
      <c r="AC4154" s="4" t="s">
        <v>10742</v>
      </c>
    </row>
    <row r="4155">
      <c r="A4155" s="4">
        <v>357.0</v>
      </c>
      <c r="B4155" s="4" t="s">
        <v>9198</v>
      </c>
      <c r="C4155" s="4"/>
      <c r="D4155" s="4" t="s">
        <v>10743</v>
      </c>
      <c r="E4155" s="4" t="s">
        <v>10744</v>
      </c>
      <c r="F4155" s="4" t="s">
        <v>10743</v>
      </c>
      <c r="G4155" s="5" t="str">
        <f>IFERROR(__xludf.DUMMYFUNCTION("GOOGLETRANSLATE(D4155,""fi"",""es"")"),"Cerdito")</f>
        <v>Cerdito</v>
      </c>
    </row>
    <row r="4156">
      <c r="A4156" s="4">
        <v>358.0</v>
      </c>
      <c r="B4156" s="4" t="s">
        <v>9198</v>
      </c>
      <c r="C4156" s="4"/>
      <c r="D4156" s="4" t="s">
        <v>2935</v>
      </c>
      <c r="E4156" s="4" t="s">
        <v>10745</v>
      </c>
      <c r="F4156" s="4" t="s">
        <v>2935</v>
      </c>
      <c r="G4156" s="5" t="str">
        <f>IFERROR(__xludf.DUMMYFUNCTION("GOOGLETRANSLATE(D4156,""fi"",""es"")"),"puntero")</f>
        <v>puntero</v>
      </c>
      <c r="H4156" s="4" t="s">
        <v>10746</v>
      </c>
      <c r="I4156" s="4" t="s">
        <v>10747</v>
      </c>
      <c r="J4156" s="4" t="s">
        <v>10748</v>
      </c>
      <c r="K4156" s="4" t="s">
        <v>10749</v>
      </c>
    </row>
    <row r="4157">
      <c r="A4157" s="4">
        <v>359.0</v>
      </c>
      <c r="B4157" s="4" t="s">
        <v>9198</v>
      </c>
      <c r="C4157" s="4"/>
      <c r="D4157" s="4" t="s">
        <v>10750</v>
      </c>
      <c r="E4157" s="4" t="s">
        <v>10751</v>
      </c>
      <c r="F4157" s="4" t="s">
        <v>10750</v>
      </c>
      <c r="G4157" s="5" t="str">
        <f>IFERROR(__xludf.DUMMYFUNCTION("GOOGLETRANSLATE(D4157,""fi"",""es"")"),"gemido")</f>
        <v>gemido</v>
      </c>
    </row>
    <row r="4158">
      <c r="A4158" s="4">
        <v>360.0</v>
      </c>
      <c r="B4158" s="4" t="s">
        <v>9198</v>
      </c>
      <c r="C4158" s="4"/>
      <c r="D4158" s="4" t="s">
        <v>10752</v>
      </c>
      <c r="E4158" s="4" t="s">
        <v>10753</v>
      </c>
      <c r="F4158" s="4" t="s">
        <v>10752</v>
      </c>
      <c r="G4158" s="5" t="str">
        <f>IFERROR(__xludf.DUMMYFUNCTION("GOOGLETRANSLATE(D4158,""fi"",""es"")"),"níquel")</f>
        <v>níquel</v>
      </c>
    </row>
    <row r="4159">
      <c r="A4159" s="4">
        <v>361.0</v>
      </c>
      <c r="B4159" s="4" t="s">
        <v>9198</v>
      </c>
      <c r="C4159" s="4"/>
      <c r="D4159" s="4" t="s">
        <v>10754</v>
      </c>
      <c r="E4159" s="4" t="s">
        <v>10755</v>
      </c>
      <c r="F4159" s="4" t="s">
        <v>10754</v>
      </c>
      <c r="G4159" s="5" t="str">
        <f>IFERROR(__xludf.DUMMYFUNCTION("GOOGLETRANSLATE(D4159,""fi"",""es"")"),"nilada")</f>
        <v>nilada</v>
      </c>
      <c r="H4159" s="4" t="s">
        <v>10756</v>
      </c>
      <c r="I4159" s="4" t="s">
        <v>10757</v>
      </c>
    </row>
    <row r="4160">
      <c r="A4160" s="4">
        <v>362.0</v>
      </c>
      <c r="B4160" s="4" t="s">
        <v>9198</v>
      </c>
      <c r="C4160" s="4"/>
      <c r="D4160" s="4" t="s">
        <v>6988</v>
      </c>
      <c r="E4160" s="4" t="s">
        <v>10758</v>
      </c>
      <c r="F4160" s="4" t="s">
        <v>6988</v>
      </c>
      <c r="G4160" s="5" t="str">
        <f>IFERROR(__xludf.DUMMYFUNCTION("GOOGLETRANSLATE(D4160,""fi"",""es"")"),"nombre")</f>
        <v>nombre</v>
      </c>
      <c r="H4160" s="4" t="s">
        <v>6988</v>
      </c>
    </row>
    <row r="4161">
      <c r="A4161" s="4">
        <v>363.0</v>
      </c>
      <c r="B4161" s="4" t="s">
        <v>9198</v>
      </c>
      <c r="C4161" s="4"/>
      <c r="D4161" s="4" t="s">
        <v>10759</v>
      </c>
      <c r="E4161" s="4" t="s">
        <v>10760</v>
      </c>
      <c r="F4161" s="4" t="s">
        <v>10759</v>
      </c>
      <c r="G4161" s="5" t="str">
        <f>IFERROR(__xludf.DUMMYFUNCTION("GOOGLETRANSLATE(D4161,""fi"",""es"")"),"nombre")</f>
        <v>nombre</v>
      </c>
      <c r="H4161" s="4" t="s">
        <v>1438</v>
      </c>
      <c r="I4161" s="4" t="s">
        <v>1438</v>
      </c>
      <c r="J4161" s="4" t="s">
        <v>10761</v>
      </c>
      <c r="K4161" s="4" t="s">
        <v>4599</v>
      </c>
      <c r="L4161" s="4" t="s">
        <v>9186</v>
      </c>
      <c r="M4161" s="4" t="s">
        <v>9187</v>
      </c>
      <c r="N4161" s="4" t="s">
        <v>1209</v>
      </c>
      <c r="O4161" s="4" t="s">
        <v>1438</v>
      </c>
      <c r="P4161" s="4" t="s">
        <v>10762</v>
      </c>
      <c r="Q4161" s="4" t="s">
        <v>1438</v>
      </c>
      <c r="R4161" s="4" t="s">
        <v>4861</v>
      </c>
      <c r="S4161" s="4" t="s">
        <v>10763</v>
      </c>
    </row>
    <row r="4162">
      <c r="A4162" s="4">
        <v>364.0</v>
      </c>
      <c r="B4162" s="4" t="s">
        <v>9198</v>
      </c>
      <c r="C4162" s="4"/>
      <c r="D4162" s="4" t="s">
        <v>10764</v>
      </c>
      <c r="E4162" s="4" t="s">
        <v>10765</v>
      </c>
      <c r="F4162" s="4" t="s">
        <v>10764</v>
      </c>
      <c r="G4162" s="5" t="str">
        <f>IFERROR(__xludf.DUMMYFUNCTION("GOOGLETRANSLATE(D4162,""fi"",""es"")"),"nombramiento")</f>
        <v>nombramiento</v>
      </c>
    </row>
    <row r="4163">
      <c r="A4163" s="4">
        <v>365.0</v>
      </c>
      <c r="B4163" s="4" t="s">
        <v>9198</v>
      </c>
      <c r="C4163" s="4"/>
      <c r="D4163" s="4" t="s">
        <v>10766</v>
      </c>
      <c r="E4163" s="4" t="s">
        <v>10767</v>
      </c>
      <c r="F4163" s="4" t="s">
        <v>10766</v>
      </c>
      <c r="G4163" s="5" t="str">
        <f>IFERROR(__xludf.DUMMYFUNCTION("GOOGLETRANSLATE(D4163,""fi"",""es"")"),"trigo")</f>
        <v>trigo</v>
      </c>
    </row>
    <row r="4164">
      <c r="A4164" s="4">
        <v>366.0</v>
      </c>
      <c r="B4164" s="4" t="s">
        <v>9198</v>
      </c>
      <c r="C4164" s="4"/>
      <c r="D4164" s="4" t="s">
        <v>10768</v>
      </c>
      <c r="E4164" s="4" t="s">
        <v>10769</v>
      </c>
      <c r="F4164" s="4" t="s">
        <v>2988</v>
      </c>
      <c r="G4164" s="5" t="str">
        <f>IFERROR(__xludf.DUMMYFUNCTION("GOOGLETRANSLATE(D4164,""fi"",""es"")"),"excavado")</f>
        <v>excavado</v>
      </c>
      <c r="H4164" s="4" t="s">
        <v>10770</v>
      </c>
      <c r="I4164" s="4" t="s">
        <v>2383</v>
      </c>
      <c r="J4164" s="4" t="s">
        <v>2384</v>
      </c>
      <c r="K4164" s="4" t="s">
        <v>7093</v>
      </c>
      <c r="L4164" s="4" t="s">
        <v>7094</v>
      </c>
      <c r="M4164" s="4" t="s">
        <v>7095</v>
      </c>
      <c r="N4164" s="4" t="s">
        <v>7088</v>
      </c>
      <c r="O4164" s="4" t="s">
        <v>7096</v>
      </c>
      <c r="P4164" s="4" t="s">
        <v>7097</v>
      </c>
    </row>
    <row r="4165">
      <c r="A4165" s="4">
        <v>367.0</v>
      </c>
      <c r="B4165" s="4" t="s">
        <v>9198</v>
      </c>
      <c r="C4165" s="4"/>
      <c r="D4165" s="4" t="s">
        <v>10771</v>
      </c>
      <c r="E4165" s="4" t="s">
        <v>10772</v>
      </c>
      <c r="F4165" s="4" t="s">
        <v>10773</v>
      </c>
      <c r="G4165" s="5" t="str">
        <f>IFERROR(__xludf.DUMMYFUNCTION("GOOGLETRANSLATE(D4165,""fi"",""es"")"),"mamífero")</f>
        <v>mamífero</v>
      </c>
      <c r="H4165" s="4" t="s">
        <v>10774</v>
      </c>
      <c r="I4165" s="4" t="s">
        <v>10775</v>
      </c>
    </row>
    <row r="4166">
      <c r="A4166" s="4">
        <v>368.0</v>
      </c>
      <c r="B4166" s="4" t="s">
        <v>9198</v>
      </c>
      <c r="C4166" s="4"/>
      <c r="D4166" s="4" t="s">
        <v>10776</v>
      </c>
      <c r="E4166" s="4" t="s">
        <v>10777</v>
      </c>
      <c r="F4166" s="4" t="s">
        <v>10776</v>
      </c>
      <c r="G4166" s="5" t="str">
        <f>IFERROR(__xludf.DUMMYFUNCTION("GOOGLETRANSLATE(D4166,""fi"",""es"")"),"frío en la cabeza")</f>
        <v>frío en la cabeza</v>
      </c>
      <c r="H4166" s="4" t="s">
        <v>10778</v>
      </c>
    </row>
    <row r="4167">
      <c r="A4167" s="4">
        <v>369.0</v>
      </c>
      <c r="B4167" s="4" t="s">
        <v>9198</v>
      </c>
      <c r="C4167" s="4"/>
      <c r="D4167" s="4" t="s">
        <v>10779</v>
      </c>
      <c r="E4167" s="4" t="s">
        <v>10780</v>
      </c>
      <c r="F4167" s="4" t="s">
        <v>10779</v>
      </c>
      <c r="G4167" s="5" t="str">
        <f>IFERROR(__xludf.DUMMYFUNCTION("GOOGLETRANSLATE(D4167,""fi"",""es"")"),"inhalador")</f>
        <v>inhalador</v>
      </c>
    </row>
    <row r="4168">
      <c r="A4168" s="4">
        <v>370.0</v>
      </c>
      <c r="B4168" s="4" t="s">
        <v>9198</v>
      </c>
      <c r="C4168" s="4"/>
      <c r="D4168" s="4" t="s">
        <v>10781</v>
      </c>
      <c r="E4168" s="4" t="s">
        <v>10782</v>
      </c>
      <c r="F4168" s="4" t="s">
        <v>10781</v>
      </c>
      <c r="G4168" s="5" t="str">
        <f>IFERROR(__xludf.DUMMYFUNCTION("GOOGLETRANSLATE(D4168,""fi"",""es"")"),"Guijarro")</f>
        <v>Guijarro</v>
      </c>
    </row>
    <row r="4169">
      <c r="A4169" s="4">
        <v>371.0</v>
      </c>
      <c r="B4169" s="4" t="s">
        <v>9198</v>
      </c>
      <c r="C4169" s="4"/>
      <c r="D4169" s="4" t="s">
        <v>3004</v>
      </c>
      <c r="E4169" s="4" t="s">
        <v>10783</v>
      </c>
      <c r="F4169" s="4" t="s">
        <v>3004</v>
      </c>
      <c r="G4169" s="5" t="str">
        <f>IFERROR(__xludf.DUMMYFUNCTION("GOOGLETRANSLATE(D4169,""fi"",""es"")"),"teta")</f>
        <v>teta</v>
      </c>
    </row>
    <row r="4170">
      <c r="A4170" s="4">
        <v>372.0</v>
      </c>
      <c r="B4170" s="4" t="s">
        <v>9198</v>
      </c>
      <c r="C4170" s="4"/>
      <c r="D4170" s="4" t="s">
        <v>10784</v>
      </c>
      <c r="E4170" s="4" t="s">
        <v>10785</v>
      </c>
      <c r="F4170" s="4" t="s">
        <v>10784</v>
      </c>
      <c r="G4170" s="5" t="str">
        <f>IFERROR(__xludf.DUMMYFUNCTION("GOOGLETRANSLATE(D4170,""fi"",""es"")"),"disparates")</f>
        <v>disparates</v>
      </c>
    </row>
    <row r="4171">
      <c r="A4171" s="4">
        <v>373.0</v>
      </c>
      <c r="B4171" s="4" t="s">
        <v>9198</v>
      </c>
      <c r="C4171" s="4"/>
      <c r="D4171" s="4" t="s">
        <v>10786</v>
      </c>
      <c r="E4171" s="4" t="s">
        <v>10787</v>
      </c>
      <c r="F4171" s="4" t="s">
        <v>10788</v>
      </c>
      <c r="G4171" s="5" t="str">
        <f>IFERROR(__xludf.DUMMYFUNCTION("GOOGLETRANSLATE(D4171,""fi"",""es"")"),"vidente")</f>
        <v>vidente</v>
      </c>
      <c r="H4171" s="4" t="s">
        <v>10789</v>
      </c>
      <c r="I4171" s="4" t="s">
        <v>10790</v>
      </c>
      <c r="J4171" s="4" t="s">
        <v>10791</v>
      </c>
      <c r="K4171" s="4" t="s">
        <v>10792</v>
      </c>
      <c r="L4171" s="4" t="s">
        <v>10793</v>
      </c>
      <c r="M4171" s="4" t="s">
        <v>10794</v>
      </c>
      <c r="N4171" s="4" t="s">
        <v>10795</v>
      </c>
      <c r="O4171" s="4" t="s">
        <v>10796</v>
      </c>
      <c r="P4171" s="4" t="s">
        <v>10797</v>
      </c>
      <c r="Q4171" s="4" t="s">
        <v>10798</v>
      </c>
      <c r="R4171" s="4" t="s">
        <v>10799</v>
      </c>
      <c r="S4171" s="4" t="s">
        <v>10800</v>
      </c>
    </row>
    <row r="4172">
      <c r="A4172" s="4">
        <v>374.0</v>
      </c>
      <c r="B4172" s="4" t="s">
        <v>9198</v>
      </c>
      <c r="C4172" s="4"/>
      <c r="D4172" s="4" t="s">
        <v>10801</v>
      </c>
      <c r="E4172" s="4" t="s">
        <v>10802</v>
      </c>
      <c r="F4172" s="4" t="s">
        <v>10803</v>
      </c>
      <c r="G4172" s="5" t="str">
        <f>IFERROR(__xludf.DUMMYFUNCTION("GOOGLETRANSLATE(D4172,""fi"",""es"")"),"estas")</f>
        <v>estas</v>
      </c>
    </row>
    <row r="4173">
      <c r="A4173" s="4">
        <v>375.0</v>
      </c>
      <c r="B4173" s="4" t="s">
        <v>9198</v>
      </c>
      <c r="C4173" s="4"/>
      <c r="D4173" s="4" t="s">
        <v>10804</v>
      </c>
      <c r="E4173" s="4" t="s">
        <v>10805</v>
      </c>
      <c r="F4173" s="4" t="s">
        <v>2935</v>
      </c>
      <c r="G4173" s="5" t="str">
        <f>IFERROR(__xludf.DUMMYFUNCTION("GOOGLETRANSLATE(D4173,""fi"",""es"")"),"puntero")</f>
        <v>puntero</v>
      </c>
    </row>
    <row r="4174">
      <c r="A4174" s="4">
        <v>376.0</v>
      </c>
      <c r="B4174" s="4" t="s">
        <v>9198</v>
      </c>
      <c r="C4174" s="4"/>
      <c r="D4174" s="4" t="s">
        <v>10806</v>
      </c>
      <c r="E4174" s="4" t="s">
        <v>10807</v>
      </c>
      <c r="F4174" s="4" t="s">
        <v>10806</v>
      </c>
      <c r="G4174" s="5" t="str">
        <f>IFERROR(__xludf.DUMMYFUNCTION("GOOGLETRANSLATE(D4174,""fi"",""es"")"),"demonio")</f>
        <v>demonio</v>
      </c>
      <c r="H4174" s="4" t="s">
        <v>10808</v>
      </c>
      <c r="I4174" s="4" t="s">
        <v>10809</v>
      </c>
      <c r="J4174" s="4" t="s">
        <v>10810</v>
      </c>
      <c r="K4174" s="4" t="s">
        <v>10811</v>
      </c>
      <c r="L4174" s="4" t="s">
        <v>10812</v>
      </c>
      <c r="M4174" s="4" t="s">
        <v>10813</v>
      </c>
      <c r="N4174" s="4" t="s">
        <v>2332</v>
      </c>
      <c r="O4174" s="4" t="s">
        <v>2328</v>
      </c>
      <c r="P4174" s="4" t="s">
        <v>10814</v>
      </c>
      <c r="Q4174" s="4" t="s">
        <v>10815</v>
      </c>
      <c r="R4174" s="4" t="s">
        <v>10816</v>
      </c>
      <c r="S4174" s="4" t="s">
        <v>10817</v>
      </c>
      <c r="T4174" s="4" t="s">
        <v>10818</v>
      </c>
      <c r="U4174" s="4" t="s">
        <v>8848</v>
      </c>
      <c r="V4174" s="4" t="s">
        <v>10819</v>
      </c>
      <c r="W4174" s="4" t="s">
        <v>10820</v>
      </c>
      <c r="X4174" s="4" t="s">
        <v>10821</v>
      </c>
      <c r="Y4174" s="4" t="s">
        <v>10822</v>
      </c>
      <c r="Z4174" s="4" t="s">
        <v>2328</v>
      </c>
      <c r="AA4174" s="4" t="s">
        <v>2332</v>
      </c>
      <c r="AB4174" s="4" t="s">
        <v>9936</v>
      </c>
      <c r="AC4174" s="4" t="s">
        <v>10823</v>
      </c>
      <c r="AD4174" s="4" t="s">
        <v>10819</v>
      </c>
      <c r="AE4174" s="4" t="s">
        <v>10824</v>
      </c>
      <c r="AF4174" s="4" t="s">
        <v>2328</v>
      </c>
      <c r="AG4174" s="4" t="s">
        <v>10825</v>
      </c>
      <c r="AH4174" s="4" t="s">
        <v>9049</v>
      </c>
      <c r="AI4174" s="4" t="s">
        <v>10826</v>
      </c>
      <c r="AJ4174" s="4" t="s">
        <v>10827</v>
      </c>
      <c r="AK4174" s="4" t="s">
        <v>2345</v>
      </c>
      <c r="AL4174" s="4" t="s">
        <v>10819</v>
      </c>
      <c r="AM4174" s="4" t="s">
        <v>10828</v>
      </c>
      <c r="AN4174" s="4" t="s">
        <v>10829</v>
      </c>
      <c r="AO4174" s="4" t="s">
        <v>2328</v>
      </c>
      <c r="AP4174" s="4" t="s">
        <v>10830</v>
      </c>
      <c r="AQ4174" s="4" t="s">
        <v>10821</v>
      </c>
      <c r="AR4174" s="4" t="s">
        <v>9945</v>
      </c>
      <c r="AS4174" s="4" t="s">
        <v>10831</v>
      </c>
      <c r="AT4174" s="4" t="s">
        <v>10832</v>
      </c>
      <c r="AU4174" s="4" t="s">
        <v>10833</v>
      </c>
      <c r="AV4174" s="4" t="s">
        <v>10831</v>
      </c>
      <c r="AW4174" s="4" t="s">
        <v>10831</v>
      </c>
      <c r="AX4174" s="4" t="s">
        <v>2332</v>
      </c>
      <c r="AY4174" s="4" t="s">
        <v>10834</v>
      </c>
      <c r="AZ4174" s="4" t="s">
        <v>2332</v>
      </c>
      <c r="BA4174" s="4" t="s">
        <v>10835</v>
      </c>
      <c r="BB4174" s="4" t="s">
        <v>2328</v>
      </c>
      <c r="BC4174" s="4" t="s">
        <v>10836</v>
      </c>
      <c r="BD4174" s="4" t="s">
        <v>2332</v>
      </c>
    </row>
    <row r="4175">
      <c r="A4175" s="4">
        <v>377.0</v>
      </c>
      <c r="B4175" s="4" t="s">
        <v>9198</v>
      </c>
      <c r="C4175" s="4"/>
      <c r="D4175" s="4" t="s">
        <v>10837</v>
      </c>
      <c r="E4175" s="4" t="s">
        <v>10838</v>
      </c>
      <c r="F4175" s="4" t="s">
        <v>10837</v>
      </c>
      <c r="G4175" s="5" t="str">
        <f>IFERROR(__xludf.DUMMYFUNCTION("GOOGLETRANSLATE(D4175,""fi"",""es"")"),"el peor")</f>
        <v>el peor</v>
      </c>
      <c r="H4175" s="4" t="s">
        <v>7234</v>
      </c>
    </row>
    <row r="4176">
      <c r="A4176" s="4">
        <v>378.0</v>
      </c>
      <c r="B4176" s="4" t="s">
        <v>9198</v>
      </c>
      <c r="C4176" s="4"/>
      <c r="D4176" s="4" t="s">
        <v>10839</v>
      </c>
      <c r="E4176" s="4" t="s">
        <v>10840</v>
      </c>
      <c r="F4176" s="4" t="s">
        <v>10839</v>
      </c>
      <c r="G4176" s="5" t="str">
        <f>IFERROR(__xludf.DUMMYFUNCTION("GOOGLETRANSLATE(D4176,""fi"",""es"")"),"demonio")</f>
        <v>demonio</v>
      </c>
      <c r="H4176" s="4" t="s">
        <v>10841</v>
      </c>
      <c r="I4176" s="4" t="s">
        <v>1154</v>
      </c>
      <c r="J4176" s="4" t="s">
        <v>10842</v>
      </c>
    </row>
    <row r="4177">
      <c r="A4177" s="4">
        <v>379.0</v>
      </c>
      <c r="B4177" s="4" t="s">
        <v>9198</v>
      </c>
      <c r="C4177" s="4"/>
      <c r="D4177" s="4" t="s">
        <v>10843</v>
      </c>
      <c r="E4177" s="4" t="s">
        <v>10844</v>
      </c>
      <c r="F4177" s="4" t="s">
        <v>10845</v>
      </c>
      <c r="G4177" s="5" t="str">
        <f>IFERROR(__xludf.DUMMYFUNCTION("GOOGLETRANSLATE(D4177,""fi"",""es"")"),"herrería")</f>
        <v>herrería</v>
      </c>
      <c r="H4177" s="4" t="s">
        <v>10846</v>
      </c>
      <c r="I4177" s="4" t="s">
        <v>10847</v>
      </c>
      <c r="J4177" s="4" t="s">
        <v>8755</v>
      </c>
      <c r="K4177" s="4" t="s">
        <v>8753</v>
      </c>
    </row>
    <row r="4178">
      <c r="A4178" s="4">
        <v>380.0</v>
      </c>
      <c r="B4178" s="4" t="s">
        <v>9198</v>
      </c>
      <c r="C4178" s="4"/>
      <c r="D4178" s="4" t="s">
        <v>10848</v>
      </c>
      <c r="E4178" s="4" t="s">
        <v>10849</v>
      </c>
      <c r="F4178" s="4" t="s">
        <v>10850</v>
      </c>
      <c r="G4178" s="5" t="str">
        <f>IFERROR(__xludf.DUMMYFUNCTION("GOOGLETRANSLATE(D4178,""fi"",""es"")"),"tamborileo")</f>
        <v>tamborileo</v>
      </c>
    </row>
    <row r="4179">
      <c r="A4179" s="4">
        <v>381.0</v>
      </c>
      <c r="B4179" s="4" t="s">
        <v>9198</v>
      </c>
      <c r="C4179" s="4"/>
      <c r="D4179" s="4" t="s">
        <v>10851</v>
      </c>
      <c r="E4179" s="4" t="s">
        <v>10852</v>
      </c>
      <c r="F4179" s="4" t="s">
        <v>3160</v>
      </c>
      <c r="G4179" s="5" t="str">
        <f>IFERROR(__xludf.DUMMYFUNCTION("GOOGLETRANSLATE(D4179,""fi"",""es"")"),"sauce")</f>
        <v>sauce</v>
      </c>
      <c r="H4179" s="4" t="s">
        <v>10853</v>
      </c>
      <c r="I4179" s="4" t="s">
        <v>10854</v>
      </c>
      <c r="J4179" s="4" t="s">
        <v>10855</v>
      </c>
      <c r="K4179" s="4" t="s">
        <v>10856</v>
      </c>
      <c r="L4179" s="4" t="s">
        <v>10857</v>
      </c>
      <c r="M4179" s="4" t="s">
        <v>10858</v>
      </c>
      <c r="N4179" s="4" t="s">
        <v>10859</v>
      </c>
      <c r="O4179" s="4" t="s">
        <v>10860</v>
      </c>
      <c r="P4179" s="4" t="s">
        <v>10861</v>
      </c>
      <c r="Q4179" s="4" t="s">
        <v>10862</v>
      </c>
      <c r="R4179" s="4" t="s">
        <v>10863</v>
      </c>
      <c r="S4179" s="4" t="s">
        <v>10864</v>
      </c>
      <c r="T4179" s="4" t="s">
        <v>10865</v>
      </c>
      <c r="U4179" s="4" t="s">
        <v>10866</v>
      </c>
      <c r="V4179" s="4" t="s">
        <v>10867</v>
      </c>
      <c r="W4179" s="4" t="s">
        <v>10868</v>
      </c>
      <c r="X4179" s="4" t="s">
        <v>10869</v>
      </c>
      <c r="Y4179" s="4" t="s">
        <v>10870</v>
      </c>
      <c r="Z4179" s="4" t="s">
        <v>10871</v>
      </c>
      <c r="AA4179" s="4" t="s">
        <v>10872</v>
      </c>
      <c r="AB4179" s="4" t="s">
        <v>10873</v>
      </c>
      <c r="AC4179" s="4" t="s">
        <v>10874</v>
      </c>
      <c r="AD4179" s="4" t="s">
        <v>10861</v>
      </c>
      <c r="AE4179" s="4" t="s">
        <v>10875</v>
      </c>
    </row>
    <row r="4180">
      <c r="A4180" s="4">
        <v>382.0</v>
      </c>
      <c r="B4180" s="4" t="s">
        <v>9198</v>
      </c>
      <c r="C4180" s="4"/>
      <c r="D4180" s="4" t="s">
        <v>3156</v>
      </c>
      <c r="E4180" s="4" t="s">
        <v>10876</v>
      </c>
      <c r="F4180" s="4" t="s">
        <v>3156</v>
      </c>
      <c r="G4180" s="5" t="str">
        <f>IFERROR(__xludf.DUMMYFUNCTION("GOOGLETRANSLATE(D4180,""fi"",""es"")"),"pagano")</f>
        <v>pagano</v>
      </c>
      <c r="H4180" s="4" t="s">
        <v>10877</v>
      </c>
      <c r="I4180" s="4" t="s">
        <v>10878</v>
      </c>
      <c r="J4180" s="4" t="s">
        <v>10879</v>
      </c>
      <c r="K4180" s="4" t="s">
        <v>10880</v>
      </c>
      <c r="L4180" s="4" t="s">
        <v>10881</v>
      </c>
      <c r="M4180" s="4" t="s">
        <v>10882</v>
      </c>
      <c r="N4180" s="4" t="s">
        <v>10878</v>
      </c>
      <c r="O4180" s="4" t="s">
        <v>10883</v>
      </c>
      <c r="P4180" s="4" t="s">
        <v>10878</v>
      </c>
    </row>
    <row r="4181">
      <c r="A4181" s="4">
        <v>383.0</v>
      </c>
      <c r="B4181" s="4" t="s">
        <v>9198</v>
      </c>
      <c r="C4181" s="4"/>
      <c r="D4181" s="4" t="s">
        <v>10884</v>
      </c>
      <c r="E4181" s="4" t="s">
        <v>10885</v>
      </c>
      <c r="F4181" s="4" t="s">
        <v>10884</v>
      </c>
      <c r="G4181" s="5" t="str">
        <f>IFERROR(__xludf.DUMMYFUNCTION("GOOGLETRANSLATE(D4181,""fi"",""es"")"),"charla")</f>
        <v>charla</v>
      </c>
    </row>
    <row r="4182">
      <c r="A4182" s="4">
        <v>384.0</v>
      </c>
      <c r="B4182" s="4" t="s">
        <v>9198</v>
      </c>
      <c r="C4182" s="4"/>
      <c r="D4182" s="4" t="s">
        <v>10886</v>
      </c>
      <c r="E4182" s="4" t="s">
        <v>10887</v>
      </c>
      <c r="F4182" s="4" t="s">
        <v>10886</v>
      </c>
      <c r="G4182" s="5" t="str">
        <f>IFERROR(__xludf.DUMMYFUNCTION("GOOGLETRANSLATE(D4182,""fi"",""es"")"),"paquete")</f>
        <v>paquete</v>
      </c>
    </row>
    <row r="4183">
      <c r="A4183" s="4">
        <v>385.0</v>
      </c>
      <c r="B4183" s="4" t="s">
        <v>9198</v>
      </c>
      <c r="C4183" s="4"/>
      <c r="D4183" s="4" t="s">
        <v>3173</v>
      </c>
      <c r="E4183" s="4" t="s">
        <v>10888</v>
      </c>
      <c r="F4183" s="4" t="s">
        <v>3173</v>
      </c>
      <c r="G4183" s="5" t="str">
        <f>IFERROR(__xludf.DUMMYFUNCTION("GOOGLETRANSLATE(D4183,""fi"",""es"")"),"pieza")</f>
        <v>pieza</v>
      </c>
      <c r="H4183" s="4" t="s">
        <v>3500</v>
      </c>
      <c r="I4183" s="4" t="s">
        <v>7154</v>
      </c>
      <c r="J4183" s="4" t="s">
        <v>10889</v>
      </c>
      <c r="K4183" s="4" t="s">
        <v>2606</v>
      </c>
      <c r="L4183" s="4" t="s">
        <v>3434</v>
      </c>
      <c r="M4183" s="4" t="s">
        <v>2602</v>
      </c>
      <c r="N4183" s="4" t="s">
        <v>1250</v>
      </c>
      <c r="O4183" s="4" t="s">
        <v>10890</v>
      </c>
      <c r="P4183" s="4" t="s">
        <v>3486</v>
      </c>
      <c r="Q4183" s="4" t="s">
        <v>4281</v>
      </c>
      <c r="R4183" s="4" t="s">
        <v>10891</v>
      </c>
      <c r="S4183" s="4" t="s">
        <v>2602</v>
      </c>
      <c r="T4183" s="4" t="s">
        <v>2603</v>
      </c>
      <c r="U4183" s="4" t="s">
        <v>2604</v>
      </c>
      <c r="V4183" s="4" t="s">
        <v>2605</v>
      </c>
      <c r="W4183" s="4" t="s">
        <v>2606</v>
      </c>
      <c r="X4183" s="4" t="s">
        <v>10892</v>
      </c>
      <c r="Y4183" s="4" t="s">
        <v>10893</v>
      </c>
      <c r="Z4183" s="4" t="s">
        <v>10894</v>
      </c>
      <c r="AA4183" s="4" t="s">
        <v>3486</v>
      </c>
      <c r="AB4183" s="4" t="s">
        <v>4281</v>
      </c>
      <c r="AC4183" s="4" t="s">
        <v>3486</v>
      </c>
    </row>
    <row r="4184">
      <c r="A4184" s="4">
        <v>386.0</v>
      </c>
      <c r="B4184" s="4" t="s">
        <v>9198</v>
      </c>
      <c r="C4184" s="4"/>
      <c r="D4184" s="4" t="s">
        <v>10895</v>
      </c>
      <c r="E4184" s="4" t="s">
        <v>10896</v>
      </c>
      <c r="F4184" s="4" t="s">
        <v>10895</v>
      </c>
      <c r="G4184" s="5" t="str">
        <f>IFERROR(__xludf.DUMMYFUNCTION("GOOGLETRANSLATE(D4184,""fi"",""es"")"),"pieza")</f>
        <v>pieza</v>
      </c>
    </row>
    <row r="4185">
      <c r="A4185" s="4">
        <v>387.0</v>
      </c>
      <c r="B4185" s="4" t="s">
        <v>9198</v>
      </c>
      <c r="C4185" s="4"/>
      <c r="D4185" s="4" t="s">
        <v>3265</v>
      </c>
      <c r="E4185" s="4" t="s">
        <v>10897</v>
      </c>
      <c r="F4185" s="4" t="s">
        <v>3265</v>
      </c>
      <c r="G4185" s="5" t="str">
        <f>IFERROR(__xludf.DUMMYFUNCTION("GOOGLETRANSLATE(D4185,""fi"",""es"")"),"Panamá")</f>
        <v>Panamá</v>
      </c>
      <c r="H4185" s="4" t="s">
        <v>3268</v>
      </c>
      <c r="I4185" s="4" t="s">
        <v>3272</v>
      </c>
    </row>
    <row r="4186">
      <c r="A4186" s="4">
        <v>388.0</v>
      </c>
      <c r="B4186" s="4" t="s">
        <v>9198</v>
      </c>
      <c r="C4186" s="4"/>
      <c r="D4186" s="4" t="s">
        <v>10898</v>
      </c>
      <c r="E4186" s="4" t="s">
        <v>10899</v>
      </c>
      <c r="F4186" s="4" t="s">
        <v>10900</v>
      </c>
      <c r="G4186" s="5" t="str">
        <f>IFERROR(__xludf.DUMMYFUNCTION("GOOGLETRANSLATE(D4186,""fi"",""es"")"),"admirador")</f>
        <v>admirador</v>
      </c>
    </row>
    <row r="4187">
      <c r="A4187" s="4">
        <v>389.0</v>
      </c>
      <c r="B4187" s="4" t="s">
        <v>9198</v>
      </c>
      <c r="C4187" s="4"/>
      <c r="D4187" s="4" t="s">
        <v>10901</v>
      </c>
      <c r="E4187" s="4" t="s">
        <v>10902</v>
      </c>
      <c r="F4187" s="4" t="s">
        <v>10901</v>
      </c>
      <c r="G4187" s="5" t="str">
        <f>IFERROR(__xludf.DUMMYFUNCTION("GOOGLETRANSLATE(D4187,""fi"",""es"")"),"pani")</f>
        <v>pani</v>
      </c>
      <c r="H4187" s="4" t="s">
        <v>10903</v>
      </c>
    </row>
    <row r="4188">
      <c r="A4188" s="4">
        <v>390.0</v>
      </c>
      <c r="B4188" s="4" t="s">
        <v>9198</v>
      </c>
      <c r="C4188" s="4"/>
      <c r="D4188" s="4" t="s">
        <v>10904</v>
      </c>
      <c r="E4188" s="4" t="s">
        <v>10905</v>
      </c>
      <c r="F4188" s="4" t="s">
        <v>10904</v>
      </c>
      <c r="G4188" s="5" t="str">
        <f>IFERROR(__xludf.DUMMYFUNCTION("GOOGLETRANSLATE(D4188,""fi"",""es"")"),"pánico")</f>
        <v>pánico</v>
      </c>
    </row>
    <row r="4189">
      <c r="A4189" s="4">
        <v>391.0</v>
      </c>
      <c r="B4189" s="4" t="s">
        <v>9198</v>
      </c>
      <c r="C4189" s="4"/>
      <c r="D4189" s="4" t="s">
        <v>10906</v>
      </c>
      <c r="E4189" s="4" t="s">
        <v>10907</v>
      </c>
      <c r="F4189" s="4" t="s">
        <v>10906</v>
      </c>
      <c r="G4189" s="5" t="str">
        <f>IFERROR(__xludf.DUMMYFUNCTION("GOOGLETRANSLATE(D4189,""fi"",""es"")"),"algarabía")</f>
        <v>algarabía</v>
      </c>
      <c r="H4189" s="4" t="s">
        <v>10908</v>
      </c>
      <c r="I4189" s="4" t="s">
        <v>10909</v>
      </c>
      <c r="J4189" s="4" t="s">
        <v>10910</v>
      </c>
      <c r="K4189" s="4" t="s">
        <v>10911</v>
      </c>
      <c r="L4189" s="4" t="s">
        <v>10912</v>
      </c>
      <c r="M4189" s="4" t="s">
        <v>10913</v>
      </c>
      <c r="N4189" s="4" t="s">
        <v>10914</v>
      </c>
      <c r="O4189" s="4" t="s">
        <v>7978</v>
      </c>
      <c r="P4189" s="4" t="s">
        <v>10915</v>
      </c>
      <c r="Q4189" s="4" t="s">
        <v>9522</v>
      </c>
      <c r="R4189" s="4" t="s">
        <v>10916</v>
      </c>
      <c r="S4189" s="4" t="s">
        <v>10917</v>
      </c>
      <c r="T4189" s="4" t="s">
        <v>10918</v>
      </c>
      <c r="U4189" s="4" t="s">
        <v>10919</v>
      </c>
      <c r="V4189" s="4" t="s">
        <v>10920</v>
      </c>
      <c r="W4189" s="4" t="s">
        <v>10921</v>
      </c>
      <c r="X4189" s="4" t="s">
        <v>1871</v>
      </c>
      <c r="Y4189" s="4" t="s">
        <v>7969</v>
      </c>
      <c r="Z4189" s="4" t="s">
        <v>7970</v>
      </c>
      <c r="AA4189" s="4" t="s">
        <v>7971</v>
      </c>
      <c r="AB4189" s="4" t="s">
        <v>7972</v>
      </c>
    </row>
    <row r="4190">
      <c r="A4190" s="4">
        <v>392.0</v>
      </c>
      <c r="B4190" s="4" t="s">
        <v>9198</v>
      </c>
      <c r="C4190" s="4"/>
      <c r="D4190" s="4" t="s">
        <v>3323</v>
      </c>
      <c r="E4190" s="4" t="s">
        <v>10922</v>
      </c>
      <c r="F4190" s="4" t="s">
        <v>3323</v>
      </c>
      <c r="G4190" s="5" t="str">
        <f>IFERROR(__xludf.DUMMYFUNCTION("GOOGLETRANSLATE(D4190,""fi"",""es"")"),"frijol")</f>
        <v>frijol</v>
      </c>
      <c r="H4190" s="4" t="s">
        <v>5916</v>
      </c>
      <c r="I4190" s="4" t="s">
        <v>10923</v>
      </c>
      <c r="J4190" s="4" t="s">
        <v>10924</v>
      </c>
      <c r="K4190" s="4" t="s">
        <v>10925</v>
      </c>
      <c r="L4190" s="4" t="s">
        <v>10926</v>
      </c>
      <c r="M4190" s="4" t="s">
        <v>10927</v>
      </c>
      <c r="N4190" s="4" t="s">
        <v>10928</v>
      </c>
      <c r="O4190" s="4" t="s">
        <v>10929</v>
      </c>
      <c r="P4190" s="4" t="s">
        <v>10930</v>
      </c>
      <c r="Q4190" s="4" t="s">
        <v>10931</v>
      </c>
      <c r="R4190" s="4" t="s">
        <v>10932</v>
      </c>
      <c r="S4190" s="4" t="s">
        <v>10933</v>
      </c>
      <c r="T4190" s="4" t="s">
        <v>5916</v>
      </c>
      <c r="U4190" s="4" t="s">
        <v>10934</v>
      </c>
      <c r="V4190" s="4" t="s">
        <v>10927</v>
      </c>
      <c r="W4190" s="4" t="s">
        <v>10928</v>
      </c>
      <c r="X4190" s="4" t="s">
        <v>10935</v>
      </c>
      <c r="Y4190" s="4" t="s">
        <v>10936</v>
      </c>
      <c r="Z4190" s="4" t="s">
        <v>10937</v>
      </c>
      <c r="AA4190" s="4" t="s">
        <v>10938</v>
      </c>
      <c r="AB4190" s="4" t="s">
        <v>10939</v>
      </c>
      <c r="AC4190" s="4" t="s">
        <v>5916</v>
      </c>
    </row>
    <row r="4191">
      <c r="A4191" s="4">
        <v>393.0</v>
      </c>
      <c r="B4191" s="4" t="s">
        <v>9198</v>
      </c>
      <c r="C4191" s="4"/>
      <c r="D4191" s="4" t="s">
        <v>3361</v>
      </c>
      <c r="E4191" s="4" t="s">
        <v>10940</v>
      </c>
      <c r="F4191" s="4" t="s">
        <v>3361</v>
      </c>
      <c r="G4191" s="5" t="str">
        <f>IFERROR(__xludf.DUMMYFUNCTION("GOOGLETRANSLATE(D4191,""fi"",""es"")"),"PAS")</f>
        <v>PAS</v>
      </c>
      <c r="H4191" s="4" t="s">
        <v>3361</v>
      </c>
    </row>
    <row r="4192">
      <c r="A4192" s="4">
        <v>394.0</v>
      </c>
      <c r="B4192" s="4" t="s">
        <v>9198</v>
      </c>
      <c r="C4192" s="4"/>
      <c r="D4192" s="4" t="s">
        <v>8699</v>
      </c>
      <c r="E4192" s="4" t="s">
        <v>8698</v>
      </c>
      <c r="F4192" s="4" t="s">
        <v>8699</v>
      </c>
      <c r="G4192" s="5" t="str">
        <f>IFERROR(__xludf.DUMMYFUNCTION("GOOGLETRANSLATE(D4192,""fi"",""es"")"),"Pasta")</f>
        <v>Pasta</v>
      </c>
    </row>
    <row r="4193">
      <c r="A4193" s="4">
        <v>395.0</v>
      </c>
      <c r="B4193" s="4" t="s">
        <v>9198</v>
      </c>
      <c r="C4193" s="4"/>
      <c r="D4193" s="4" t="s">
        <v>10941</v>
      </c>
      <c r="E4193" s="4" t="s">
        <v>10942</v>
      </c>
      <c r="F4193" s="4" t="s">
        <v>10941</v>
      </c>
      <c r="G4193" s="5" t="str">
        <f>IFERROR(__xludf.DUMMYFUNCTION("GOOGLETRANSLATE(D4193,""fi"",""es"")"),"maceta")</f>
        <v>maceta</v>
      </c>
      <c r="H4193" s="4" t="s">
        <v>10943</v>
      </c>
      <c r="I4193" s="4" t="s">
        <v>10944</v>
      </c>
      <c r="J4193" s="4" t="s">
        <v>10945</v>
      </c>
      <c r="K4193" s="4" t="s">
        <v>10946</v>
      </c>
      <c r="L4193" s="4" t="s">
        <v>10947</v>
      </c>
      <c r="M4193" s="4" t="s">
        <v>10948</v>
      </c>
      <c r="N4193" s="4" t="s">
        <v>10949</v>
      </c>
      <c r="O4193" s="4" t="s">
        <v>1752</v>
      </c>
      <c r="P4193" s="4" t="s">
        <v>8226</v>
      </c>
      <c r="Q4193" s="4" t="s">
        <v>10950</v>
      </c>
      <c r="R4193" s="4" t="s">
        <v>10951</v>
      </c>
    </row>
    <row r="4194">
      <c r="A4194" s="4">
        <v>396.0</v>
      </c>
      <c r="B4194" s="4" t="s">
        <v>9198</v>
      </c>
      <c r="C4194" s="4"/>
      <c r="D4194" s="4" t="s">
        <v>10952</v>
      </c>
      <c r="E4194" s="4" t="s">
        <v>10953</v>
      </c>
      <c r="F4194" s="4" t="s">
        <v>10952</v>
      </c>
      <c r="G4194" s="5" t="str">
        <f>IFERROR(__xludf.DUMMYFUNCTION("GOOGLETRANSLATE(D4194,""fi"",""es"")"),"montón")</f>
        <v>montón</v>
      </c>
    </row>
    <row r="4195">
      <c r="A4195" s="4">
        <v>397.0</v>
      </c>
      <c r="B4195" s="4" t="s">
        <v>9198</v>
      </c>
      <c r="C4195" s="4"/>
      <c r="D4195" s="4" t="s">
        <v>3442</v>
      </c>
      <c r="E4195" s="4" t="s">
        <v>10954</v>
      </c>
      <c r="F4195" s="4" t="s">
        <v>3442</v>
      </c>
      <c r="G4195" s="5" t="str">
        <f>IFERROR(__xludf.DUMMYFUNCTION("GOOGLETRANSLATE(D4195,""fi"",""es"")"),"pati")</f>
        <v>pati</v>
      </c>
    </row>
    <row r="4196">
      <c r="A4196" s="4">
        <v>398.0</v>
      </c>
      <c r="B4196" s="4" t="s">
        <v>9198</v>
      </c>
      <c r="C4196" s="4"/>
      <c r="D4196" s="4" t="s">
        <v>10955</v>
      </c>
      <c r="E4196" s="4" t="s">
        <v>10956</v>
      </c>
      <c r="F4196" s="4" t="s">
        <v>10955</v>
      </c>
      <c r="G4196" s="5" t="str">
        <f>IFERROR(__xludf.DUMMYFUNCTION("GOOGLETRANSLATE(D4196,""fi"",""es"")"),"yarda")</f>
        <v>yarda</v>
      </c>
      <c r="H4196" s="4" t="s">
        <v>3444</v>
      </c>
      <c r="I4196" s="4" t="s">
        <v>3445</v>
      </c>
      <c r="J4196" s="4" t="s">
        <v>2634</v>
      </c>
      <c r="K4196" s="4" t="s">
        <v>4877</v>
      </c>
      <c r="L4196" s="4" t="s">
        <v>4878</v>
      </c>
    </row>
    <row r="4197">
      <c r="A4197" s="4">
        <v>399.0</v>
      </c>
      <c r="B4197" s="4" t="s">
        <v>9198</v>
      </c>
      <c r="C4197" s="4"/>
      <c r="D4197" s="4" t="s">
        <v>10957</v>
      </c>
      <c r="E4197" s="4" t="s">
        <v>10958</v>
      </c>
      <c r="F4197" s="4" t="s">
        <v>10957</v>
      </c>
      <c r="G4197" s="5" t="str">
        <f>IFERROR(__xludf.DUMMYFUNCTION("GOOGLETRANSLATE(D4197,""fi"",""es"")"),"tacaño")</f>
        <v>tacaño</v>
      </c>
      <c r="H4197" s="4" t="s">
        <v>10959</v>
      </c>
      <c r="I4197" s="4" t="s">
        <v>10310</v>
      </c>
      <c r="J4197" s="4" t="s">
        <v>10308</v>
      </c>
      <c r="K4197" s="4" t="s">
        <v>10960</v>
      </c>
      <c r="L4197" s="4" t="s">
        <v>10961</v>
      </c>
      <c r="M4197" s="4" t="s">
        <v>10962</v>
      </c>
      <c r="N4197" s="4" t="s">
        <v>10963</v>
      </c>
      <c r="O4197" s="4" t="s">
        <v>10964</v>
      </c>
    </row>
    <row r="4198">
      <c r="A4198" s="4">
        <v>400.0</v>
      </c>
      <c r="B4198" s="4" t="s">
        <v>9198</v>
      </c>
      <c r="C4198" s="4"/>
      <c r="D4198" s="4" t="s">
        <v>10965</v>
      </c>
      <c r="E4198" s="4" t="s">
        <v>10966</v>
      </c>
      <c r="F4198" s="4" t="s">
        <v>10967</v>
      </c>
      <c r="G4198" s="5" t="str">
        <f>IFERROR(__xludf.DUMMYFUNCTION("GOOGLETRANSLATE(D4198,""fi"",""es"")"),"efervescencia")</f>
        <v>efervescencia</v>
      </c>
      <c r="H4198" s="4" t="s">
        <v>7502</v>
      </c>
      <c r="I4198" s="4" t="s">
        <v>10026</v>
      </c>
      <c r="J4198" s="4" t="s">
        <v>10027</v>
      </c>
    </row>
    <row r="4199">
      <c r="A4199" s="4">
        <v>401.0</v>
      </c>
      <c r="B4199" s="4" t="s">
        <v>9198</v>
      </c>
      <c r="C4199" s="4"/>
      <c r="D4199" s="4" t="s">
        <v>236</v>
      </c>
      <c r="E4199" s="4" t="s">
        <v>10968</v>
      </c>
      <c r="F4199" s="4" t="s">
        <v>236</v>
      </c>
      <c r="G4199" s="5" t="str">
        <f>IFERROR(__xludf.DUMMYFUNCTION("GOOGLETRANSLATE(D4199,""fi"",""es"")"),"instante")</f>
        <v>instante</v>
      </c>
    </row>
    <row r="4200">
      <c r="A4200" s="4">
        <v>402.0</v>
      </c>
      <c r="B4200" s="4" t="s">
        <v>9198</v>
      </c>
      <c r="C4200" s="4"/>
      <c r="D4200" s="4" t="s">
        <v>10969</v>
      </c>
      <c r="E4200" s="4" t="s">
        <v>10970</v>
      </c>
      <c r="F4200" s="4" t="s">
        <v>10969</v>
      </c>
      <c r="G4200" s="5" t="str">
        <f>IFERROR(__xludf.DUMMYFUNCTION("GOOGLETRANSLATE(D4200,""fi"",""es"")"),"búsqueda")</f>
        <v>búsqueda</v>
      </c>
    </row>
    <row r="4201">
      <c r="A4201" s="4">
        <v>403.0</v>
      </c>
      <c r="B4201" s="4" t="s">
        <v>9198</v>
      </c>
      <c r="C4201" s="4"/>
      <c r="D4201" s="4" t="s">
        <v>10971</v>
      </c>
      <c r="E4201" s="4" t="s">
        <v>10972</v>
      </c>
      <c r="F4201" s="4" t="s">
        <v>10971</v>
      </c>
      <c r="G4201" s="5" t="str">
        <f>IFERROR(__xludf.DUMMYFUNCTION("GOOGLETRANSLATE(D4201,""fi"",""es"")"),"prontamente")</f>
        <v>prontamente</v>
      </c>
    </row>
    <row r="4202">
      <c r="A4202" s="4">
        <v>404.0</v>
      </c>
      <c r="B4202" s="4" t="s">
        <v>9198</v>
      </c>
      <c r="C4202" s="4"/>
      <c r="D4202" s="4" t="s">
        <v>7175</v>
      </c>
      <c r="E4202" s="4" t="s">
        <v>10973</v>
      </c>
      <c r="F4202" s="4" t="s">
        <v>7175</v>
      </c>
      <c r="G4202" s="5" t="str">
        <f>IFERROR(__xludf.DUMMYFUNCTION("GOOGLETRANSLATE(D4202,""fi"",""es"")"),"tono")</f>
        <v>tono</v>
      </c>
      <c r="H4202" s="4" t="s">
        <v>10974</v>
      </c>
      <c r="I4202" s="4" t="s">
        <v>2509</v>
      </c>
    </row>
    <row r="4203">
      <c r="A4203" s="4">
        <v>405.0</v>
      </c>
      <c r="B4203" s="4" t="s">
        <v>9198</v>
      </c>
      <c r="C4203" s="4"/>
      <c r="D4203" s="4" t="s">
        <v>3519</v>
      </c>
      <c r="E4203" s="4" t="s">
        <v>10975</v>
      </c>
      <c r="F4203" s="4" t="s">
        <v>3519</v>
      </c>
      <c r="G4203" s="5" t="str">
        <f>IFERROR(__xludf.DUMMYFUNCTION("GOOGLETRANSLATE(D4203,""fi"",""es"")"),"broma")</f>
        <v>broma</v>
      </c>
      <c r="H4203" s="4" t="s">
        <v>10976</v>
      </c>
      <c r="I4203" s="4" t="s">
        <v>10977</v>
      </c>
      <c r="J4203" s="4" t="s">
        <v>10978</v>
      </c>
      <c r="K4203" s="4" t="s">
        <v>10979</v>
      </c>
      <c r="L4203" s="4" t="s">
        <v>10980</v>
      </c>
      <c r="M4203" s="4" t="s">
        <v>10981</v>
      </c>
      <c r="N4203" s="4" t="s">
        <v>10982</v>
      </c>
      <c r="O4203" s="4" t="s">
        <v>10983</v>
      </c>
      <c r="P4203" s="4" t="s">
        <v>10984</v>
      </c>
      <c r="Q4203" s="4" t="s">
        <v>10979</v>
      </c>
      <c r="R4203" s="4" t="s">
        <v>10979</v>
      </c>
      <c r="S4203" s="4" t="s">
        <v>10985</v>
      </c>
      <c r="T4203" s="4" t="s">
        <v>10986</v>
      </c>
      <c r="U4203" s="4" t="s">
        <v>10978</v>
      </c>
      <c r="V4203" s="4" t="s">
        <v>10987</v>
      </c>
      <c r="W4203" s="4" t="s">
        <v>10988</v>
      </c>
      <c r="X4203" s="4" t="s">
        <v>3994</v>
      </c>
      <c r="Y4203" s="4" t="s">
        <v>10989</v>
      </c>
    </row>
    <row r="4204">
      <c r="A4204" s="4">
        <v>406.0</v>
      </c>
      <c r="B4204" s="4" t="s">
        <v>9198</v>
      </c>
      <c r="C4204" s="4"/>
      <c r="D4204" s="4" t="s">
        <v>10990</v>
      </c>
      <c r="E4204" s="4" t="s">
        <v>10991</v>
      </c>
      <c r="F4204" s="4" t="s">
        <v>10990</v>
      </c>
      <c r="G4204" s="5" t="str">
        <f>IFERROR(__xludf.DUMMYFUNCTION("GOOGLETRANSLATE(D4204,""fi"",""es"")"),"pedazo de bienes")</f>
        <v>pedazo de bienes</v>
      </c>
    </row>
    <row r="4205">
      <c r="A4205" s="4">
        <v>407.0</v>
      </c>
      <c r="B4205" s="4" t="s">
        <v>9198</v>
      </c>
      <c r="C4205" s="4"/>
      <c r="D4205" s="4" t="s">
        <v>10992</v>
      </c>
      <c r="E4205" s="4" t="s">
        <v>10993</v>
      </c>
      <c r="F4205" s="4" t="s">
        <v>10992</v>
      </c>
      <c r="G4205" s="5" t="str">
        <f>IFERROR(__xludf.DUMMYFUNCTION("GOOGLETRANSLATE(D4205,""fi"",""es"")"),"peca")</f>
        <v>peca</v>
      </c>
      <c r="H4205" s="4" t="s">
        <v>10994</v>
      </c>
      <c r="I4205" s="4" t="s">
        <v>10995</v>
      </c>
    </row>
    <row r="4206">
      <c r="A4206" s="4">
        <v>408.0</v>
      </c>
      <c r="B4206" s="4" t="s">
        <v>9198</v>
      </c>
      <c r="C4206" s="4"/>
      <c r="D4206" s="4" t="s">
        <v>10996</v>
      </c>
      <c r="E4206" s="4" t="s">
        <v>10997</v>
      </c>
      <c r="F4206" s="4" t="s">
        <v>10998</v>
      </c>
      <c r="G4206" s="5" t="str">
        <f>IFERROR(__xludf.DUMMYFUNCTION("GOOGLETRANSLATE(D4206,""fi"",""es"")"),"picadura")</f>
        <v>picadura</v>
      </c>
    </row>
    <row r="4207">
      <c r="A4207" s="4">
        <v>409.0</v>
      </c>
      <c r="B4207" s="4" t="s">
        <v>9198</v>
      </c>
      <c r="C4207" s="4"/>
      <c r="D4207" s="4" t="s">
        <v>10999</v>
      </c>
      <c r="E4207" s="4" t="s">
        <v>11000</v>
      </c>
      <c r="F4207" s="4" t="s">
        <v>10999</v>
      </c>
      <c r="G4207" s="5" t="str">
        <f>IFERROR(__xludf.DUMMYFUNCTION("GOOGLETRANSLATE(D4207,""fi"",""es"")"),"el más largo")</f>
        <v>el más largo</v>
      </c>
    </row>
    <row r="4208">
      <c r="A4208" s="4">
        <v>410.0</v>
      </c>
      <c r="B4208" s="4" t="s">
        <v>9198</v>
      </c>
      <c r="C4208" s="4"/>
      <c r="D4208" s="4" t="s">
        <v>11001</v>
      </c>
      <c r="E4208" s="4" t="s">
        <v>11002</v>
      </c>
      <c r="F4208" s="4" t="s">
        <v>11001</v>
      </c>
      <c r="G4208" s="5" t="str">
        <f>IFERROR(__xludf.DUMMYFUNCTION("GOOGLETRANSLATE(D4208,""fi"",""es"")"),"flácido")</f>
        <v>flácido</v>
      </c>
      <c r="H4208" s="4" t="s">
        <v>7241</v>
      </c>
      <c r="I4208" s="4" t="s">
        <v>7239</v>
      </c>
      <c r="J4208" s="4" t="s">
        <v>7242</v>
      </c>
      <c r="K4208" s="4" t="s">
        <v>7243</v>
      </c>
      <c r="L4208" s="4" t="s">
        <v>7244</v>
      </c>
      <c r="M4208" s="4" t="s">
        <v>7245</v>
      </c>
    </row>
    <row r="4209">
      <c r="A4209" s="4">
        <v>411.0</v>
      </c>
      <c r="B4209" s="4" t="s">
        <v>9198</v>
      </c>
      <c r="C4209" s="4"/>
      <c r="D4209" s="4" t="s">
        <v>11003</v>
      </c>
      <c r="E4209" s="4" t="s">
        <v>11004</v>
      </c>
      <c r="F4209" s="4" t="s">
        <v>11003</v>
      </c>
      <c r="G4209" s="5" t="str">
        <f>IFERROR(__xludf.DUMMYFUNCTION("GOOGLETRANSLATE(D4209,""fi"",""es"")"),"pitali")</f>
        <v>pitali</v>
      </c>
    </row>
    <row r="4210">
      <c r="A4210" s="4">
        <v>412.0</v>
      </c>
      <c r="B4210" s="4" t="s">
        <v>9198</v>
      </c>
      <c r="C4210" s="4"/>
      <c r="D4210" s="4" t="s">
        <v>7278</v>
      </c>
      <c r="E4210" s="4" t="s">
        <v>11005</v>
      </c>
      <c r="F4210" s="4" t="s">
        <v>7278</v>
      </c>
      <c r="G4210" s="5" t="str">
        <f>IFERROR(__xludf.DUMMYFUNCTION("GOOGLETRANSLATE(D4210,""fi"",""es"")"),"mantuvo")</f>
        <v>mantuvo</v>
      </c>
    </row>
    <row r="4211">
      <c r="A4211" s="4">
        <v>413.0</v>
      </c>
      <c r="B4211" s="4" t="s">
        <v>9198</v>
      </c>
      <c r="C4211" s="4"/>
      <c r="D4211" s="4" t="s">
        <v>11006</v>
      </c>
      <c r="E4211" s="4" t="s">
        <v>11007</v>
      </c>
      <c r="F4211" s="4" t="s">
        <v>11006</v>
      </c>
      <c r="G4211" s="5" t="str">
        <f>IFERROR(__xludf.DUMMYFUNCTION("GOOGLETRANSLATE(D4211,""fi"",""es"")"),"bulto")</f>
        <v>bulto</v>
      </c>
    </row>
    <row r="4212">
      <c r="A4212" s="4">
        <v>414.0</v>
      </c>
      <c r="B4212" s="4" t="s">
        <v>9198</v>
      </c>
      <c r="C4212" s="4"/>
      <c r="D4212" s="4" t="s">
        <v>11008</v>
      </c>
      <c r="E4212" s="4" t="s">
        <v>11009</v>
      </c>
      <c r="F4212" s="4" t="s">
        <v>11008</v>
      </c>
      <c r="G4212" s="5" t="str">
        <f>IFERROR(__xludf.DUMMYFUNCTION("GOOGLETRANSLATE(D4212,""fi"",""es"")"),"traje")</f>
        <v>traje</v>
      </c>
      <c r="H4212" s="4" t="s">
        <v>11008</v>
      </c>
      <c r="I4212" s="4" t="s">
        <v>11010</v>
      </c>
      <c r="J4212" s="4" t="s">
        <v>11011</v>
      </c>
      <c r="K4212" s="4" t="s">
        <v>11012</v>
      </c>
      <c r="L4212" s="4" t="s">
        <v>9351</v>
      </c>
      <c r="M4212" s="4" t="s">
        <v>11013</v>
      </c>
      <c r="N4212" s="4" t="s">
        <v>9349</v>
      </c>
      <c r="O4212" s="4" t="s">
        <v>9350</v>
      </c>
      <c r="P4212" s="4" t="s">
        <v>9351</v>
      </c>
      <c r="Q4212" s="4" t="s">
        <v>11014</v>
      </c>
      <c r="R4212" s="4" t="s">
        <v>9352</v>
      </c>
      <c r="S4212" s="4" t="s">
        <v>9353</v>
      </c>
      <c r="T4212" s="4" t="s">
        <v>9354</v>
      </c>
      <c r="U4212" s="4" t="s">
        <v>4797</v>
      </c>
      <c r="V4212" s="4" t="s">
        <v>9355</v>
      </c>
      <c r="W4212" s="4" t="s">
        <v>9356</v>
      </c>
      <c r="X4212" s="4" t="s">
        <v>11015</v>
      </c>
      <c r="Y4212" s="4" t="s">
        <v>11015</v>
      </c>
      <c r="Z4212" s="4" t="s">
        <v>11015</v>
      </c>
      <c r="AA4212" s="4" t="s">
        <v>11015</v>
      </c>
      <c r="AB4212" s="4" t="s">
        <v>11016</v>
      </c>
      <c r="AC4212" s="4" t="s">
        <v>11017</v>
      </c>
    </row>
    <row r="4213">
      <c r="A4213" s="4">
        <v>415.0</v>
      </c>
      <c r="B4213" s="4" t="s">
        <v>9198</v>
      </c>
      <c r="C4213" s="4"/>
      <c r="D4213" s="4" t="s">
        <v>3616</v>
      </c>
      <c r="E4213" s="4" t="s">
        <v>3615</v>
      </c>
      <c r="F4213" s="4" t="s">
        <v>3616</v>
      </c>
      <c r="G4213" s="5" t="str">
        <f>IFERROR(__xludf.DUMMYFUNCTION("GOOGLETRANSLATE(D4213,""fi"",""es"")"),"Corte de equipo")</f>
        <v>Corte de equipo</v>
      </c>
    </row>
    <row r="4214">
      <c r="A4214" s="4">
        <v>416.0</v>
      </c>
      <c r="B4214" s="4" t="s">
        <v>9198</v>
      </c>
      <c r="C4214" s="4"/>
      <c r="D4214" s="4" t="s">
        <v>11018</v>
      </c>
      <c r="E4214" s="4" t="s">
        <v>11019</v>
      </c>
      <c r="F4214" s="4" t="s">
        <v>11018</v>
      </c>
      <c r="G4214" s="5" t="str">
        <f>IFERROR(__xludf.DUMMYFUNCTION("GOOGLETRANSLATE(D4214,""fi"",""es"")"),"miel")</f>
        <v>miel</v>
      </c>
      <c r="H4214" s="4" t="s">
        <v>11020</v>
      </c>
      <c r="I4214" s="4" t="s">
        <v>11021</v>
      </c>
      <c r="J4214" s="4" t="s">
        <v>11022</v>
      </c>
      <c r="K4214" s="4" t="s">
        <v>11023</v>
      </c>
      <c r="L4214" s="4" t="s">
        <v>11024</v>
      </c>
      <c r="M4214" s="4" t="s">
        <v>11025</v>
      </c>
    </row>
    <row r="4215">
      <c r="A4215" s="4">
        <v>417.0</v>
      </c>
      <c r="B4215" s="4" t="s">
        <v>9198</v>
      </c>
      <c r="C4215" s="4"/>
      <c r="D4215" s="4" t="s">
        <v>11026</v>
      </c>
      <c r="E4215" s="4" t="s">
        <v>11027</v>
      </c>
      <c r="F4215" s="4" t="s">
        <v>11026</v>
      </c>
      <c r="G4215" s="5" t="str">
        <f>IFERROR(__xludf.DUMMYFUNCTION("GOOGLETRANSLATE(D4215,""fi"",""es"")"),"pumi")</f>
        <v>pumi</v>
      </c>
    </row>
    <row r="4216">
      <c r="A4216" s="4">
        <v>418.0</v>
      </c>
      <c r="B4216" s="4" t="s">
        <v>9198</v>
      </c>
      <c r="C4216" s="4"/>
      <c r="D4216" s="4" t="s">
        <v>11028</v>
      </c>
      <c r="E4216" s="4" t="s">
        <v>11029</v>
      </c>
      <c r="F4216" s="4" t="s">
        <v>11028</v>
      </c>
      <c r="G4216" s="5" t="str">
        <f>IFERROR(__xludf.DUMMYFUNCTION("GOOGLETRANSLATE(D4216,""fi"",""es"")"),"rojo")</f>
        <v>rojo</v>
      </c>
      <c r="H4216" s="4" t="s">
        <v>11030</v>
      </c>
      <c r="I4216" s="4" t="s">
        <v>11031</v>
      </c>
      <c r="J4216" s="4" t="s">
        <v>11032</v>
      </c>
      <c r="K4216" s="4" t="s">
        <v>11033</v>
      </c>
      <c r="L4216" s="4" t="s">
        <v>6406</v>
      </c>
      <c r="M4216" s="4" t="s">
        <v>11031</v>
      </c>
    </row>
    <row r="4217">
      <c r="A4217" s="4">
        <v>419.0</v>
      </c>
      <c r="B4217" s="4" t="s">
        <v>9198</v>
      </c>
      <c r="C4217" s="4"/>
      <c r="D4217" s="4" t="s">
        <v>11034</v>
      </c>
      <c r="E4217" s="4" t="s">
        <v>11035</v>
      </c>
      <c r="F4217" s="4" t="s">
        <v>11034</v>
      </c>
      <c r="G4217" s="5" t="str">
        <f>IFERROR(__xludf.DUMMYFUNCTION("GOOGLETRANSLATE(D4217,""fi"",""es"")"),"frijol rojo")</f>
        <v>frijol rojo</v>
      </c>
    </row>
    <row r="4218">
      <c r="A4218" s="4">
        <v>420.0</v>
      </c>
      <c r="B4218" s="4" t="s">
        <v>9198</v>
      </c>
      <c r="C4218" s="4"/>
      <c r="D4218" s="4" t="s">
        <v>11036</v>
      </c>
      <c r="E4218" s="4" t="s">
        <v>11037</v>
      </c>
      <c r="F4218" s="4" t="s">
        <v>11036</v>
      </c>
      <c r="G4218" s="5" t="str">
        <f>IFERROR(__xludf.DUMMYFUNCTION("GOOGLETRANSLATE(D4218,""fi"",""es"")"),"cebolla roja")</f>
        <v>cebolla roja</v>
      </c>
      <c r="H4218" s="4" t="s">
        <v>11038</v>
      </c>
      <c r="I4218" s="4" t="s">
        <v>11039</v>
      </c>
    </row>
    <row r="4219">
      <c r="A4219" s="4">
        <v>421.0</v>
      </c>
      <c r="B4219" s="4" t="s">
        <v>9198</v>
      </c>
      <c r="C4219" s="4"/>
      <c r="D4219" s="4" t="s">
        <v>11040</v>
      </c>
      <c r="E4219" s="4" t="s">
        <v>11041</v>
      </c>
      <c r="F4219" s="4" t="s">
        <v>11040</v>
      </c>
      <c r="G4219" s="5" t="str">
        <f>IFERROR(__xludf.DUMMYFUNCTION("GOOGLETRANSLATE(D4219,""fi"",""es"")"),"conejito")</f>
        <v>conejito</v>
      </c>
      <c r="H4219" s="4" t="s">
        <v>11042</v>
      </c>
      <c r="I4219" s="4" t="s">
        <v>11043</v>
      </c>
    </row>
    <row r="4220">
      <c r="A4220" s="4">
        <v>422.0</v>
      </c>
      <c r="B4220" s="4" t="s">
        <v>9198</v>
      </c>
      <c r="C4220" s="4"/>
      <c r="D4220" s="4" t="s">
        <v>11044</v>
      </c>
      <c r="E4220" s="4" t="s">
        <v>11045</v>
      </c>
      <c r="F4220" s="4" t="s">
        <v>11044</v>
      </c>
      <c r="G4220" s="5" t="str">
        <f>IFERROR(__xludf.DUMMYFUNCTION("GOOGLETRANSLATE(D4220,""fi"",""es"")"),"Beso")</f>
        <v>Beso</v>
      </c>
      <c r="H4220" s="4" t="s">
        <v>6467</v>
      </c>
      <c r="I4220" s="4" t="s">
        <v>6470</v>
      </c>
      <c r="J4220" s="4" t="s">
        <v>6471</v>
      </c>
      <c r="K4220" s="4" t="s">
        <v>7005</v>
      </c>
      <c r="L4220" s="4" t="s">
        <v>11046</v>
      </c>
      <c r="M4220" s="4" t="s">
        <v>6467</v>
      </c>
      <c r="N4220" s="4" t="s">
        <v>6472</v>
      </c>
    </row>
    <row r="4221">
      <c r="A4221" s="4">
        <v>423.0</v>
      </c>
      <c r="B4221" s="4" t="s">
        <v>9198</v>
      </c>
      <c r="C4221" s="4"/>
      <c r="D4221" s="4" t="s">
        <v>11047</v>
      </c>
      <c r="E4221" s="4" t="s">
        <v>11048</v>
      </c>
      <c r="F4221" s="4" t="s">
        <v>11047</v>
      </c>
      <c r="G4221" s="5" t="str">
        <f>IFERROR(__xludf.DUMMYFUNCTION("GOOGLETRANSLATE(D4221,""fi"",""es"")"),"mermelada")</f>
        <v>mermelada</v>
      </c>
    </row>
    <row r="4222">
      <c r="A4222" s="4">
        <v>424.0</v>
      </c>
      <c r="B4222" s="4" t="s">
        <v>9198</v>
      </c>
      <c r="C4222" s="4"/>
      <c r="D4222" s="4" t="s">
        <v>11049</v>
      </c>
      <c r="E4222" s="4" t="s">
        <v>11050</v>
      </c>
      <c r="F4222" s="4" t="s">
        <v>11049</v>
      </c>
      <c r="G4222" s="5" t="str">
        <f>IFERROR(__xludf.DUMMYFUNCTION("GOOGLETRANSLATE(D4222,""fi"",""es"")"),"golpe corto")</f>
        <v>golpe corto</v>
      </c>
    </row>
    <row r="4223">
      <c r="A4223" s="4">
        <v>425.0</v>
      </c>
      <c r="B4223" s="4" t="s">
        <v>9198</v>
      </c>
      <c r="C4223" s="4"/>
      <c r="D4223" s="4" t="s">
        <v>11051</v>
      </c>
      <c r="E4223" s="4" t="s">
        <v>11052</v>
      </c>
      <c r="F4223" s="4" t="s">
        <v>11051</v>
      </c>
      <c r="G4223" s="5" t="str">
        <f>IFERROR(__xludf.DUMMYFUNCTION("GOOGLETRANSLATE(D4223,""fi"",""es"")"),"soplo")</f>
        <v>soplo</v>
      </c>
    </row>
    <row r="4224">
      <c r="A4224" s="4">
        <v>426.0</v>
      </c>
      <c r="B4224" s="4" t="s">
        <v>9198</v>
      </c>
      <c r="C4224" s="4"/>
      <c r="D4224" s="4" t="s">
        <v>11053</v>
      </c>
      <c r="E4224" s="4" t="s">
        <v>11054</v>
      </c>
      <c r="F4224" s="4" t="s">
        <v>11055</v>
      </c>
      <c r="G4224" s="5" t="str">
        <f>IFERROR(__xludf.DUMMYFUNCTION("GOOGLETRANSLATE(D4224,""fi"",""es"")"),"varilla")</f>
        <v>varilla</v>
      </c>
    </row>
    <row r="4225">
      <c r="A4225" s="4">
        <v>427.0</v>
      </c>
      <c r="B4225" s="4" t="s">
        <v>9198</v>
      </c>
      <c r="C4225" s="4"/>
      <c r="D4225" s="4" t="s">
        <v>11056</v>
      </c>
      <c r="E4225" s="4" t="s">
        <v>11057</v>
      </c>
      <c r="F4225" s="4" t="s">
        <v>11058</v>
      </c>
      <c r="G4225" s="5" t="str">
        <f>IFERROR(__xludf.DUMMYFUNCTION("GOOGLETRANSLATE(D4225,""fi"",""es"")"),"cima")</f>
        <v>cima</v>
      </c>
    </row>
    <row r="4226">
      <c r="A4226" s="4">
        <v>428.0</v>
      </c>
      <c r="B4226" s="4" t="s">
        <v>9198</v>
      </c>
      <c r="C4226" s="4"/>
      <c r="D4226" s="4" t="s">
        <v>3861</v>
      </c>
      <c r="E4226" s="4" t="s">
        <v>11059</v>
      </c>
      <c r="F4226" s="4" t="s">
        <v>3861</v>
      </c>
      <c r="G4226" s="5" t="str">
        <f>IFERROR(__xludf.DUMMYFUNCTION("GOOGLETRANSLATE(D4226,""fi"",""es"")"),"tú")</f>
        <v>tú</v>
      </c>
      <c r="H4226" s="4" t="s">
        <v>11060</v>
      </c>
      <c r="I4226" s="4" t="s">
        <v>11061</v>
      </c>
      <c r="J4226" s="4" t="s">
        <v>11062</v>
      </c>
    </row>
    <row r="4227">
      <c r="A4227" s="4">
        <v>429.0</v>
      </c>
      <c r="B4227" s="4" t="s">
        <v>9198</v>
      </c>
      <c r="C4227" s="4"/>
      <c r="D4227" s="4" t="s">
        <v>11063</v>
      </c>
      <c r="E4227" s="4" t="s">
        <v>11064</v>
      </c>
      <c r="F4227" s="4" t="s">
        <v>11063</v>
      </c>
      <c r="G4227" s="5" t="str">
        <f>IFERROR(__xludf.DUMMYFUNCTION("GOOGLETRANSLATE(D4227,""fi"",""es"")"),"sierra")</f>
        <v>sierra</v>
      </c>
      <c r="H4227" s="4" t="s">
        <v>11065</v>
      </c>
      <c r="I4227" s="4" t="s">
        <v>11066</v>
      </c>
      <c r="J4227" s="4" t="s">
        <v>11067</v>
      </c>
      <c r="K4227" s="4" t="s">
        <v>11066</v>
      </c>
    </row>
    <row r="4228">
      <c r="A4228" s="4">
        <v>430.0</v>
      </c>
      <c r="B4228" s="4" t="s">
        <v>9198</v>
      </c>
      <c r="C4228" s="4"/>
      <c r="D4228" s="4" t="s">
        <v>11068</v>
      </c>
      <c r="E4228" s="4" t="s">
        <v>11069</v>
      </c>
      <c r="F4228" s="4" t="s">
        <v>11068</v>
      </c>
      <c r="G4228" s="5" t="str">
        <f>IFERROR(__xludf.DUMMYFUNCTION("GOOGLETRANSLATE(D4228,""fi"",""es"")"),"serrín")</f>
        <v>serrín</v>
      </c>
    </row>
    <row r="4229">
      <c r="A4229" s="4">
        <v>431.0</v>
      </c>
      <c r="B4229" s="4" t="s">
        <v>9198</v>
      </c>
      <c r="C4229" s="4"/>
      <c r="D4229" s="4" t="s">
        <v>11070</v>
      </c>
      <c r="E4229" s="4" t="s">
        <v>11071</v>
      </c>
      <c r="F4229" s="4" t="s">
        <v>11070</v>
      </c>
      <c r="G4229" s="5" t="str">
        <f>IFERROR(__xludf.DUMMYFUNCTION("GOOGLETRANSLATE(D4229,""fi"",""es"")"),"sauna")</f>
        <v>sauna</v>
      </c>
    </row>
    <row r="4230">
      <c r="A4230" s="4">
        <v>432.0</v>
      </c>
      <c r="B4230" s="4" t="s">
        <v>9198</v>
      </c>
      <c r="C4230" s="4"/>
      <c r="D4230" s="4" t="s">
        <v>3881</v>
      </c>
      <c r="E4230" s="4" t="s">
        <v>11072</v>
      </c>
      <c r="F4230" s="4" t="s">
        <v>3881</v>
      </c>
      <c r="G4230" s="5" t="str">
        <f>IFERROR(__xludf.DUMMYFUNCTION("GOOGLETRANSLATE(D4230,""fi"",""es"")"),"cruz de caballo")</f>
        <v>cruz de caballo</v>
      </c>
    </row>
    <row r="4231">
      <c r="A4231" s="4">
        <v>433.0</v>
      </c>
      <c r="B4231" s="4" t="s">
        <v>9198</v>
      </c>
      <c r="C4231" s="4"/>
      <c r="D4231" s="4" t="s">
        <v>11073</v>
      </c>
      <c r="E4231" s="4" t="s">
        <v>11074</v>
      </c>
      <c r="F4231" s="4" t="s">
        <v>11073</v>
      </c>
      <c r="G4231" s="5" t="str">
        <f>IFERROR(__xludf.DUMMYFUNCTION("GOOGLETRANSLATE(D4231,""fi"",""es"")"),"jabón")</f>
        <v>jabón</v>
      </c>
    </row>
    <row r="4232">
      <c r="A4232" s="4">
        <v>434.0</v>
      </c>
      <c r="B4232" s="4" t="s">
        <v>9198</v>
      </c>
      <c r="C4232" s="4"/>
      <c r="D4232" s="4" t="s">
        <v>11075</v>
      </c>
      <c r="E4232" s="4" t="s">
        <v>11076</v>
      </c>
      <c r="F4232" s="4" t="s">
        <v>11075</v>
      </c>
      <c r="G4232" s="5" t="str">
        <f>IFERROR(__xludf.DUMMYFUNCTION("GOOGLETRANSLATE(D4232,""fi"",""es"")"),"Sakú")</f>
        <v>Sakú</v>
      </c>
      <c r="H4232" s="4" t="s">
        <v>11077</v>
      </c>
      <c r="I4232" s="4" t="s">
        <v>11078</v>
      </c>
      <c r="J4232" s="4" t="s">
        <v>11079</v>
      </c>
      <c r="K4232" s="4" t="s">
        <v>11080</v>
      </c>
      <c r="L4232" s="4" t="s">
        <v>11081</v>
      </c>
      <c r="M4232" s="4" t="s">
        <v>11082</v>
      </c>
      <c r="N4232" s="4" t="s">
        <v>11083</v>
      </c>
      <c r="O4232" s="4" t="s">
        <v>11084</v>
      </c>
      <c r="P4232" s="4" t="s">
        <v>1861</v>
      </c>
    </row>
    <row r="4233">
      <c r="A4233" s="4">
        <v>435.0</v>
      </c>
      <c r="B4233" s="4" t="s">
        <v>9198</v>
      </c>
      <c r="C4233" s="4"/>
      <c r="D4233" s="4" t="s">
        <v>3890</v>
      </c>
      <c r="E4233" s="4" t="s">
        <v>11085</v>
      </c>
      <c r="F4233" s="4" t="s">
        <v>3890</v>
      </c>
      <c r="G4233" s="5" t="str">
        <f>IFERROR(__xludf.DUMMYFUNCTION("GOOGLETRANSLATE(D4233,""fi"",""es"")"),"secreto")</f>
        <v>secreto</v>
      </c>
    </row>
    <row r="4234">
      <c r="A4234" s="4">
        <v>436.0</v>
      </c>
      <c r="B4234" s="4" t="s">
        <v>9198</v>
      </c>
      <c r="C4234" s="4"/>
      <c r="D4234" s="4" t="s">
        <v>11086</v>
      </c>
      <c r="E4234" s="4" t="s">
        <v>11087</v>
      </c>
      <c r="F4234" s="4" t="s">
        <v>11086</v>
      </c>
      <c r="G4234" s="5" t="str">
        <f>IFERROR(__xludf.DUMMYFUNCTION("GOOGLETRANSLATE(D4234,""fi"",""es"")"),"dispersión")</f>
        <v>dispersión</v>
      </c>
    </row>
    <row r="4235">
      <c r="A4235" s="4">
        <v>437.0</v>
      </c>
      <c r="B4235" s="4" t="s">
        <v>9198</v>
      </c>
      <c r="C4235" s="4"/>
      <c r="D4235" s="4" t="s">
        <v>11088</v>
      </c>
      <c r="E4235" s="4" t="s">
        <v>11089</v>
      </c>
      <c r="F4235" s="4" t="s">
        <v>11088</v>
      </c>
      <c r="G4235" s="5" t="str">
        <f>IFERROR(__xludf.DUMMYFUNCTION("GOOGLETRANSLATE(D4235,""fi"",""es"")"),"destello")</f>
        <v>destello</v>
      </c>
      <c r="H4235" s="4" t="s">
        <v>2106</v>
      </c>
      <c r="I4235" s="4" t="s">
        <v>2106</v>
      </c>
    </row>
    <row r="4236">
      <c r="A4236" s="4">
        <v>438.0</v>
      </c>
      <c r="B4236" s="4" t="s">
        <v>9198</v>
      </c>
      <c r="C4236" s="4"/>
      <c r="D4236" s="4" t="s">
        <v>3902</v>
      </c>
      <c r="E4236" s="4" t="s">
        <v>11090</v>
      </c>
      <c r="F4236" s="4" t="s">
        <v>3902</v>
      </c>
      <c r="G4236" s="5" t="str">
        <f>IFERROR(__xludf.DUMMYFUNCTION("GOOGLETRANSLATE(D4236,""fi"",""es"")"),"salami")</f>
        <v>salami</v>
      </c>
      <c r="H4236" s="4" t="s">
        <v>3902</v>
      </c>
    </row>
    <row r="4237">
      <c r="A4237" s="4">
        <v>439.0</v>
      </c>
      <c r="B4237" s="4" t="s">
        <v>9198</v>
      </c>
      <c r="C4237" s="4"/>
      <c r="D4237" s="4" t="s">
        <v>7387</v>
      </c>
      <c r="E4237" s="4" t="s">
        <v>11091</v>
      </c>
      <c r="F4237" s="4" t="s">
        <v>7387</v>
      </c>
      <c r="G4237" s="5" t="str">
        <f>IFERROR(__xludf.DUMMYFUNCTION("GOOGLETRANSLATE(D4237,""fi"",""es"")"),"salón")</f>
        <v>salón</v>
      </c>
      <c r="H4237" s="4" t="s">
        <v>11092</v>
      </c>
      <c r="I4237" s="4" t="s">
        <v>11093</v>
      </c>
      <c r="J4237" s="4" t="s">
        <v>11094</v>
      </c>
      <c r="K4237" s="4" t="s">
        <v>11094</v>
      </c>
      <c r="L4237" s="4" t="s">
        <v>3893</v>
      </c>
      <c r="M4237" s="4" t="s">
        <v>3894</v>
      </c>
      <c r="N4237" s="4" t="s">
        <v>3895</v>
      </c>
      <c r="O4237" s="4" t="s">
        <v>3896</v>
      </c>
      <c r="P4237" s="4" t="s">
        <v>3897</v>
      </c>
      <c r="Q4237" s="4" t="s">
        <v>3898</v>
      </c>
      <c r="R4237" s="4" t="s">
        <v>11095</v>
      </c>
      <c r="S4237" s="4" t="s">
        <v>11094</v>
      </c>
    </row>
    <row r="4238">
      <c r="A4238" s="4">
        <v>440.0</v>
      </c>
      <c r="B4238" s="4" t="s">
        <v>9198</v>
      </c>
      <c r="C4238" s="4"/>
      <c r="D4238" s="4" t="s">
        <v>11096</v>
      </c>
      <c r="E4238" s="4" t="s">
        <v>11097</v>
      </c>
      <c r="F4238" s="4" t="s">
        <v>11096</v>
      </c>
      <c r="G4238" s="5" t="str">
        <f>IFERROR(__xludf.DUMMYFUNCTION("GOOGLETRANSLATE(D4238,""fi"",""es"")"),"mismo")</f>
        <v>mismo</v>
      </c>
    </row>
    <row r="4239">
      <c r="A4239" s="4">
        <v>441.0</v>
      </c>
      <c r="B4239" s="4" t="s">
        <v>9198</v>
      </c>
      <c r="C4239" s="4"/>
      <c r="D4239" s="4" t="s">
        <v>7398</v>
      </c>
      <c r="E4239" s="4" t="s">
        <v>11098</v>
      </c>
      <c r="F4239" s="4" t="s">
        <v>7398</v>
      </c>
      <c r="G4239" s="5" t="str">
        <f>IFERROR(__xludf.DUMMYFUNCTION("GOOGLETRANSLATE(D4239,""fi"",""es"")"),"Sami")</f>
        <v>Sami</v>
      </c>
    </row>
    <row r="4240">
      <c r="A4240" s="4">
        <v>442.0</v>
      </c>
      <c r="B4240" s="4" t="s">
        <v>9198</v>
      </c>
      <c r="C4240" s="4"/>
      <c r="D4240" s="4" t="s">
        <v>11099</v>
      </c>
      <c r="E4240" s="4" t="s">
        <v>11100</v>
      </c>
      <c r="F4240" s="4" t="s">
        <v>11099</v>
      </c>
      <c r="G4240" s="5" t="str">
        <f>IFERROR(__xludf.DUMMYFUNCTION("GOOGLETRANSLATE(D4240,""fi"",""es"")"),"Samú")</f>
        <v>Samú</v>
      </c>
    </row>
    <row r="4241">
      <c r="A4241" s="4">
        <v>443.0</v>
      </c>
      <c r="B4241" s="4" t="s">
        <v>9198</v>
      </c>
      <c r="C4241" s="4"/>
      <c r="D4241" s="4" t="s">
        <v>11101</v>
      </c>
      <c r="E4241" s="4" t="s">
        <v>11102</v>
      </c>
      <c r="F4241" s="4" t="s">
        <v>11101</v>
      </c>
      <c r="G4241" s="5" t="str">
        <f>IFERROR(__xludf.DUMMYFUNCTION("GOOGLETRANSLATE(D4241,""fi"",""es"")"),"Samuli")</f>
        <v>Samuli</v>
      </c>
    </row>
    <row r="4242">
      <c r="A4242" s="4">
        <v>444.0</v>
      </c>
      <c r="B4242" s="4" t="s">
        <v>9198</v>
      </c>
      <c r="C4242" s="4"/>
      <c r="D4242" s="4" t="s">
        <v>3939</v>
      </c>
      <c r="E4242" s="4" t="s">
        <v>11103</v>
      </c>
      <c r="F4242" s="4" t="s">
        <v>3939</v>
      </c>
      <c r="G4242" s="5" t="str">
        <f>IFERROR(__xludf.DUMMYFUNCTION("GOOGLETRANSLATE(D4242,""fi"",""es"")"),"palabra")</f>
        <v>palabra</v>
      </c>
      <c r="H4242" s="4" t="s">
        <v>3</v>
      </c>
      <c r="I4242" s="4" t="s">
        <v>11104</v>
      </c>
      <c r="J4242" s="4" t="s">
        <v>11105</v>
      </c>
      <c r="K4242" s="4" t="s">
        <v>11106</v>
      </c>
      <c r="L4242" s="4" t="s">
        <v>11107</v>
      </c>
      <c r="M4242" s="4" t="s">
        <v>11108</v>
      </c>
      <c r="N4242" s="4" t="s">
        <v>11109</v>
      </c>
      <c r="O4242" s="4" t="s">
        <v>11110</v>
      </c>
      <c r="P4242" s="4" t="s">
        <v>11111</v>
      </c>
      <c r="Q4242" s="4" t="s">
        <v>11112</v>
      </c>
      <c r="R4242" s="4" t="s">
        <v>11113</v>
      </c>
      <c r="S4242" s="4" t="s">
        <v>11114</v>
      </c>
      <c r="T4242" s="4" t="s">
        <v>11115</v>
      </c>
      <c r="U4242" s="4" t="s">
        <v>3</v>
      </c>
      <c r="V4242" s="4" t="s">
        <v>11116</v>
      </c>
      <c r="W4242" s="4" t="s">
        <v>11117</v>
      </c>
      <c r="X4242" s="4" t="s">
        <v>3</v>
      </c>
      <c r="Y4242" s="4" t="s">
        <v>3</v>
      </c>
      <c r="Z4242" s="4" t="s">
        <v>11116</v>
      </c>
      <c r="AA4242" s="4" t="s">
        <v>3</v>
      </c>
      <c r="AB4242" s="4" t="s">
        <v>11118</v>
      </c>
      <c r="AC4242" s="4" t="s">
        <v>11119</v>
      </c>
      <c r="AD4242" s="4" t="s">
        <v>11113</v>
      </c>
      <c r="AE4242" s="4" t="s">
        <v>11120</v>
      </c>
      <c r="AF4242" s="4" t="s">
        <v>3</v>
      </c>
    </row>
    <row r="4243">
      <c r="A4243" s="4">
        <v>445.0</v>
      </c>
      <c r="B4243" s="4" t="s">
        <v>9198</v>
      </c>
      <c r="C4243" s="4"/>
      <c r="D4243" s="4" t="s">
        <v>11121</v>
      </c>
      <c r="E4243" s="4" t="s">
        <v>11122</v>
      </c>
      <c r="F4243" s="4" t="s">
        <v>11121</v>
      </c>
      <c r="G4243" s="5" t="str">
        <f>IFERROR(__xludf.DUMMYFUNCTION("GOOGLETRANSLATE(D4243,""fi"",""es"")"),"vocabulario")</f>
        <v>vocabulario</v>
      </c>
    </row>
    <row r="4244">
      <c r="A4244" s="4">
        <v>446.0</v>
      </c>
      <c r="B4244" s="4" t="s">
        <v>9198</v>
      </c>
      <c r="C4244" s="4"/>
      <c r="D4244" s="4" t="s">
        <v>11123</v>
      </c>
      <c r="E4244" s="4" t="s">
        <v>11124</v>
      </c>
      <c r="F4244" s="4" t="s">
        <v>11123</v>
      </c>
      <c r="G4244" s="5" t="str">
        <f>IFERROR(__xludf.DUMMYFUNCTION("GOOGLETRANSLATE(D4244,""fi"",""es"")"),"sauna")</f>
        <v>sauna</v>
      </c>
    </row>
    <row r="4245">
      <c r="A4245" s="4">
        <v>447.0</v>
      </c>
      <c r="B4245" s="4" t="s">
        <v>9198</v>
      </c>
      <c r="C4245" s="4"/>
      <c r="D4245" s="4" t="s">
        <v>11125</v>
      </c>
      <c r="E4245" s="4" t="s">
        <v>11126</v>
      </c>
      <c r="F4245" s="4" t="s">
        <v>11125</v>
      </c>
      <c r="G4245" s="5" t="str">
        <f>IFERROR(__xludf.DUMMYFUNCTION("GOOGLETRANSLATE(D4245,""fi"",""es"")"),"espátula")</f>
        <v>espátula</v>
      </c>
    </row>
    <row r="4246">
      <c r="A4246" s="4">
        <v>448.0</v>
      </c>
      <c r="B4246" s="4" t="s">
        <v>9198</v>
      </c>
      <c r="C4246" s="4"/>
      <c r="D4246" s="4" t="s">
        <v>11127</v>
      </c>
      <c r="E4246" s="4" t="s">
        <v>11128</v>
      </c>
      <c r="F4246" s="4" t="s">
        <v>11127</v>
      </c>
      <c r="G4246" s="5" t="str">
        <f>IFERROR(__xludf.DUMMYFUNCTION("GOOGLETRANSLATE(D4246,""fi"",""es"")"),"Sasu")</f>
        <v>Sasu</v>
      </c>
    </row>
    <row r="4247">
      <c r="A4247" s="4">
        <v>449.0</v>
      </c>
      <c r="B4247" s="4" t="s">
        <v>9198</v>
      </c>
      <c r="C4247" s="4"/>
      <c r="D4247" s="4" t="s">
        <v>11129</v>
      </c>
      <c r="E4247" s="4" t="s">
        <v>11130</v>
      </c>
      <c r="F4247" s="4" t="s">
        <v>11129</v>
      </c>
      <c r="G4247" s="5" t="str">
        <f>IFERROR(__xludf.DUMMYFUNCTION("GOOGLETRANSLATE(D4247,""fi"",""es"")"),"ciento")</f>
        <v>ciento</v>
      </c>
      <c r="H4247" s="4" t="s">
        <v>11131</v>
      </c>
      <c r="I4247" s="4">
        <v>100.0</v>
      </c>
      <c r="J4247" s="4" t="s">
        <v>8268</v>
      </c>
      <c r="K4247" s="4" t="s">
        <v>11132</v>
      </c>
      <c r="L4247" s="4" t="s">
        <v>11133</v>
      </c>
    </row>
    <row r="4248">
      <c r="A4248" s="4">
        <v>450.0</v>
      </c>
      <c r="B4248" s="4" t="s">
        <v>9198</v>
      </c>
      <c r="C4248" s="4"/>
      <c r="D4248" s="4" t="s">
        <v>11134</v>
      </c>
      <c r="E4248" s="4" t="s">
        <v>11135</v>
      </c>
      <c r="F4248" s="4" t="s">
        <v>11134</v>
      </c>
      <c r="G4248" s="5" t="str">
        <f>IFERROR(__xludf.DUMMYFUNCTION("GOOGLETRANSLATE(D4248,""fi"",""es"")"),"Puerto")</f>
        <v>Puerto</v>
      </c>
      <c r="H4248" s="4" t="s">
        <v>5255</v>
      </c>
      <c r="I4248" s="4" t="s">
        <v>5256</v>
      </c>
      <c r="J4248" s="4" t="s">
        <v>5252</v>
      </c>
      <c r="K4248" s="4" t="s">
        <v>5253</v>
      </c>
      <c r="L4248" s="4" t="s">
        <v>5254</v>
      </c>
      <c r="M4248" s="4" t="s">
        <v>5255</v>
      </c>
      <c r="N4248" s="4" t="s">
        <v>5256</v>
      </c>
    </row>
    <row r="4249">
      <c r="A4249" s="4">
        <v>451.0</v>
      </c>
      <c r="B4249" s="4" t="s">
        <v>9198</v>
      </c>
      <c r="C4249" s="4"/>
      <c r="D4249" s="4" t="s">
        <v>11136</v>
      </c>
      <c r="E4249" s="4" t="s">
        <v>11137</v>
      </c>
      <c r="F4249" s="4" t="s">
        <v>11136</v>
      </c>
      <c r="G4249" s="5" t="str">
        <f>IFERROR(__xludf.DUMMYFUNCTION("GOOGLETRANSLATE(D4249,""fi"",""es"")"),"sático")</f>
        <v>sático</v>
      </c>
    </row>
    <row r="4250">
      <c r="A4250" s="4">
        <v>452.0</v>
      </c>
      <c r="B4250" s="4" t="s">
        <v>9198</v>
      </c>
      <c r="C4250" s="4"/>
      <c r="D4250" s="4" t="s">
        <v>11138</v>
      </c>
      <c r="E4250" s="4" t="s">
        <v>11139</v>
      </c>
      <c r="F4250" s="4" t="s">
        <v>11138</v>
      </c>
      <c r="G4250" s="5" t="str">
        <f>IFERROR(__xludf.DUMMYFUNCTION("GOOGLETRANSLATE(D4250,""fi"",""es"")"),"cuento de hadas")</f>
        <v>cuento de hadas</v>
      </c>
      <c r="H4250" s="4" t="s">
        <v>11140</v>
      </c>
      <c r="I4250" s="4" t="s">
        <v>3580</v>
      </c>
      <c r="J4250" s="4" t="s">
        <v>11141</v>
      </c>
      <c r="K4250" s="4" t="s">
        <v>11142</v>
      </c>
      <c r="L4250" s="4" t="s">
        <v>11143</v>
      </c>
      <c r="M4250" s="4" t="s">
        <v>5484</v>
      </c>
      <c r="N4250" s="4" t="s">
        <v>5485</v>
      </c>
      <c r="O4250" s="4" t="s">
        <v>5486</v>
      </c>
      <c r="P4250" s="4" t="s">
        <v>11144</v>
      </c>
      <c r="Q4250" s="4" t="s">
        <v>11145</v>
      </c>
    </row>
    <row r="4251">
      <c r="A4251" s="4">
        <v>453.0</v>
      </c>
      <c r="B4251" s="4" t="s">
        <v>9198</v>
      </c>
      <c r="C4251" s="4"/>
      <c r="D4251" s="4" t="s">
        <v>11146</v>
      </c>
      <c r="E4251" s="4" t="s">
        <v>11147</v>
      </c>
      <c r="F4251" s="4" t="s">
        <v>11146</v>
      </c>
      <c r="G4251" s="5" t="str">
        <f>IFERROR(__xludf.DUMMYFUNCTION("GOOGLETRANSLATE(D4251,""fi"",""es"")"),"sillín")</f>
        <v>sillín</v>
      </c>
      <c r="H4251" s="4" t="s">
        <v>11148</v>
      </c>
      <c r="I4251" s="4" t="s">
        <v>11149</v>
      </c>
      <c r="J4251" s="4" t="s">
        <v>11149</v>
      </c>
      <c r="K4251" s="4" t="s">
        <v>11149</v>
      </c>
      <c r="L4251" s="4" t="s">
        <v>11149</v>
      </c>
      <c r="M4251" s="4" t="s">
        <v>11150</v>
      </c>
      <c r="N4251" s="4" t="s">
        <v>11149</v>
      </c>
    </row>
    <row r="4252">
      <c r="A4252" s="4">
        <v>454.0</v>
      </c>
      <c r="B4252" s="4" t="s">
        <v>9198</v>
      </c>
      <c r="C4252" s="4"/>
      <c r="D4252" s="4" t="s">
        <v>11151</v>
      </c>
      <c r="E4252" s="4" t="s">
        <v>11152</v>
      </c>
      <c r="F4252" s="4" t="s">
        <v>11151</v>
      </c>
      <c r="G4252" s="5" t="str">
        <f>IFERROR(__xludf.DUMMYFUNCTION("GOOGLETRANSLATE(D4252,""fi"",""es"")"),"hacer trampa")</f>
        <v>hacer trampa</v>
      </c>
    </row>
    <row r="4253">
      <c r="A4253" s="4">
        <v>455.0</v>
      </c>
      <c r="B4253" s="4" t="s">
        <v>9198</v>
      </c>
      <c r="C4253" s="4"/>
      <c r="D4253" s="4" t="s">
        <v>11153</v>
      </c>
      <c r="E4253" s="4" t="s">
        <v>11154</v>
      </c>
      <c r="F4253" s="4" t="s">
        <v>11155</v>
      </c>
      <c r="G4253" s="5" t="str">
        <f>IFERROR(__xludf.DUMMYFUNCTION("GOOGLETRANSLATE(D4253,""fi"",""es"")"),"lugar")</f>
        <v>lugar</v>
      </c>
      <c r="H4253" s="4" t="s">
        <v>11156</v>
      </c>
      <c r="I4253" s="4" t="s">
        <v>11157</v>
      </c>
      <c r="J4253" s="4" t="s">
        <v>11158</v>
      </c>
      <c r="K4253" s="4" t="s">
        <v>11159</v>
      </c>
      <c r="L4253" s="4" t="s">
        <v>11158</v>
      </c>
      <c r="M4253" s="4" t="s">
        <v>1337</v>
      </c>
      <c r="N4253" s="4" t="s">
        <v>1338</v>
      </c>
      <c r="O4253" s="4" t="s">
        <v>11158</v>
      </c>
      <c r="P4253" s="4" t="s">
        <v>11157</v>
      </c>
      <c r="Q4253" s="4" t="s">
        <v>11158</v>
      </c>
      <c r="R4253" s="4" t="s">
        <v>11160</v>
      </c>
      <c r="S4253" s="4" t="s">
        <v>11161</v>
      </c>
    </row>
    <row r="4254">
      <c r="A4254" s="4">
        <v>456.0</v>
      </c>
      <c r="B4254" s="4" t="s">
        <v>9198</v>
      </c>
      <c r="C4254" s="4"/>
      <c r="D4254" s="4" t="s">
        <v>11162</v>
      </c>
      <c r="E4254" s="4" t="s">
        <v>11163</v>
      </c>
      <c r="F4254" s="4" t="s">
        <v>11164</v>
      </c>
      <c r="G4254" s="5" t="str">
        <f>IFERROR(__xludf.DUMMYFUNCTION("GOOGLETRANSLATE(D4254,""fi"",""es"")"),"ubicación")</f>
        <v>ubicación</v>
      </c>
    </row>
    <row r="4255">
      <c r="A4255" s="4">
        <v>457.0</v>
      </c>
      <c r="B4255" s="4" t="s">
        <v>9198</v>
      </c>
      <c r="C4255" s="4"/>
      <c r="D4255" s="4" t="s">
        <v>5554</v>
      </c>
      <c r="E4255" s="4" t="s">
        <v>11165</v>
      </c>
      <c r="F4255" s="4" t="s">
        <v>5554</v>
      </c>
      <c r="G4255" s="5" t="str">
        <f>IFERROR(__xludf.DUMMYFUNCTION("GOOGLETRANSLATE(D4255,""fi"",""es"")"),"cerdo")</f>
        <v>cerdo</v>
      </c>
      <c r="H4255" s="4" t="s">
        <v>5082</v>
      </c>
      <c r="I4255" s="4" t="s">
        <v>5083</v>
      </c>
      <c r="J4255" s="4" t="s">
        <v>5084</v>
      </c>
      <c r="K4255" s="4" t="s">
        <v>5085</v>
      </c>
      <c r="L4255" s="4" t="s">
        <v>5086</v>
      </c>
      <c r="M4255" s="4" t="s">
        <v>5087</v>
      </c>
      <c r="N4255" s="4" t="s">
        <v>11166</v>
      </c>
      <c r="O4255" s="4" t="s">
        <v>11167</v>
      </c>
      <c r="P4255" s="4" t="s">
        <v>11168</v>
      </c>
      <c r="Q4255" s="4" t="s">
        <v>963</v>
      </c>
      <c r="R4255" s="4" t="s">
        <v>11169</v>
      </c>
      <c r="S4255" s="4" t="s">
        <v>11170</v>
      </c>
      <c r="T4255" s="4" t="s">
        <v>5083</v>
      </c>
      <c r="U4255" s="4" t="s">
        <v>5084</v>
      </c>
    </row>
    <row r="4256">
      <c r="A4256" s="4">
        <v>458.0</v>
      </c>
      <c r="B4256" s="4" t="s">
        <v>9198</v>
      </c>
      <c r="C4256" s="4"/>
      <c r="D4256" s="4" t="s">
        <v>11171</v>
      </c>
      <c r="E4256" s="4" t="s">
        <v>11172</v>
      </c>
      <c r="F4256" s="4" t="s">
        <v>11171</v>
      </c>
      <c r="G4256" s="5" t="str">
        <f>IFERROR(__xludf.DUMMYFUNCTION("GOOGLETRANSLATE(D4256,""fi"",""es"")"),"espada")</f>
        <v>espada</v>
      </c>
    </row>
    <row r="4257">
      <c r="A4257" s="4">
        <v>459.0</v>
      </c>
      <c r="B4257" s="4" t="s">
        <v>9198</v>
      </c>
      <c r="C4257" s="4"/>
      <c r="D4257" s="4" t="s">
        <v>11173</v>
      </c>
      <c r="E4257" s="4" t="s">
        <v>11174</v>
      </c>
      <c r="F4257" s="4" t="s">
        <v>11173</v>
      </c>
      <c r="G4257" s="5" t="str">
        <f>IFERROR(__xludf.DUMMYFUNCTION("GOOGLETRANSLATE(D4257,""fi"",""es"")"),"tragar")</f>
        <v>tragar</v>
      </c>
    </row>
    <row r="4258">
      <c r="A4258" s="4">
        <v>460.0</v>
      </c>
      <c r="B4258" s="4" t="s">
        <v>9198</v>
      </c>
      <c r="C4258" s="4"/>
      <c r="D4258" s="4" t="s">
        <v>11175</v>
      </c>
      <c r="E4258" s="4" t="s">
        <v>11176</v>
      </c>
      <c r="F4258" s="4" t="s">
        <v>11177</v>
      </c>
      <c r="G4258" s="5" t="str">
        <f>IFERROR(__xludf.DUMMYFUNCTION("GOOGLETRANSLATE(D4258,""fi"",""es"")"),"hasta aquí")</f>
        <v>hasta aquí</v>
      </c>
    </row>
    <row r="4259">
      <c r="A4259" s="4">
        <v>461.0</v>
      </c>
      <c r="B4259" s="4" t="s">
        <v>9198</v>
      </c>
      <c r="C4259" s="4"/>
      <c r="D4259" s="4" t="s">
        <v>11178</v>
      </c>
      <c r="E4259" s="4" t="s">
        <v>11179</v>
      </c>
      <c r="F4259" s="4" t="s">
        <v>11178</v>
      </c>
      <c r="G4259" s="5" t="str">
        <f>IFERROR(__xludf.DUMMYFUNCTION("GOOGLETRANSLATE(D4259,""fi"",""es"")"),"sílice")</f>
        <v>sílice</v>
      </c>
    </row>
    <row r="4260">
      <c r="A4260" s="4">
        <v>462.0</v>
      </c>
      <c r="B4260" s="4" t="s">
        <v>9198</v>
      </c>
      <c r="C4260" s="4"/>
      <c r="D4260" s="4" t="s">
        <v>1417</v>
      </c>
      <c r="E4260" s="4" t="s">
        <v>11180</v>
      </c>
      <c r="F4260" s="4" t="s">
        <v>1417</v>
      </c>
      <c r="G4260" s="5" t="str">
        <f>IFERROR(__xludf.DUMMYFUNCTION("GOOGLETRANSLATE(D4260,""fi"",""es"")"),"aguamiel")</f>
        <v>aguamiel</v>
      </c>
      <c r="H4260" s="4" t="s">
        <v>11181</v>
      </c>
      <c r="I4260" s="4" t="s">
        <v>11182</v>
      </c>
      <c r="J4260" s="4" t="s">
        <v>1417</v>
      </c>
    </row>
    <row r="4261">
      <c r="A4261" s="4">
        <v>463.0</v>
      </c>
      <c r="B4261" s="4" t="s">
        <v>9198</v>
      </c>
      <c r="C4261" s="4"/>
      <c r="D4261" s="4" t="s">
        <v>11183</v>
      </c>
      <c r="E4261" s="4" t="s">
        <v>11184</v>
      </c>
      <c r="F4261" s="4" t="s">
        <v>11183</v>
      </c>
      <c r="G4261" s="5" t="str">
        <f>IFERROR(__xludf.DUMMYFUNCTION("GOOGLETRANSLATE(D4261,""fi"",""es"")"),"seno")</f>
        <v>seno</v>
      </c>
      <c r="H4261" s="4" t="s">
        <v>4003</v>
      </c>
      <c r="I4261" s="4" t="s">
        <v>404</v>
      </c>
    </row>
    <row r="4262">
      <c r="A4262" s="4">
        <v>464.0</v>
      </c>
      <c r="B4262" s="4" t="s">
        <v>9198</v>
      </c>
      <c r="C4262" s="4"/>
      <c r="D4262" s="4" t="s">
        <v>11185</v>
      </c>
      <c r="E4262" s="4" t="s">
        <v>11186</v>
      </c>
      <c r="F4262" s="4" t="s">
        <v>11185</v>
      </c>
      <c r="G4262" s="5" t="str">
        <f>IFERROR(__xludf.DUMMYFUNCTION("GOOGLETRANSLATE(D4262,""fi"",""es"")"),"su")</f>
        <v>su</v>
      </c>
    </row>
    <row r="4263">
      <c r="A4263" s="4">
        <v>465.0</v>
      </c>
      <c r="B4263" s="4" t="s">
        <v>9198</v>
      </c>
      <c r="C4263" s="4"/>
      <c r="D4263" s="4" t="s">
        <v>11187</v>
      </c>
      <c r="E4263" s="4" t="s">
        <v>11188</v>
      </c>
      <c r="F4263" s="4" t="s">
        <v>11187</v>
      </c>
      <c r="G4263" s="5" t="str">
        <f>IFERROR(__xludf.DUMMYFUNCTION("GOOGLETRANSLATE(D4263,""fi"",""es"")"),"como tu")</f>
        <v>como tu</v>
      </c>
    </row>
    <row r="4264">
      <c r="A4264" s="4">
        <v>466.0</v>
      </c>
      <c r="B4264" s="4" t="s">
        <v>9198</v>
      </c>
      <c r="C4264" s="4"/>
      <c r="D4264" s="4" t="s">
        <v>11189</v>
      </c>
      <c r="E4264" s="4" t="s">
        <v>11190</v>
      </c>
      <c r="F4264" s="4" t="s">
        <v>11191</v>
      </c>
      <c r="G4264" s="5" t="str">
        <f>IFERROR(__xludf.DUMMYFUNCTION("GOOGLETRANSLATE(D4264,""fi"",""es"")"),"tú")</f>
        <v>tú</v>
      </c>
    </row>
    <row r="4265">
      <c r="A4265" s="4">
        <v>467.0</v>
      </c>
      <c r="B4265" s="4" t="s">
        <v>9198</v>
      </c>
      <c r="C4265" s="4"/>
      <c r="D4265" s="4" t="s">
        <v>11192</v>
      </c>
      <c r="E4265" s="4" t="s">
        <v>11193</v>
      </c>
      <c r="F4265" s="4" t="s">
        <v>11192</v>
      </c>
      <c r="G4265" s="5" t="str">
        <f>IFERROR(__xludf.DUMMYFUNCTION("GOOGLETRANSLATE(D4265,""fi"",""es"")"),"sorbo")</f>
        <v>sorbo</v>
      </c>
    </row>
    <row r="4266">
      <c r="A4266" s="4">
        <v>468.0</v>
      </c>
      <c r="B4266" s="4" t="s">
        <v>9198</v>
      </c>
      <c r="C4266" s="4"/>
      <c r="D4266" s="4" t="s">
        <v>11194</v>
      </c>
      <c r="E4266" s="4" t="s">
        <v>11195</v>
      </c>
      <c r="F4266" s="4" t="s">
        <v>11194</v>
      </c>
      <c r="G4266" s="5" t="str">
        <f>IFERROR(__xludf.DUMMYFUNCTION("GOOGLETRANSLATE(D4266,""fi"",""es"")"),"cebolla")</f>
        <v>cebolla</v>
      </c>
      <c r="H4266" s="4" t="s">
        <v>9183</v>
      </c>
      <c r="I4266" s="4" t="s">
        <v>11196</v>
      </c>
      <c r="J4266" s="4" t="s">
        <v>9183</v>
      </c>
      <c r="K4266" s="4" t="s">
        <v>9184</v>
      </c>
      <c r="L4266" s="4" t="s">
        <v>9185</v>
      </c>
      <c r="M4266" s="4" t="s">
        <v>9183</v>
      </c>
      <c r="N4266" s="4" t="s">
        <v>11197</v>
      </c>
      <c r="O4266" s="4" t="s">
        <v>11198</v>
      </c>
      <c r="P4266" s="4" t="s">
        <v>11199</v>
      </c>
      <c r="Q4266" s="4" t="s">
        <v>11200</v>
      </c>
      <c r="R4266" s="4" t="s">
        <v>10597</v>
      </c>
      <c r="S4266" s="4" t="s">
        <v>10598</v>
      </c>
      <c r="T4266" s="4" t="s">
        <v>10145</v>
      </c>
    </row>
    <row r="4267">
      <c r="A4267" s="4">
        <v>469.0</v>
      </c>
      <c r="B4267" s="4" t="s">
        <v>9198</v>
      </c>
      <c r="C4267" s="4"/>
      <c r="D4267" s="4" t="s">
        <v>3591</v>
      </c>
      <c r="E4267" s="4" t="s">
        <v>11201</v>
      </c>
      <c r="F4267" s="4" t="s">
        <v>3591</v>
      </c>
      <c r="G4267" s="5" t="str">
        <f>IFERROR(__xludf.DUMMYFUNCTION("GOOGLETRANSLATE(D4267,""fi"",""es"")"),"sisal")</f>
        <v>sisal</v>
      </c>
      <c r="H4267" s="4" t="s">
        <v>3591</v>
      </c>
      <c r="I4267" s="4" t="s">
        <v>3592</v>
      </c>
    </row>
    <row r="4268">
      <c r="A4268" s="4">
        <v>470.0</v>
      </c>
      <c r="B4268" s="4" t="s">
        <v>9198</v>
      </c>
      <c r="C4268" s="4"/>
      <c r="D4268" s="4" t="s">
        <v>11202</v>
      </c>
      <c r="E4268" s="4" t="s">
        <v>11203</v>
      </c>
      <c r="F4268" s="4" t="s">
        <v>11202</v>
      </c>
      <c r="G4268" s="5" t="str">
        <f>IFERROR(__xludf.DUMMYFUNCTION("GOOGLETRANSLATE(D4268,""fi"",""es"")"),"interior")</f>
        <v>interior</v>
      </c>
      <c r="H4268" s="4" t="s">
        <v>11204</v>
      </c>
      <c r="I4268" s="4" t="s">
        <v>11205</v>
      </c>
      <c r="J4268" s="4" t="s">
        <v>11206</v>
      </c>
    </row>
    <row r="4269">
      <c r="A4269" s="4">
        <v>471.0</v>
      </c>
      <c r="B4269" s="4" t="s">
        <v>9198</v>
      </c>
      <c r="C4269" s="4"/>
      <c r="D4269" s="4" t="s">
        <v>11207</v>
      </c>
      <c r="E4269" s="4" t="s">
        <v>11208</v>
      </c>
      <c r="F4269" s="4" t="s">
        <v>11207</v>
      </c>
      <c r="G4269" s="5" t="str">
        <f>IFERROR(__xludf.DUMMYFUNCTION("GOOGLETRANSLATE(D4269,""fi"",""es"")"),"Vamos")</f>
        <v>Vamos</v>
      </c>
      <c r="H4269" s="4" t="s">
        <v>4624</v>
      </c>
      <c r="I4269" s="4" t="s">
        <v>11209</v>
      </c>
      <c r="J4269" s="4" t="s">
        <v>1312</v>
      </c>
      <c r="K4269" s="4" t="s">
        <v>11210</v>
      </c>
      <c r="L4269" s="4" t="s">
        <v>11211</v>
      </c>
      <c r="M4269" s="4" t="s">
        <v>11212</v>
      </c>
      <c r="N4269" s="4" t="s">
        <v>11213</v>
      </c>
      <c r="O4269" s="4" t="s">
        <v>11214</v>
      </c>
      <c r="P4269" s="4" t="s">
        <v>4853</v>
      </c>
      <c r="Q4269" s="4" t="s">
        <v>11215</v>
      </c>
      <c r="R4269" s="4" t="s">
        <v>11216</v>
      </c>
    </row>
    <row r="4270">
      <c r="A4270" s="4">
        <v>472.0</v>
      </c>
      <c r="B4270" s="4" t="s">
        <v>9198</v>
      </c>
      <c r="C4270" s="4"/>
      <c r="D4270" s="4" t="s">
        <v>11217</v>
      </c>
      <c r="E4270" s="4" t="s">
        <v>11218</v>
      </c>
      <c r="F4270" s="4" t="s">
        <v>11217</v>
      </c>
      <c r="G4270" s="5" t="str">
        <f>IFERROR(__xludf.DUMMYFUNCTION("GOOGLETRANSLATE(D4270,""fi"",""es"")"),"guaperas")</f>
        <v>guaperas</v>
      </c>
      <c r="H4270" s="4" t="s">
        <v>1366</v>
      </c>
      <c r="I4270" s="4" t="s">
        <v>3468</v>
      </c>
      <c r="J4270" s="4" t="s">
        <v>3469</v>
      </c>
      <c r="K4270" s="4" t="s">
        <v>10367</v>
      </c>
      <c r="L4270" s="4" t="s">
        <v>10368</v>
      </c>
      <c r="M4270" s="4" t="s">
        <v>10369</v>
      </c>
      <c r="N4270" s="4" t="s">
        <v>10370</v>
      </c>
      <c r="O4270" s="4" t="s">
        <v>11219</v>
      </c>
      <c r="P4270" s="4" t="s">
        <v>11220</v>
      </c>
      <c r="Q4270" s="4" t="s">
        <v>11221</v>
      </c>
      <c r="R4270" s="4" t="s">
        <v>11220</v>
      </c>
      <c r="S4270" s="4" t="s">
        <v>10370</v>
      </c>
    </row>
    <row r="4271">
      <c r="A4271" s="4">
        <v>473.0</v>
      </c>
      <c r="B4271" s="4" t="s">
        <v>9198</v>
      </c>
      <c r="C4271" s="4"/>
      <c r="D4271" s="4" t="s">
        <v>11222</v>
      </c>
      <c r="E4271" s="4" t="s">
        <v>11223</v>
      </c>
      <c r="F4271" s="4" t="s">
        <v>11222</v>
      </c>
      <c r="G4271" s="5" t="str">
        <f>IFERROR(__xludf.DUMMYFUNCTION("GOOGLETRANSLATE(D4271,""fi"",""es"")"),"interior")</f>
        <v>interior</v>
      </c>
      <c r="H4271" s="4" t="s">
        <v>4621</v>
      </c>
      <c r="I4271" s="4" t="s">
        <v>4622</v>
      </c>
      <c r="J4271" s="4" t="s">
        <v>7264</v>
      </c>
    </row>
    <row r="4272">
      <c r="A4272" s="4">
        <v>474.0</v>
      </c>
      <c r="B4272" s="4" t="s">
        <v>9198</v>
      </c>
      <c r="C4272" s="4"/>
      <c r="D4272" s="4" t="s">
        <v>11224</v>
      </c>
      <c r="E4272" s="4" t="s">
        <v>11225</v>
      </c>
      <c r="F4272" s="4" t="s">
        <v>1425</v>
      </c>
      <c r="G4272" s="5" t="str">
        <f>IFERROR(__xludf.DUMMYFUNCTION("GOOGLETRANSLATE(D4272,""fi"",""es"")"),"la")</f>
        <v>la</v>
      </c>
    </row>
    <row r="4273">
      <c r="A4273" s="4">
        <v>475.0</v>
      </c>
      <c r="B4273" s="4" t="s">
        <v>9198</v>
      </c>
      <c r="C4273" s="4"/>
      <c r="D4273" s="4" t="s">
        <v>11226</v>
      </c>
      <c r="E4273" s="4" t="s">
        <v>11227</v>
      </c>
      <c r="F4273" s="4" t="s">
        <v>11226</v>
      </c>
      <c r="G4273" s="5" t="str">
        <f>IFERROR(__xludf.DUMMYFUNCTION("GOOGLETRANSLATE(D4273,""fi"",""es"")"),"eslogan")</f>
        <v>eslogan</v>
      </c>
    </row>
    <row r="4274">
      <c r="A4274" s="4">
        <v>476.0</v>
      </c>
      <c r="B4274" s="4" t="s">
        <v>9198</v>
      </c>
      <c r="C4274" s="4"/>
      <c r="D4274" s="4" t="s">
        <v>4115</v>
      </c>
      <c r="E4274" s="4" t="s">
        <v>11228</v>
      </c>
      <c r="F4274" s="4" t="s">
        <v>4115</v>
      </c>
      <c r="G4274" s="5" t="str">
        <f>IFERROR(__xludf.DUMMYFUNCTION("GOOGLETRANSLATE(D4274,""fi"",""es"")"),"peine")</f>
        <v>peine</v>
      </c>
      <c r="H4274" s="4" t="s">
        <v>11229</v>
      </c>
    </row>
    <row r="4275">
      <c r="A4275" s="4">
        <v>477.0</v>
      </c>
      <c r="B4275" s="4" t="s">
        <v>9198</v>
      </c>
      <c r="C4275" s="4"/>
      <c r="D4275" s="4" t="s">
        <v>11230</v>
      </c>
      <c r="E4275" s="4" t="s">
        <v>11231</v>
      </c>
      <c r="F4275" s="4" t="s">
        <v>11232</v>
      </c>
      <c r="G4275" s="5" t="str">
        <f>IFERROR(__xludf.DUMMYFUNCTION("GOOGLETRANSLATE(D4275,""fi"",""es"")"),"calcetín")</f>
        <v>calcetín</v>
      </c>
    </row>
    <row r="4276">
      <c r="A4276" s="4">
        <v>478.0</v>
      </c>
      <c r="B4276" s="4" t="s">
        <v>9198</v>
      </c>
      <c r="C4276" s="4"/>
      <c r="D4276" s="4" t="s">
        <v>11232</v>
      </c>
      <c r="E4276" s="4" t="s">
        <v>11231</v>
      </c>
      <c r="F4276" s="4" t="s">
        <v>11232</v>
      </c>
      <c r="G4276" s="5" t="str">
        <f>IFERROR(__xludf.DUMMYFUNCTION("GOOGLETRANSLATE(D4276,""fi"",""es"")"),"Soakiyaki")</f>
        <v>Soakiyaki</v>
      </c>
      <c r="H4276" s="4" t="s">
        <v>11232</v>
      </c>
    </row>
    <row r="4277">
      <c r="A4277" s="4">
        <v>479.0</v>
      </c>
      <c r="B4277" s="4" t="s">
        <v>9198</v>
      </c>
      <c r="C4277" s="4"/>
      <c r="D4277" s="4" t="s">
        <v>11233</v>
      </c>
      <c r="E4277" s="4" t="s">
        <v>11234</v>
      </c>
      <c r="F4277" s="4" t="s">
        <v>11233</v>
      </c>
      <c r="G4277" s="5" t="str">
        <f>IFERROR(__xludf.DUMMYFUNCTION("GOOGLETRANSLATE(D4277,""fi"",""es"")"),"familia")</f>
        <v>familia</v>
      </c>
      <c r="H4277" s="4" t="s">
        <v>11235</v>
      </c>
      <c r="I4277" s="4" t="s">
        <v>11236</v>
      </c>
      <c r="J4277" s="4" t="s">
        <v>11237</v>
      </c>
      <c r="K4277" s="4" t="s">
        <v>3817</v>
      </c>
      <c r="L4277" s="4" t="s">
        <v>6438</v>
      </c>
      <c r="M4277" s="4" t="s">
        <v>6439</v>
      </c>
      <c r="N4277" s="4" t="s">
        <v>6440</v>
      </c>
      <c r="O4277" s="4" t="s">
        <v>6441</v>
      </c>
      <c r="P4277" s="4" t="s">
        <v>6442</v>
      </c>
      <c r="Q4277" s="4" t="s">
        <v>2128</v>
      </c>
      <c r="R4277" s="4" t="s">
        <v>11238</v>
      </c>
      <c r="S4277" s="4" t="s">
        <v>11239</v>
      </c>
      <c r="T4277" s="4" t="s">
        <v>11240</v>
      </c>
      <c r="U4277" s="4" t="s">
        <v>11241</v>
      </c>
      <c r="V4277" s="4" t="s">
        <v>11242</v>
      </c>
      <c r="W4277" s="4" t="s">
        <v>11243</v>
      </c>
      <c r="X4277" s="4" t="s">
        <v>2535</v>
      </c>
      <c r="Y4277" s="4" t="s">
        <v>2130</v>
      </c>
      <c r="Z4277" s="4" t="s">
        <v>1438</v>
      </c>
      <c r="AA4277" s="4" t="s">
        <v>10762</v>
      </c>
      <c r="AB4277" s="4" t="s">
        <v>11244</v>
      </c>
      <c r="AC4277" s="4" t="s">
        <v>2128</v>
      </c>
      <c r="AD4277" s="4" t="s">
        <v>2129</v>
      </c>
      <c r="AE4277" s="4" t="s">
        <v>2130</v>
      </c>
      <c r="AF4277" s="4" t="s">
        <v>2125</v>
      </c>
      <c r="AG4277" s="4" t="s">
        <v>2131</v>
      </c>
      <c r="AH4277" s="4" t="s">
        <v>10212</v>
      </c>
    </row>
    <row r="4278">
      <c r="A4278" s="4">
        <v>480.0</v>
      </c>
      <c r="B4278" s="4" t="s">
        <v>9198</v>
      </c>
      <c r="C4278" s="4"/>
      <c r="D4278" s="4" t="s">
        <v>11245</v>
      </c>
      <c r="E4278" s="4" t="s">
        <v>11246</v>
      </c>
      <c r="F4278" s="4" t="s">
        <v>11245</v>
      </c>
      <c r="G4278" s="5" t="str">
        <f>IFERROR(__xludf.DUMMYFUNCTION("GOOGLETRANSLATE(D4278,""fi"",""es"")"),"Ley de apellidos")</f>
        <v>Ley de apellidos</v>
      </c>
    </row>
    <row r="4279">
      <c r="A4279" s="4">
        <v>481.0</v>
      </c>
      <c r="B4279" s="4" t="s">
        <v>9198</v>
      </c>
      <c r="C4279" s="4"/>
      <c r="D4279" s="4" t="s">
        <v>4023</v>
      </c>
      <c r="E4279" s="4" t="s">
        <v>11247</v>
      </c>
      <c r="F4279" s="4" t="s">
        <v>4023</v>
      </c>
      <c r="G4279" s="5" t="str">
        <f>IFERROR(__xludf.DUMMYFUNCTION("GOOGLETRANSLATE(D4279,""fi"",""es"")"),"fundido")</f>
        <v>fundido</v>
      </c>
      <c r="H4279" s="4" t="s">
        <v>11248</v>
      </c>
      <c r="I4279" s="4" t="s">
        <v>11249</v>
      </c>
      <c r="J4279" s="4" t="s">
        <v>11250</v>
      </c>
      <c r="K4279" s="4" t="s">
        <v>11251</v>
      </c>
      <c r="L4279" s="4" t="s">
        <v>11248</v>
      </c>
      <c r="M4279" s="4" t="s">
        <v>11252</v>
      </c>
      <c r="N4279" s="4" t="s">
        <v>11253</v>
      </c>
    </row>
    <row r="4280">
      <c r="A4280" s="4">
        <v>482.0</v>
      </c>
      <c r="B4280" s="4" t="s">
        <v>9198</v>
      </c>
      <c r="C4280" s="4"/>
      <c r="D4280" s="4" t="s">
        <v>11254</v>
      </c>
      <c r="E4280" s="4" t="s">
        <v>11255</v>
      </c>
      <c r="F4280" s="4" t="s">
        <v>11254</v>
      </c>
      <c r="G4280" s="5" t="str">
        <f>IFERROR(__xludf.DUMMYFUNCTION("GOOGLETRANSLATE(D4280,""fi"",""es"")"),"derritiendo")</f>
        <v>derritiendo</v>
      </c>
    </row>
    <row r="4281">
      <c r="A4281" s="4">
        <v>483.0</v>
      </c>
      <c r="B4281" s="4" t="s">
        <v>9198</v>
      </c>
      <c r="C4281" s="4"/>
      <c r="D4281" s="4" t="s">
        <v>11256</v>
      </c>
      <c r="E4281" s="4" t="s">
        <v>11257</v>
      </c>
      <c r="F4281" s="4" t="s">
        <v>11256</v>
      </c>
      <c r="G4281" s="5" t="str">
        <f>IFERROR(__xludf.DUMMYFUNCTION("GOOGLETRANSLATE(D4281,""fi"",""es"")"),"derritiendo")</f>
        <v>derritiendo</v>
      </c>
    </row>
    <row r="4282">
      <c r="A4282" s="4">
        <v>484.0</v>
      </c>
      <c r="B4282" s="4" t="s">
        <v>9198</v>
      </c>
      <c r="C4282" s="4"/>
      <c r="D4282" s="4" t="s">
        <v>11258</v>
      </c>
      <c r="E4282" s="4" t="s">
        <v>11259</v>
      </c>
      <c r="F4282" s="4" t="s">
        <v>11258</v>
      </c>
      <c r="G4282" s="5" t="str">
        <f>IFERROR(__xludf.DUMMYFUNCTION("GOOGLETRANSLATE(D4282,""fi"",""es"")"),"mantillo")</f>
        <v>mantillo</v>
      </c>
    </row>
    <row r="4283">
      <c r="A4283" s="4">
        <v>485.0</v>
      </c>
      <c r="B4283" s="4" t="s">
        <v>9198</v>
      </c>
      <c r="C4283" s="4"/>
      <c r="D4283" s="4" t="s">
        <v>11260</v>
      </c>
      <c r="E4283" s="4" t="s">
        <v>11261</v>
      </c>
      <c r="F4283" s="4" t="s">
        <v>11260</v>
      </c>
      <c r="G4283" s="5" t="str">
        <f>IFERROR(__xludf.DUMMYFUNCTION("GOOGLETRANSLATE(D4283,""fi"",""es"")"),"golpe")</f>
        <v>golpe</v>
      </c>
    </row>
    <row r="4284">
      <c r="A4284" s="4">
        <v>486.0</v>
      </c>
      <c r="B4284" s="4" t="s">
        <v>9198</v>
      </c>
      <c r="C4284" s="4"/>
      <c r="D4284" s="4" t="s">
        <v>4118</v>
      </c>
      <c r="E4284" s="4" t="s">
        <v>11262</v>
      </c>
      <c r="F4284" s="4" t="s">
        <v>4118</v>
      </c>
      <c r="G4284" s="5" t="str">
        <f>IFERROR(__xludf.DUMMYFUNCTION("GOOGLETRANSLATE(D4284,""fi"",""es"")"),"mermelada")</f>
        <v>mermelada</v>
      </c>
      <c r="H4284" s="4" t="s">
        <v>11263</v>
      </c>
      <c r="I4284" s="4" t="s">
        <v>11264</v>
      </c>
    </row>
    <row r="4285">
      <c r="A4285" s="4">
        <v>487.0</v>
      </c>
      <c r="B4285" s="4" t="s">
        <v>9198</v>
      </c>
      <c r="C4285" s="4"/>
      <c r="D4285" s="4" t="s">
        <v>11265</v>
      </c>
      <c r="E4285" s="4" t="s">
        <v>11266</v>
      </c>
      <c r="F4285" s="4" t="s">
        <v>11265</v>
      </c>
      <c r="G4285" s="5" t="str">
        <f>IFERROR(__xludf.DUMMYFUNCTION("GOOGLETRANSLATE(D4285,""fi"",""es"")"),"niebla")</f>
        <v>niebla</v>
      </c>
      <c r="H4285" s="4" t="s">
        <v>11267</v>
      </c>
      <c r="I4285" s="4" t="s">
        <v>11268</v>
      </c>
      <c r="J4285" s="4" t="s">
        <v>11267</v>
      </c>
      <c r="K4285" s="4" t="s">
        <v>11269</v>
      </c>
      <c r="L4285" s="4" t="s">
        <v>11270</v>
      </c>
      <c r="M4285" s="4" t="s">
        <v>11271</v>
      </c>
      <c r="N4285" s="4" t="s">
        <v>11272</v>
      </c>
      <c r="O4285" s="4" t="s">
        <v>11273</v>
      </c>
    </row>
    <row r="4286">
      <c r="A4286" s="4">
        <v>488.0</v>
      </c>
      <c r="B4286" s="4" t="s">
        <v>9198</v>
      </c>
      <c r="C4286" s="4"/>
      <c r="D4286" s="4" t="s">
        <v>11274</v>
      </c>
      <c r="E4286" s="4" t="s">
        <v>11275</v>
      </c>
      <c r="F4286" s="4" t="s">
        <v>11274</v>
      </c>
      <c r="G4286" s="5" t="str">
        <f>IFERROR(__xludf.DUMMYFUNCTION("GOOGLETRANSLATE(D4286,""fi"",""es"")"),"pulverizador")</f>
        <v>pulverizador</v>
      </c>
      <c r="H4286" s="4" t="s">
        <v>11276</v>
      </c>
      <c r="I4286" s="4" t="s">
        <v>11277</v>
      </c>
      <c r="J4286" s="4" t="s">
        <v>11273</v>
      </c>
      <c r="K4286" s="4" t="s">
        <v>11278</v>
      </c>
      <c r="L4286" s="4" t="s">
        <v>11279</v>
      </c>
      <c r="M4286" s="4" t="s">
        <v>11280</v>
      </c>
      <c r="N4286" s="4" t="s">
        <v>11281</v>
      </c>
      <c r="O4286" s="4" t="s">
        <v>11282</v>
      </c>
    </row>
    <row r="4287">
      <c r="A4287" s="4">
        <v>489.0</v>
      </c>
      <c r="B4287" s="4" t="s">
        <v>9198</v>
      </c>
      <c r="C4287" s="4"/>
      <c r="D4287" s="4" t="s">
        <v>11283</v>
      </c>
      <c r="E4287" s="4" t="s">
        <v>11284</v>
      </c>
      <c r="F4287" s="4" t="s">
        <v>11283</v>
      </c>
      <c r="G4287" s="5" t="str">
        <f>IFERROR(__xludf.DUMMYFUNCTION("GOOGLETRANSLATE(D4287,""fi"",""es"")"),"sol")</f>
        <v>sol</v>
      </c>
    </row>
    <row r="4288">
      <c r="A4288" s="4">
        <v>490.0</v>
      </c>
      <c r="B4288" s="4" t="s">
        <v>9198</v>
      </c>
      <c r="C4288" s="4"/>
      <c r="D4288" s="4" t="s">
        <v>11285</v>
      </c>
      <c r="E4288" s="4" t="s">
        <v>11286</v>
      </c>
      <c r="F4288" s="4" t="s">
        <v>11285</v>
      </c>
      <c r="G4288" s="5" t="str">
        <f>IFERROR(__xludf.DUMMYFUNCTION("GOOGLETRANSLATE(D4288,""fi"",""es"")"),"soplo")</f>
        <v>soplo</v>
      </c>
    </row>
    <row r="4289">
      <c r="A4289" s="4">
        <v>491.0</v>
      </c>
      <c r="B4289" s="4" t="s">
        <v>9198</v>
      </c>
      <c r="C4289" s="4"/>
      <c r="D4289" s="4" t="s">
        <v>4156</v>
      </c>
      <c r="E4289" s="4" t="s">
        <v>4155</v>
      </c>
      <c r="F4289" s="4" t="s">
        <v>4156</v>
      </c>
      <c r="G4289" s="5" t="str">
        <f>IFERROR(__xludf.DUMMYFUNCTION("GOOGLETRANSLATE(D4289,""fi"",""es"")"),"mapache")</f>
        <v>mapache</v>
      </c>
      <c r="H4289" s="4" t="s">
        <v>11287</v>
      </c>
      <c r="I4289" s="4" t="s">
        <v>11288</v>
      </c>
      <c r="J4289" s="4" t="s">
        <v>8229</v>
      </c>
      <c r="K4289" s="4" t="s">
        <v>8230</v>
      </c>
      <c r="L4289" s="4" t="s">
        <v>8221</v>
      </c>
      <c r="M4289" s="4" t="s">
        <v>8231</v>
      </c>
      <c r="N4289" s="4" t="s">
        <v>8232</v>
      </c>
    </row>
    <row r="4290">
      <c r="A4290" s="4">
        <v>492.0</v>
      </c>
      <c r="B4290" s="4" t="s">
        <v>9198</v>
      </c>
      <c r="C4290" s="4"/>
      <c r="D4290" s="4" t="s">
        <v>11289</v>
      </c>
      <c r="E4290" s="4" t="s">
        <v>11290</v>
      </c>
      <c r="F4290" s="4" t="s">
        <v>11289</v>
      </c>
      <c r="G4290" s="5" t="str">
        <f>IFERROR(__xludf.DUMMYFUNCTION("GOOGLETRANSLATE(D4290,""fi"",""es"")"),"medio litro")</f>
        <v>medio litro</v>
      </c>
    </row>
    <row r="4291">
      <c r="A4291" s="4">
        <v>493.0</v>
      </c>
      <c r="B4291" s="4" t="s">
        <v>9198</v>
      </c>
      <c r="C4291" s="4"/>
      <c r="D4291" s="4" t="s">
        <v>4152</v>
      </c>
      <c r="E4291" s="4" t="s">
        <v>11291</v>
      </c>
      <c r="F4291" s="4" t="s">
        <v>4152</v>
      </c>
      <c r="G4291" s="5" t="str">
        <f>IFERROR(__xludf.DUMMYFUNCTION("GOOGLETRANSLATE(D4291,""fi"",""es"")"),"murmullo")</f>
        <v>murmullo</v>
      </c>
      <c r="H4291" s="4" t="s">
        <v>9874</v>
      </c>
      <c r="I4291" s="4" t="s">
        <v>9875</v>
      </c>
      <c r="J4291" s="4" t="s">
        <v>9876</v>
      </c>
      <c r="K4291" s="4" t="s">
        <v>9877</v>
      </c>
    </row>
    <row r="4292">
      <c r="A4292" s="4">
        <v>494.0</v>
      </c>
      <c r="B4292" s="4" t="s">
        <v>9198</v>
      </c>
      <c r="C4292" s="4"/>
      <c r="D4292" s="4" t="s">
        <v>11292</v>
      </c>
      <c r="E4292" s="4" t="s">
        <v>11293</v>
      </c>
      <c r="F4292" s="4" t="s">
        <v>11292</v>
      </c>
      <c r="G4292" s="5" t="str">
        <f>IFERROR(__xludf.DUMMYFUNCTION("GOOGLETRANSLATE(D4292,""fi"",""es"")"),"wal")</f>
        <v>wal</v>
      </c>
    </row>
    <row r="4293">
      <c r="A4293" s="4">
        <v>495.0</v>
      </c>
      <c r="B4293" s="4" t="s">
        <v>9198</v>
      </c>
      <c r="C4293" s="4"/>
      <c r="D4293" s="4" t="s">
        <v>7657</v>
      </c>
      <c r="E4293" s="4" t="s">
        <v>8795</v>
      </c>
      <c r="F4293" s="4" t="s">
        <v>7657</v>
      </c>
      <c r="G4293" s="5" t="str">
        <f>IFERROR(__xludf.DUMMYFUNCTION("GOOGLETRANSLATE(D4293,""fi"",""es"")"),"Sushi")</f>
        <v>Sushi</v>
      </c>
      <c r="H4293" s="4" t="s">
        <v>7657</v>
      </c>
    </row>
    <row r="4294">
      <c r="A4294" s="4">
        <v>496.0</v>
      </c>
      <c r="B4294" s="4" t="s">
        <v>9198</v>
      </c>
      <c r="C4294" s="4"/>
      <c r="D4294" s="4" t="s">
        <v>11294</v>
      </c>
      <c r="E4294" s="4" t="s">
        <v>11295</v>
      </c>
      <c r="F4294" s="4" t="s">
        <v>11294</v>
      </c>
      <c r="G4294" s="5" t="str">
        <f>IFERROR(__xludf.DUMMYFUNCTION("GOOGLETRANSLATE(D4294,""fi"",""es"")"),"lobo")</f>
        <v>lobo</v>
      </c>
      <c r="H4294" s="4" t="s">
        <v>664</v>
      </c>
      <c r="I4294" s="4" t="s">
        <v>11296</v>
      </c>
    </row>
    <row r="4295">
      <c r="A4295" s="4">
        <v>497.0</v>
      </c>
      <c r="B4295" s="4" t="s">
        <v>9198</v>
      </c>
      <c r="C4295" s="4"/>
      <c r="D4295" s="4" t="s">
        <v>7639</v>
      </c>
      <c r="E4295" s="4" t="s">
        <v>11297</v>
      </c>
      <c r="F4295" s="4" t="s">
        <v>7639</v>
      </c>
      <c r="G4295" s="5" t="str">
        <f>IFERROR(__xludf.DUMMYFUNCTION("GOOGLETRANSLATE(D4295,""fi"",""es"")"),"cepillo")</f>
        <v>cepillo</v>
      </c>
      <c r="H4295" s="4" t="s">
        <v>11298</v>
      </c>
    </row>
    <row r="4296">
      <c r="A4296" s="4">
        <v>498.0</v>
      </c>
      <c r="B4296" s="4" t="s">
        <v>9198</v>
      </c>
      <c r="C4296" s="4"/>
      <c r="D4296" s="4" t="s">
        <v>11299</v>
      </c>
      <c r="E4296" s="4" t="s">
        <v>8795</v>
      </c>
      <c r="F4296" s="4" t="s">
        <v>7657</v>
      </c>
      <c r="G4296" s="5" t="str">
        <f>IFERROR(__xludf.DUMMYFUNCTION("GOOGLETRANSLATE(D4296,""fi"",""es"")"),"lobo")</f>
        <v>lobo</v>
      </c>
    </row>
    <row r="4297">
      <c r="A4297" s="4">
        <v>499.0</v>
      </c>
      <c r="B4297" s="4" t="s">
        <v>9198</v>
      </c>
      <c r="C4297" s="4"/>
      <c r="D4297" s="4" t="s">
        <v>11300</v>
      </c>
      <c r="E4297" s="4" t="s">
        <v>11301</v>
      </c>
      <c r="F4297" s="4" t="s">
        <v>3861</v>
      </c>
      <c r="G4297" s="5" t="str">
        <f>IFERROR(__xludf.DUMMYFUNCTION("GOOGLETRANSLATE(D4297,""fi"",""es"")"),"tú")</f>
        <v>tú</v>
      </c>
    </row>
    <row r="4298">
      <c r="A4298" s="4">
        <v>500.0</v>
      </c>
      <c r="B4298" s="4" t="s">
        <v>9198</v>
      </c>
      <c r="C4298" s="4"/>
      <c r="D4298" s="4" t="s">
        <v>11302</v>
      </c>
      <c r="E4298" s="4" t="s">
        <v>11303</v>
      </c>
      <c r="F4298" s="4" t="s">
        <v>3881</v>
      </c>
      <c r="G4298" s="5" t="str">
        <f>IFERROR(__xludf.DUMMYFUNCTION("GOOGLETRANSLATE(D4298,""fi"",""es"")"),"cruz de caballo")</f>
        <v>cruz de caballo</v>
      </c>
      <c r="H4298" s="4" t="s">
        <v>11304</v>
      </c>
      <c r="I4298" s="4" t="s">
        <v>11305</v>
      </c>
      <c r="J4298" s="4" t="s">
        <v>11306</v>
      </c>
      <c r="K4298" s="4" t="s">
        <v>11307</v>
      </c>
      <c r="L4298" s="4" t="s">
        <v>11308</v>
      </c>
      <c r="M4298" s="4" t="s">
        <v>11309</v>
      </c>
      <c r="N4298" s="4" t="s">
        <v>11310</v>
      </c>
      <c r="O4298" s="4" t="s">
        <v>11311</v>
      </c>
      <c r="P4298" s="4" t="s">
        <v>11312</v>
      </c>
    </row>
    <row r="4299">
      <c r="A4299" s="4">
        <v>501.0</v>
      </c>
      <c r="B4299" s="4" t="s">
        <v>9198</v>
      </c>
      <c r="C4299" s="4"/>
      <c r="D4299" s="4" t="s">
        <v>11313</v>
      </c>
      <c r="E4299" s="4" t="s">
        <v>11314</v>
      </c>
      <c r="F4299" s="4" t="s">
        <v>11315</v>
      </c>
      <c r="G4299" s="5" t="str">
        <f>IFERROR(__xludf.DUMMYFUNCTION("GOOGLETRANSLATE(D4299,""fi"",""es"")"),"testarudo")</f>
        <v>testarudo</v>
      </c>
    </row>
    <row r="4300">
      <c r="A4300" s="4">
        <v>502.0</v>
      </c>
      <c r="B4300" s="4" t="s">
        <v>9198</v>
      </c>
      <c r="C4300" s="4"/>
      <c r="D4300" s="4" t="s">
        <v>11316</v>
      </c>
      <c r="E4300" s="4" t="s">
        <v>11317</v>
      </c>
      <c r="F4300" s="4" t="s">
        <v>11316</v>
      </c>
      <c r="G4300" s="5" t="str">
        <f>IFERROR(__xludf.DUMMYFUNCTION("GOOGLETRANSLATE(D4300,""fi"",""es"")"),"o")</f>
        <v>o</v>
      </c>
    </row>
    <row r="4301">
      <c r="A4301" s="4">
        <v>503.0</v>
      </c>
      <c r="B4301" s="4" t="s">
        <v>9198</v>
      </c>
      <c r="C4301" s="4"/>
      <c r="D4301" s="4" t="s">
        <v>11318</v>
      </c>
      <c r="E4301" s="4" t="s">
        <v>11319</v>
      </c>
      <c r="F4301" s="4" t="s">
        <v>11320</v>
      </c>
      <c r="G4301" s="5" t="str">
        <f>IFERROR(__xludf.DUMMYFUNCTION("GOOGLETRANSLATE(D4301,""fi"",""es"")"),"comprensión")</f>
        <v>comprensión</v>
      </c>
      <c r="H4301" s="4" t="s">
        <v>11321</v>
      </c>
      <c r="I4301" s="4" t="s">
        <v>11322</v>
      </c>
      <c r="J4301" s="4" t="s">
        <v>11323</v>
      </c>
    </row>
    <row r="4302">
      <c r="A4302" s="4">
        <v>504.0</v>
      </c>
      <c r="B4302" s="4" t="s">
        <v>9198</v>
      </c>
      <c r="C4302" s="4"/>
      <c r="D4302" s="4" t="s">
        <v>4226</v>
      </c>
      <c r="E4302" s="4" t="s">
        <v>11324</v>
      </c>
      <c r="F4302" s="4" t="s">
        <v>4226</v>
      </c>
      <c r="G4302" s="5" t="str">
        <f>IFERROR(__xludf.DUMMYFUNCTION("GOOGLETRANSLATE(D4302,""fi"",""es"")"),"trasero")</f>
        <v>trasero</v>
      </c>
      <c r="H4302" s="4" t="s">
        <v>4226</v>
      </c>
    </row>
    <row r="4303">
      <c r="A4303" s="4">
        <v>505.0</v>
      </c>
      <c r="B4303" s="4" t="s">
        <v>9198</v>
      </c>
      <c r="C4303" s="4"/>
      <c r="D4303" s="4" t="s">
        <v>11325</v>
      </c>
      <c r="E4303" s="4" t="s">
        <v>11326</v>
      </c>
      <c r="F4303" s="4" t="s">
        <v>11325</v>
      </c>
      <c r="G4303" s="5" t="str">
        <f>IFERROR(__xludf.DUMMYFUNCTION("GOOGLETRANSLATE(D4303,""fi"",""es"")"),"caucho trasero")</f>
        <v>caucho trasero</v>
      </c>
    </row>
    <row r="4304">
      <c r="A4304" s="4">
        <v>506.0</v>
      </c>
      <c r="B4304" s="4" t="s">
        <v>9198</v>
      </c>
      <c r="C4304" s="4"/>
      <c r="D4304" s="4" t="s">
        <v>11327</v>
      </c>
      <c r="E4304" s="4" t="s">
        <v>11328</v>
      </c>
      <c r="F4304" s="4" t="s">
        <v>11329</v>
      </c>
      <c r="G4304" s="5" t="str">
        <f>IFERROR(__xludf.DUMMYFUNCTION("GOOGLETRANSLATE(D4304,""fi"",""es"")"),"mochila")</f>
        <v>mochila</v>
      </c>
    </row>
    <row r="4305">
      <c r="A4305" s="4">
        <v>507.0</v>
      </c>
      <c r="B4305" s="4" t="s">
        <v>9198</v>
      </c>
      <c r="C4305" s="4"/>
      <c r="D4305" s="4" t="s">
        <v>11330</v>
      </c>
      <c r="E4305" s="4" t="s">
        <v>11331</v>
      </c>
      <c r="F4305" s="4" t="s">
        <v>11330</v>
      </c>
      <c r="G4305" s="5" t="str">
        <f>IFERROR(__xludf.DUMMYFUNCTION("GOOGLETRANSLATE(D4305,""fi"",""es"")"),"asiento")</f>
        <v>asiento</v>
      </c>
      <c r="H4305" s="4" t="s">
        <v>1609</v>
      </c>
      <c r="I4305" s="4" t="s">
        <v>1631</v>
      </c>
      <c r="J4305" s="4" t="s">
        <v>1632</v>
      </c>
      <c r="K4305" s="4" t="s">
        <v>1616</v>
      </c>
      <c r="L4305" s="4" t="s">
        <v>1618</v>
      </c>
      <c r="M4305" s="4" t="s">
        <v>1602</v>
      </c>
      <c r="N4305" s="4" t="s">
        <v>1603</v>
      </c>
      <c r="O4305" s="4" t="s">
        <v>1604</v>
      </c>
      <c r="P4305" s="4" t="s">
        <v>1605</v>
      </c>
      <c r="Q4305" s="4" t="s">
        <v>1606</v>
      </c>
      <c r="R4305" s="4" t="s">
        <v>1147</v>
      </c>
      <c r="S4305" s="4" t="s">
        <v>1607</v>
      </c>
      <c r="T4305" s="4" t="s">
        <v>1120</v>
      </c>
      <c r="U4305" s="4" t="s">
        <v>1608</v>
      </c>
      <c r="V4305" s="4" t="s">
        <v>1609</v>
      </c>
      <c r="W4305" s="4" t="s">
        <v>1610</v>
      </c>
      <c r="X4305" s="4" t="s">
        <v>1611</v>
      </c>
      <c r="Y4305" s="4" t="s">
        <v>1612</v>
      </c>
      <c r="Z4305" s="4" t="s">
        <v>1613</v>
      </c>
      <c r="AA4305" s="4" t="s">
        <v>1614</v>
      </c>
      <c r="AB4305" s="4" t="s">
        <v>1615</v>
      </c>
      <c r="AC4305" s="4" t="s">
        <v>1616</v>
      </c>
      <c r="AD4305" s="4" t="s">
        <v>1617</v>
      </c>
      <c r="AE4305" s="4" t="s">
        <v>1618</v>
      </c>
      <c r="AF4305" s="4" t="s">
        <v>1619</v>
      </c>
      <c r="AG4305" s="4" t="s">
        <v>1620</v>
      </c>
      <c r="AH4305" s="4" t="s">
        <v>1621</v>
      </c>
      <c r="AI4305" s="4" t="s">
        <v>1622</v>
      </c>
      <c r="AJ4305" s="4" t="s">
        <v>1623</v>
      </c>
      <c r="AK4305" s="4" t="s">
        <v>1624</v>
      </c>
      <c r="AL4305" s="4" t="s">
        <v>1625</v>
      </c>
      <c r="AM4305" s="4" t="s">
        <v>1626</v>
      </c>
      <c r="AN4305" s="4" t="s">
        <v>1627</v>
      </c>
    </row>
    <row r="4306">
      <c r="A4306" s="4">
        <v>508.0</v>
      </c>
      <c r="B4306" s="4" t="s">
        <v>9198</v>
      </c>
      <c r="C4306" s="4"/>
      <c r="D4306" s="4" t="s">
        <v>11332</v>
      </c>
      <c r="E4306" s="4" t="s">
        <v>11333</v>
      </c>
      <c r="F4306" s="4" t="s">
        <v>11332</v>
      </c>
      <c r="G4306" s="5" t="str">
        <f>IFERROR(__xludf.DUMMYFUNCTION("GOOGLETRANSLATE(D4306,""fi"",""es"")"),"tela doble")</f>
        <v>tela doble</v>
      </c>
      <c r="H4306" s="4" t="s">
        <v>1624</v>
      </c>
      <c r="I4306" s="4" t="s">
        <v>1624</v>
      </c>
      <c r="J4306" s="4" t="s">
        <v>11334</v>
      </c>
    </row>
    <row r="4307">
      <c r="A4307" s="4">
        <v>509.0</v>
      </c>
      <c r="B4307" s="4" t="s">
        <v>9198</v>
      </c>
      <c r="C4307" s="4"/>
      <c r="D4307" s="4" t="s">
        <v>11335</v>
      </c>
      <c r="E4307" s="4" t="s">
        <v>11336</v>
      </c>
      <c r="F4307" s="4" t="s">
        <v>11337</v>
      </c>
      <c r="G4307" s="5" t="str">
        <f>IFERROR(__xludf.DUMMYFUNCTION("GOOGLETRANSLATE(D4307,""fi"",""es"")"),"espalda")</f>
        <v>espalda</v>
      </c>
    </row>
    <row r="4308">
      <c r="A4308" s="4">
        <v>510.0</v>
      </c>
      <c r="B4308" s="4" t="s">
        <v>9198</v>
      </c>
      <c r="C4308" s="4"/>
      <c r="D4308" s="4" t="s">
        <v>11338</v>
      </c>
      <c r="E4308" s="4" t="s">
        <v>11339</v>
      </c>
      <c r="F4308" s="4" t="s">
        <v>11338</v>
      </c>
      <c r="G4308" s="5" t="str">
        <f>IFERROR(__xludf.DUMMYFUNCTION("GOOGLETRANSLATE(D4308,""fi"",""es"")"),"talas")</f>
        <v>talas</v>
      </c>
    </row>
    <row r="4309">
      <c r="A4309" s="4">
        <v>511.0</v>
      </c>
      <c r="B4309" s="4" t="s">
        <v>9198</v>
      </c>
      <c r="C4309" s="4"/>
      <c r="D4309" s="4" t="s">
        <v>7717</v>
      </c>
      <c r="E4309" s="4" t="s">
        <v>11340</v>
      </c>
      <c r="F4309" s="4" t="s">
        <v>7717</v>
      </c>
      <c r="G4309" s="5" t="str">
        <f>IFERROR(__xludf.DUMMYFUNCTION("GOOGLETRANSLATE(D4309,""fi"",""es"")"),"sebo")</f>
        <v>sebo</v>
      </c>
      <c r="H4309" s="4" t="s">
        <v>11341</v>
      </c>
      <c r="I4309" s="4" t="s">
        <v>11342</v>
      </c>
    </row>
    <row r="4310">
      <c r="A4310" s="4">
        <v>512.0</v>
      </c>
      <c r="B4310" s="4" t="s">
        <v>9198</v>
      </c>
      <c r="C4310" s="4"/>
      <c r="D4310" s="4" t="s">
        <v>11343</v>
      </c>
      <c r="E4310" s="4" t="s">
        <v>11344</v>
      </c>
      <c r="F4310" s="4" t="s">
        <v>11343</v>
      </c>
      <c r="G4310" s="5" t="str">
        <f>IFERROR(__xludf.DUMMYFUNCTION("GOOGLETRANSLATE(D4310,""fi"",""es"")"),"Correa")</f>
        <v>Correa</v>
      </c>
    </row>
    <row r="4311">
      <c r="A4311" s="4">
        <v>513.0</v>
      </c>
      <c r="B4311" s="4" t="s">
        <v>9198</v>
      </c>
      <c r="C4311" s="4"/>
      <c r="D4311" s="4" t="s">
        <v>4330</v>
      </c>
      <c r="E4311" s="4" t="s">
        <v>11345</v>
      </c>
      <c r="F4311" s="4" t="s">
        <v>4330</v>
      </c>
      <c r="G4311" s="5" t="str">
        <f>IFERROR(__xludf.DUMMYFUNCTION("GOOGLETRANSLATE(D4311,""fi"",""es"")"),"camino")</f>
        <v>camino</v>
      </c>
      <c r="H4311" s="4" t="s">
        <v>11346</v>
      </c>
      <c r="I4311" s="4" t="s">
        <v>11347</v>
      </c>
      <c r="J4311" s="4" t="s">
        <v>1111</v>
      </c>
      <c r="K4311" s="4" t="s">
        <v>11348</v>
      </c>
      <c r="L4311" s="4" t="s">
        <v>11349</v>
      </c>
      <c r="M4311" s="4" t="s">
        <v>4794</v>
      </c>
      <c r="N4311" s="4" t="s">
        <v>4795</v>
      </c>
      <c r="O4311" s="4" t="s">
        <v>4796</v>
      </c>
      <c r="P4311" s="4" t="s">
        <v>4804</v>
      </c>
      <c r="Q4311" s="4" t="s">
        <v>4799</v>
      </c>
      <c r="R4311" s="4" t="s">
        <v>11350</v>
      </c>
      <c r="S4311" s="4" t="s">
        <v>11351</v>
      </c>
      <c r="T4311" s="4" t="s">
        <v>4330</v>
      </c>
      <c r="U4311" s="4" t="s">
        <v>4337</v>
      </c>
      <c r="V4311" s="4" t="s">
        <v>11352</v>
      </c>
      <c r="W4311" s="4" t="s">
        <v>11353</v>
      </c>
      <c r="X4311" s="4" t="s">
        <v>11354</v>
      </c>
      <c r="Y4311" s="4" t="s">
        <v>1111</v>
      </c>
      <c r="Z4311" s="4" t="s">
        <v>11351</v>
      </c>
      <c r="AA4311" s="4" t="s">
        <v>11348</v>
      </c>
      <c r="AB4311" s="4" t="s">
        <v>4794</v>
      </c>
      <c r="AC4311" s="4" t="s">
        <v>11355</v>
      </c>
      <c r="AD4311" s="4" t="s">
        <v>11356</v>
      </c>
      <c r="AE4311" s="4" t="s">
        <v>11357</v>
      </c>
      <c r="AF4311" s="4" t="s">
        <v>11349</v>
      </c>
      <c r="AG4311" s="4" t="s">
        <v>11358</v>
      </c>
      <c r="AH4311" s="4" t="s">
        <v>11359</v>
      </c>
      <c r="AI4311" s="4" t="s">
        <v>4804</v>
      </c>
      <c r="AJ4311" s="4" t="s">
        <v>4805</v>
      </c>
      <c r="AK4311" s="4" t="s">
        <v>11360</v>
      </c>
      <c r="AL4311" s="4" t="s">
        <v>8088</v>
      </c>
      <c r="AM4311" s="4" t="s">
        <v>4330</v>
      </c>
      <c r="AN4311" s="4" t="s">
        <v>4336</v>
      </c>
      <c r="AO4311" s="4" t="s">
        <v>4337</v>
      </c>
      <c r="AP4311" s="4" t="s">
        <v>4338</v>
      </c>
    </row>
    <row r="4312">
      <c r="A4312" s="4">
        <v>514.0</v>
      </c>
      <c r="B4312" s="4" t="s">
        <v>9198</v>
      </c>
      <c r="C4312" s="4"/>
      <c r="D4312" s="4" t="s">
        <v>11361</v>
      </c>
      <c r="E4312" s="4" t="s">
        <v>11362</v>
      </c>
      <c r="F4312" s="4" t="s">
        <v>11361</v>
      </c>
      <c r="G4312" s="5" t="str">
        <f>IFERROR(__xludf.DUMMYFUNCTION("GOOGLETRANSLATE(D4312,""fi"",""es"")"),"Tapani")</f>
        <v>Tapani</v>
      </c>
    </row>
    <row r="4313">
      <c r="A4313" s="4">
        <v>515.0</v>
      </c>
      <c r="B4313" s="4" t="s">
        <v>9198</v>
      </c>
      <c r="C4313" s="4"/>
      <c r="D4313" s="4" t="s">
        <v>7766</v>
      </c>
      <c r="E4313" s="4" t="s">
        <v>11363</v>
      </c>
      <c r="F4313" s="4" t="s">
        <v>7766</v>
      </c>
      <c r="G4313" s="5" t="str">
        <f>IFERROR(__xludf.DUMMYFUNCTION("GOOGLETRANSLATE(D4313,""fi"",""es"")"),"tocar")</f>
        <v>tocar</v>
      </c>
    </row>
    <row r="4314">
      <c r="A4314" s="4">
        <v>516.0</v>
      </c>
      <c r="B4314" s="4" t="s">
        <v>9198</v>
      </c>
      <c r="C4314" s="4"/>
      <c r="D4314" s="4" t="s">
        <v>11364</v>
      </c>
      <c r="E4314" s="4" t="s">
        <v>11365</v>
      </c>
      <c r="F4314" s="4" t="s">
        <v>11364</v>
      </c>
      <c r="G4314" s="5" t="str">
        <f>IFERROR(__xludf.DUMMYFUNCTION("GOOGLETRANSLATE(D4314,""fi"",""es"")"),"cinta adhesiva")</f>
        <v>cinta adhesiva</v>
      </c>
      <c r="H4314" s="4" t="s">
        <v>11366</v>
      </c>
    </row>
    <row r="4315">
      <c r="A4315" s="4">
        <v>517.0</v>
      </c>
      <c r="B4315" s="4" t="s">
        <v>9198</v>
      </c>
      <c r="C4315" s="4"/>
      <c r="D4315" s="4" t="s">
        <v>11367</v>
      </c>
      <c r="E4315" s="4" t="s">
        <v>11368</v>
      </c>
      <c r="F4315" s="4" t="s">
        <v>11367</v>
      </c>
      <c r="G4315" s="5" t="str">
        <f>IFERROR(__xludf.DUMMYFUNCTION("GOOGLETRANSLATE(D4315,""fi"",""es"")"),"campanario")</f>
        <v>campanario</v>
      </c>
    </row>
    <row r="4316">
      <c r="A4316" s="4">
        <v>518.0</v>
      </c>
      <c r="B4316" s="4" t="s">
        <v>9198</v>
      </c>
      <c r="C4316" s="4"/>
      <c r="D4316" s="4" t="s">
        <v>11369</v>
      </c>
      <c r="E4316" s="4" t="s">
        <v>11370</v>
      </c>
      <c r="F4316" s="4" t="s">
        <v>11369</v>
      </c>
      <c r="G4316" s="5" t="str">
        <f>IFERROR(__xludf.DUMMYFUNCTION("GOOGLETRANSLATE(D4316,""fi"",""es"")"),"aplausos")</f>
        <v>aplausos</v>
      </c>
      <c r="H4316" s="4" t="s">
        <v>4321</v>
      </c>
      <c r="I4316" s="4" t="s">
        <v>7753</v>
      </c>
      <c r="J4316" s="4" t="s">
        <v>7759</v>
      </c>
    </row>
    <row r="4317">
      <c r="A4317" s="4">
        <v>519.0</v>
      </c>
      <c r="B4317" s="4" t="s">
        <v>9198</v>
      </c>
      <c r="C4317" s="4"/>
      <c r="D4317" s="4" t="s">
        <v>4377</v>
      </c>
      <c r="E4317" s="4" t="s">
        <v>11371</v>
      </c>
      <c r="F4317" s="4" t="s">
        <v>4377</v>
      </c>
      <c r="G4317" s="5" t="str">
        <f>IFERROR(__xludf.DUMMYFUNCTION("GOOGLETRANSLATE(D4317,""fi"",""es"")"),"incluso")</f>
        <v>incluso</v>
      </c>
    </row>
    <row r="4318">
      <c r="A4318" s="4">
        <v>520.0</v>
      </c>
      <c r="B4318" s="4" t="s">
        <v>9198</v>
      </c>
      <c r="C4318" s="4"/>
      <c r="D4318" s="4" t="s">
        <v>11372</v>
      </c>
      <c r="E4318" s="4" t="s">
        <v>11373</v>
      </c>
      <c r="F4318" s="4" t="s">
        <v>11372</v>
      </c>
      <c r="G4318" s="5" t="str">
        <f>IFERROR(__xludf.DUMMYFUNCTION("GOOGLETRANSLATE(D4318,""fi"",""es"")"),"incluso")</f>
        <v>incluso</v>
      </c>
    </row>
    <row r="4319">
      <c r="A4319" s="4">
        <v>521.0</v>
      </c>
      <c r="B4319" s="4" t="s">
        <v>9198</v>
      </c>
      <c r="C4319" s="4"/>
      <c r="D4319" s="4" t="s">
        <v>11374</v>
      </c>
      <c r="E4319" s="4" t="s">
        <v>11375</v>
      </c>
      <c r="F4319" s="4" t="s">
        <v>11374</v>
      </c>
      <c r="G4319" s="5" t="str">
        <f>IFERROR(__xludf.DUMMYFUNCTION("GOOGLETRANSLATE(D4319,""fi"",""es"")"),"igualmente")</f>
        <v>igualmente</v>
      </c>
      <c r="H4319" s="4" t="s">
        <v>11376</v>
      </c>
      <c r="I4319" s="4" t="s">
        <v>11377</v>
      </c>
      <c r="J4319" s="4" t="s">
        <v>5871</v>
      </c>
    </row>
    <row r="4320">
      <c r="A4320" s="4">
        <v>522.0</v>
      </c>
      <c r="B4320" s="4" t="s">
        <v>9198</v>
      </c>
      <c r="C4320" s="4"/>
      <c r="D4320" s="4" t="s">
        <v>11378</v>
      </c>
      <c r="E4320" s="4" t="s">
        <v>11379</v>
      </c>
      <c r="F4320" s="4" t="s">
        <v>11378</v>
      </c>
      <c r="G4320" s="5" t="str">
        <f>IFERROR(__xludf.DUMMYFUNCTION("GOOGLETRANSLATE(D4320,""fi"",""es"")"),"tatu")</f>
        <v>tatu</v>
      </c>
    </row>
    <row r="4321">
      <c r="A4321" s="4">
        <v>523.0</v>
      </c>
      <c r="B4321" s="4" t="s">
        <v>9198</v>
      </c>
      <c r="C4321" s="4"/>
      <c r="D4321" s="4" t="s">
        <v>422</v>
      </c>
      <c r="E4321" s="4" t="s">
        <v>421</v>
      </c>
      <c r="F4321" s="4" t="s">
        <v>422</v>
      </c>
      <c r="G4321" s="5" t="str">
        <f>IFERROR(__xludf.DUMMYFUNCTION("GOOGLETRANSLATE(D4321,""fi"",""es"")"),"Mar")</f>
        <v>Mar</v>
      </c>
      <c r="H4321" s="4" t="s">
        <v>4467</v>
      </c>
      <c r="I4321" s="4" t="s">
        <v>4468</v>
      </c>
      <c r="J4321" s="4" t="s">
        <v>4469</v>
      </c>
      <c r="K4321" s="4" t="s">
        <v>11380</v>
      </c>
      <c r="L4321" s="4" t="s">
        <v>11381</v>
      </c>
    </row>
    <row r="4322">
      <c r="A4322" s="4">
        <v>524.0</v>
      </c>
      <c r="B4322" s="4" t="s">
        <v>9198</v>
      </c>
      <c r="C4322" s="4"/>
      <c r="D4322" s="4" t="s">
        <v>11382</v>
      </c>
      <c r="E4322" s="4" t="s">
        <v>11383</v>
      </c>
      <c r="F4322" s="4" t="s">
        <v>11382</v>
      </c>
      <c r="G4322" s="5" t="str">
        <f>IFERROR(__xludf.DUMMYFUNCTION("GOOGLETRANSLATE(D4322,""fi"",""es"")"),"escalera")</f>
        <v>escalera</v>
      </c>
    </row>
    <row r="4323">
      <c r="A4323" s="4">
        <v>525.0</v>
      </c>
      <c r="B4323" s="4" t="s">
        <v>9198</v>
      </c>
      <c r="C4323" s="4"/>
      <c r="D4323" s="4" t="s">
        <v>11384</v>
      </c>
      <c r="E4323" s="4" t="s">
        <v>11385</v>
      </c>
      <c r="F4323" s="4" t="s">
        <v>11384</v>
      </c>
      <c r="G4323" s="5" t="str">
        <f>IFERROR(__xludf.DUMMYFUNCTION("GOOGLETRANSLATE(D4323,""fi"",""es"")"),"grapa")</f>
        <v>grapa</v>
      </c>
    </row>
    <row r="4324">
      <c r="A4324" s="4">
        <v>526.0</v>
      </c>
      <c r="B4324" s="4" t="s">
        <v>9198</v>
      </c>
      <c r="C4324" s="4"/>
      <c r="D4324" s="4" t="s">
        <v>11386</v>
      </c>
      <c r="E4324" s="4" t="s">
        <v>11387</v>
      </c>
      <c r="F4324" s="4" t="s">
        <v>11386</v>
      </c>
      <c r="G4324" s="5" t="str">
        <f>IFERROR(__xludf.DUMMYFUNCTION("GOOGLETRANSLATE(D4324,""fi"",""es"")"),"estado")</f>
        <v>estado</v>
      </c>
      <c r="H4324" s="4" t="s">
        <v>11388</v>
      </c>
      <c r="I4324" s="4" t="s">
        <v>11389</v>
      </c>
      <c r="J4324" s="4" t="s">
        <v>11156</v>
      </c>
      <c r="K4324" s="4" t="s">
        <v>11157</v>
      </c>
      <c r="L4324" s="4" t="s">
        <v>11158</v>
      </c>
      <c r="M4324" s="4" t="s">
        <v>11159</v>
      </c>
      <c r="N4324" s="4" t="s">
        <v>11390</v>
      </c>
      <c r="O4324" s="4" t="s">
        <v>11391</v>
      </c>
      <c r="P4324" s="4" t="s">
        <v>11392</v>
      </c>
      <c r="Q4324" s="4" t="s">
        <v>11393</v>
      </c>
      <c r="R4324" s="4" t="s">
        <v>11394</v>
      </c>
      <c r="S4324" s="4" t="s">
        <v>11158</v>
      </c>
      <c r="T4324" s="4" t="s">
        <v>11158</v>
      </c>
      <c r="U4324" s="4" t="s">
        <v>11395</v>
      </c>
      <c r="V4324" s="4" t="s">
        <v>11393</v>
      </c>
      <c r="W4324" s="4" t="s">
        <v>11396</v>
      </c>
      <c r="X4324" s="4" t="s">
        <v>11397</v>
      </c>
      <c r="Y4324" s="4" t="s">
        <v>11398</v>
      </c>
      <c r="Z4324" s="4" t="s">
        <v>11399</v>
      </c>
      <c r="AA4324" s="4" t="s">
        <v>11400</v>
      </c>
      <c r="AB4324" s="4" t="s">
        <v>11401</v>
      </c>
      <c r="AC4324" s="4" t="s">
        <v>11402</v>
      </c>
      <c r="AD4324" s="4" t="s">
        <v>11403</v>
      </c>
      <c r="AE4324" s="4" t="s">
        <v>11391</v>
      </c>
      <c r="AF4324" s="4" t="s">
        <v>11404</v>
      </c>
      <c r="AG4324" s="4" t="s">
        <v>1111</v>
      </c>
      <c r="AH4324" s="4" t="s">
        <v>11405</v>
      </c>
      <c r="AI4324" s="4" t="s">
        <v>11406</v>
      </c>
      <c r="AJ4324" s="4" t="s">
        <v>11406</v>
      </c>
      <c r="AK4324" s="4" t="s">
        <v>11407</v>
      </c>
      <c r="AL4324" s="4" t="s">
        <v>11353</v>
      </c>
      <c r="AM4324" s="4" t="s">
        <v>11408</v>
      </c>
      <c r="AN4324" s="4" t="s">
        <v>11409</v>
      </c>
      <c r="AO4324" s="4" t="s">
        <v>11388</v>
      </c>
      <c r="AP4324" s="4" t="s">
        <v>11410</v>
      </c>
      <c r="AQ4324" s="4" t="s">
        <v>11406</v>
      </c>
      <c r="AR4324" s="4" t="s">
        <v>6027</v>
      </c>
    </row>
    <row r="4325">
      <c r="A4325" s="4">
        <v>527.0</v>
      </c>
      <c r="B4325" s="4" t="s">
        <v>9198</v>
      </c>
      <c r="C4325" s="4"/>
      <c r="D4325" s="4" t="s">
        <v>7862</v>
      </c>
      <c r="E4325" s="4" t="s">
        <v>11411</v>
      </c>
      <c r="F4325" s="4" t="s">
        <v>7862</v>
      </c>
      <c r="G4325" s="5" t="str">
        <f>IFERROR(__xludf.DUMMYFUNCTION("GOOGLETRANSLATE(D4325,""fi"",""es"")"),"cuenta")</f>
        <v>cuenta</v>
      </c>
      <c r="H4325" s="4" t="s">
        <v>11412</v>
      </c>
      <c r="I4325" s="4" t="s">
        <v>11413</v>
      </c>
      <c r="J4325" s="4" t="s">
        <v>11414</v>
      </c>
      <c r="K4325" s="4" t="s">
        <v>11413</v>
      </c>
      <c r="L4325" s="4" t="s">
        <v>11415</v>
      </c>
    </row>
    <row r="4326">
      <c r="A4326" s="4">
        <v>528.0</v>
      </c>
      <c r="B4326" s="4" t="s">
        <v>9198</v>
      </c>
      <c r="C4326" s="4"/>
      <c r="D4326" s="4" t="s">
        <v>11416</v>
      </c>
      <c r="E4326" s="4" t="s">
        <v>11417</v>
      </c>
      <c r="F4326" s="4" t="s">
        <v>11416</v>
      </c>
      <c r="G4326" s="5" t="str">
        <f>IFERROR(__xludf.DUMMYFUNCTION("GOOGLETRANSLATE(D4326,""fi"",""es"")"),"pedazo de tierra")</f>
        <v>pedazo de tierra</v>
      </c>
    </row>
    <row r="4327">
      <c r="A4327" s="4">
        <v>529.0</v>
      </c>
      <c r="B4327" s="4" t="s">
        <v>9198</v>
      </c>
      <c r="C4327" s="4"/>
      <c r="D4327" s="4" t="s">
        <v>11418</v>
      </c>
      <c r="E4327" s="4" t="s">
        <v>11419</v>
      </c>
      <c r="F4327" s="4" t="s">
        <v>11418</v>
      </c>
      <c r="G4327" s="5" t="str">
        <f>IFERROR(__xludf.DUMMYFUNCTION("GOOGLETRANSLATE(D4327,""fi"",""es"")"),"tomillo")</f>
        <v>tomillo</v>
      </c>
      <c r="H4327" s="4" t="s">
        <v>11420</v>
      </c>
      <c r="I4327" s="4" t="s">
        <v>11421</v>
      </c>
    </row>
    <row r="4328">
      <c r="A4328" s="4">
        <v>530.0</v>
      </c>
      <c r="B4328" s="4" t="s">
        <v>9198</v>
      </c>
      <c r="C4328" s="4"/>
      <c r="D4328" s="4" t="s">
        <v>5587</v>
      </c>
      <c r="E4328" s="4" t="s">
        <v>11422</v>
      </c>
      <c r="F4328" s="4" t="s">
        <v>5587</v>
      </c>
      <c r="G4328" s="5" t="str">
        <f>IFERROR(__xludf.DUMMYFUNCTION("GOOGLETRANSLATE(D4328,""fi"",""es"")"),"estaño")</f>
        <v>estaño</v>
      </c>
      <c r="H4328" s="4" t="s">
        <v>5944</v>
      </c>
      <c r="I4328" s="4" t="s">
        <v>7867</v>
      </c>
      <c r="J4328" s="4" t="s">
        <v>7868</v>
      </c>
      <c r="K4328" s="4" t="s">
        <v>11423</v>
      </c>
    </row>
    <row r="4329">
      <c r="A4329" s="4">
        <v>531.0</v>
      </c>
      <c r="B4329" s="4" t="s">
        <v>9198</v>
      </c>
      <c r="C4329" s="4"/>
      <c r="D4329" s="4" t="s">
        <v>11424</v>
      </c>
      <c r="E4329" s="4" t="s">
        <v>11425</v>
      </c>
      <c r="F4329" s="4" t="s">
        <v>11426</v>
      </c>
      <c r="G4329" s="5" t="str">
        <f>IFERROR(__xludf.DUMMYFUNCTION("GOOGLETRANSLATE(D4329,""fi"",""es"")"),"estaño")</f>
        <v>estaño</v>
      </c>
    </row>
    <row r="4330">
      <c r="A4330" s="4">
        <v>532.0</v>
      </c>
      <c r="B4330" s="4" t="s">
        <v>9198</v>
      </c>
      <c r="C4330" s="4"/>
      <c r="D4330" s="4" t="s">
        <v>11427</v>
      </c>
      <c r="E4330" s="4" t="s">
        <v>11428</v>
      </c>
      <c r="F4330" s="4" t="s">
        <v>11427</v>
      </c>
      <c r="G4330" s="5" t="str">
        <f>IFERROR(__xludf.DUMMYFUNCTION("GOOGLETRANSLATE(D4330,""fi"",""es"")"),"estaño")</f>
        <v>estaño</v>
      </c>
    </row>
    <row r="4331">
      <c r="A4331" s="4">
        <v>533.0</v>
      </c>
      <c r="B4331" s="4" t="s">
        <v>9198</v>
      </c>
      <c r="C4331" s="4"/>
      <c r="D4331" s="4" t="s">
        <v>11429</v>
      </c>
      <c r="E4331" s="4" t="s">
        <v>11430</v>
      </c>
      <c r="F4331" s="4" t="s">
        <v>11429</v>
      </c>
      <c r="G4331" s="5" t="str">
        <f>IFERROR(__xludf.DUMMYFUNCTION("GOOGLETRANSLATE(D4331,""fi"",""es"")"),"polluelo")</f>
        <v>polluelo</v>
      </c>
      <c r="H4331" s="4" t="s">
        <v>11431</v>
      </c>
      <c r="I4331" s="4" t="s">
        <v>11432</v>
      </c>
      <c r="J4331" s="4" t="s">
        <v>11433</v>
      </c>
      <c r="K4331" s="4" t="s">
        <v>11434</v>
      </c>
      <c r="L4331" s="4" t="s">
        <v>11435</v>
      </c>
      <c r="M4331" s="4" t="s">
        <v>9966</v>
      </c>
      <c r="N4331" s="4" t="s">
        <v>6702</v>
      </c>
      <c r="O4331" s="4" t="s">
        <v>2984</v>
      </c>
      <c r="P4331" s="4" t="s">
        <v>11436</v>
      </c>
      <c r="Q4331" s="4" t="s">
        <v>11437</v>
      </c>
      <c r="R4331" s="4" t="s">
        <v>11435</v>
      </c>
      <c r="S4331" s="4" t="s">
        <v>5515</v>
      </c>
      <c r="T4331" s="4" t="s">
        <v>11429</v>
      </c>
      <c r="U4331" s="4" t="s">
        <v>11438</v>
      </c>
      <c r="V4331" s="4" t="s">
        <v>11439</v>
      </c>
      <c r="W4331" s="4" t="s">
        <v>11440</v>
      </c>
    </row>
    <row r="4332">
      <c r="A4332" s="4">
        <v>534.0</v>
      </c>
      <c r="B4332" s="4" t="s">
        <v>9198</v>
      </c>
      <c r="C4332" s="4"/>
      <c r="D4332" s="4" t="s">
        <v>9181</v>
      </c>
      <c r="E4332" s="4" t="s">
        <v>11441</v>
      </c>
      <c r="F4332" s="4" t="s">
        <v>9181</v>
      </c>
      <c r="G4332" s="5" t="str">
        <f>IFERROR(__xludf.DUMMYFUNCTION("GOOGLETRANSLATE(D4332,""fi"",""es"")"),"polluelo")</f>
        <v>polluelo</v>
      </c>
    </row>
    <row r="4333">
      <c r="A4333" s="4">
        <v>535.0</v>
      </c>
      <c r="B4333" s="4" t="s">
        <v>9198</v>
      </c>
      <c r="C4333" s="4"/>
      <c r="D4333" s="4" t="s">
        <v>11442</v>
      </c>
      <c r="E4333" s="4" t="s">
        <v>11443</v>
      </c>
      <c r="F4333" s="4" t="s">
        <v>11442</v>
      </c>
      <c r="G4333" s="5" t="str">
        <f>IFERROR(__xludf.DUMMYFUNCTION("GOOGLETRANSLATE(D4333,""fi"",""es"")"),"cuentagotas")</f>
        <v>cuentagotas</v>
      </c>
    </row>
    <row r="4334">
      <c r="A4334" s="4">
        <v>536.0</v>
      </c>
      <c r="B4334" s="4" t="s">
        <v>9198</v>
      </c>
      <c r="C4334" s="4"/>
      <c r="D4334" s="4" t="s">
        <v>11444</v>
      </c>
      <c r="E4334" s="4" t="s">
        <v>11445</v>
      </c>
      <c r="F4334" s="4" t="s">
        <v>11444</v>
      </c>
      <c r="G4334" s="5" t="str">
        <f>IFERROR(__xludf.DUMMYFUNCTION("GOOGLETRANSLATE(D4334,""fi"",""es"")"),"duro")</f>
        <v>duro</v>
      </c>
      <c r="H4334" s="4" t="s">
        <v>10815</v>
      </c>
      <c r="I4334" s="4" t="s">
        <v>10816</v>
      </c>
      <c r="J4334" s="4" t="s">
        <v>10817</v>
      </c>
      <c r="K4334" s="4" t="s">
        <v>11446</v>
      </c>
    </row>
    <row r="4335">
      <c r="A4335" s="4">
        <v>537.0</v>
      </c>
      <c r="B4335" s="4" t="s">
        <v>9198</v>
      </c>
      <c r="C4335" s="4"/>
      <c r="D4335" s="4" t="s">
        <v>11447</v>
      </c>
      <c r="E4335" s="4" t="s">
        <v>11448</v>
      </c>
      <c r="F4335" s="4" t="s">
        <v>11447</v>
      </c>
      <c r="G4335" s="5" t="str">
        <f>IFERROR(__xludf.DUMMYFUNCTION("GOOGLETRANSLATE(D4335,""fi"",""es"")"),"apoyo")</f>
        <v>apoyo</v>
      </c>
      <c r="H4335" s="4" t="s">
        <v>11449</v>
      </c>
      <c r="I4335" s="4" t="s">
        <v>1651</v>
      </c>
      <c r="J4335" s="4" t="s">
        <v>9329</v>
      </c>
      <c r="K4335" s="4" t="s">
        <v>9330</v>
      </c>
      <c r="L4335" s="4" t="s">
        <v>9331</v>
      </c>
      <c r="M4335" s="4" t="s">
        <v>2858</v>
      </c>
      <c r="N4335" s="4" t="s">
        <v>9332</v>
      </c>
      <c r="O4335" s="4" t="s">
        <v>11450</v>
      </c>
      <c r="P4335" s="4" t="s">
        <v>4753</v>
      </c>
      <c r="Q4335" s="4" t="s">
        <v>714</v>
      </c>
      <c r="R4335" s="4" t="s">
        <v>11451</v>
      </c>
      <c r="S4335" s="4" t="s">
        <v>11452</v>
      </c>
      <c r="T4335" s="4" t="s">
        <v>11453</v>
      </c>
      <c r="U4335" s="4" t="s">
        <v>9191</v>
      </c>
      <c r="V4335" s="4" t="s">
        <v>11454</v>
      </c>
      <c r="W4335" s="4" t="s">
        <v>10435</v>
      </c>
      <c r="X4335" s="4" t="s">
        <v>10436</v>
      </c>
      <c r="Y4335" s="4" t="s">
        <v>11451</v>
      </c>
      <c r="Z4335" s="4" t="s">
        <v>11455</v>
      </c>
      <c r="AA4335" s="4" t="s">
        <v>11456</v>
      </c>
      <c r="AB4335" s="4" t="s">
        <v>11457</v>
      </c>
      <c r="AC4335" s="4" t="s">
        <v>11458</v>
      </c>
      <c r="AD4335" s="4" t="s">
        <v>11459</v>
      </c>
      <c r="AE4335" s="4" t="s">
        <v>11460</v>
      </c>
      <c r="AF4335" s="4" t="s">
        <v>11461</v>
      </c>
      <c r="AG4335" s="4" t="s">
        <v>11451</v>
      </c>
      <c r="AH4335" s="4" t="s">
        <v>11462</v>
      </c>
      <c r="AI4335" s="4" t="s">
        <v>11463</v>
      </c>
      <c r="AJ4335" s="4" t="s">
        <v>11464</v>
      </c>
      <c r="AK4335" s="4" t="s">
        <v>11449</v>
      </c>
      <c r="AL4335" s="4" t="s">
        <v>11465</v>
      </c>
      <c r="AM4335" s="4" t="s">
        <v>10425</v>
      </c>
      <c r="AN4335" s="4" t="s">
        <v>10425</v>
      </c>
      <c r="AO4335" s="4" t="s">
        <v>11466</v>
      </c>
      <c r="AP4335" s="4" t="s">
        <v>11451</v>
      </c>
      <c r="AQ4335" s="4" t="s">
        <v>11467</v>
      </c>
      <c r="AR4335" s="4" t="s">
        <v>11468</v>
      </c>
      <c r="AS4335" s="4" t="s">
        <v>11469</v>
      </c>
      <c r="AT4335" s="4" t="s">
        <v>11470</v>
      </c>
      <c r="AU4335" s="4" t="s">
        <v>11471</v>
      </c>
      <c r="AV4335" s="4" t="s">
        <v>11451</v>
      </c>
      <c r="AW4335" s="4" t="s">
        <v>11472</v>
      </c>
      <c r="AX4335" s="4" t="s">
        <v>11473</v>
      </c>
      <c r="AY4335" s="4" t="s">
        <v>11452</v>
      </c>
      <c r="AZ4335" s="4" t="s">
        <v>11474</v>
      </c>
    </row>
    <row r="4336">
      <c r="A4336" s="4">
        <v>538.0</v>
      </c>
      <c r="B4336" s="4" t="s">
        <v>9198</v>
      </c>
      <c r="C4336" s="4"/>
      <c r="D4336" s="4" t="s">
        <v>4567</v>
      </c>
      <c r="E4336" s="4" t="s">
        <v>4568</v>
      </c>
      <c r="F4336" s="4" t="s">
        <v>4567</v>
      </c>
      <c r="G4336" s="5" t="str">
        <f>IFERROR(__xludf.DUMMYFUNCTION("GOOGLETRANSLATE(D4336,""fi"",""es"")"),"fuego")</f>
        <v>fuego</v>
      </c>
      <c r="H4336" s="4" t="s">
        <v>907</v>
      </c>
      <c r="I4336" s="4" t="s">
        <v>5527</v>
      </c>
      <c r="J4336" s="4" t="s">
        <v>11475</v>
      </c>
      <c r="K4336" s="4" t="s">
        <v>11476</v>
      </c>
      <c r="L4336" s="4" t="s">
        <v>7614</v>
      </c>
      <c r="M4336" s="4" t="s">
        <v>11477</v>
      </c>
      <c r="N4336" s="4" t="s">
        <v>907</v>
      </c>
      <c r="O4336" s="4" t="s">
        <v>11477</v>
      </c>
      <c r="P4336" s="4" t="s">
        <v>11478</v>
      </c>
      <c r="Q4336" s="4" t="s">
        <v>907</v>
      </c>
      <c r="R4336" s="4" t="s">
        <v>11479</v>
      </c>
      <c r="S4336" s="4" t="s">
        <v>11480</v>
      </c>
      <c r="T4336" s="4" t="s">
        <v>907</v>
      </c>
      <c r="U4336" s="4" t="s">
        <v>907</v>
      </c>
    </row>
    <row r="4337">
      <c r="A4337" s="4">
        <v>539.0</v>
      </c>
      <c r="B4337" s="4" t="s">
        <v>9198</v>
      </c>
      <c r="C4337" s="4"/>
      <c r="D4337" s="4" t="s">
        <v>11481</v>
      </c>
      <c r="E4337" s="4" t="s">
        <v>11482</v>
      </c>
      <c r="F4337" s="4" t="s">
        <v>11483</v>
      </c>
      <c r="G4337" s="5" t="str">
        <f>IFERROR(__xludf.DUMMYFUNCTION("GOOGLETRANSLATE(D4337,""fi"",""es"")"),"hogar")</f>
        <v>hogar</v>
      </c>
      <c r="H4337" s="4" t="s">
        <v>907</v>
      </c>
      <c r="I4337" s="4" t="s">
        <v>2121</v>
      </c>
      <c r="J4337" s="4" t="s">
        <v>2122</v>
      </c>
      <c r="K4337" s="4" t="s">
        <v>2123</v>
      </c>
      <c r="L4337" s="4" t="s">
        <v>2122</v>
      </c>
      <c r="M4337" s="4" t="s">
        <v>2124</v>
      </c>
    </row>
    <row r="4338">
      <c r="A4338" s="4">
        <v>540.0</v>
      </c>
      <c r="B4338" s="4" t="s">
        <v>9198</v>
      </c>
      <c r="C4338" s="4"/>
      <c r="D4338" s="4" t="s">
        <v>11484</v>
      </c>
      <c r="E4338" s="4" t="s">
        <v>11485</v>
      </c>
      <c r="F4338" s="4" t="s">
        <v>11484</v>
      </c>
      <c r="G4338" s="5" t="str">
        <f>IFERROR(__xludf.DUMMYFUNCTION("GOOGLETRANSLATE(D4338,""fi"",""es"")"),"soporte contra incendios")</f>
        <v>soporte contra incendios</v>
      </c>
      <c r="H4338" s="4" t="s">
        <v>11486</v>
      </c>
      <c r="I4338" s="4" t="s">
        <v>11487</v>
      </c>
    </row>
    <row r="4339">
      <c r="A4339" s="4">
        <v>541.0</v>
      </c>
      <c r="B4339" s="4" t="s">
        <v>9198</v>
      </c>
      <c r="C4339" s="4"/>
      <c r="D4339" s="4" t="s">
        <v>11488</v>
      </c>
      <c r="E4339" s="4" t="s">
        <v>11489</v>
      </c>
      <c r="F4339" s="4" t="s">
        <v>11488</v>
      </c>
      <c r="G4339" s="5" t="str">
        <f>IFERROR(__xludf.DUMMYFUNCTION("GOOGLETRANSLATE(D4339,""fi"",""es"")"),"fuego")</f>
        <v>fuego</v>
      </c>
      <c r="H4339" s="4" t="s">
        <v>11490</v>
      </c>
      <c r="I4339" s="4" t="s">
        <v>11491</v>
      </c>
      <c r="J4339" s="4" t="s">
        <v>907</v>
      </c>
      <c r="K4339" s="4" t="s">
        <v>5527</v>
      </c>
      <c r="L4339" s="4" t="s">
        <v>11492</v>
      </c>
      <c r="M4339" s="4" t="s">
        <v>11493</v>
      </c>
      <c r="N4339" s="4" t="s">
        <v>11494</v>
      </c>
      <c r="O4339" s="4" t="s">
        <v>11495</v>
      </c>
    </row>
    <row r="4340">
      <c r="A4340" s="4">
        <v>542.0</v>
      </c>
      <c r="B4340" s="4" t="s">
        <v>9198</v>
      </c>
      <c r="C4340" s="4"/>
      <c r="D4340" s="4" t="s">
        <v>11496</v>
      </c>
      <c r="E4340" s="4" t="s">
        <v>11497</v>
      </c>
      <c r="F4340" s="4" t="s">
        <v>11496</v>
      </c>
      <c r="G4340" s="5" t="str">
        <f>IFERROR(__xludf.DUMMYFUNCTION("GOOGLETRANSLATE(D4340,""fi"",""es"")"),"núcleo")</f>
        <v>núcleo</v>
      </c>
      <c r="H4340" s="4" t="s">
        <v>11498</v>
      </c>
      <c r="I4340" s="4" t="s">
        <v>11499</v>
      </c>
      <c r="J4340" s="4" t="s">
        <v>11500</v>
      </c>
    </row>
    <row r="4341">
      <c r="A4341" s="4">
        <v>543.0</v>
      </c>
      <c r="B4341" s="4" t="s">
        <v>9198</v>
      </c>
      <c r="C4341" s="4"/>
      <c r="D4341" s="4" t="s">
        <v>11501</v>
      </c>
      <c r="E4341" s="4" t="s">
        <v>11502</v>
      </c>
      <c r="F4341" s="4" t="s">
        <v>11501</v>
      </c>
      <c r="G4341" s="5" t="str">
        <f>IFERROR(__xludf.DUMMYFUNCTION("GOOGLETRANSLATE(D4341,""fi"",""es"")"),"barriguita")</f>
        <v>barriguita</v>
      </c>
      <c r="H4341" s="4" t="s">
        <v>11503</v>
      </c>
      <c r="I4341" s="4" t="s">
        <v>11504</v>
      </c>
    </row>
    <row r="4342">
      <c r="A4342" s="4">
        <v>544.0</v>
      </c>
      <c r="B4342" s="4" t="s">
        <v>9198</v>
      </c>
      <c r="C4342" s="4"/>
      <c r="D4342" s="4" t="s">
        <v>4609</v>
      </c>
      <c r="E4342" s="4" t="s">
        <v>11505</v>
      </c>
      <c r="F4342" s="4" t="s">
        <v>4609</v>
      </c>
      <c r="G4342" s="5" t="str">
        <f>IFERROR(__xludf.DUMMYFUNCTION("GOOGLETRANSLATE(D4342,""fi"",""es"")"),"sayo")</f>
        <v>sayo</v>
      </c>
      <c r="H4342" s="4" t="s">
        <v>4610</v>
      </c>
    </row>
    <row r="4343">
      <c r="A4343" s="4">
        <v>545.0</v>
      </c>
      <c r="B4343" s="4" t="s">
        <v>9198</v>
      </c>
      <c r="C4343" s="4"/>
      <c r="D4343" s="4" t="s">
        <v>4513</v>
      </c>
      <c r="E4343" s="4" t="s">
        <v>11506</v>
      </c>
      <c r="F4343" s="4" t="s">
        <v>4513</v>
      </c>
      <c r="G4343" s="5" t="str">
        <f>IFERROR(__xludf.DUMMYFUNCTION("GOOGLETRANSLATE(D4343,""fi"",""es"")"),"cabaña")</f>
        <v>cabaña</v>
      </c>
      <c r="H4343" s="4" t="s">
        <v>11507</v>
      </c>
    </row>
    <row r="4344">
      <c r="A4344" s="4">
        <v>546.0</v>
      </c>
      <c r="B4344" s="4" t="s">
        <v>9198</v>
      </c>
      <c r="C4344" s="4"/>
      <c r="D4344" s="4" t="s">
        <v>11508</v>
      </c>
      <c r="E4344" s="4" t="s">
        <v>11509</v>
      </c>
      <c r="F4344" s="4" t="s">
        <v>11510</v>
      </c>
      <c r="G4344" s="5" t="str">
        <f>IFERROR(__xludf.DUMMYFUNCTION("GOOGLETRANSLATE(D4344,""fi"",""es"")"),"escarabajo")</f>
        <v>escarabajo</v>
      </c>
    </row>
    <row r="4345">
      <c r="A4345" s="4">
        <v>547.0</v>
      </c>
      <c r="B4345" s="4" t="s">
        <v>9198</v>
      </c>
      <c r="C4345" s="4"/>
      <c r="D4345" s="4" t="s">
        <v>11511</v>
      </c>
      <c r="E4345" s="4" t="s">
        <v>11512</v>
      </c>
      <c r="F4345" s="4" t="s">
        <v>11511</v>
      </c>
      <c r="G4345" s="5" t="str">
        <f>IFERROR(__xludf.DUMMYFUNCTION("GOOGLETRANSLATE(D4345,""fi"",""es"")"),"cazuela")</f>
        <v>cazuela</v>
      </c>
    </row>
    <row r="4346">
      <c r="A4346" s="4">
        <v>548.0</v>
      </c>
      <c r="B4346" s="4" t="s">
        <v>9198</v>
      </c>
      <c r="C4346" s="4"/>
      <c r="D4346" s="4" t="s">
        <v>11513</v>
      </c>
      <c r="E4346" s="4" t="s">
        <v>11514</v>
      </c>
      <c r="F4346" s="4" t="s">
        <v>11513</v>
      </c>
      <c r="G4346" s="5" t="str">
        <f>IFERROR(__xludf.DUMMYFUNCTION("GOOGLETRANSLATE(D4346,""fi"",""es"")"),"temblar")</f>
        <v>temblar</v>
      </c>
      <c r="H4346" s="4" t="s">
        <v>11515</v>
      </c>
      <c r="I4346" s="4" t="s">
        <v>11516</v>
      </c>
      <c r="J4346" s="4" t="s">
        <v>8598</v>
      </c>
      <c r="K4346" s="4" t="s">
        <v>11517</v>
      </c>
      <c r="L4346" s="4" t="s">
        <v>11518</v>
      </c>
      <c r="M4346" s="4" t="s">
        <v>6407</v>
      </c>
      <c r="N4346" s="4" t="s">
        <v>11519</v>
      </c>
    </row>
    <row r="4347">
      <c r="A4347" s="4">
        <v>549.0</v>
      </c>
      <c r="B4347" s="4" t="s">
        <v>9198</v>
      </c>
      <c r="C4347" s="4"/>
      <c r="D4347" s="4" t="s">
        <v>4579</v>
      </c>
      <c r="E4347" s="4" t="s">
        <v>4578</v>
      </c>
      <c r="F4347" s="4" t="s">
        <v>4579</v>
      </c>
      <c r="G4347" s="5" t="str">
        <f>IFERROR(__xludf.DUMMYFUNCTION("GOOGLETRANSLATE(D4347,""fi"",""es"")"),"familiar")</f>
        <v>familiar</v>
      </c>
      <c r="H4347" s="4" t="s">
        <v>4580</v>
      </c>
      <c r="I4347" s="4" t="s">
        <v>4579</v>
      </c>
      <c r="J4347" s="4" t="s">
        <v>7957</v>
      </c>
      <c r="K4347" s="4" t="s">
        <v>7958</v>
      </c>
    </row>
    <row r="4348">
      <c r="A4348" s="4">
        <v>550.0</v>
      </c>
      <c r="B4348" s="4" t="s">
        <v>9198</v>
      </c>
      <c r="C4348" s="4"/>
      <c r="D4348" s="4" t="s">
        <v>11520</v>
      </c>
      <c r="E4348" s="4" t="s">
        <v>11521</v>
      </c>
      <c r="F4348" s="4" t="s">
        <v>11522</v>
      </c>
      <c r="G4348" s="5" t="str">
        <f>IFERROR(__xludf.DUMMYFUNCTION("GOOGLETRANSLATE(D4348,""fi"",""es"")"),"aquí")</f>
        <v>aquí</v>
      </c>
    </row>
    <row r="4349">
      <c r="A4349" s="4">
        <v>551.0</v>
      </c>
      <c r="B4349" s="4" t="s">
        <v>9198</v>
      </c>
      <c r="C4349" s="4"/>
      <c r="D4349" s="4" t="s">
        <v>11523</v>
      </c>
      <c r="E4349" s="4" t="s">
        <v>11524</v>
      </c>
      <c r="F4349" s="4" t="s">
        <v>11332</v>
      </c>
      <c r="G4349" s="5" t="str">
        <f>IFERROR(__xludf.DUMMYFUNCTION("GOOGLETRANSLATE(D4349,""fi"",""es"")"),"tela doble")</f>
        <v>tela doble</v>
      </c>
    </row>
    <row r="4350">
      <c r="A4350" s="4">
        <v>552.0</v>
      </c>
      <c r="B4350" s="4" t="s">
        <v>9198</v>
      </c>
      <c r="C4350" s="4"/>
      <c r="D4350" s="4" t="s">
        <v>11525</v>
      </c>
      <c r="E4350" s="4" t="s">
        <v>11526</v>
      </c>
      <c r="F4350" s="4" t="s">
        <v>5582</v>
      </c>
      <c r="G4350" s="5" t="str">
        <f>IFERROR(__xludf.DUMMYFUNCTION("GOOGLETRANSLATE(D4350,""fi"",""es"")"),"este")</f>
        <v>este</v>
      </c>
    </row>
    <row r="4351">
      <c r="A4351" s="4">
        <v>553.0</v>
      </c>
      <c r="B4351" s="4" t="s">
        <v>9198</v>
      </c>
      <c r="C4351" s="4"/>
      <c r="D4351" s="4" t="s">
        <v>11527</v>
      </c>
      <c r="E4351" s="4" t="s">
        <v>7782</v>
      </c>
      <c r="F4351" s="4" t="s">
        <v>7783</v>
      </c>
      <c r="G4351" s="5" t="str">
        <f>IFERROR(__xludf.DUMMYFUNCTION("GOOGLETRANSLATE(D4351,""fi"",""es"")"),"tía")</f>
        <v>tía</v>
      </c>
      <c r="H4351" s="4" t="s">
        <v>11528</v>
      </c>
      <c r="I4351" s="4" t="s">
        <v>11529</v>
      </c>
      <c r="J4351" s="4" t="s">
        <v>11530</v>
      </c>
    </row>
    <row r="4352">
      <c r="A4352" s="4">
        <v>554.0</v>
      </c>
      <c r="B4352" s="4" t="s">
        <v>9198</v>
      </c>
      <c r="C4352" s="4"/>
      <c r="D4352" s="4" t="s">
        <v>11531</v>
      </c>
      <c r="E4352" s="4" t="s">
        <v>11532</v>
      </c>
      <c r="F4352" s="4" t="s">
        <v>11533</v>
      </c>
      <c r="G4352" s="5" t="str">
        <f>IFERROR(__xludf.DUMMYFUNCTION("GOOGLETRANSLATE(D4352,""fi"",""es"")"),"tía")</f>
        <v>tía</v>
      </c>
    </row>
    <row r="4353">
      <c r="A4353" s="4">
        <v>555.0</v>
      </c>
      <c r="B4353" s="4" t="s">
        <v>9198</v>
      </c>
      <c r="C4353" s="4"/>
      <c r="D4353" s="4" t="s">
        <v>11534</v>
      </c>
      <c r="E4353" s="4" t="s">
        <v>11535</v>
      </c>
      <c r="F4353" s="4" t="s">
        <v>11534</v>
      </c>
      <c r="G4353" s="5" t="str">
        <f>IFERROR(__xludf.DUMMYFUNCTION("GOOGLETRANSLATE(D4353,""fi"",""es"")"),"ukuli")</f>
        <v>ukuli</v>
      </c>
    </row>
    <row r="4354">
      <c r="A4354" s="4">
        <v>556.0</v>
      </c>
      <c r="B4354" s="4" t="s">
        <v>9198</v>
      </c>
      <c r="C4354" s="4"/>
      <c r="D4354" s="4" t="s">
        <v>11536</v>
      </c>
      <c r="E4354" s="4" t="s">
        <v>11537</v>
      </c>
      <c r="F4354" s="4" t="s">
        <v>11536</v>
      </c>
      <c r="G4354" s="5" t="str">
        <f>IFERROR(__xludf.DUMMYFUNCTION("GOOGLETRANSLATE(D4354,""fi"",""es"")"),"gimoteo")</f>
        <v>gimoteo</v>
      </c>
      <c r="H4354" s="4" t="s">
        <v>11538</v>
      </c>
      <c r="I4354" s="4" t="s">
        <v>11539</v>
      </c>
      <c r="J4354" s="4" t="s">
        <v>11540</v>
      </c>
      <c r="K4354" s="4" t="s">
        <v>11541</v>
      </c>
      <c r="L4354" s="4" t="s">
        <v>11542</v>
      </c>
    </row>
    <row r="4355">
      <c r="A4355" s="4">
        <v>557.0</v>
      </c>
      <c r="B4355" s="4" t="s">
        <v>9198</v>
      </c>
      <c r="C4355" s="4"/>
      <c r="D4355" s="4" t="s">
        <v>11543</v>
      </c>
      <c r="E4355" s="4" t="s">
        <v>11544</v>
      </c>
      <c r="F4355" s="4" t="s">
        <v>11543</v>
      </c>
      <c r="G4355" s="5" t="str">
        <f>IFERROR(__xludf.DUMMYFUNCTION("GOOGLETRANSLATE(D4355,""fi"",""es"")"),"umami")</f>
        <v>umami</v>
      </c>
    </row>
    <row r="4356">
      <c r="A4356" s="4">
        <v>558.0</v>
      </c>
      <c r="B4356" s="4" t="s">
        <v>9198</v>
      </c>
      <c r="C4356" s="4"/>
      <c r="D4356" s="4" t="s">
        <v>4640</v>
      </c>
      <c r="E4356" s="4" t="s">
        <v>4639</v>
      </c>
      <c r="F4356" s="4" t="s">
        <v>4640</v>
      </c>
      <c r="G4356" s="5" t="str">
        <f>IFERROR(__xludf.DUMMYFUNCTION("GOOGLETRANSLATE(D4356,""fi"",""es"")"),"dormir")</f>
        <v>dormir</v>
      </c>
      <c r="H4356" s="4" t="s">
        <v>11545</v>
      </c>
      <c r="I4356" s="4" t="s">
        <v>11545</v>
      </c>
      <c r="J4356" s="4" t="s">
        <v>11546</v>
      </c>
      <c r="K4356" s="4" t="s">
        <v>11547</v>
      </c>
      <c r="L4356" s="4" t="s">
        <v>11548</v>
      </c>
      <c r="M4356" s="4" t="s">
        <v>8536</v>
      </c>
      <c r="N4356" s="4" t="s">
        <v>11549</v>
      </c>
      <c r="O4356" s="4" t="s">
        <v>11550</v>
      </c>
      <c r="P4356" s="4" t="s">
        <v>11551</v>
      </c>
      <c r="Q4356" s="4" t="s">
        <v>11552</v>
      </c>
      <c r="R4356" s="4" t="s">
        <v>11553</v>
      </c>
      <c r="S4356" s="4" t="s">
        <v>6462</v>
      </c>
      <c r="T4356" s="4" t="s">
        <v>6461</v>
      </c>
      <c r="U4356" s="4" t="s">
        <v>6462</v>
      </c>
      <c r="V4356" s="4" t="s">
        <v>6461</v>
      </c>
      <c r="W4356" s="4" t="s">
        <v>11554</v>
      </c>
      <c r="X4356" s="4" t="s">
        <v>6461</v>
      </c>
      <c r="Y4356" s="4" t="s">
        <v>2928</v>
      </c>
      <c r="Z4356" s="4" t="s">
        <v>6458</v>
      </c>
    </row>
    <row r="4357">
      <c r="A4357" s="4">
        <v>559.0</v>
      </c>
      <c r="B4357" s="4" t="s">
        <v>9198</v>
      </c>
      <c r="C4357" s="4"/>
      <c r="D4357" s="4" t="s">
        <v>11555</v>
      </c>
      <c r="E4357" s="4" t="s">
        <v>11556</v>
      </c>
      <c r="F4357" s="4" t="s">
        <v>11555</v>
      </c>
      <c r="G4357" s="5" t="str">
        <f>IFERROR(__xludf.DUMMYFUNCTION("GOOGLETRANSLATE(D4357,""fi"",""es"")"),"dormir")</f>
        <v>dormir</v>
      </c>
      <c r="H4357" s="4" t="s">
        <v>11557</v>
      </c>
      <c r="I4357" s="4" t="s">
        <v>11558</v>
      </c>
      <c r="J4357" s="4" t="s">
        <v>11559</v>
      </c>
      <c r="K4357" s="4" t="s">
        <v>11560</v>
      </c>
      <c r="L4357" s="4" t="s">
        <v>11559</v>
      </c>
      <c r="M4357" s="4" t="s">
        <v>11557</v>
      </c>
      <c r="N4357" s="4" t="s">
        <v>11558</v>
      </c>
    </row>
    <row r="4358">
      <c r="A4358" s="4">
        <v>560.0</v>
      </c>
      <c r="B4358" s="4" t="s">
        <v>9198</v>
      </c>
      <c r="C4358" s="4"/>
      <c r="D4358" s="4" t="s">
        <v>11561</v>
      </c>
      <c r="E4358" s="4" t="s">
        <v>11562</v>
      </c>
      <c r="F4358" s="4" t="s">
        <v>11561</v>
      </c>
      <c r="G4358" s="5" t="str">
        <f>IFERROR(__xludf.DUMMYFUNCTION("GOOGLETRANSLATE(D4358,""fi"",""es"")"),"neblina")</f>
        <v>neblina</v>
      </c>
      <c r="H4358" s="4" t="s">
        <v>11563</v>
      </c>
      <c r="I4358" s="4" t="s">
        <v>11564</v>
      </c>
      <c r="J4358" s="4" t="s">
        <v>11565</v>
      </c>
    </row>
    <row r="4359">
      <c r="A4359" s="4">
        <v>561.0</v>
      </c>
      <c r="B4359" s="4" t="s">
        <v>9198</v>
      </c>
      <c r="C4359" s="4"/>
      <c r="D4359" s="4" t="s">
        <v>11566</v>
      </c>
      <c r="E4359" s="4" t="s">
        <v>11567</v>
      </c>
      <c r="F4359" s="4" t="s">
        <v>11568</v>
      </c>
      <c r="G4359" s="5" t="str">
        <f>IFERROR(__xludf.DUMMYFUNCTION("GOOGLETRANSLATE(D4359,""fi"",""es"")"),"hervir")</f>
        <v>hervir</v>
      </c>
      <c r="H4359" s="4" t="s">
        <v>11569</v>
      </c>
    </row>
    <row r="4360">
      <c r="A4360" s="4">
        <v>562.0</v>
      </c>
      <c r="B4360" s="4" t="s">
        <v>9198</v>
      </c>
      <c r="C4360" s="4"/>
      <c r="D4360" s="4" t="s">
        <v>11570</v>
      </c>
      <c r="E4360" s="4" t="s">
        <v>5782</v>
      </c>
      <c r="F4360" s="4" t="s">
        <v>506</v>
      </c>
      <c r="G4360" s="5" t="str">
        <f>IFERROR(__xludf.DUMMYFUNCTION("GOOGLETRANSLATE(D4360,""fi"",""es"")"),"morder")</f>
        <v>morder</v>
      </c>
    </row>
    <row r="4361">
      <c r="A4361" s="4">
        <v>563.0</v>
      </c>
      <c r="B4361" s="4" t="s">
        <v>9198</v>
      </c>
      <c r="C4361" s="4"/>
      <c r="D4361" s="4" t="s">
        <v>11571</v>
      </c>
      <c r="E4361" s="4" t="s">
        <v>11572</v>
      </c>
      <c r="F4361" s="4" t="s">
        <v>508</v>
      </c>
      <c r="G4361" s="5" t="str">
        <f>IFERROR(__xludf.DUMMYFUNCTION("GOOGLETRANSLATE(D4361,""fi"",""es"")"),"área")</f>
        <v>área</v>
      </c>
    </row>
    <row r="4362">
      <c r="A4362" s="4">
        <v>564.0</v>
      </c>
      <c r="B4362" s="4" t="s">
        <v>9198</v>
      </c>
      <c r="C4362" s="4"/>
      <c r="D4362" s="4" t="s">
        <v>11573</v>
      </c>
      <c r="E4362" s="4" t="s">
        <v>8020</v>
      </c>
      <c r="F4362" s="4" t="s">
        <v>592</v>
      </c>
      <c r="G4362" s="5" t="str">
        <f>IFERROR(__xludf.DUMMYFUNCTION("GOOGLETRANSLATE(D4362,""fi"",""es"")"),"SOY")</f>
        <v>SOY</v>
      </c>
    </row>
    <row r="4363">
      <c r="A4363" s="4">
        <v>565.0</v>
      </c>
      <c r="B4363" s="4" t="s">
        <v>9198</v>
      </c>
      <c r="C4363" s="4"/>
      <c r="D4363" s="4" t="s">
        <v>11574</v>
      </c>
      <c r="E4363" s="4" t="s">
        <v>5829</v>
      </c>
      <c r="F4363" s="4" t="s">
        <v>594</v>
      </c>
      <c r="G4363" s="5" t="str">
        <f>IFERROR(__xludf.DUMMYFUNCTION("GOOGLETRANSLATE(D4363,""fi"",""es"")"),"Ään")</f>
        <v>Ään</v>
      </c>
    </row>
    <row r="4364">
      <c r="A4364" s="4">
        <v>566.0</v>
      </c>
      <c r="B4364" s="4" t="s">
        <v>9198</v>
      </c>
      <c r="C4364" s="4"/>
      <c r="D4364" s="4" t="s">
        <v>11575</v>
      </c>
      <c r="E4364" s="4" t="s">
        <v>5851</v>
      </c>
      <c r="F4364" s="4" t="s">
        <v>295</v>
      </c>
      <c r="G4364" s="5" t="str">
        <f>IFERROR(__xludf.DUMMYFUNCTION("GOOGLETRANSLATE(D4364,""fi"",""es"")"),"plano")</f>
        <v>plano</v>
      </c>
    </row>
    <row r="4365">
      <c r="A4365" s="4">
        <v>1.0</v>
      </c>
      <c r="B4365" s="4" t="s">
        <v>11576</v>
      </c>
      <c r="C4365" s="4"/>
      <c r="D4365" s="4" t="s">
        <v>9199</v>
      </c>
      <c r="E4365" s="4" t="s">
        <v>9200</v>
      </c>
      <c r="F4365" s="4" t="s">
        <v>9201</v>
      </c>
      <c r="G4365" s="5" t="str">
        <f>IFERROR(__xludf.DUMMYFUNCTION("GOOGLETRANSLATE(D4365,""fi"",""es"")"),"conduzco")</f>
        <v>conduzco</v>
      </c>
    </row>
    <row r="4366">
      <c r="A4366" s="4">
        <v>2.0</v>
      </c>
      <c r="B4366" s="4" t="s">
        <v>11576</v>
      </c>
      <c r="C4366" s="4"/>
      <c r="D4366" s="4" t="s">
        <v>9202</v>
      </c>
      <c r="E4366" s="4" t="s">
        <v>9203</v>
      </c>
      <c r="F4366" s="4" t="s">
        <v>9204</v>
      </c>
      <c r="G4366" s="5" t="str">
        <f>IFERROR(__xludf.DUMMYFUNCTION("GOOGLETRANSLATE(D4366,""fi"",""es"")"),"intenso")</f>
        <v>intenso</v>
      </c>
    </row>
    <row r="4367">
      <c r="A4367" s="4">
        <v>3.0</v>
      </c>
      <c r="B4367" s="4" t="s">
        <v>11576</v>
      </c>
      <c r="C4367" s="4"/>
      <c r="D4367" s="4" t="s">
        <v>4747</v>
      </c>
      <c r="E4367" s="4" t="s">
        <v>9205</v>
      </c>
      <c r="F4367" s="4" t="s">
        <v>4747</v>
      </c>
      <c r="G4367" s="5" t="str">
        <f>IFERROR(__xludf.DUMMYFUNCTION("GOOGLETRANSLATE(D4367,""fi"",""es"")"),"akan")</f>
        <v>akan</v>
      </c>
      <c r="H4367" s="4" t="s">
        <v>9206</v>
      </c>
    </row>
    <row r="4368">
      <c r="A4368" s="4">
        <v>4.0</v>
      </c>
      <c r="B4368" s="4" t="s">
        <v>11576</v>
      </c>
      <c r="C4368" s="4"/>
      <c r="D4368" s="4" t="s">
        <v>9207</v>
      </c>
      <c r="E4368" s="4" t="s">
        <v>9208</v>
      </c>
      <c r="F4368" s="4" t="s">
        <v>9207</v>
      </c>
      <c r="G4368" s="5" t="str">
        <f>IFERROR(__xludf.DUMMYFUNCTION("GOOGLETRANSLATE(D4368,""fi"",""es"")"),"barba")</f>
        <v>barba</v>
      </c>
      <c r="H4368" s="4" t="s">
        <v>9209</v>
      </c>
      <c r="I4368" s="4" t="s">
        <v>9210</v>
      </c>
      <c r="J4368" s="4" t="s">
        <v>9211</v>
      </c>
      <c r="K4368" s="4" t="s">
        <v>9212</v>
      </c>
      <c r="L4368" s="4" t="s">
        <v>9213</v>
      </c>
    </row>
    <row r="4369">
      <c r="A4369" s="4">
        <v>5.0</v>
      </c>
      <c r="B4369" s="4" t="s">
        <v>11576</v>
      </c>
      <c r="C4369" s="4"/>
      <c r="D4369" s="4" t="s">
        <v>816</v>
      </c>
      <c r="E4369" s="4" t="s">
        <v>8039</v>
      </c>
      <c r="F4369" s="4" t="s">
        <v>816</v>
      </c>
      <c r="G4369" s="5" t="str">
        <f>IFERROR(__xludf.DUMMYFUNCTION("GOOGLETRANSLATE(D4369,""fi"",""es"")"),"Aki")</f>
        <v>Aki</v>
      </c>
    </row>
    <row r="4370">
      <c r="A4370" s="4">
        <v>6.0</v>
      </c>
      <c r="B4370" s="4" t="s">
        <v>11576</v>
      </c>
      <c r="C4370" s="4"/>
      <c r="D4370" s="4" t="s">
        <v>4910</v>
      </c>
      <c r="E4370" s="4" t="s">
        <v>9214</v>
      </c>
      <c r="F4370" s="4" t="s">
        <v>4910</v>
      </c>
      <c r="G4370" s="5" t="str">
        <f>IFERROR(__xludf.DUMMYFUNCTION("GOOGLETRANSLATE(D4370,""fi"",""es"")"),"batería")</f>
        <v>batería</v>
      </c>
      <c r="H4370" s="4" t="s">
        <v>9215</v>
      </c>
      <c r="I4370" s="4" t="s">
        <v>9216</v>
      </c>
    </row>
    <row r="4371">
      <c r="A4371" s="4">
        <v>7.0</v>
      </c>
      <c r="B4371" s="4" t="s">
        <v>11576</v>
      </c>
      <c r="C4371" s="4"/>
      <c r="D4371" s="4" t="s">
        <v>508</v>
      </c>
      <c r="E4371" s="4" t="s">
        <v>9217</v>
      </c>
      <c r="F4371" s="4" t="s">
        <v>508</v>
      </c>
      <c r="G4371" s="5" t="str">
        <f>IFERROR(__xludf.DUMMYFUNCTION("GOOGLETRANSLATE(D4371,""fi"",""es"")"),"área")</f>
        <v>área</v>
      </c>
      <c r="H4371" s="4" t="s">
        <v>9218</v>
      </c>
      <c r="I4371" s="4" t="s">
        <v>9219</v>
      </c>
      <c r="J4371" s="4" t="s">
        <v>9220</v>
      </c>
      <c r="K4371" s="4" t="s">
        <v>9221</v>
      </c>
      <c r="L4371" s="4" t="s">
        <v>1681</v>
      </c>
      <c r="M4371" s="4" t="s">
        <v>1366</v>
      </c>
      <c r="N4371" s="4" t="s">
        <v>9222</v>
      </c>
      <c r="O4371" s="4" t="s">
        <v>9223</v>
      </c>
      <c r="P4371" s="4" t="s">
        <v>9224</v>
      </c>
      <c r="Q4371" s="4" t="s">
        <v>1072</v>
      </c>
      <c r="R4371" s="4" t="s">
        <v>9225</v>
      </c>
      <c r="S4371" s="4" t="s">
        <v>9226</v>
      </c>
      <c r="T4371" s="4" t="s">
        <v>1065</v>
      </c>
      <c r="U4371" s="4" t="s">
        <v>9227</v>
      </c>
      <c r="V4371" s="4" t="s">
        <v>9228</v>
      </c>
      <c r="W4371" s="4" t="s">
        <v>9229</v>
      </c>
      <c r="X4371" s="4" t="s">
        <v>1066</v>
      </c>
      <c r="Y4371" s="4" t="s">
        <v>1067</v>
      </c>
      <c r="Z4371" s="4" t="s">
        <v>9230</v>
      </c>
      <c r="AA4371" s="4" t="s">
        <v>1068</v>
      </c>
      <c r="AB4371" s="4" t="s">
        <v>1069</v>
      </c>
      <c r="AC4371" s="4" t="s">
        <v>1070</v>
      </c>
      <c r="AD4371" s="4" t="s">
        <v>1071</v>
      </c>
      <c r="AE4371" s="4" t="s">
        <v>1072</v>
      </c>
      <c r="AF4371" s="4" t="s">
        <v>1073</v>
      </c>
      <c r="AG4371" s="4" t="s">
        <v>1074</v>
      </c>
      <c r="AH4371" s="4" t="s">
        <v>1075</v>
      </c>
      <c r="AI4371" s="4" t="s">
        <v>9231</v>
      </c>
      <c r="AJ4371" s="4" t="s">
        <v>9232</v>
      </c>
      <c r="AK4371" s="4" t="s">
        <v>9233</v>
      </c>
      <c r="AL4371" s="4" t="s">
        <v>9234</v>
      </c>
      <c r="AM4371" s="4" t="s">
        <v>1067</v>
      </c>
      <c r="AN4371" s="4" t="s">
        <v>1087</v>
      </c>
      <c r="AO4371" s="4" t="s">
        <v>1065</v>
      </c>
      <c r="AP4371" s="4" t="s">
        <v>1088</v>
      </c>
      <c r="AQ4371" s="4" t="s">
        <v>1072</v>
      </c>
      <c r="AR4371" s="4" t="s">
        <v>1059</v>
      </c>
      <c r="AS4371" s="4" t="s">
        <v>9235</v>
      </c>
    </row>
    <row r="4372">
      <c r="A4372" s="4">
        <v>8.0</v>
      </c>
      <c r="B4372" s="4" t="s">
        <v>11576</v>
      </c>
      <c r="C4372" s="4"/>
      <c r="D4372" s="4" t="s">
        <v>9236</v>
      </c>
      <c r="E4372" s="4" t="s">
        <v>9237</v>
      </c>
      <c r="F4372" s="4" t="s">
        <v>9238</v>
      </c>
      <c r="G4372" s="5" t="str">
        <f>IFERROR(__xludf.DUMMYFUNCTION("GOOGLETRANSLATE(D4372,""fi"",""es"")"),"cuesta abajo")</f>
        <v>cuesta abajo</v>
      </c>
      <c r="H4372" s="4" t="s">
        <v>9239</v>
      </c>
      <c r="I4372" s="4" t="s">
        <v>9240</v>
      </c>
      <c r="J4372" s="4" t="s">
        <v>4502</v>
      </c>
      <c r="K4372" s="4" t="s">
        <v>9241</v>
      </c>
      <c r="L4372" s="4" t="s">
        <v>9242</v>
      </c>
      <c r="M4372" s="4" t="s">
        <v>9243</v>
      </c>
      <c r="N4372" s="4" t="s">
        <v>9244</v>
      </c>
      <c r="O4372" s="4" t="s">
        <v>9245</v>
      </c>
    </row>
    <row r="4373">
      <c r="A4373" s="4">
        <v>9.0</v>
      </c>
      <c r="B4373" s="4" t="s">
        <v>11576</v>
      </c>
      <c r="C4373" s="4"/>
      <c r="D4373" s="4" t="s">
        <v>5793</v>
      </c>
      <c r="E4373" s="4" t="s">
        <v>9259</v>
      </c>
      <c r="F4373" s="4" t="s">
        <v>5793</v>
      </c>
      <c r="G4373" s="5" t="str">
        <f>IFERROR(__xludf.DUMMYFUNCTION("GOOGLETRANSLATE(D4373,""fi"",""es"")"),"por debajo")</f>
        <v>por debajo</v>
      </c>
      <c r="H4373" s="4" t="s">
        <v>5795</v>
      </c>
      <c r="I4373" s="4" t="s">
        <v>5795</v>
      </c>
      <c r="J4373" s="4" t="s">
        <v>5796</v>
      </c>
      <c r="K4373" s="4" t="s">
        <v>5797</v>
      </c>
      <c r="L4373" s="4" t="s">
        <v>5798</v>
      </c>
    </row>
    <row r="4374">
      <c r="A4374" s="4">
        <v>10.0</v>
      </c>
      <c r="B4374" s="4" t="s">
        <v>11576</v>
      </c>
      <c r="C4374" s="4"/>
      <c r="D4374" s="4" t="s">
        <v>9260</v>
      </c>
      <c r="E4374" s="4" t="s">
        <v>9261</v>
      </c>
      <c r="F4374" s="4" t="s">
        <v>9260</v>
      </c>
      <c r="G4374" s="5" t="str">
        <f>IFERROR(__xludf.DUMMYFUNCTION("GOOGLETRANSLATE(D4374,""fi"",""es"")"),"inferior")</f>
        <v>inferior</v>
      </c>
    </row>
    <row r="4375">
      <c r="A4375" s="4">
        <v>11.0</v>
      </c>
      <c r="B4375" s="4" t="s">
        <v>11576</v>
      </c>
      <c r="C4375" s="4"/>
      <c r="D4375" s="4" t="s">
        <v>9262</v>
      </c>
      <c r="E4375" s="4" t="s">
        <v>9263</v>
      </c>
      <c r="F4375" s="4" t="s">
        <v>9262</v>
      </c>
      <c r="G4375" s="5" t="str">
        <f>IFERROR(__xludf.DUMMYFUNCTION("GOOGLETRANSLATE(D4375,""fi"",""es"")"),"el más bajo")</f>
        <v>el más bajo</v>
      </c>
      <c r="H4375" s="4" t="s">
        <v>1623</v>
      </c>
      <c r="I4375" s="4" t="s">
        <v>9264</v>
      </c>
      <c r="J4375" s="4" t="s">
        <v>9265</v>
      </c>
      <c r="K4375" s="4" t="s">
        <v>9266</v>
      </c>
    </row>
    <row r="4376">
      <c r="A4376" s="4">
        <v>12.0</v>
      </c>
      <c r="B4376" s="4" t="s">
        <v>11576</v>
      </c>
      <c r="C4376" s="4"/>
      <c r="D4376" s="4" t="s">
        <v>9267</v>
      </c>
      <c r="E4376" s="4" t="s">
        <v>9268</v>
      </c>
      <c r="F4376" s="4" t="s">
        <v>9267</v>
      </c>
      <c r="G4376" s="5" t="str">
        <f>IFERROR(__xludf.DUMMYFUNCTION("GOOGLETRANSLATE(D4376,""fi"",""es"")"),"Alina")</f>
        <v>Alina</v>
      </c>
    </row>
    <row r="4377">
      <c r="A4377" s="4">
        <v>13.0</v>
      </c>
      <c r="B4377" s="4" t="s">
        <v>11576</v>
      </c>
      <c r="C4377" s="4"/>
      <c r="D4377" s="4" t="s">
        <v>9271</v>
      </c>
      <c r="E4377" s="4" t="s">
        <v>9272</v>
      </c>
      <c r="F4377" s="4" t="s">
        <v>9271</v>
      </c>
      <c r="G4377" s="5" t="str">
        <f>IFERROR(__xludf.DUMMYFUNCTION("GOOGLETRANSLATE(D4377,""fi"",""es"")"),"nativo")</f>
        <v>nativo</v>
      </c>
      <c r="H4377" s="4" t="s">
        <v>9273</v>
      </c>
      <c r="I4377" s="4" t="s">
        <v>9271</v>
      </c>
      <c r="J4377" s="4" t="s">
        <v>9274</v>
      </c>
      <c r="K4377" s="4" t="s">
        <v>9271</v>
      </c>
      <c r="L4377" s="4" t="s">
        <v>9275</v>
      </c>
    </row>
    <row r="4378">
      <c r="A4378" s="4">
        <v>14.0</v>
      </c>
      <c r="B4378" s="4" t="s">
        <v>11576</v>
      </c>
      <c r="C4378" s="4"/>
      <c r="D4378" s="4" t="s">
        <v>9276</v>
      </c>
      <c r="E4378" s="4" t="s">
        <v>9277</v>
      </c>
      <c r="F4378" s="4" t="s">
        <v>9276</v>
      </c>
      <c r="G4378" s="5" t="str">
        <f>IFERROR(__xludf.DUMMYFUNCTION("GOOGLETRANSLATE(D4378,""fi"",""es"")"),"alumbre")</f>
        <v>alumbre</v>
      </c>
      <c r="H4378" s="4" t="s">
        <v>9278</v>
      </c>
      <c r="I4378" s="4" t="s">
        <v>9278</v>
      </c>
      <c r="J4378" s="4" t="s">
        <v>9279</v>
      </c>
      <c r="K4378" s="4" t="s">
        <v>9280</v>
      </c>
      <c r="L4378" s="4" t="s">
        <v>9278</v>
      </c>
      <c r="M4378" s="4" t="s">
        <v>9281</v>
      </c>
      <c r="N4378" s="4" t="s">
        <v>9282</v>
      </c>
    </row>
    <row r="4379">
      <c r="A4379" s="4">
        <v>15.0</v>
      </c>
      <c r="B4379" s="4" t="s">
        <v>11576</v>
      </c>
      <c r="C4379" s="4"/>
      <c r="D4379" s="4" t="s">
        <v>744</v>
      </c>
      <c r="E4379" s="4" t="s">
        <v>9292</v>
      </c>
      <c r="F4379" s="4" t="s">
        <v>744</v>
      </c>
      <c r="G4379" s="5" t="str">
        <f>IFERROR(__xludf.DUMMYFUNCTION("GOOGLETRANSLATE(D4379,""fi"",""es"")"),"muy")</f>
        <v>muy</v>
      </c>
      <c r="H4379" s="4" t="s">
        <v>744</v>
      </c>
    </row>
    <row r="4380">
      <c r="A4380" s="4">
        <v>16.0</v>
      </c>
      <c r="B4380" s="4" t="s">
        <v>11576</v>
      </c>
      <c r="C4380" s="4"/>
      <c r="D4380" s="4" t="s">
        <v>9296</v>
      </c>
      <c r="E4380" s="4" t="s">
        <v>9297</v>
      </c>
      <c r="F4380" s="4" t="s">
        <v>9296</v>
      </c>
      <c r="G4380" s="5" t="str">
        <f>IFERROR(__xludf.DUMMYFUNCTION("GOOGLETRANSLATE(D4380,""fi"",""es"")"),"Anu")</f>
        <v>Anu</v>
      </c>
      <c r="H4380" s="4" t="s">
        <v>9298</v>
      </c>
    </row>
    <row r="4381">
      <c r="A4381" s="4">
        <v>17.0</v>
      </c>
      <c r="B4381" s="4" t="s">
        <v>11576</v>
      </c>
      <c r="C4381" s="4"/>
      <c r="D4381" s="4" t="s">
        <v>9300</v>
      </c>
      <c r="E4381" s="4" t="s">
        <v>9301</v>
      </c>
      <c r="F4381" s="4" t="s">
        <v>9302</v>
      </c>
      <c r="G4381" s="5" t="str">
        <f>IFERROR(__xludf.DUMMYFUNCTION("GOOGLETRANSLATE(D4381,""fi"",""es"")"),"captura")</f>
        <v>captura</v>
      </c>
      <c r="H4381" s="4" t="s">
        <v>1375</v>
      </c>
      <c r="I4381" s="4" t="s">
        <v>4437</v>
      </c>
    </row>
    <row r="4382">
      <c r="A4382" s="4">
        <v>18.0</v>
      </c>
      <c r="B4382" s="4" t="s">
        <v>11576</v>
      </c>
      <c r="C4382" s="4"/>
      <c r="D4382" s="4" t="s">
        <v>9303</v>
      </c>
      <c r="E4382" s="4" t="s">
        <v>9304</v>
      </c>
      <c r="F4382" s="4" t="s">
        <v>9303</v>
      </c>
      <c r="G4382" s="5" t="str">
        <f>IFERROR(__xludf.DUMMYFUNCTION("GOOGLETRANSLATE(D4382,""fi"",""es"")"),"trébol")</f>
        <v>trébol</v>
      </c>
      <c r="H4382" s="4" t="s">
        <v>9305</v>
      </c>
      <c r="I4382" s="4" t="s">
        <v>9306</v>
      </c>
      <c r="J4382" s="4" t="s">
        <v>9307</v>
      </c>
      <c r="K4382" s="4" t="s">
        <v>9308</v>
      </c>
      <c r="L4382" s="4" t="s">
        <v>9309</v>
      </c>
      <c r="M4382" s="4" t="s">
        <v>9310</v>
      </c>
      <c r="N4382" s="4" t="s">
        <v>9311</v>
      </c>
      <c r="O4382" s="4" t="s">
        <v>9312</v>
      </c>
      <c r="P4382" s="4" t="s">
        <v>9313</v>
      </c>
      <c r="Q4382" s="4" t="s">
        <v>9314</v>
      </c>
      <c r="R4382" s="4" t="s">
        <v>9315</v>
      </c>
      <c r="S4382" s="4" t="s">
        <v>9308</v>
      </c>
      <c r="T4382" s="4" t="s">
        <v>9316</v>
      </c>
      <c r="U4382" s="4" t="s">
        <v>9317</v>
      </c>
      <c r="V4382" s="4" t="s">
        <v>9318</v>
      </c>
      <c r="W4382" s="4" t="s">
        <v>9306</v>
      </c>
    </row>
    <row r="4383">
      <c r="A4383" s="4">
        <v>19.0</v>
      </c>
      <c r="B4383" s="4" t="s">
        <v>11576</v>
      </c>
      <c r="C4383" s="4"/>
      <c r="D4383" s="4" t="s">
        <v>9319</v>
      </c>
      <c r="E4383" s="4" t="s">
        <v>9320</v>
      </c>
      <c r="F4383" s="4" t="s">
        <v>9319</v>
      </c>
      <c r="G4383" s="5" t="str">
        <f>IFERROR(__xludf.DUMMYFUNCTION("GOOGLETRANSLATE(D4383,""fi"",""es"")"),"mono")</f>
        <v>mono</v>
      </c>
      <c r="H4383" s="4" t="s">
        <v>3982</v>
      </c>
      <c r="I4383" s="4" t="s">
        <v>2617</v>
      </c>
      <c r="J4383" s="4" t="s">
        <v>2618</v>
      </c>
      <c r="K4383" s="4" t="s">
        <v>9321</v>
      </c>
      <c r="L4383" s="4" t="s">
        <v>2617</v>
      </c>
      <c r="M4383" s="4" t="s">
        <v>9322</v>
      </c>
      <c r="N4383" s="4" t="s">
        <v>9323</v>
      </c>
      <c r="O4383" s="4" t="s">
        <v>9324</v>
      </c>
      <c r="P4383" s="4" t="s">
        <v>2617</v>
      </c>
      <c r="Q4383" s="4" t="s">
        <v>9325</v>
      </c>
    </row>
    <row r="4384">
      <c r="A4384" s="4">
        <v>20.0</v>
      </c>
      <c r="B4384" s="4" t="s">
        <v>11576</v>
      </c>
      <c r="C4384" s="4"/>
      <c r="D4384" s="4" t="s">
        <v>9326</v>
      </c>
      <c r="E4384" s="4" t="s">
        <v>9327</v>
      </c>
      <c r="F4384" s="4" t="s">
        <v>9326</v>
      </c>
      <c r="G4384" s="5" t="str">
        <f>IFERROR(__xludf.DUMMYFUNCTION("GOOGLETRANSLATE(D4384,""fi"",""es"")"),"ayuda")</f>
        <v>ayuda</v>
      </c>
      <c r="H4384" s="4" t="s">
        <v>1649</v>
      </c>
      <c r="I4384" s="4" t="s">
        <v>1650</v>
      </c>
      <c r="J4384" s="4" t="s">
        <v>1651</v>
      </c>
      <c r="K4384" s="4" t="s">
        <v>1652</v>
      </c>
      <c r="L4384" s="4" t="s">
        <v>9328</v>
      </c>
      <c r="M4384" s="4" t="s">
        <v>1651</v>
      </c>
      <c r="N4384" s="4" t="s">
        <v>9329</v>
      </c>
      <c r="O4384" s="4" t="s">
        <v>9330</v>
      </c>
      <c r="P4384" s="4" t="s">
        <v>9331</v>
      </c>
      <c r="Q4384" s="4" t="s">
        <v>2858</v>
      </c>
      <c r="R4384" s="4" t="s">
        <v>9332</v>
      </c>
      <c r="S4384" s="4" t="s">
        <v>9328</v>
      </c>
      <c r="T4384" s="4" t="s">
        <v>9333</v>
      </c>
      <c r="U4384" s="4" t="s">
        <v>9334</v>
      </c>
      <c r="V4384" s="4" t="s">
        <v>9335</v>
      </c>
      <c r="W4384" s="4" t="s">
        <v>1800</v>
      </c>
      <c r="X4384" s="4" t="s">
        <v>9336</v>
      </c>
      <c r="Y4384" s="4" t="s">
        <v>9331</v>
      </c>
      <c r="Z4384" s="4" t="s">
        <v>9337</v>
      </c>
      <c r="AA4384" s="4" t="s">
        <v>9338</v>
      </c>
      <c r="AB4384" s="4" t="s">
        <v>9339</v>
      </c>
    </row>
    <row r="4385">
      <c r="A4385" s="4">
        <v>21.0</v>
      </c>
      <c r="B4385" s="4" t="s">
        <v>11576</v>
      </c>
      <c r="C4385" s="4"/>
      <c r="D4385" s="4" t="s">
        <v>6034</v>
      </c>
      <c r="E4385" s="4" t="s">
        <v>4687</v>
      </c>
      <c r="F4385" s="4" t="s">
        <v>287</v>
      </c>
      <c r="G4385" s="5" t="str">
        <f>IFERROR(__xludf.DUMMYFUNCTION("GOOGLETRANSLATE(D4385,""fi"",""es"")"),"elegante")</f>
        <v>elegante</v>
      </c>
      <c r="H4385" s="4" t="s">
        <v>6034</v>
      </c>
      <c r="I4385" s="4" t="s">
        <v>6035</v>
      </c>
      <c r="J4385" s="4" t="s">
        <v>6031</v>
      </c>
      <c r="K4385" s="4" t="s">
        <v>6036</v>
      </c>
      <c r="L4385" s="4" t="s">
        <v>6037</v>
      </c>
      <c r="M4385" s="4" t="s">
        <v>6038</v>
      </c>
      <c r="N4385" s="4" t="s">
        <v>6039</v>
      </c>
      <c r="O4385" s="4" t="s">
        <v>6040</v>
      </c>
    </row>
    <row r="4386">
      <c r="A4386" s="4">
        <v>22.0</v>
      </c>
      <c r="B4386" s="4" t="s">
        <v>11576</v>
      </c>
      <c r="C4386" s="4"/>
      <c r="D4386" s="4" t="s">
        <v>4378</v>
      </c>
      <c r="E4386" s="4" t="s">
        <v>8233</v>
      </c>
      <c r="F4386" s="4" t="s">
        <v>322</v>
      </c>
      <c r="G4386" s="5" t="str">
        <f>IFERROR(__xludf.DUMMYFUNCTION("GOOGLETRANSLATE(D4386,""fi"",""es"")"),"taza")</f>
        <v>taza</v>
      </c>
      <c r="H4386" s="4" t="s">
        <v>4378</v>
      </c>
    </row>
    <row r="4387">
      <c r="A4387" s="4">
        <v>23.0</v>
      </c>
      <c r="B4387" s="4" t="s">
        <v>11576</v>
      </c>
      <c r="C4387" s="4"/>
      <c r="D4387" s="4" t="s">
        <v>4812</v>
      </c>
      <c r="E4387" s="4" t="s">
        <v>4874</v>
      </c>
      <c r="F4387" s="4" t="s">
        <v>4812</v>
      </c>
      <c r="G4387" s="5" t="str">
        <f>IFERROR(__xludf.DUMMYFUNCTION("GOOGLETRANSLATE(D4387,""fi"",""es"")"),"decir ah")</f>
        <v>decir ah</v>
      </c>
      <c r="H4387" s="4" t="s">
        <v>9380</v>
      </c>
      <c r="I4387" s="4" t="s">
        <v>9381</v>
      </c>
    </row>
    <row r="4388">
      <c r="A4388" s="4">
        <v>24.0</v>
      </c>
      <c r="B4388" s="4" t="s">
        <v>11576</v>
      </c>
      <c r="C4388" s="4"/>
      <c r="D4388" s="4" t="s">
        <v>9382</v>
      </c>
      <c r="E4388" s="4" t="s">
        <v>9383</v>
      </c>
      <c r="F4388" s="4" t="s">
        <v>9384</v>
      </c>
      <c r="G4388" s="5" t="str">
        <f>IFERROR(__xludf.DUMMYFUNCTION("GOOGLETRANSLATE(D4388,""fi"",""es"")"),"oler")</f>
        <v>oler</v>
      </c>
      <c r="H4388" s="4" t="s">
        <v>9385</v>
      </c>
      <c r="I4388" s="4" t="s">
        <v>3109</v>
      </c>
      <c r="J4388" s="4" t="s">
        <v>9386</v>
      </c>
      <c r="K4388" s="4" t="s">
        <v>9387</v>
      </c>
      <c r="L4388" s="4" t="s">
        <v>9388</v>
      </c>
      <c r="M4388" s="4" t="s">
        <v>3110</v>
      </c>
      <c r="N4388" s="4" t="s">
        <v>3109</v>
      </c>
      <c r="O4388" s="4" t="s">
        <v>9387</v>
      </c>
      <c r="P4388" s="4" t="s">
        <v>9388</v>
      </c>
      <c r="Q4388" s="4" t="s">
        <v>9389</v>
      </c>
      <c r="R4388" s="4" t="s">
        <v>9390</v>
      </c>
      <c r="S4388" s="4" t="s">
        <v>3110</v>
      </c>
      <c r="T4388" s="4" t="s">
        <v>9391</v>
      </c>
      <c r="U4388" s="4" t="s">
        <v>9392</v>
      </c>
      <c r="V4388" s="4" t="s">
        <v>9393</v>
      </c>
      <c r="W4388" s="4" t="s">
        <v>9394</v>
      </c>
      <c r="X4388" s="4" t="s">
        <v>9395</v>
      </c>
      <c r="Y4388" s="4" t="s">
        <v>9396</v>
      </c>
      <c r="Z4388" s="4" t="s">
        <v>9397</v>
      </c>
      <c r="AA4388" s="4" t="s">
        <v>9398</v>
      </c>
      <c r="AB4388" s="4" t="s">
        <v>4751</v>
      </c>
      <c r="AC4388" s="4" t="s">
        <v>6676</v>
      </c>
      <c r="AD4388" s="4" t="s">
        <v>3005</v>
      </c>
      <c r="AE4388" s="4" t="s">
        <v>6677</v>
      </c>
      <c r="AF4388" s="4" t="s">
        <v>6678</v>
      </c>
      <c r="AG4388" s="4" t="s">
        <v>6679</v>
      </c>
      <c r="AH4388" s="4" t="s">
        <v>6669</v>
      </c>
      <c r="AI4388" s="4" t="s">
        <v>3109</v>
      </c>
    </row>
    <row r="4389">
      <c r="A4389" s="4">
        <v>25.0</v>
      </c>
      <c r="B4389" s="4" t="s">
        <v>11576</v>
      </c>
      <c r="C4389" s="4"/>
      <c r="D4389" s="4" t="s">
        <v>9399</v>
      </c>
      <c r="E4389" s="4" t="s">
        <v>9400</v>
      </c>
      <c r="F4389" s="4" t="s">
        <v>9399</v>
      </c>
      <c r="G4389" s="5" t="str">
        <f>IFERROR(__xludf.DUMMYFUNCTION("GOOGLETRANSLATE(D4389,""fi"",""es"")"),"monóxido de carbono")</f>
        <v>monóxido de carbono</v>
      </c>
      <c r="H4389" s="4" t="s">
        <v>9401</v>
      </c>
      <c r="I4389" s="4" t="s">
        <v>1375</v>
      </c>
      <c r="J4389" s="4" t="s">
        <v>6278</v>
      </c>
      <c r="K4389" s="4" t="s">
        <v>6284</v>
      </c>
      <c r="L4389" s="4" t="s">
        <v>6278</v>
      </c>
      <c r="M4389" s="4" t="s">
        <v>9402</v>
      </c>
      <c r="N4389" s="4" t="s">
        <v>9403</v>
      </c>
      <c r="O4389" s="4" t="s">
        <v>7840</v>
      </c>
      <c r="P4389" s="4" t="s">
        <v>963</v>
      </c>
      <c r="Q4389" s="4" t="s">
        <v>9404</v>
      </c>
      <c r="R4389" s="4" t="s">
        <v>9405</v>
      </c>
      <c r="S4389" s="4" t="s">
        <v>9406</v>
      </c>
    </row>
    <row r="4390">
      <c r="A4390" s="4">
        <v>26.0</v>
      </c>
      <c r="B4390" s="4" t="s">
        <v>11576</v>
      </c>
      <c r="C4390" s="4"/>
      <c r="D4390" s="4" t="s">
        <v>9407</v>
      </c>
      <c r="E4390" s="4" t="s">
        <v>9408</v>
      </c>
      <c r="F4390" s="4" t="s">
        <v>9407</v>
      </c>
      <c r="G4390" s="5" t="str">
        <f>IFERROR(__xludf.DUMMYFUNCTION("GOOGLETRANSLATE(D4390,""fi"",""es"")"),"Hakala")</f>
        <v>Hakala</v>
      </c>
    </row>
    <row r="4391">
      <c r="A4391" s="4">
        <v>27.0</v>
      </c>
      <c r="B4391" s="4" t="s">
        <v>11576</v>
      </c>
      <c r="C4391" s="4"/>
      <c r="D4391" s="4" t="s">
        <v>9409</v>
      </c>
      <c r="E4391" s="4" t="s">
        <v>9410</v>
      </c>
      <c r="F4391" s="4" t="s">
        <v>9409</v>
      </c>
      <c r="G4391" s="5" t="str">
        <f>IFERROR(__xludf.DUMMYFUNCTION("GOOGLETRANSLATE(D4391,""fi"",""es"")"),"búsqueda")</f>
        <v>búsqueda</v>
      </c>
      <c r="H4391" s="4" t="s">
        <v>6682</v>
      </c>
      <c r="I4391" s="4" t="s">
        <v>9411</v>
      </c>
      <c r="J4391" s="4" t="s">
        <v>6682</v>
      </c>
      <c r="K4391" s="4" t="s">
        <v>9412</v>
      </c>
    </row>
    <row r="4392">
      <c r="A4392" s="4">
        <v>28.0</v>
      </c>
      <c r="B4392" s="4" t="s">
        <v>11576</v>
      </c>
      <c r="C4392" s="4"/>
      <c r="D4392" s="4" t="s">
        <v>9413</v>
      </c>
      <c r="E4392" s="4" t="s">
        <v>9414</v>
      </c>
      <c r="F4392" s="4" t="s">
        <v>9413</v>
      </c>
      <c r="G4392" s="5" t="str">
        <f>IFERROR(__xludf.DUMMYFUNCTION("GOOGLETRANSLATE(D4392,""fi"",""es"")"),"búsqueda")</f>
        <v>búsqueda</v>
      </c>
    </row>
    <row r="4393">
      <c r="A4393" s="4">
        <v>29.0</v>
      </c>
      <c r="B4393" s="4" t="s">
        <v>11576</v>
      </c>
      <c r="C4393" s="4"/>
      <c r="D4393" s="4" t="s">
        <v>9415</v>
      </c>
      <c r="E4393" s="4" t="s">
        <v>9416</v>
      </c>
      <c r="F4393" s="4" t="s">
        <v>9415</v>
      </c>
      <c r="G4393" s="5" t="str">
        <f>IFERROR(__xludf.DUMMYFUNCTION("GOOGLETRANSLATE(D4393,""fi"",""es"")"),"halal")</f>
        <v>halal</v>
      </c>
      <c r="H4393" s="4" t="s">
        <v>9415</v>
      </c>
      <c r="I4393" s="4" t="s">
        <v>9415</v>
      </c>
    </row>
    <row r="4394">
      <c r="A4394" s="4">
        <v>30.0</v>
      </c>
      <c r="B4394" s="4" t="s">
        <v>11576</v>
      </c>
      <c r="C4394" s="4"/>
      <c r="D4394" s="4" t="s">
        <v>6146</v>
      </c>
      <c r="E4394" s="4" t="s">
        <v>8322</v>
      </c>
      <c r="F4394" s="4" t="s">
        <v>6146</v>
      </c>
      <c r="G4394" s="5" t="str">
        <f>IFERROR(__xludf.DUMMYFUNCTION("GOOGLETRANSLATE(D4394,""fi"",""es"")"),"abrazo")</f>
        <v>abrazo</v>
      </c>
    </row>
    <row r="4395">
      <c r="A4395" s="4">
        <v>31.0</v>
      </c>
      <c r="B4395" s="4" t="s">
        <v>11576</v>
      </c>
      <c r="C4395" s="4"/>
      <c r="D4395" s="4" t="s">
        <v>9417</v>
      </c>
      <c r="E4395" s="4" t="s">
        <v>9418</v>
      </c>
      <c r="F4395" s="4" t="s">
        <v>9417</v>
      </c>
      <c r="G4395" s="5" t="str">
        <f>IFERROR(__xludf.DUMMYFUNCTION("GOOGLETRANSLATE(D4395,""fi"",""es"")"),"escasez de abrazos")</f>
        <v>escasez de abrazos</v>
      </c>
    </row>
    <row r="4396">
      <c r="A4396" s="4">
        <v>32.0</v>
      </c>
      <c r="B4396" s="4" t="s">
        <v>11576</v>
      </c>
      <c r="C4396" s="4"/>
      <c r="D4396" s="4" t="s">
        <v>9419</v>
      </c>
      <c r="E4396" s="4" t="s">
        <v>9420</v>
      </c>
      <c r="F4396" s="4" t="s">
        <v>9421</v>
      </c>
      <c r="G4396" s="5" t="str">
        <f>IFERROR(__xludf.DUMMYFUNCTION("GOOGLETRANSLATE(D4396,""fi"",""es"")"),"halloumi")</f>
        <v>halloumi</v>
      </c>
    </row>
    <row r="4397">
      <c r="A4397" s="4">
        <v>33.0</v>
      </c>
      <c r="B4397" s="4" t="s">
        <v>11576</v>
      </c>
      <c r="C4397" s="4"/>
      <c r="D4397" s="4" t="s">
        <v>9422</v>
      </c>
      <c r="E4397" s="4" t="s">
        <v>9423</v>
      </c>
      <c r="F4397" s="4" t="s">
        <v>9422</v>
      </c>
      <c r="G4397" s="5" t="str">
        <f>IFERROR(__xludf.DUMMYFUNCTION("GOOGLETRANSLATE(D4397,""fi"",""es"")"),"deseo")</f>
        <v>deseo</v>
      </c>
      <c r="H4397" s="4" t="s">
        <v>9424</v>
      </c>
      <c r="I4397" s="4" t="s">
        <v>9137</v>
      </c>
      <c r="J4397" s="4" t="s">
        <v>9425</v>
      </c>
      <c r="K4397" s="4" t="s">
        <v>9426</v>
      </c>
      <c r="L4397" s="4" t="s">
        <v>9427</v>
      </c>
      <c r="M4397" s="4" t="s">
        <v>9428</v>
      </c>
      <c r="N4397" s="4" t="s">
        <v>9429</v>
      </c>
      <c r="O4397" s="4" t="s">
        <v>9430</v>
      </c>
      <c r="P4397" s="4" t="s">
        <v>9431</v>
      </c>
      <c r="Q4397" s="4" t="s">
        <v>9137</v>
      </c>
      <c r="R4397" s="4" t="s">
        <v>9432</v>
      </c>
      <c r="S4397" s="4" t="s">
        <v>9433</v>
      </c>
      <c r="T4397" s="4" t="s">
        <v>9434</v>
      </c>
      <c r="U4397" s="4" t="s">
        <v>9435</v>
      </c>
      <c r="V4397" s="4" t="s">
        <v>9436</v>
      </c>
      <c r="W4397" s="4" t="s">
        <v>6528</v>
      </c>
      <c r="X4397" s="4" t="s">
        <v>9437</v>
      </c>
      <c r="Y4397" s="4" t="s">
        <v>3501</v>
      </c>
      <c r="Z4397" s="4" t="s">
        <v>9438</v>
      </c>
      <c r="AA4397" s="4" t="s">
        <v>9437</v>
      </c>
      <c r="AB4397" s="4" t="s">
        <v>9439</v>
      </c>
      <c r="AC4397" s="4" t="s">
        <v>9137</v>
      </c>
    </row>
    <row r="4398">
      <c r="A4398" s="4">
        <v>34.0</v>
      </c>
      <c r="B4398" s="4" t="s">
        <v>11576</v>
      </c>
      <c r="C4398" s="4"/>
      <c r="D4398" s="4" t="s">
        <v>9421</v>
      </c>
      <c r="E4398" s="4" t="s">
        <v>9420</v>
      </c>
      <c r="F4398" s="4" t="s">
        <v>9421</v>
      </c>
      <c r="G4398" s="5" t="str">
        <f>IFERROR(__xludf.DUMMYFUNCTION("GOOGLETRANSLATE(D4398,""fi"",""es"")"),"deseo")</f>
        <v>deseo</v>
      </c>
    </row>
    <row r="4399">
      <c r="A4399" s="4">
        <v>35.0</v>
      </c>
      <c r="B4399" s="4" t="s">
        <v>11576</v>
      </c>
      <c r="C4399" s="4"/>
      <c r="D4399" s="4" t="s">
        <v>9452</v>
      </c>
      <c r="E4399" s="4" t="s">
        <v>9453</v>
      </c>
      <c r="F4399" s="4" t="s">
        <v>9452</v>
      </c>
      <c r="G4399" s="5" t="str">
        <f>IFERROR(__xludf.DUMMYFUNCTION("GOOGLETRANSLATE(D4399,""fi"",""es"")"),"jerga")</f>
        <v>jerga</v>
      </c>
    </row>
    <row r="4400">
      <c r="A4400" s="4">
        <v>36.0</v>
      </c>
      <c r="B4400" s="4" t="s">
        <v>11576</v>
      </c>
      <c r="C4400" s="4"/>
      <c r="D4400" s="4" t="s">
        <v>9454</v>
      </c>
      <c r="E4400" s="4" t="s">
        <v>9455</v>
      </c>
      <c r="F4400" s="4" t="s">
        <v>9454</v>
      </c>
      <c r="G4400" s="5" t="str">
        <f>IFERROR(__xludf.DUMMYFUNCTION("GOOGLETRANSLATE(D4400,""fi"",""es"")"),"Hamina")</f>
        <v>Hamina</v>
      </c>
    </row>
    <row r="4401">
      <c r="A4401" s="4">
        <v>37.0</v>
      </c>
      <c r="B4401" s="4" t="s">
        <v>11576</v>
      </c>
      <c r="C4401" s="4"/>
      <c r="D4401" s="4" t="s">
        <v>9456</v>
      </c>
      <c r="E4401" s="4" t="s">
        <v>9457</v>
      </c>
      <c r="F4401" s="4" t="s">
        <v>9456</v>
      </c>
      <c r="G4401" s="5" t="str">
        <f>IFERROR(__xludf.DUMMYFUNCTION("GOOGLETRANSLATE(D4401,""fi"",""es"")"),"grifo")</f>
        <v>grifo</v>
      </c>
      <c r="H4401" s="4" t="s">
        <v>9458</v>
      </c>
      <c r="I4401" s="4" t="s">
        <v>7757</v>
      </c>
      <c r="J4401" s="4" t="s">
        <v>8161</v>
      </c>
      <c r="K4401" s="4" t="s">
        <v>3596</v>
      </c>
    </row>
    <row r="4402">
      <c r="A4402" s="4">
        <v>38.0</v>
      </c>
      <c r="B4402" s="4" t="s">
        <v>11576</v>
      </c>
      <c r="C4402" s="4"/>
      <c r="D4402" s="4" t="s">
        <v>9459</v>
      </c>
      <c r="E4402" s="4" t="s">
        <v>9460</v>
      </c>
      <c r="F4402" s="4" t="s">
        <v>9459</v>
      </c>
      <c r="G4402" s="5" t="str">
        <f>IFERROR(__xludf.DUMMYFUNCTION("GOOGLETRANSLATE(D4402,""fi"",""es"")"),"grifo")</f>
        <v>grifo</v>
      </c>
    </row>
    <row r="4403">
      <c r="A4403" s="4">
        <v>39.0</v>
      </c>
      <c r="B4403" s="4" t="s">
        <v>11576</v>
      </c>
      <c r="C4403" s="4"/>
      <c r="D4403" s="4" t="s">
        <v>9461</v>
      </c>
      <c r="E4403" s="4" t="s">
        <v>9462</v>
      </c>
      <c r="F4403" s="4" t="s">
        <v>9461</v>
      </c>
      <c r="G4403" s="5" t="str">
        <f>IFERROR(__xludf.DUMMYFUNCTION("GOOGLETRANSLATE(D4403,""fi"",""es"")"),"agrio")</f>
        <v>agrio</v>
      </c>
      <c r="H4403" s="4" t="s">
        <v>9463</v>
      </c>
      <c r="I4403" s="4" t="s">
        <v>9464</v>
      </c>
      <c r="J4403" s="4" t="s">
        <v>9465</v>
      </c>
      <c r="K4403" s="4" t="s">
        <v>9466</v>
      </c>
      <c r="L4403" s="4" t="s">
        <v>9049</v>
      </c>
      <c r="M4403" s="4" t="s">
        <v>9467</v>
      </c>
      <c r="N4403" s="4" t="s">
        <v>9468</v>
      </c>
      <c r="O4403" s="4" t="s">
        <v>9469</v>
      </c>
      <c r="P4403" s="4" t="s">
        <v>9470</v>
      </c>
      <c r="Q4403" s="4" t="s">
        <v>9471</v>
      </c>
      <c r="R4403" s="4" t="s">
        <v>9472</v>
      </c>
      <c r="S4403" s="4" t="s">
        <v>9465</v>
      </c>
      <c r="T4403" s="4" t="s">
        <v>9473</v>
      </c>
      <c r="U4403" s="4" t="s">
        <v>9474</v>
      </c>
      <c r="V4403" s="4" t="s">
        <v>9475</v>
      </c>
      <c r="W4403" s="4" t="s">
        <v>9476</v>
      </c>
      <c r="X4403" s="4" t="s">
        <v>9477</v>
      </c>
      <c r="Y4403" s="4" t="s">
        <v>9465</v>
      </c>
      <c r="Z4403" s="4" t="s">
        <v>9478</v>
      </c>
      <c r="AA4403" s="4" t="s">
        <v>9479</v>
      </c>
      <c r="AB4403" s="4" t="s">
        <v>9480</v>
      </c>
      <c r="AC4403" s="4" t="s">
        <v>9463</v>
      </c>
      <c r="AD4403" s="4" t="s">
        <v>9464</v>
      </c>
      <c r="AE4403" s="4" t="s">
        <v>9481</v>
      </c>
      <c r="AF4403" s="4" t="s">
        <v>9482</v>
      </c>
      <c r="AG4403" s="4" t="s">
        <v>9483</v>
      </c>
      <c r="AH4403" s="4" t="s">
        <v>9484</v>
      </c>
      <c r="AI4403" s="4" t="s">
        <v>9485</v>
      </c>
      <c r="AJ4403" s="4" t="s">
        <v>9486</v>
      </c>
      <c r="AK4403" s="4" t="s">
        <v>9487</v>
      </c>
      <c r="AL4403" s="4" t="s">
        <v>9488</v>
      </c>
      <c r="AM4403" s="4" t="s">
        <v>9489</v>
      </c>
      <c r="AN4403" s="4" t="s">
        <v>9465</v>
      </c>
    </row>
    <row r="4404">
      <c r="A4404" s="4">
        <v>40.0</v>
      </c>
      <c r="B4404" s="4" t="s">
        <v>11576</v>
      </c>
      <c r="C4404" s="4"/>
      <c r="D4404" s="4" t="s">
        <v>9494</v>
      </c>
      <c r="E4404" s="4" t="s">
        <v>9495</v>
      </c>
      <c r="F4404" s="4" t="s">
        <v>9494</v>
      </c>
      <c r="G4404" s="5" t="str">
        <f>IFERROR(__xludf.DUMMYFUNCTION("GOOGLETRANSLATE(D4404,""fi"",""es"")"),"manga")</f>
        <v>manga</v>
      </c>
      <c r="H4404" s="4" t="s">
        <v>9126</v>
      </c>
      <c r="I4404" s="4" t="s">
        <v>6625</v>
      </c>
    </row>
    <row r="4405">
      <c r="A4405" s="4">
        <v>41.0</v>
      </c>
      <c r="B4405" s="4" t="s">
        <v>11576</v>
      </c>
      <c r="C4405" s="4"/>
      <c r="D4405" s="4" t="s">
        <v>6221</v>
      </c>
      <c r="E4405" s="4" t="s">
        <v>9496</v>
      </c>
      <c r="F4405" s="4" t="s">
        <v>6221</v>
      </c>
      <c r="G4405" s="5" t="str">
        <f>IFERROR(__xludf.DUMMYFUNCTION("GOOGLETRANSLATE(D4405,""fi"",""es"")"),"sudor")</f>
        <v>sudor</v>
      </c>
      <c r="H4405" s="4" t="s">
        <v>9497</v>
      </c>
      <c r="I4405" s="4" t="s">
        <v>9498</v>
      </c>
      <c r="J4405" s="4" t="s">
        <v>9499</v>
      </c>
      <c r="K4405" s="4" t="s">
        <v>9500</v>
      </c>
      <c r="L4405" s="4" t="s">
        <v>9501</v>
      </c>
      <c r="M4405" s="4" t="s">
        <v>9502</v>
      </c>
    </row>
    <row r="4406">
      <c r="A4406" s="4">
        <v>42.0</v>
      </c>
      <c r="B4406" s="4" t="s">
        <v>11576</v>
      </c>
      <c r="C4406" s="4"/>
      <c r="D4406" s="4" t="s">
        <v>9503</v>
      </c>
      <c r="E4406" s="4" t="s">
        <v>9504</v>
      </c>
      <c r="F4406" s="4" t="s">
        <v>9505</v>
      </c>
      <c r="G4406" s="5" t="str">
        <f>IFERROR(__xludf.DUMMYFUNCTION("GOOGLETRANSLATE(D4406,""fi"",""es"")"),"fábrica con explotación exagerada")</f>
        <v>fábrica con explotación exagerada</v>
      </c>
      <c r="H4406" s="4" t="s">
        <v>9506</v>
      </c>
      <c r="I4406" s="4" t="s">
        <v>3916</v>
      </c>
      <c r="J4406" s="4" t="s">
        <v>9507</v>
      </c>
    </row>
    <row r="4407">
      <c r="A4407" s="4">
        <v>43.0</v>
      </c>
      <c r="B4407" s="4" t="s">
        <v>11576</v>
      </c>
      <c r="C4407" s="4"/>
      <c r="D4407" s="4" t="s">
        <v>9508</v>
      </c>
      <c r="E4407" s="4" t="s">
        <v>9509</v>
      </c>
      <c r="F4407" s="4" t="s">
        <v>9508</v>
      </c>
      <c r="G4407" s="5" t="str">
        <f>IFERROR(__xludf.DUMMYFUNCTION("GOOGLETRANSLATE(D4407,""fi"",""es"")"),"enrejado")</f>
        <v>enrejado</v>
      </c>
      <c r="H4407" s="4" t="s">
        <v>9510</v>
      </c>
      <c r="I4407" s="4" t="s">
        <v>9511</v>
      </c>
      <c r="J4407" s="4" t="s">
        <v>6595</v>
      </c>
      <c r="K4407" s="4" t="s">
        <v>9512</v>
      </c>
    </row>
    <row r="4408">
      <c r="A4408" s="4">
        <v>44.0</v>
      </c>
      <c r="B4408" s="4" t="s">
        <v>11576</v>
      </c>
      <c r="C4408" s="4"/>
      <c r="D4408" s="4" t="s">
        <v>9513</v>
      </c>
      <c r="E4408" s="4" t="s">
        <v>9514</v>
      </c>
      <c r="F4408" s="4" t="s">
        <v>9513</v>
      </c>
      <c r="G4408" s="5" t="str">
        <f>IFERROR(__xludf.DUMMYFUNCTION("GOOGLETRANSLATE(D4408,""fi"",""es"")"),"lujuria")</f>
        <v>lujuria</v>
      </c>
    </row>
    <row r="4409">
      <c r="A4409" s="4">
        <v>45.0</v>
      </c>
      <c r="B4409" s="4" t="s">
        <v>11576</v>
      </c>
      <c r="C4409" s="4"/>
      <c r="D4409" s="4" t="s">
        <v>9515</v>
      </c>
      <c r="E4409" s="4" t="s">
        <v>9516</v>
      </c>
      <c r="F4409" s="4" t="s">
        <v>9515</v>
      </c>
      <c r="G4409" s="5" t="str">
        <f>IFERROR(__xludf.DUMMYFUNCTION("GOOGLETRANSLATE(D4409,""fi"",""es"")"),"remolcar")</f>
        <v>remolcar</v>
      </c>
    </row>
    <row r="4410">
      <c r="A4410" s="4">
        <v>46.0</v>
      </c>
      <c r="B4410" s="4" t="s">
        <v>11576</v>
      </c>
      <c r="C4410" s="4"/>
      <c r="D4410" s="4" t="s">
        <v>9520</v>
      </c>
      <c r="E4410" s="4" t="s">
        <v>9521</v>
      </c>
      <c r="F4410" s="4" t="s">
        <v>9520</v>
      </c>
      <c r="G4410" s="5" t="str">
        <f>IFERROR(__xludf.DUMMYFUNCTION("GOOGLETRANSLATE(D4410,""fi"",""es"")"),"rumor")</f>
        <v>rumor</v>
      </c>
      <c r="H4410" s="4" t="s">
        <v>9522</v>
      </c>
      <c r="I4410" s="4" t="s">
        <v>9523</v>
      </c>
      <c r="J4410" s="4" t="s">
        <v>9524</v>
      </c>
      <c r="K4410" s="4" t="s">
        <v>9525</v>
      </c>
      <c r="L4410" s="4" t="s">
        <v>9526</v>
      </c>
      <c r="M4410" s="4" t="s">
        <v>9527</v>
      </c>
    </row>
    <row r="4411">
      <c r="A4411" s="4">
        <v>47.0</v>
      </c>
      <c r="B4411" s="4" t="s">
        <v>11576</v>
      </c>
      <c r="C4411" s="4"/>
      <c r="D4411" s="4" t="s">
        <v>6315</v>
      </c>
      <c r="E4411" s="4" t="s">
        <v>9528</v>
      </c>
      <c r="F4411" s="4" t="s">
        <v>6315</v>
      </c>
      <c r="G4411" s="5" t="str">
        <f>IFERROR(__xludf.DUMMYFUNCTION("GOOGLETRANSLATE(D4411,""fi"",""es"")"),"afición")</f>
        <v>afición</v>
      </c>
    </row>
    <row r="4412">
      <c r="A4412" s="4">
        <v>48.0</v>
      </c>
      <c r="B4412" s="4" t="s">
        <v>11576</v>
      </c>
      <c r="C4412" s="4"/>
      <c r="D4412" s="4" t="s">
        <v>9531</v>
      </c>
      <c r="E4412" s="4" t="s">
        <v>9532</v>
      </c>
      <c r="F4412" s="4" t="s">
        <v>9531</v>
      </c>
      <c r="G4412" s="5" t="str">
        <f>IFERROR(__xludf.DUMMYFUNCTION("GOOGLETRANSLATE(D4412,""fi"",""es"")"),"raszmatazz")</f>
        <v>raszmatazz</v>
      </c>
      <c r="H4412" s="4" t="s">
        <v>9533</v>
      </c>
      <c r="I4412" s="4" t="s">
        <v>9534</v>
      </c>
      <c r="J4412" s="4" t="s">
        <v>9535</v>
      </c>
      <c r="K4412" s="4" t="s">
        <v>9536</v>
      </c>
    </row>
    <row r="4413">
      <c r="A4413" s="4">
        <v>49.0</v>
      </c>
      <c r="B4413" s="4" t="s">
        <v>11576</v>
      </c>
      <c r="C4413" s="4"/>
      <c r="D4413" s="4" t="s">
        <v>9537</v>
      </c>
      <c r="E4413" s="4" t="s">
        <v>9538</v>
      </c>
      <c r="F4413" s="4" t="s">
        <v>9537</v>
      </c>
      <c r="G4413" s="5" t="str">
        <f>IFERROR(__xludf.DUMMYFUNCTION("GOOGLETRANSLATE(D4413,""fi"",""es"")"),"saltar")</f>
        <v>saltar</v>
      </c>
      <c r="H4413" s="4" t="s">
        <v>3924</v>
      </c>
      <c r="I4413" s="4" t="s">
        <v>8344</v>
      </c>
      <c r="J4413" s="4" t="s">
        <v>9539</v>
      </c>
      <c r="K4413" s="4" t="s">
        <v>9540</v>
      </c>
      <c r="L4413" s="4" t="s">
        <v>9541</v>
      </c>
      <c r="M4413" s="4" t="s">
        <v>9542</v>
      </c>
      <c r="N4413" s="4" t="s">
        <v>9543</v>
      </c>
      <c r="O4413" s="4" t="s">
        <v>9544</v>
      </c>
      <c r="P4413" s="4" t="s">
        <v>9545</v>
      </c>
      <c r="Q4413" s="4" t="s">
        <v>9546</v>
      </c>
      <c r="R4413" s="4" t="s">
        <v>9547</v>
      </c>
      <c r="S4413" s="4" t="s">
        <v>9548</v>
      </c>
      <c r="T4413" s="4" t="s">
        <v>9549</v>
      </c>
      <c r="U4413" s="4" t="s">
        <v>546</v>
      </c>
    </row>
    <row r="4414">
      <c r="A4414" s="4">
        <v>50.0</v>
      </c>
      <c r="B4414" s="4" t="s">
        <v>11576</v>
      </c>
      <c r="C4414" s="4"/>
      <c r="D4414" s="4" t="s">
        <v>9556</v>
      </c>
      <c r="E4414" s="4" t="s">
        <v>9557</v>
      </c>
      <c r="F4414" s="4" t="s">
        <v>9558</v>
      </c>
      <c r="G4414" s="5" t="str">
        <f>IFERROR(__xludf.DUMMYFUNCTION("GOOGLETRANSLATE(D4414,""fi"",""es"")"),"miel")</f>
        <v>miel</v>
      </c>
      <c r="H4414" s="4" t="s">
        <v>9559</v>
      </c>
    </row>
    <row r="4415">
      <c r="A4415" s="4">
        <v>51.0</v>
      </c>
      <c r="B4415" s="4" t="s">
        <v>11576</v>
      </c>
      <c r="C4415" s="4"/>
      <c r="D4415" s="4" t="s">
        <v>9560</v>
      </c>
      <c r="E4415" s="4" t="s">
        <v>9561</v>
      </c>
      <c r="F4415" s="4" t="s">
        <v>9562</v>
      </c>
      <c r="G4415" s="5" t="str">
        <f>IFERROR(__xludf.DUMMYFUNCTION("GOOGLETRANSLATE(D4415,""fi"",""es"")"),"Conejito de miel")</f>
        <v>Conejito de miel</v>
      </c>
      <c r="H4415" s="4" t="s">
        <v>9563</v>
      </c>
      <c r="I4415" s="4" t="s">
        <v>9564</v>
      </c>
      <c r="J4415" s="4" t="s">
        <v>9565</v>
      </c>
    </row>
    <row r="4416">
      <c r="A4416" s="4">
        <v>52.0</v>
      </c>
      <c r="B4416" s="4" t="s">
        <v>11576</v>
      </c>
      <c r="C4416" s="4"/>
      <c r="D4416" s="4" t="s">
        <v>9566</v>
      </c>
      <c r="E4416" s="4" t="s">
        <v>9567</v>
      </c>
      <c r="F4416" s="4" t="s">
        <v>9566</v>
      </c>
      <c r="G4416" s="5" t="str">
        <f>IFERROR(__xludf.DUMMYFUNCTION("GOOGLETRANSLATE(D4416,""fi"",""es"")"),"gemido")</f>
        <v>gemido</v>
      </c>
      <c r="H4416" s="4" t="s">
        <v>9568</v>
      </c>
      <c r="I4416" s="4" t="s">
        <v>9568</v>
      </c>
    </row>
    <row r="4417">
      <c r="A4417" s="4">
        <v>53.0</v>
      </c>
      <c r="B4417" s="4" t="s">
        <v>11576</v>
      </c>
      <c r="C4417" s="4"/>
      <c r="D4417" s="4" t="s">
        <v>9569</v>
      </c>
      <c r="E4417" s="4" t="s">
        <v>9570</v>
      </c>
      <c r="F4417" s="4" t="s">
        <v>9569</v>
      </c>
      <c r="G4417" s="5" t="str">
        <f>IFERROR(__xludf.DUMMYFUNCTION("GOOGLETRANSLATE(D4417,""fi"",""es"")"),"divertida")</f>
        <v>divertida</v>
      </c>
      <c r="H4417" s="4" t="s">
        <v>9571</v>
      </c>
      <c r="I4417" s="4" t="s">
        <v>910</v>
      </c>
    </row>
    <row r="4418">
      <c r="A4418" s="4">
        <v>54.0</v>
      </c>
      <c r="B4418" s="4" t="s">
        <v>11576</v>
      </c>
      <c r="C4418" s="4"/>
      <c r="D4418" s="4" t="s">
        <v>9595</v>
      </c>
      <c r="E4418" s="4" t="s">
        <v>9596</v>
      </c>
      <c r="F4418" s="4" t="s">
        <v>4812</v>
      </c>
      <c r="G4418" s="5" t="str">
        <f>IFERROR(__xludf.DUMMYFUNCTION("GOOGLETRANSLATE(D4418,""fi"",""es"")"),"¿eh?")</f>
        <v>¿eh?</v>
      </c>
    </row>
    <row r="4419">
      <c r="A4419" s="4">
        <v>55.0</v>
      </c>
      <c r="B4419" s="4" t="s">
        <v>11576</v>
      </c>
      <c r="C4419" s="4"/>
      <c r="D4419" s="4" t="s">
        <v>9597</v>
      </c>
      <c r="E4419" s="4" t="s">
        <v>9598</v>
      </c>
      <c r="F4419" s="4" t="s">
        <v>9599</v>
      </c>
      <c r="G4419" s="5" t="str">
        <f>IFERROR(__xludf.DUMMYFUNCTION("GOOGLETRANSLATE(D4419,""fi"",""es"")"),"jaula")</f>
        <v>jaula</v>
      </c>
      <c r="H4419" s="4" t="s">
        <v>9600</v>
      </c>
      <c r="I4419" s="4" t="s">
        <v>9601</v>
      </c>
      <c r="J4419" s="4" t="s">
        <v>9602</v>
      </c>
    </row>
    <row r="4420">
      <c r="A4420" s="4">
        <v>56.0</v>
      </c>
      <c r="B4420" s="4" t="s">
        <v>11576</v>
      </c>
      <c r="C4420" s="4"/>
      <c r="D4420" s="4" t="s">
        <v>9603</v>
      </c>
      <c r="E4420" s="4" t="s">
        <v>9604</v>
      </c>
      <c r="F4420" s="4" t="s">
        <v>9399</v>
      </c>
      <c r="G4420" s="5" t="str">
        <f>IFERROR(__xludf.DUMMYFUNCTION("GOOGLETRANSLATE(D4420,""fi"",""es"")"),"monóxido de carbono")</f>
        <v>monóxido de carbono</v>
      </c>
      <c r="H4420" s="4" t="s">
        <v>8251</v>
      </c>
      <c r="I4420" s="4" t="s">
        <v>8252</v>
      </c>
      <c r="J4420" s="4" t="s">
        <v>8253</v>
      </c>
    </row>
    <row r="4421">
      <c r="A4421" s="4">
        <v>57.0</v>
      </c>
      <c r="B4421" s="4" t="s">
        <v>11576</v>
      </c>
      <c r="C4421" s="4"/>
      <c r="D4421" s="4" t="s">
        <v>9605</v>
      </c>
      <c r="E4421" s="4" t="s">
        <v>9606</v>
      </c>
      <c r="F4421" s="4" t="s">
        <v>9607</v>
      </c>
      <c r="G4421" s="5" t="str">
        <f>IFERROR(__xludf.DUMMYFUNCTION("GOOGLETRANSLATE(D4421,""fi"",""es"")"),"conmoción")</f>
        <v>conmoción</v>
      </c>
      <c r="H4421" s="4" t="s">
        <v>9608</v>
      </c>
      <c r="I4421" s="4" t="s">
        <v>9609</v>
      </c>
      <c r="J4421" s="4" t="s">
        <v>9610</v>
      </c>
      <c r="K4421" s="4" t="s">
        <v>9611</v>
      </c>
      <c r="L4421" s="4" t="s">
        <v>9612</v>
      </c>
      <c r="M4421" s="4" t="s">
        <v>9613</v>
      </c>
      <c r="N4421" s="4" t="s">
        <v>9614</v>
      </c>
      <c r="O4421" s="4" t="s">
        <v>9533</v>
      </c>
      <c r="P4421" s="4" t="s">
        <v>9615</v>
      </c>
      <c r="Q4421" s="4" t="s">
        <v>8198</v>
      </c>
      <c r="R4421" s="4" t="s">
        <v>9616</v>
      </c>
      <c r="S4421" s="4" t="s">
        <v>9617</v>
      </c>
      <c r="T4421" s="4" t="s">
        <v>9618</v>
      </c>
      <c r="U4421" s="4" t="s">
        <v>7520</v>
      </c>
      <c r="V4421" s="4" t="s">
        <v>9619</v>
      </c>
      <c r="W4421" s="4" t="s">
        <v>9620</v>
      </c>
      <c r="X4421" s="4" t="s">
        <v>9535</v>
      </c>
      <c r="Y4421" s="4" t="s">
        <v>9609</v>
      </c>
      <c r="Z4421" s="4" t="s">
        <v>9621</v>
      </c>
      <c r="AA4421" s="4" t="s">
        <v>7115</v>
      </c>
      <c r="AB4421" s="4" t="s">
        <v>9610</v>
      </c>
      <c r="AC4421" s="4" t="s">
        <v>9622</v>
      </c>
      <c r="AD4421" s="4" t="s">
        <v>9623</v>
      </c>
      <c r="AE4421" s="4" t="s">
        <v>9610</v>
      </c>
      <c r="AF4421" s="4" t="s">
        <v>9624</v>
      </c>
      <c r="AG4421" s="4" t="s">
        <v>9625</v>
      </c>
      <c r="AH4421" s="4" t="s">
        <v>9626</v>
      </c>
      <c r="AI4421" s="4" t="s">
        <v>9627</v>
      </c>
      <c r="AJ4421" s="4" t="s">
        <v>9628</v>
      </c>
      <c r="AK4421" s="4" t="s">
        <v>9629</v>
      </c>
    </row>
    <row r="4422">
      <c r="A4422" s="4">
        <v>58.0</v>
      </c>
      <c r="B4422" s="4" t="s">
        <v>11576</v>
      </c>
      <c r="C4422" s="4"/>
      <c r="D4422" s="4" t="s">
        <v>9633</v>
      </c>
      <c r="E4422" s="4" t="s">
        <v>4876</v>
      </c>
      <c r="F4422" s="4" t="s">
        <v>1786</v>
      </c>
      <c r="G4422" s="5" t="str">
        <f>IFERROR(__xludf.DUMMYFUNCTION("GOOGLETRANSLATE(D4422,""fi"",""es"")"),"él")</f>
        <v>él</v>
      </c>
    </row>
    <row r="4423">
      <c r="A4423" s="4">
        <v>59.0</v>
      </c>
      <c r="B4423" s="4" t="s">
        <v>11576</v>
      </c>
      <c r="C4423" s="4"/>
      <c r="D4423" s="4" t="s">
        <v>9668</v>
      </c>
      <c r="E4423" s="4" t="s">
        <v>9669</v>
      </c>
      <c r="F4423" s="4" t="s">
        <v>9670</v>
      </c>
      <c r="G4423" s="5" t="str">
        <f>IFERROR(__xludf.DUMMYFUNCTION("GOOGLETRANSLATE(D4423,""fi"",""es"")"),"alguna vez")</f>
        <v>alguna vez</v>
      </c>
    </row>
    <row r="4424">
      <c r="A4424" s="4">
        <v>60.0</v>
      </c>
      <c r="B4424" s="4" t="s">
        <v>11576</v>
      </c>
      <c r="C4424" s="4"/>
      <c r="D4424" s="4" t="s">
        <v>9671</v>
      </c>
      <c r="E4424" s="4" t="s">
        <v>9672</v>
      </c>
      <c r="F4424" s="4" t="s">
        <v>5090</v>
      </c>
      <c r="G4424" s="5" t="str">
        <f>IFERROR(__xludf.DUMMYFUNCTION("GOOGLETRANSLATE(D4424,""fi"",""es"")"),"años")</f>
        <v>años</v>
      </c>
      <c r="H4424" s="4" t="s">
        <v>9673</v>
      </c>
      <c r="I4424" s="4" t="s">
        <v>9673</v>
      </c>
      <c r="J4424" s="4" t="s">
        <v>9674</v>
      </c>
    </row>
    <row r="4425">
      <c r="A4425" s="4">
        <v>61.0</v>
      </c>
      <c r="B4425" s="4" t="s">
        <v>11576</v>
      </c>
      <c r="C4425" s="4"/>
      <c r="D4425" s="4" t="s">
        <v>9675</v>
      </c>
      <c r="E4425" s="4" t="s">
        <v>9676</v>
      </c>
      <c r="F4425" s="4" t="s">
        <v>9677</v>
      </c>
      <c r="G4425" s="5" t="str">
        <f>IFERROR(__xludf.DUMMYFUNCTION("GOOGLETRANSLATE(D4425,""fi"",""es"")"),"años")</f>
        <v>años</v>
      </c>
    </row>
    <row r="4426">
      <c r="A4426" s="4">
        <v>62.0</v>
      </c>
      <c r="B4426" s="4" t="s">
        <v>11576</v>
      </c>
      <c r="C4426" s="4"/>
      <c r="D4426" s="4" t="s">
        <v>9681</v>
      </c>
      <c r="E4426" s="4" t="s">
        <v>9682</v>
      </c>
      <c r="F4426" s="4" t="s">
        <v>9681</v>
      </c>
      <c r="G4426" s="5" t="str">
        <f>IFERROR(__xludf.DUMMYFUNCTION("GOOGLETRANSLATE(D4426,""fi"",""es"")"),"chupado")</f>
        <v>chupado</v>
      </c>
    </row>
    <row r="4427">
      <c r="A4427" s="4">
        <v>63.0</v>
      </c>
      <c r="B4427" s="4" t="s">
        <v>11576</v>
      </c>
      <c r="C4427" s="4"/>
      <c r="D4427" s="4" t="s">
        <v>9686</v>
      </c>
      <c r="E4427" s="4" t="s">
        <v>9687</v>
      </c>
      <c r="F4427" s="4" t="s">
        <v>9686</v>
      </c>
      <c r="G4427" s="5" t="str">
        <f>IFERROR(__xludf.DUMMYFUNCTION("GOOGLETRANSLATE(D4427,""fi"",""es"")"),"succión")</f>
        <v>succión</v>
      </c>
      <c r="H4427" s="4" t="s">
        <v>9688</v>
      </c>
      <c r="I4427" s="4" t="s">
        <v>9689</v>
      </c>
      <c r="J4427" s="4" t="s">
        <v>9690</v>
      </c>
    </row>
    <row r="4428">
      <c r="A4428" s="4">
        <v>64.0</v>
      </c>
      <c r="B4428" s="4" t="s">
        <v>11576</v>
      </c>
      <c r="C4428" s="4"/>
      <c r="D4428" s="4" t="s">
        <v>9691</v>
      </c>
      <c r="E4428" s="4" t="s">
        <v>9692</v>
      </c>
      <c r="F4428" s="4" t="s">
        <v>9691</v>
      </c>
      <c r="G4428" s="5" t="str">
        <f>IFERROR(__xludf.DUMMYFUNCTION("GOOGLETRANSLATE(D4428,""fi"",""es"")"),"pescado de succión")</f>
        <v>pescado de succión</v>
      </c>
      <c r="H4428" s="4" t="s">
        <v>9693</v>
      </c>
      <c r="I4428" s="4" t="s">
        <v>9694</v>
      </c>
      <c r="J4428" s="4" t="s">
        <v>9695</v>
      </c>
      <c r="K4428" s="4" t="s">
        <v>9696</v>
      </c>
      <c r="L4428" s="4" t="s">
        <v>3234</v>
      </c>
    </row>
    <row r="4429">
      <c r="A4429" s="4">
        <v>65.0</v>
      </c>
      <c r="B4429" s="4" t="s">
        <v>11576</v>
      </c>
      <c r="C4429" s="4"/>
      <c r="D4429" s="4" t="s">
        <v>4824</v>
      </c>
      <c r="E4429" s="4" t="s">
        <v>9699</v>
      </c>
      <c r="F4429" s="4" t="s">
        <v>4824</v>
      </c>
      <c r="G4429" s="5" t="str">
        <f>IFERROR(__xludf.DUMMYFUNCTION("GOOGLETRANSLATE(D4429,""fi"",""es"")"),"en")</f>
        <v>en</v>
      </c>
      <c r="H4429" s="4" t="s">
        <v>6350</v>
      </c>
      <c r="I4429" s="4" t="s">
        <v>6351</v>
      </c>
      <c r="J4429" s="4" t="s">
        <v>6352</v>
      </c>
      <c r="K4429" s="4" t="s">
        <v>6347</v>
      </c>
      <c r="L4429" s="4" t="s">
        <v>6348</v>
      </c>
      <c r="M4429" s="4" t="s">
        <v>6349</v>
      </c>
    </row>
    <row r="4430">
      <c r="A4430" s="4">
        <v>66.0</v>
      </c>
      <c r="B4430" s="4" t="s">
        <v>11576</v>
      </c>
      <c r="C4430" s="4"/>
      <c r="D4430" s="4" t="s">
        <v>9700</v>
      </c>
      <c r="E4430" s="4" t="s">
        <v>9701</v>
      </c>
      <c r="F4430" s="4" t="s">
        <v>9700</v>
      </c>
      <c r="G4430" s="5" t="str">
        <f>IFERROR(__xludf.DUMMYFUNCTION("GOOGLETRANSLATE(D4430,""fi"",""es"")"),"pececillo")</f>
        <v>pececillo</v>
      </c>
      <c r="H4430" s="4" t="s">
        <v>4701</v>
      </c>
      <c r="I4430" s="4" t="s">
        <v>4702</v>
      </c>
      <c r="J4430" s="4" t="s">
        <v>4703</v>
      </c>
      <c r="K4430" s="4" t="s">
        <v>4704</v>
      </c>
      <c r="L4430" s="4" t="s">
        <v>4705</v>
      </c>
      <c r="M4430" s="4" t="s">
        <v>4706</v>
      </c>
      <c r="N4430" s="4" t="s">
        <v>4707</v>
      </c>
      <c r="O4430" s="4" t="s">
        <v>4708</v>
      </c>
      <c r="P4430" s="4" t="s">
        <v>3256</v>
      </c>
      <c r="Q4430" s="4" t="s">
        <v>3255</v>
      </c>
      <c r="R4430" s="4" t="s">
        <v>4709</v>
      </c>
      <c r="S4430" s="4" t="s">
        <v>4710</v>
      </c>
      <c r="T4430" s="4" t="s">
        <v>9702</v>
      </c>
      <c r="U4430" s="4" t="s">
        <v>9703</v>
      </c>
    </row>
    <row r="4431">
      <c r="A4431" s="4">
        <v>67.0</v>
      </c>
      <c r="B4431" s="4" t="s">
        <v>11576</v>
      </c>
      <c r="C4431" s="4"/>
      <c r="D4431" s="4" t="s">
        <v>2009</v>
      </c>
      <c r="E4431" s="4" t="s">
        <v>7968</v>
      </c>
      <c r="F4431" s="4" t="s">
        <v>2011</v>
      </c>
      <c r="G4431" s="5" t="str">
        <f>IFERROR(__xludf.DUMMYFUNCTION("GOOGLETRANSLATE(D4431,""fi"",""es"")"),"y")</f>
        <v>y</v>
      </c>
    </row>
    <row r="4432">
      <c r="A4432" s="4">
        <v>68.0</v>
      </c>
      <c r="B4432" s="4" t="s">
        <v>11576</v>
      </c>
      <c r="C4432" s="4"/>
      <c r="D4432" s="4" t="s">
        <v>9748</v>
      </c>
      <c r="E4432" s="4" t="s">
        <v>9749</v>
      </c>
      <c r="F4432" s="4" t="s">
        <v>9750</v>
      </c>
      <c r="G4432" s="5" t="str">
        <f>IFERROR(__xludf.DUMMYFUNCTION("GOOGLETRANSLATE(D4432,""fi"",""es"")"),"dividido")</f>
        <v>dividido</v>
      </c>
    </row>
    <row r="4433">
      <c r="A4433" s="4">
        <v>69.0</v>
      </c>
      <c r="B4433" s="4" t="s">
        <v>11576</v>
      </c>
      <c r="C4433" s="4"/>
      <c r="D4433" s="4" t="s">
        <v>9751</v>
      </c>
      <c r="E4433" s="4" t="s">
        <v>9752</v>
      </c>
      <c r="F4433" s="4" t="s">
        <v>9753</v>
      </c>
      <c r="G4433" s="5" t="str">
        <f>IFERROR(__xludf.DUMMYFUNCTION("GOOGLETRANSLATE(D4433,""fi"",""es"")"),"en marcha")</f>
        <v>en marcha</v>
      </c>
      <c r="H4433" s="4" t="s">
        <v>9754</v>
      </c>
    </row>
    <row r="4434">
      <c r="A4434" s="4">
        <v>70.0</v>
      </c>
      <c r="B4434" s="4" t="s">
        <v>11576</v>
      </c>
      <c r="C4434" s="4"/>
      <c r="D4434" s="4" t="s">
        <v>9763</v>
      </c>
      <c r="E4434" s="4" t="s">
        <v>9764</v>
      </c>
      <c r="F4434" s="4" t="s">
        <v>9765</v>
      </c>
      <c r="G4434" s="5" t="str">
        <f>IFERROR(__xludf.DUMMYFUNCTION("GOOGLETRANSLATE(D4434,""fi"",""es"")"),"descansar")</f>
        <v>descansar</v>
      </c>
      <c r="H4434" s="4" t="s">
        <v>647</v>
      </c>
      <c r="I4434" s="4" t="s">
        <v>1209</v>
      </c>
      <c r="J4434" s="4" t="s">
        <v>7110</v>
      </c>
    </row>
    <row r="4435">
      <c r="A4435" s="4">
        <v>71.0</v>
      </c>
      <c r="B4435" s="4" t="s">
        <v>11576</v>
      </c>
      <c r="C4435" s="4"/>
      <c r="D4435" s="4" t="s">
        <v>9766</v>
      </c>
      <c r="E4435" s="4" t="s">
        <v>9767</v>
      </c>
      <c r="F4435" s="4" t="s">
        <v>9768</v>
      </c>
      <c r="G4435" s="5" t="str">
        <f>IFERROR(__xludf.DUMMYFUNCTION("GOOGLETRANSLATE(D4435,""fi"",""es"")"),"mermelada")</f>
        <v>mermelada</v>
      </c>
    </row>
    <row r="4436">
      <c r="A4436" s="4">
        <v>72.0</v>
      </c>
      <c r="B4436" s="4" t="s">
        <v>11576</v>
      </c>
      <c r="C4436" s="4"/>
      <c r="D4436" s="4" t="s">
        <v>9769</v>
      </c>
      <c r="E4436" s="4" t="s">
        <v>9770</v>
      </c>
      <c r="F4436" s="4" t="s">
        <v>9771</v>
      </c>
      <c r="G4436" s="5" t="str">
        <f>IFERROR(__xludf.DUMMYFUNCTION("GOOGLETRANSLATE(D4436,""fi"",""es"")"),"segmento")</f>
        <v>segmento</v>
      </c>
    </row>
    <row r="4437">
      <c r="A4437" s="4">
        <v>73.0</v>
      </c>
      <c r="B4437" s="4" t="s">
        <v>11576</v>
      </c>
      <c r="C4437" s="4"/>
      <c r="D4437" s="4" t="s">
        <v>9772</v>
      </c>
      <c r="E4437" s="4" t="s">
        <v>9773</v>
      </c>
      <c r="F4437" s="4" t="s">
        <v>9774</v>
      </c>
      <c r="G4437" s="5" t="str">
        <f>IFERROR(__xludf.DUMMYFUNCTION("GOOGLETRANSLATE(D4437,""fi"",""es"")"),"Jani")</f>
        <v>Jani</v>
      </c>
    </row>
    <row r="4438">
      <c r="A4438" s="4">
        <v>74.0</v>
      </c>
      <c r="B4438" s="4" t="s">
        <v>11576</v>
      </c>
      <c r="C4438" s="4"/>
      <c r="D4438" s="4" t="s">
        <v>9775</v>
      </c>
      <c r="E4438" s="4" t="s">
        <v>9776</v>
      </c>
      <c r="F4438" s="4" t="s">
        <v>9777</v>
      </c>
      <c r="G4438" s="5" t="str">
        <f>IFERROR(__xludf.DUMMYFUNCTION("GOOGLETRANSLATE(D4438,""fi"",""es"")"),"Janika")</f>
        <v>Janika</v>
      </c>
    </row>
    <row r="4439">
      <c r="A4439" s="4">
        <v>75.0</v>
      </c>
      <c r="B4439" s="4" t="s">
        <v>11576</v>
      </c>
      <c r="C4439" s="4"/>
      <c r="D4439" s="4" t="s">
        <v>9778</v>
      </c>
      <c r="E4439" s="4" t="s">
        <v>9779</v>
      </c>
      <c r="F4439" s="4" t="s">
        <v>9780</v>
      </c>
      <c r="G4439" s="5" t="str">
        <f>IFERROR(__xludf.DUMMYFUNCTION("GOOGLETRANSLATE(D4439,""fi"",""es"")"),"sed")</f>
        <v>sed</v>
      </c>
    </row>
    <row r="4440">
      <c r="A4440" s="4">
        <v>76.0</v>
      </c>
      <c r="B4440" s="4" t="s">
        <v>11576</v>
      </c>
      <c r="C4440" s="4"/>
      <c r="D4440" s="4" t="s">
        <v>9784</v>
      </c>
      <c r="E4440" s="4" t="s">
        <v>9785</v>
      </c>
      <c r="F4440" s="4" t="s">
        <v>9786</v>
      </c>
      <c r="G4440" s="5" t="str">
        <f>IFERROR(__xludf.DUMMYFUNCTION("GOOGLETRANSLATE(D4440,""fi"",""es"")"),"Japón")</f>
        <v>Japón</v>
      </c>
      <c r="H4440" s="4" t="s">
        <v>9787</v>
      </c>
      <c r="I4440" s="4" t="s">
        <v>8568</v>
      </c>
      <c r="J4440" s="4" t="s">
        <v>9788</v>
      </c>
      <c r="K4440" s="4" t="s">
        <v>9789</v>
      </c>
      <c r="L4440" s="4" t="s">
        <v>8568</v>
      </c>
      <c r="M4440" s="4" t="s">
        <v>8569</v>
      </c>
      <c r="N4440" s="4" t="s">
        <v>8570</v>
      </c>
    </row>
    <row r="4441">
      <c r="A4441" s="4">
        <v>77.0</v>
      </c>
      <c r="B4441" s="4" t="s">
        <v>11576</v>
      </c>
      <c r="C4441" s="4"/>
      <c r="D4441" s="4" t="s">
        <v>9793</v>
      </c>
      <c r="E4441" s="4" t="s">
        <v>9794</v>
      </c>
      <c r="F4441" s="4" t="s">
        <v>9795</v>
      </c>
      <c r="G4441" s="5" t="str">
        <f>IFERROR(__xludf.DUMMYFUNCTION("GOOGLETRANSLATE(D4441,""fi"",""es"")"),"jimi")</f>
        <v>jimi</v>
      </c>
    </row>
    <row r="4442">
      <c r="A4442" s="4">
        <v>78.0</v>
      </c>
      <c r="B4442" s="4" t="s">
        <v>11576</v>
      </c>
      <c r="C4442" s="4"/>
      <c r="D4442" s="4" t="s">
        <v>9808</v>
      </c>
      <c r="E4442" s="4" t="s">
        <v>9809</v>
      </c>
      <c r="F4442" s="4" t="s">
        <v>9810</v>
      </c>
      <c r="G4442" s="5" t="str">
        <f>IFERROR(__xludf.DUMMYFUNCTION("GOOGLETRANSLATE(D4442,""fi"",""es"")"),"truco")</f>
        <v>truco</v>
      </c>
      <c r="H4442" s="4" t="s">
        <v>9811</v>
      </c>
      <c r="I4442" s="4" t="s">
        <v>9812</v>
      </c>
      <c r="J4442" s="4" t="s">
        <v>7299</v>
      </c>
      <c r="K4442" s="4" t="s">
        <v>1375</v>
      </c>
      <c r="L4442" s="4" t="s">
        <v>9812</v>
      </c>
      <c r="M4442" s="4" t="s">
        <v>3334</v>
      </c>
      <c r="N4442" s="4" t="s">
        <v>6282</v>
      </c>
      <c r="O4442" s="4" t="s">
        <v>6278</v>
      </c>
      <c r="P4442" s="4" t="s">
        <v>3336</v>
      </c>
      <c r="Q4442" s="4" t="s">
        <v>6283</v>
      </c>
      <c r="R4442" s="4" t="s">
        <v>9808</v>
      </c>
    </row>
    <row r="4443">
      <c r="A4443" s="4">
        <v>79.0</v>
      </c>
      <c r="B4443" s="4" t="s">
        <v>11576</v>
      </c>
      <c r="C4443" s="4"/>
      <c r="D4443" s="4" t="s">
        <v>9813</v>
      </c>
      <c r="E4443" s="4" t="s">
        <v>9814</v>
      </c>
      <c r="F4443" s="4" t="s">
        <v>9815</v>
      </c>
      <c r="G4443" s="5" t="str">
        <f>IFERROR(__xludf.DUMMYFUNCTION("GOOGLETRANSLATE(D4443,""fi"",""es"")"),"yuma")</f>
        <v>yuma</v>
      </c>
    </row>
    <row r="4444">
      <c r="A4444" s="4">
        <v>80.0</v>
      </c>
      <c r="B4444" s="4" t="s">
        <v>11576</v>
      </c>
      <c r="C4444" s="4"/>
      <c r="D4444" s="4" t="s">
        <v>9816</v>
      </c>
      <c r="E4444" s="4" t="s">
        <v>9817</v>
      </c>
      <c r="F4444" s="4" t="s">
        <v>9818</v>
      </c>
      <c r="G4444" s="5" t="str">
        <f>IFERROR(__xludf.DUMMYFUNCTION("GOOGLETRANSLATE(D4444,""fi"",""es"")"),"Dios")</f>
        <v>Dios</v>
      </c>
      <c r="H4444" s="4" t="s">
        <v>9819</v>
      </c>
      <c r="I4444" s="4" t="s">
        <v>9820</v>
      </c>
      <c r="J4444" s="4" t="s">
        <v>9821</v>
      </c>
      <c r="K4444" s="4" t="s">
        <v>9822</v>
      </c>
      <c r="L4444" s="4" t="s">
        <v>9823</v>
      </c>
      <c r="M4444" s="4" t="s">
        <v>9821</v>
      </c>
      <c r="N4444" s="4" t="s">
        <v>9824</v>
      </c>
      <c r="O4444" s="4" t="s">
        <v>9825</v>
      </c>
      <c r="P4444" s="4" t="s">
        <v>9826</v>
      </c>
      <c r="Q4444" s="4" t="s">
        <v>9827</v>
      </c>
      <c r="R4444" s="4" t="s">
        <v>9828</v>
      </c>
      <c r="S4444" s="4" t="s">
        <v>9829</v>
      </c>
      <c r="T4444" s="4" t="s">
        <v>9830</v>
      </c>
      <c r="U4444" s="4" t="s">
        <v>9831</v>
      </c>
      <c r="V4444" s="4" t="s">
        <v>9832</v>
      </c>
      <c r="W4444" s="4" t="s">
        <v>9833</v>
      </c>
      <c r="X4444" s="4" t="s">
        <v>9834</v>
      </c>
      <c r="Y4444" s="4" t="s">
        <v>9821</v>
      </c>
    </row>
    <row r="4445">
      <c r="A4445" s="4">
        <v>81.0</v>
      </c>
      <c r="B4445" s="4" t="s">
        <v>11576</v>
      </c>
      <c r="C4445" s="4"/>
      <c r="D4445" s="4" t="s">
        <v>9835</v>
      </c>
      <c r="E4445" s="4" t="s">
        <v>9836</v>
      </c>
      <c r="F4445" s="4" t="s">
        <v>9837</v>
      </c>
      <c r="G4445" s="5" t="str">
        <f>IFERROR(__xludf.DUMMYFUNCTION("GOOGLETRANSLATE(D4445,""fi"",""es"")"),"atascado")</f>
        <v>atascado</v>
      </c>
    </row>
    <row r="4446">
      <c r="A4446" s="4">
        <v>82.0</v>
      </c>
      <c r="B4446" s="4" t="s">
        <v>11576</v>
      </c>
      <c r="C4446" s="4"/>
      <c r="D4446" s="4" t="s">
        <v>9838</v>
      </c>
      <c r="E4446" s="4" t="s">
        <v>9839</v>
      </c>
      <c r="F4446" s="4" t="s">
        <v>9840</v>
      </c>
      <c r="G4446" s="5" t="str">
        <f>IFERROR(__xludf.DUMMYFUNCTION("GOOGLETRANSLATE(D4446,""fi"",""es"")"),"tren")</f>
        <v>tren</v>
      </c>
      <c r="H4446" s="4" t="s">
        <v>9841</v>
      </c>
      <c r="I4446" s="4" t="s">
        <v>7938</v>
      </c>
      <c r="J4446" s="4" t="s">
        <v>9842</v>
      </c>
    </row>
    <row r="4447">
      <c r="A4447" s="4">
        <v>83.0</v>
      </c>
      <c r="B4447" s="4" t="s">
        <v>11576</v>
      </c>
      <c r="C4447" s="4"/>
      <c r="D4447" s="4" t="s">
        <v>9843</v>
      </c>
      <c r="E4447" s="4" t="s">
        <v>9844</v>
      </c>
      <c r="F4447" s="4" t="s">
        <v>9845</v>
      </c>
      <c r="G4447" s="5" t="str">
        <f>IFERROR(__xludf.DUMMYFUNCTION("GOOGLETRANSLATE(D4447,""fi"",""es"")"),"Jupik")</f>
        <v>Jupik</v>
      </c>
    </row>
    <row r="4448">
      <c r="A4448" s="4">
        <v>84.0</v>
      </c>
      <c r="B4448" s="4" t="s">
        <v>11576</v>
      </c>
      <c r="C4448" s="4"/>
      <c r="D4448" s="4" t="s">
        <v>9846</v>
      </c>
      <c r="E4448" s="4" t="s">
        <v>9847</v>
      </c>
      <c r="F4448" s="4" t="s">
        <v>9848</v>
      </c>
      <c r="G4448" s="5" t="str">
        <f>IFERROR(__xludf.DUMMYFUNCTION("GOOGLETRANSLATE(D4448,""fi"",""es"")"),"liquen")</f>
        <v>liquen</v>
      </c>
      <c r="H4448" s="4" t="s">
        <v>9849</v>
      </c>
      <c r="I4448" s="4" t="s">
        <v>9850</v>
      </c>
      <c r="J4448" s="4" t="s">
        <v>9851</v>
      </c>
      <c r="K4448" s="4" t="s">
        <v>9852</v>
      </c>
    </row>
    <row r="4449">
      <c r="A4449" s="4">
        <v>85.0</v>
      </c>
      <c r="B4449" s="4" t="s">
        <v>11576</v>
      </c>
      <c r="C4449" s="4"/>
      <c r="D4449" s="4" t="s">
        <v>9853</v>
      </c>
      <c r="E4449" s="4" t="s">
        <v>9854</v>
      </c>
      <c r="F4449" s="4" t="s">
        <v>9765</v>
      </c>
      <c r="G4449" s="5" t="str">
        <f>IFERROR(__xludf.DUMMYFUNCTION("GOOGLETRANSLATE(D4449,""fi"",""es"")"),"descansar")</f>
        <v>descansar</v>
      </c>
    </row>
    <row r="4450">
      <c r="A4450" s="4">
        <v>86.0</v>
      </c>
      <c r="B4450" s="4" t="s">
        <v>11576</v>
      </c>
      <c r="C4450" s="4"/>
      <c r="D4450" s="4" t="s">
        <v>962</v>
      </c>
      <c r="E4450" s="4" t="s">
        <v>9868</v>
      </c>
      <c r="F4450" s="4" t="s">
        <v>962</v>
      </c>
      <c r="G4450" s="5" t="str">
        <f>IFERROR(__xludf.DUMMYFUNCTION("GOOGLETRANSLATE(D4450,""fi"",""es"")"),"ka")</f>
        <v>ka</v>
      </c>
      <c r="H4450" s="4" t="s">
        <v>9869</v>
      </c>
    </row>
    <row r="4451">
      <c r="A4451" s="4">
        <v>87.0</v>
      </c>
      <c r="B4451" s="4" t="s">
        <v>11576</v>
      </c>
      <c r="C4451" s="4"/>
      <c r="D4451" s="4" t="s">
        <v>9073</v>
      </c>
      <c r="E4451" s="4" t="s">
        <v>9880</v>
      </c>
      <c r="F4451" s="4" t="s">
        <v>9073</v>
      </c>
      <c r="G4451" s="5" t="str">
        <f>IFERROR(__xludf.DUMMYFUNCTION("GOOGLETRANSLATE(D4451,""fi"",""es"")"),"caca")</f>
        <v>caca</v>
      </c>
    </row>
    <row r="4452">
      <c r="A4452" s="4">
        <v>88.0</v>
      </c>
      <c r="B4452" s="4" t="s">
        <v>11576</v>
      </c>
      <c r="C4452" s="4"/>
      <c r="D4452" s="4" t="s">
        <v>1297</v>
      </c>
      <c r="E4452" s="4" t="s">
        <v>8169</v>
      </c>
      <c r="F4452" s="4" t="s">
        <v>1297</v>
      </c>
      <c r="G4452" s="5" t="str">
        <f>IFERROR(__xludf.DUMMYFUNCTION("GOOGLETRANSLATE(D4452,""fi"",""es"")"),"caqui")</f>
        <v>caqui</v>
      </c>
      <c r="H4452" s="4" t="s">
        <v>1299</v>
      </c>
      <c r="I4452" s="4" t="s">
        <v>6396</v>
      </c>
      <c r="J4452" s="4" t="s">
        <v>1297</v>
      </c>
      <c r="K4452" s="4" t="s">
        <v>6397</v>
      </c>
    </row>
    <row r="4453">
      <c r="A4453" s="4">
        <v>89.0</v>
      </c>
      <c r="B4453" s="4" t="s">
        <v>11576</v>
      </c>
      <c r="C4453" s="4"/>
      <c r="D4453" s="4" t="s">
        <v>978</v>
      </c>
      <c r="E4453" s="4" t="s">
        <v>9881</v>
      </c>
      <c r="F4453" s="4" t="s">
        <v>978</v>
      </c>
      <c r="G4453" s="5" t="str">
        <f>IFERROR(__xludf.DUMMYFUNCTION("GOOGLETRANSLATE(D4453,""fi"",""es"")"),"pez")</f>
        <v>pez</v>
      </c>
      <c r="H4453" s="4" t="s">
        <v>9882</v>
      </c>
      <c r="I4453" s="4" t="s">
        <v>9883</v>
      </c>
      <c r="J4453" s="4" t="s">
        <v>9884</v>
      </c>
      <c r="K4453" s="4" t="s">
        <v>9885</v>
      </c>
      <c r="L4453" s="4" t="s">
        <v>9886</v>
      </c>
      <c r="M4453" s="4" t="s">
        <v>9887</v>
      </c>
      <c r="N4453" s="4" t="s">
        <v>9888</v>
      </c>
      <c r="O4453" s="4" t="s">
        <v>9889</v>
      </c>
      <c r="P4453" s="4" t="s">
        <v>9890</v>
      </c>
      <c r="Q4453" s="4" t="s">
        <v>9891</v>
      </c>
      <c r="R4453" s="4" t="s">
        <v>9892</v>
      </c>
      <c r="S4453" s="4" t="s">
        <v>9893</v>
      </c>
      <c r="T4453" s="4" t="s">
        <v>9894</v>
      </c>
      <c r="U4453" s="4" t="s">
        <v>9895</v>
      </c>
      <c r="V4453" s="4" t="s">
        <v>9896</v>
      </c>
      <c r="W4453" s="4" t="s">
        <v>9897</v>
      </c>
      <c r="X4453" s="4" t="s">
        <v>9898</v>
      </c>
      <c r="Y4453" s="4" t="s">
        <v>9899</v>
      </c>
      <c r="Z4453" s="4" t="s">
        <v>9900</v>
      </c>
      <c r="AA4453" s="4" t="s">
        <v>9901</v>
      </c>
      <c r="AB4453" s="4" t="s">
        <v>9902</v>
      </c>
      <c r="AC4453" s="4" t="s">
        <v>9903</v>
      </c>
      <c r="AD4453" s="4" t="s">
        <v>9904</v>
      </c>
      <c r="AE4453" s="4" t="s">
        <v>9905</v>
      </c>
      <c r="AF4453" s="4" t="s">
        <v>9886</v>
      </c>
    </row>
    <row r="4454">
      <c r="A4454" s="4">
        <v>90.0</v>
      </c>
      <c r="B4454" s="4" t="s">
        <v>11576</v>
      </c>
      <c r="C4454" s="4"/>
      <c r="D4454" s="4" t="s">
        <v>9906</v>
      </c>
      <c r="E4454" s="4" t="s">
        <v>9907</v>
      </c>
      <c r="F4454" s="4" t="s">
        <v>9908</v>
      </c>
      <c r="G4454" s="5" t="str">
        <f>IFERROR(__xludf.DUMMYFUNCTION("GOOGLETRANSLATE(D4454,""fi"",""es"")"),"kalamaja")</f>
        <v>kalamaja</v>
      </c>
    </row>
    <row r="4455">
      <c r="A4455" s="4">
        <v>91.0</v>
      </c>
      <c r="B4455" s="4" t="s">
        <v>11576</v>
      </c>
      <c r="C4455" s="4"/>
      <c r="D4455" s="4" t="s">
        <v>5148</v>
      </c>
      <c r="E4455" s="4" t="s">
        <v>9911</v>
      </c>
      <c r="F4455" s="4" t="s">
        <v>5148</v>
      </c>
      <c r="G4455" s="5" t="str">
        <f>IFERROR(__xludf.DUMMYFUNCTION("GOOGLETRANSLATE(D4455,""fi"",""es"")"),"kali")</f>
        <v>kali</v>
      </c>
      <c r="H4455" s="4" t="s">
        <v>9912</v>
      </c>
    </row>
    <row r="4456">
      <c r="A4456" s="4">
        <v>92.0</v>
      </c>
      <c r="B4456" s="4" t="s">
        <v>11576</v>
      </c>
      <c r="C4456" s="4"/>
      <c r="D4456" s="4" t="s">
        <v>8172</v>
      </c>
      <c r="E4456" s="4" t="s">
        <v>8174</v>
      </c>
      <c r="F4456" s="4" t="s">
        <v>8172</v>
      </c>
      <c r="G4456" s="5" t="str">
        <f>IFERROR(__xludf.DUMMYFUNCTION("GOOGLETRANSLATE(D4456,""fi"",""es"")"),"Kalin")</f>
        <v>Kalin</v>
      </c>
    </row>
    <row r="4457">
      <c r="A4457" s="4">
        <v>93.0</v>
      </c>
      <c r="B4457" s="4" t="s">
        <v>11576</v>
      </c>
      <c r="C4457" s="4"/>
      <c r="D4457" s="4" t="s">
        <v>1035</v>
      </c>
      <c r="E4457" s="4" t="s">
        <v>9913</v>
      </c>
      <c r="F4457" s="4" t="s">
        <v>1035</v>
      </c>
      <c r="G4457" s="5" t="str">
        <f>IFERROR(__xludf.DUMMYFUNCTION("GOOGLETRANSLATE(D4457,""fi"",""es"")"),"polla")</f>
        <v>polla</v>
      </c>
      <c r="H4457" s="4" t="s">
        <v>3596</v>
      </c>
      <c r="I4457" s="4" t="s">
        <v>3497</v>
      </c>
      <c r="J4457" s="4" t="s">
        <v>3597</v>
      </c>
      <c r="K4457" s="4" t="s">
        <v>3598</v>
      </c>
      <c r="L4457" s="4" t="s">
        <v>3599</v>
      </c>
      <c r="M4457" s="4" t="s">
        <v>3600</v>
      </c>
      <c r="N4457" s="4" t="s">
        <v>3601</v>
      </c>
      <c r="O4457" s="4" t="s">
        <v>3602</v>
      </c>
    </row>
    <row r="4458">
      <c r="A4458" s="4">
        <v>94.0</v>
      </c>
      <c r="B4458" s="4" t="s">
        <v>11576</v>
      </c>
      <c r="C4458" s="4"/>
      <c r="D4458" s="4" t="s">
        <v>1042</v>
      </c>
      <c r="E4458" s="4" t="s">
        <v>9914</v>
      </c>
      <c r="F4458" s="4" t="s">
        <v>1042</v>
      </c>
      <c r="G4458" s="5" t="str">
        <f>IFERROR(__xludf.DUMMYFUNCTION("GOOGLETRANSLATE(D4458,""fi"",""es"")"),"cosas")</f>
        <v>cosas</v>
      </c>
      <c r="H4458" s="4" t="s">
        <v>9915</v>
      </c>
      <c r="I4458" s="4" t="s">
        <v>9916</v>
      </c>
      <c r="J4458" s="4" t="s">
        <v>9917</v>
      </c>
      <c r="K4458" s="4" t="s">
        <v>9812</v>
      </c>
      <c r="L4458" s="4" t="s">
        <v>9918</v>
      </c>
      <c r="M4458" s="4" t="s">
        <v>9919</v>
      </c>
      <c r="N4458" s="4" t="s">
        <v>9920</v>
      </c>
      <c r="O4458" s="4" t="s">
        <v>9921</v>
      </c>
      <c r="P4458" s="4" t="s">
        <v>9922</v>
      </c>
      <c r="Q4458" s="4" t="s">
        <v>9923</v>
      </c>
      <c r="R4458" s="4" t="s">
        <v>9924</v>
      </c>
      <c r="S4458" s="4" t="s">
        <v>9925</v>
      </c>
      <c r="T4458" s="4" t="s">
        <v>9926</v>
      </c>
      <c r="U4458" s="4" t="s">
        <v>9927</v>
      </c>
      <c r="V4458" s="4" t="s">
        <v>9928</v>
      </c>
      <c r="W4458" s="4" t="s">
        <v>9929</v>
      </c>
      <c r="X4458" s="4" t="s">
        <v>9930</v>
      </c>
      <c r="Y4458" s="4" t="s">
        <v>9931</v>
      </c>
      <c r="Z4458" s="4" t="s">
        <v>9932</v>
      </c>
      <c r="AA4458" s="4" t="s">
        <v>9933</v>
      </c>
    </row>
    <row r="4459">
      <c r="A4459" s="4">
        <v>95.0</v>
      </c>
      <c r="B4459" s="4" t="s">
        <v>11576</v>
      </c>
      <c r="C4459" s="4"/>
      <c r="D4459" s="4" t="s">
        <v>9934</v>
      </c>
      <c r="E4459" s="4" t="s">
        <v>9935</v>
      </c>
      <c r="F4459" s="4" t="s">
        <v>9934</v>
      </c>
      <c r="G4459" s="5" t="str">
        <f>IFERROR(__xludf.DUMMYFUNCTION("GOOGLETRANSLATE(D4459,""fi"",""es"")"),"horrible")</f>
        <v>horrible</v>
      </c>
      <c r="H4459" s="4" t="s">
        <v>9936</v>
      </c>
      <c r="I4459" s="4" t="s">
        <v>9937</v>
      </c>
      <c r="J4459" s="4" t="s">
        <v>9938</v>
      </c>
      <c r="K4459" s="4" t="s">
        <v>9939</v>
      </c>
      <c r="L4459" s="4" t="s">
        <v>9940</v>
      </c>
      <c r="M4459" s="4" t="s">
        <v>9936</v>
      </c>
      <c r="N4459" s="4" t="s">
        <v>9941</v>
      </c>
      <c r="O4459" s="4" t="s">
        <v>9942</v>
      </c>
      <c r="P4459" s="4" t="s">
        <v>9943</v>
      </c>
      <c r="Q4459" s="4" t="s">
        <v>9944</v>
      </c>
      <c r="R4459" s="4" t="s">
        <v>9945</v>
      </c>
      <c r="S4459" s="4" t="s">
        <v>9946</v>
      </c>
      <c r="T4459" s="4" t="s">
        <v>9947</v>
      </c>
      <c r="U4459" s="4" t="s">
        <v>6330</v>
      </c>
      <c r="V4459" s="4" t="s">
        <v>6333</v>
      </c>
      <c r="W4459" s="4" t="s">
        <v>6334</v>
      </c>
      <c r="X4459" s="4" t="s">
        <v>6335</v>
      </c>
      <c r="Y4459" s="4" t="s">
        <v>6336</v>
      </c>
      <c r="Z4459" s="4" t="s">
        <v>6337</v>
      </c>
      <c r="AA4459" s="4" t="s">
        <v>6338</v>
      </c>
      <c r="AB4459" s="4" t="s">
        <v>9948</v>
      </c>
      <c r="AC4459" s="4" t="s">
        <v>9949</v>
      </c>
      <c r="AD4459" s="4" t="s">
        <v>9950</v>
      </c>
      <c r="AE4459" s="4" t="s">
        <v>9942</v>
      </c>
      <c r="AF4459" s="4" t="s">
        <v>9951</v>
      </c>
      <c r="AG4459" s="4" t="s">
        <v>9952</v>
      </c>
      <c r="AH4459" s="4" t="s">
        <v>9942</v>
      </c>
      <c r="AI4459" s="4" t="s">
        <v>9937</v>
      </c>
      <c r="AJ4459" s="4" t="s">
        <v>9945</v>
      </c>
      <c r="AK4459" s="4" t="s">
        <v>9942</v>
      </c>
      <c r="AL4459" s="4" t="s">
        <v>9953</v>
      </c>
      <c r="AM4459" s="4" t="s">
        <v>9954</v>
      </c>
      <c r="AN4459" s="4" t="s">
        <v>9955</v>
      </c>
      <c r="AO4459" s="4" t="s">
        <v>9956</v>
      </c>
    </row>
    <row r="4460">
      <c r="A4460" s="4">
        <v>96.0</v>
      </c>
      <c r="B4460" s="4" t="s">
        <v>11576</v>
      </c>
      <c r="C4460" s="4"/>
      <c r="D4460" s="4" t="s">
        <v>9957</v>
      </c>
      <c r="E4460" s="4" t="s">
        <v>9958</v>
      </c>
      <c r="F4460" s="4" t="s">
        <v>9957</v>
      </c>
      <c r="G4460" s="5" t="str">
        <f>IFERROR(__xludf.DUMMYFUNCTION("GOOGLETRANSLATE(D4460,""fi"",""es"")"),"dintel")</f>
        <v>dintel</v>
      </c>
      <c r="H4460" s="4" t="s">
        <v>9187</v>
      </c>
      <c r="I4460" s="4" t="s">
        <v>9959</v>
      </c>
      <c r="J4460" s="4" t="s">
        <v>9960</v>
      </c>
    </row>
    <row r="4461">
      <c r="A4461" s="4">
        <v>97.0</v>
      </c>
      <c r="B4461" s="4" t="s">
        <v>11576</v>
      </c>
      <c r="C4461" s="4"/>
      <c r="D4461" s="4" t="s">
        <v>9961</v>
      </c>
      <c r="E4461" s="4" t="s">
        <v>9962</v>
      </c>
      <c r="F4461" s="4" t="s">
        <v>9961</v>
      </c>
      <c r="G4461" s="5" t="str">
        <f>IFERROR(__xludf.DUMMYFUNCTION("GOOGLETRANSLATE(D4461,""fi"",""es"")"),"camarada")</f>
        <v>camarada</v>
      </c>
      <c r="H4461" s="4" t="s">
        <v>7053</v>
      </c>
      <c r="I4461" s="4" t="s">
        <v>7054</v>
      </c>
      <c r="J4461" s="4" t="s">
        <v>7055</v>
      </c>
      <c r="K4461" s="4" t="s">
        <v>7056</v>
      </c>
      <c r="L4461" s="4" t="s">
        <v>3161</v>
      </c>
      <c r="M4461" s="4" t="s">
        <v>7057</v>
      </c>
    </row>
    <row r="4462">
      <c r="A4462" s="4">
        <v>98.0</v>
      </c>
      <c r="B4462" s="4" t="s">
        <v>11576</v>
      </c>
      <c r="C4462" s="4"/>
      <c r="D4462" s="4" t="s">
        <v>1125</v>
      </c>
      <c r="E4462" s="4" t="s">
        <v>9963</v>
      </c>
      <c r="F4462" s="4" t="s">
        <v>1125</v>
      </c>
      <c r="G4462" s="5" t="str">
        <f>IFERROR(__xludf.DUMMYFUNCTION("GOOGLETRANSLATE(D4462,""fi"",""es"")"),"pollo")</f>
        <v>pollo</v>
      </c>
      <c r="H4462" s="4" t="s">
        <v>3655</v>
      </c>
      <c r="I4462" s="4" t="s">
        <v>9964</v>
      </c>
      <c r="J4462" s="4" t="s">
        <v>9965</v>
      </c>
      <c r="K4462" s="4" t="s">
        <v>9966</v>
      </c>
      <c r="L4462" s="4" t="s">
        <v>3655</v>
      </c>
      <c r="M4462" s="4" t="s">
        <v>9967</v>
      </c>
      <c r="N4462" s="4" t="s">
        <v>9968</v>
      </c>
      <c r="O4462" s="4" t="s">
        <v>9965</v>
      </c>
    </row>
    <row r="4463">
      <c r="A4463" s="4">
        <v>99.0</v>
      </c>
      <c r="B4463" s="4" t="s">
        <v>11576</v>
      </c>
      <c r="C4463" s="4"/>
      <c r="D4463" s="4" t="s">
        <v>9969</v>
      </c>
      <c r="E4463" s="4" t="s">
        <v>9970</v>
      </c>
      <c r="F4463" s="4" t="s">
        <v>9969</v>
      </c>
      <c r="G4463" s="5" t="str">
        <f>IFERROR(__xludf.DUMMYFUNCTION("GOOGLETRANSLATE(D4463,""fi"",""es"")"),"gallinero")</f>
        <v>gallinero</v>
      </c>
      <c r="H4463" s="4" t="s">
        <v>9971</v>
      </c>
      <c r="I4463" s="4" t="s">
        <v>9972</v>
      </c>
      <c r="J4463" s="4" t="s">
        <v>9973</v>
      </c>
      <c r="K4463" s="4" t="s">
        <v>9974</v>
      </c>
    </row>
    <row r="4464">
      <c r="A4464" s="4">
        <v>100.0</v>
      </c>
      <c r="B4464" s="4" t="s">
        <v>11576</v>
      </c>
      <c r="C4464" s="4"/>
      <c r="D4464" s="4" t="s">
        <v>1207</v>
      </c>
      <c r="E4464" s="4" t="s">
        <v>9975</v>
      </c>
      <c r="F4464" s="4" t="s">
        <v>1207</v>
      </c>
      <c r="G4464" s="5" t="str">
        <f>IFERROR(__xludf.DUMMYFUNCTION("GOOGLETRANSLATE(D4464,""fi"",""es"")"),"Conejo")</f>
        <v>Conejo</v>
      </c>
      <c r="H4464" s="4" t="s">
        <v>1546</v>
      </c>
      <c r="I4464" s="4" t="s">
        <v>1547</v>
      </c>
      <c r="J4464" s="4" t="s">
        <v>1548</v>
      </c>
      <c r="K4464" s="4" t="s">
        <v>9976</v>
      </c>
      <c r="L4464" s="4" t="s">
        <v>1546</v>
      </c>
    </row>
    <row r="4465">
      <c r="A4465" s="4">
        <v>101.0</v>
      </c>
      <c r="B4465" s="4" t="s">
        <v>11576</v>
      </c>
      <c r="C4465" s="4"/>
      <c r="D4465" s="4" t="s">
        <v>9977</v>
      </c>
      <c r="E4465" s="4" t="s">
        <v>9978</v>
      </c>
      <c r="F4465" s="4" t="s">
        <v>9977</v>
      </c>
      <c r="G4465" s="5" t="str">
        <f>IFERROR(__xludf.DUMMYFUNCTION("GOOGLETRANSLATE(D4465,""fi"",""es"")"),"taberna")</f>
        <v>taberna</v>
      </c>
      <c r="H4465" s="4" t="s">
        <v>9979</v>
      </c>
    </row>
    <row r="4466">
      <c r="A4466" s="4">
        <v>102.0</v>
      </c>
      <c r="B4466" s="4" t="s">
        <v>11576</v>
      </c>
      <c r="C4466" s="4"/>
      <c r="D4466" s="4" t="s">
        <v>9980</v>
      </c>
      <c r="E4466" s="4" t="s">
        <v>9981</v>
      </c>
      <c r="F4466" s="4" t="s">
        <v>9980</v>
      </c>
      <c r="G4466" s="5" t="str">
        <f>IFERROR(__xludf.DUMMYFUNCTION("GOOGLETRANSLATE(D4466,""fi"",""es"")"),"kapanala")</f>
        <v>kapanala</v>
      </c>
    </row>
    <row r="4467">
      <c r="A4467" s="4">
        <v>103.0</v>
      </c>
      <c r="B4467" s="4" t="s">
        <v>11576</v>
      </c>
      <c r="C4467" s="4"/>
      <c r="D4467" s="4" t="s">
        <v>5638</v>
      </c>
      <c r="E4467" s="4" t="s">
        <v>8240</v>
      </c>
      <c r="F4467" s="4" t="s">
        <v>5638</v>
      </c>
      <c r="G4467" s="5" t="str">
        <f>IFERROR(__xludf.DUMMYFUNCTION("GOOGLETRANSLATE(D4467,""fi"",""es"")"),"sarna")</f>
        <v>sarna</v>
      </c>
    </row>
    <row r="4468">
      <c r="A4468" s="4">
        <v>104.0</v>
      </c>
      <c r="B4468" s="4" t="s">
        <v>11576</v>
      </c>
      <c r="C4468" s="4"/>
      <c r="D4468" s="4" t="s">
        <v>9982</v>
      </c>
      <c r="E4468" s="4" t="s">
        <v>9983</v>
      </c>
      <c r="F4468" s="4" t="s">
        <v>9982</v>
      </c>
      <c r="G4468" s="5" t="str">
        <f>IFERROR(__xludf.DUMMYFUNCTION("GOOGLETRANSLATE(D4468,""fi"",""es"")"),"rebelión")</f>
        <v>rebelión</v>
      </c>
      <c r="H4468" s="4" t="s">
        <v>9984</v>
      </c>
      <c r="I4468" s="4" t="s">
        <v>9985</v>
      </c>
      <c r="J4468" s="4" t="s">
        <v>9986</v>
      </c>
      <c r="K4468" s="4" t="s">
        <v>9987</v>
      </c>
      <c r="L4468" s="4" t="s">
        <v>9988</v>
      </c>
      <c r="M4468" s="4" t="s">
        <v>9989</v>
      </c>
      <c r="N4468" s="4" t="s">
        <v>9990</v>
      </c>
      <c r="O4468" s="4" t="s">
        <v>2780</v>
      </c>
      <c r="P4468" s="4" t="s">
        <v>9984</v>
      </c>
    </row>
    <row r="4469">
      <c r="A4469" s="4">
        <v>105.0</v>
      </c>
      <c r="B4469" s="4" t="s">
        <v>11576</v>
      </c>
      <c r="C4469" s="4"/>
      <c r="D4469" s="4" t="s">
        <v>9993</v>
      </c>
      <c r="E4469" s="4" t="s">
        <v>9994</v>
      </c>
      <c r="F4469" s="4" t="s">
        <v>9993</v>
      </c>
      <c r="G4469" s="5" t="str">
        <f>IFERROR(__xludf.DUMMYFUNCTION("GOOGLETRANSLATE(D4469,""fi"",""es"")"),"kapu")</f>
        <v>kapu</v>
      </c>
    </row>
    <row r="4470">
      <c r="A4470" s="4">
        <v>106.0</v>
      </c>
      <c r="B4470" s="4" t="s">
        <v>11576</v>
      </c>
      <c r="C4470" s="4"/>
      <c r="D4470" s="4" t="s">
        <v>9995</v>
      </c>
      <c r="E4470" s="4" t="s">
        <v>9996</v>
      </c>
      <c r="F4470" s="4" t="s">
        <v>9995</v>
      </c>
      <c r="G4470" s="5" t="str">
        <f>IFERROR(__xludf.DUMMYFUNCTION("GOOGLETRANSLATE(D4470,""fi"",""es"")"),"palo redondo")</f>
        <v>palo redondo</v>
      </c>
      <c r="H4470" s="4" t="s">
        <v>9997</v>
      </c>
      <c r="I4470" s="4" t="s">
        <v>8161</v>
      </c>
    </row>
    <row r="4471">
      <c r="A4471" s="4">
        <v>107.0</v>
      </c>
      <c r="B4471" s="4" t="s">
        <v>11576</v>
      </c>
      <c r="C4471" s="4"/>
      <c r="D4471" s="4" t="s">
        <v>10031</v>
      </c>
      <c r="E4471" s="4" t="s">
        <v>10032</v>
      </c>
      <c r="F4471" s="4" t="s">
        <v>10033</v>
      </c>
      <c r="G4471" s="5" t="str">
        <f>IFERROR(__xludf.DUMMYFUNCTION("GOOGLETRANSLATE(D4471,""fi"",""es"")"),"kikuju")</f>
        <v>kikuju</v>
      </c>
      <c r="H4471" s="4" t="s">
        <v>10034</v>
      </c>
    </row>
    <row r="4472">
      <c r="A4472" s="4">
        <v>108.0</v>
      </c>
      <c r="B4472" s="4" t="s">
        <v>11576</v>
      </c>
      <c r="C4472" s="4"/>
      <c r="D4472" s="4" t="s">
        <v>10035</v>
      </c>
      <c r="E4472" s="4" t="s">
        <v>10036</v>
      </c>
      <c r="F4472" s="4" t="s">
        <v>10035</v>
      </c>
      <c r="G4472" s="5" t="str">
        <f>IFERROR(__xludf.DUMMYFUNCTION("GOOGLETRANSLATE(D4472,""fi"",""es"")"),"niño")</f>
        <v>niño</v>
      </c>
      <c r="H4472" s="4" t="s">
        <v>4702</v>
      </c>
    </row>
    <row r="4473">
      <c r="A4473" s="4">
        <v>109.0</v>
      </c>
      <c r="B4473" s="4" t="s">
        <v>11576</v>
      </c>
      <c r="C4473" s="4"/>
      <c r="D4473" s="4" t="s">
        <v>10037</v>
      </c>
      <c r="E4473" s="4" t="s">
        <v>10038</v>
      </c>
      <c r="F4473" s="4" t="s">
        <v>10039</v>
      </c>
      <c r="G4473" s="5" t="str">
        <f>IFERROR(__xludf.DUMMYFUNCTION("GOOGLETRANSLATE(D4473,""fi"",""es"")"),"tintinar")</f>
        <v>tintinar</v>
      </c>
      <c r="H4473" s="4" t="s">
        <v>7971</v>
      </c>
      <c r="I4473" s="4" t="s">
        <v>10040</v>
      </c>
      <c r="J4473" s="4" t="s">
        <v>10041</v>
      </c>
      <c r="K4473" s="4" t="s">
        <v>7840</v>
      </c>
      <c r="L4473" s="4" t="s">
        <v>10042</v>
      </c>
      <c r="M4473" s="4" t="s">
        <v>10043</v>
      </c>
      <c r="N4473" s="4" t="s">
        <v>10044</v>
      </c>
      <c r="O4473" s="4" t="s">
        <v>10045</v>
      </c>
      <c r="P4473" s="4" t="s">
        <v>10046</v>
      </c>
      <c r="Q4473" s="4" t="s">
        <v>10047</v>
      </c>
      <c r="R4473" s="4" t="s">
        <v>4080</v>
      </c>
      <c r="S4473" s="4" t="s">
        <v>10048</v>
      </c>
      <c r="T4473" s="4" t="s">
        <v>10049</v>
      </c>
      <c r="U4473" s="4" t="s">
        <v>10050</v>
      </c>
      <c r="V4473" s="4" t="s">
        <v>10051</v>
      </c>
    </row>
    <row r="4474">
      <c r="A4474" s="4">
        <v>110.0</v>
      </c>
      <c r="B4474" s="4" t="s">
        <v>11576</v>
      </c>
      <c r="C4474" s="4"/>
      <c r="D4474" s="4" t="s">
        <v>3808</v>
      </c>
      <c r="E4474" s="4" t="s">
        <v>3807</v>
      </c>
      <c r="F4474" s="4" t="s">
        <v>3808</v>
      </c>
      <c r="G4474" s="5" t="str">
        <f>IFERROR(__xludf.DUMMYFUNCTION("GOOGLETRANSLATE(D4474,""fi"",""es"")"),"grito")</f>
        <v>grito</v>
      </c>
    </row>
    <row r="4475">
      <c r="A4475" s="4">
        <v>111.0</v>
      </c>
      <c r="B4475" s="4" t="s">
        <v>11576</v>
      </c>
      <c r="C4475" s="4"/>
      <c r="D4475" s="4" t="s">
        <v>6435</v>
      </c>
      <c r="E4475" s="4" t="s">
        <v>10052</v>
      </c>
      <c r="F4475" s="4" t="s">
        <v>6435</v>
      </c>
      <c r="G4475" s="5" t="str">
        <f>IFERROR(__xludf.DUMMYFUNCTION("GOOGLETRANSLATE(D4475,""fi"",""es"")"),"kimi")</f>
        <v>kimi</v>
      </c>
    </row>
    <row r="4476">
      <c r="A4476" s="4">
        <v>112.0</v>
      </c>
      <c r="B4476" s="4" t="s">
        <v>11576</v>
      </c>
      <c r="C4476" s="4"/>
      <c r="D4476" s="4" t="s">
        <v>3820</v>
      </c>
      <c r="E4476" s="4" t="s">
        <v>10053</v>
      </c>
      <c r="F4476" s="4" t="s">
        <v>3820</v>
      </c>
      <c r="G4476" s="5" t="str">
        <f>IFERROR(__xludf.DUMMYFUNCTION("GOOGLETRANSLATE(D4476,""fi"",""es"")"),"disputa")</f>
        <v>disputa</v>
      </c>
      <c r="H4476" s="4" t="s">
        <v>10054</v>
      </c>
      <c r="I4476" s="4" t="s">
        <v>10055</v>
      </c>
      <c r="J4476" s="4" t="s">
        <v>10056</v>
      </c>
      <c r="K4476" s="4" t="s">
        <v>10057</v>
      </c>
      <c r="L4476" s="4" t="s">
        <v>10058</v>
      </c>
      <c r="M4476" s="4" t="s">
        <v>10056</v>
      </c>
      <c r="N4476" s="4" t="s">
        <v>10059</v>
      </c>
      <c r="O4476" s="4" t="s">
        <v>10060</v>
      </c>
      <c r="P4476" s="4" t="s">
        <v>10061</v>
      </c>
      <c r="Q4476" s="4" t="s">
        <v>10062</v>
      </c>
      <c r="R4476" s="4" t="s">
        <v>10063</v>
      </c>
      <c r="S4476" s="4" t="s">
        <v>10064</v>
      </c>
      <c r="T4476" s="4" t="s">
        <v>10065</v>
      </c>
      <c r="U4476" s="4" t="s">
        <v>10066</v>
      </c>
      <c r="V4476" s="4" t="s">
        <v>10067</v>
      </c>
      <c r="W4476" s="4" t="s">
        <v>10068</v>
      </c>
      <c r="X4476" s="4" t="s">
        <v>9618</v>
      </c>
      <c r="Y4476" s="4" t="s">
        <v>3820</v>
      </c>
      <c r="Z4476" s="4" t="s">
        <v>10069</v>
      </c>
    </row>
    <row r="4477">
      <c r="A4477" s="4">
        <v>113.0</v>
      </c>
      <c r="B4477" s="4" t="s">
        <v>11576</v>
      </c>
      <c r="C4477" s="4"/>
      <c r="D4477" s="4" t="s">
        <v>10070</v>
      </c>
      <c r="E4477" s="4" t="s">
        <v>10071</v>
      </c>
      <c r="F4477" s="4" t="s">
        <v>10072</v>
      </c>
      <c r="G4477" s="5" t="str">
        <f>IFERROR(__xludf.DUMMYFUNCTION("GOOGLETRANSLATE(D4477,""fi"",""es"")"),"Chispa - chispear")</f>
        <v>Chispa - chispear</v>
      </c>
      <c r="H4477" s="4" t="s">
        <v>10073</v>
      </c>
      <c r="I4477" s="4" t="s">
        <v>10074</v>
      </c>
      <c r="J4477" s="4" t="s">
        <v>10075</v>
      </c>
      <c r="K4477" s="4" t="s">
        <v>10074</v>
      </c>
      <c r="L4477" s="4" t="s">
        <v>7373</v>
      </c>
      <c r="M4477" s="4" t="s">
        <v>10074</v>
      </c>
      <c r="N4477" s="4" t="s">
        <v>10076</v>
      </c>
      <c r="O4477" s="4" t="s">
        <v>10077</v>
      </c>
      <c r="P4477" s="4" t="s">
        <v>10078</v>
      </c>
      <c r="Q4477" s="4" t="s">
        <v>10074</v>
      </c>
    </row>
    <row r="4478">
      <c r="A4478" s="4">
        <v>114.0</v>
      </c>
      <c r="B4478" s="4" t="s">
        <v>11576</v>
      </c>
      <c r="C4478" s="4"/>
      <c r="D4478" s="4" t="s">
        <v>7359</v>
      </c>
      <c r="E4478" s="4" t="s">
        <v>7358</v>
      </c>
      <c r="F4478" s="4" t="s">
        <v>7359</v>
      </c>
      <c r="G4478" s="5" t="str">
        <f>IFERROR(__xludf.DUMMYFUNCTION("GOOGLETRANSLATE(D4478,""fi"",""es"")"),"dolor")</f>
        <v>dolor</v>
      </c>
      <c r="H4478" s="4" t="s">
        <v>2339</v>
      </c>
      <c r="I4478" s="4" t="s">
        <v>2340</v>
      </c>
      <c r="J4478" s="4" t="s">
        <v>2341</v>
      </c>
      <c r="K4478" s="4" t="s">
        <v>10079</v>
      </c>
      <c r="L4478" s="4" t="s">
        <v>9144</v>
      </c>
      <c r="M4478" s="4" t="s">
        <v>2326</v>
      </c>
      <c r="N4478" s="4" t="s">
        <v>2342</v>
      </c>
      <c r="O4478" s="4" t="s">
        <v>2339</v>
      </c>
      <c r="P4478" s="4" t="s">
        <v>2348</v>
      </c>
      <c r="Q4478" s="4" t="s">
        <v>2349</v>
      </c>
      <c r="R4478" s="4" t="s">
        <v>2350</v>
      </c>
      <c r="S4478" s="4" t="s">
        <v>10080</v>
      </c>
      <c r="T4478" s="4" t="s">
        <v>3502</v>
      </c>
      <c r="U4478" s="4" t="s">
        <v>10081</v>
      </c>
      <c r="V4478" s="4" t="s">
        <v>6037</v>
      </c>
      <c r="W4478" s="4" t="s">
        <v>10082</v>
      </c>
      <c r="X4478" s="4" t="s">
        <v>10083</v>
      </c>
      <c r="Y4478" s="4" t="s">
        <v>10084</v>
      </c>
    </row>
    <row r="4479">
      <c r="A4479" s="4">
        <v>115.0</v>
      </c>
      <c r="B4479" s="4" t="s">
        <v>11576</v>
      </c>
      <c r="C4479" s="4"/>
      <c r="D4479" s="4" t="s">
        <v>10085</v>
      </c>
      <c r="E4479" s="4" t="s">
        <v>10086</v>
      </c>
      <c r="F4479" s="4" t="s">
        <v>10085</v>
      </c>
      <c r="G4479" s="5" t="str">
        <f>IFERROR(__xludf.DUMMYFUNCTION("GOOGLETRANSLATE(D4479,""fi"",""es"")"),"dolor")</f>
        <v>dolor</v>
      </c>
    </row>
    <row r="4480">
      <c r="A4480" s="4">
        <v>116.0</v>
      </c>
      <c r="B4480" s="4" t="s">
        <v>11576</v>
      </c>
      <c r="C4480" s="4"/>
      <c r="D4480" s="4" t="s">
        <v>10104</v>
      </c>
      <c r="E4480" s="4" t="s">
        <v>10105</v>
      </c>
      <c r="F4480" s="4" t="s">
        <v>10106</v>
      </c>
      <c r="G4480" s="5" t="str">
        <f>IFERROR(__xludf.DUMMYFUNCTION("GOOGLETRANSLATE(D4480,""fi"",""es"")"),"callejón")</f>
        <v>callejón</v>
      </c>
      <c r="H4480" s="4" t="s">
        <v>5802</v>
      </c>
      <c r="I4480" s="4" t="s">
        <v>5803</v>
      </c>
      <c r="J4480" s="4" t="s">
        <v>5804</v>
      </c>
      <c r="K4480" s="4" t="s">
        <v>10107</v>
      </c>
    </row>
    <row r="4481">
      <c r="A4481" s="4">
        <v>117.0</v>
      </c>
      <c r="B4481" s="4" t="s">
        <v>11576</v>
      </c>
      <c r="C4481" s="4"/>
      <c r="D4481" s="4" t="s">
        <v>10108</v>
      </c>
      <c r="E4481" s="4" t="s">
        <v>10109</v>
      </c>
      <c r="F4481" s="4" t="s">
        <v>10110</v>
      </c>
      <c r="G4481" s="5" t="str">
        <f>IFERROR(__xludf.DUMMYFUNCTION("GOOGLETRANSLATE(D4481,""fi"",""es"")"),"Kujala")</f>
        <v>Kujala</v>
      </c>
    </row>
    <row r="4482">
      <c r="A4482" s="4">
        <v>118.0</v>
      </c>
      <c r="B4482" s="4" t="s">
        <v>11576</v>
      </c>
      <c r="C4482" s="4"/>
      <c r="D4482" s="4" t="s">
        <v>10111</v>
      </c>
      <c r="E4482" s="4" t="s">
        <v>10112</v>
      </c>
      <c r="F4482" s="4" t="s">
        <v>10111</v>
      </c>
      <c r="G4482" s="5" t="str">
        <f>IFERROR(__xludf.DUMMYFUNCTION("GOOGLETRANSLATE(D4482,""fi"",""es"")"),"Quién")</f>
        <v>Quién</v>
      </c>
    </row>
    <row r="4483">
      <c r="A4483" s="4">
        <v>119.0</v>
      </c>
      <c r="B4483" s="4" t="s">
        <v>11576</v>
      </c>
      <c r="C4483" s="4"/>
      <c r="D4483" s="4" t="s">
        <v>10113</v>
      </c>
      <c r="E4483" s="4" t="s">
        <v>10114</v>
      </c>
      <c r="F4483" s="4" t="s">
        <v>10113</v>
      </c>
      <c r="G4483" s="5" t="str">
        <f>IFERROR(__xludf.DUMMYFUNCTION("GOOGLETRANSLATE(D4483,""fi"",""es"")"),"cada")</f>
        <v>cada</v>
      </c>
      <c r="H4483" s="4" t="s">
        <v>10115</v>
      </c>
      <c r="I4483" s="4" t="s">
        <v>10116</v>
      </c>
    </row>
    <row r="4484">
      <c r="A4484" s="4">
        <v>120.0</v>
      </c>
      <c r="B4484" s="4" t="s">
        <v>11576</v>
      </c>
      <c r="C4484" s="4"/>
      <c r="D4484" s="4" t="s">
        <v>9114</v>
      </c>
      <c r="E4484" s="4" t="s">
        <v>9115</v>
      </c>
      <c r="F4484" s="4" t="s">
        <v>9114</v>
      </c>
      <c r="G4484" s="5" t="str">
        <f>IFERROR(__xludf.DUMMYFUNCTION("GOOGLETRANSLATE(D4484,""fi"",""es"")"),"presentar")</f>
        <v>presentar</v>
      </c>
    </row>
    <row r="4485">
      <c r="A4485" s="4">
        <v>121.0</v>
      </c>
      <c r="B4485" s="4" t="s">
        <v>11576</v>
      </c>
      <c r="C4485" s="4"/>
      <c r="D4485" s="4" t="s">
        <v>1480</v>
      </c>
      <c r="E4485" s="4" t="s">
        <v>1479</v>
      </c>
      <c r="F4485" s="4" t="s">
        <v>1480</v>
      </c>
      <c r="G4485" s="5" t="str">
        <f>IFERROR(__xludf.DUMMYFUNCTION("GOOGLETRANSLATE(D4485,""fi"",""es"")"),"culi")</f>
        <v>culi</v>
      </c>
      <c r="H4485" s="4" t="s">
        <v>10117</v>
      </c>
      <c r="I4485" s="4" t="s">
        <v>10118</v>
      </c>
    </row>
    <row r="4486">
      <c r="A4486" s="4">
        <v>122.0</v>
      </c>
      <c r="B4486" s="4" t="s">
        <v>11576</v>
      </c>
      <c r="C4486" s="4"/>
      <c r="D4486" s="4" t="s">
        <v>10119</v>
      </c>
      <c r="E4486" s="4" t="s">
        <v>10120</v>
      </c>
      <c r="F4486" s="4" t="s">
        <v>10119</v>
      </c>
      <c r="G4486" s="5" t="str">
        <f>IFERROR(__xludf.DUMMYFUNCTION("GOOGLETRANSLATE(D4486,""fi"",""es"")"),"gastos")</f>
        <v>gastos</v>
      </c>
    </row>
    <row r="4487">
      <c r="A4487" s="4">
        <v>123.0</v>
      </c>
      <c r="B4487" s="4" t="s">
        <v>11576</v>
      </c>
      <c r="C4487" s="4"/>
      <c r="D4487" s="4" t="s">
        <v>1471</v>
      </c>
      <c r="E4487" s="4" t="s">
        <v>10121</v>
      </c>
      <c r="F4487" s="4" t="s">
        <v>1471</v>
      </c>
      <c r="G4487" s="5" t="str">
        <f>IFERROR(__xludf.DUMMYFUNCTION("GOOGLETRANSLATE(D4487,""fi"",""es"")"),"tener puesto")</f>
        <v>tener puesto</v>
      </c>
    </row>
    <row r="4488">
      <c r="A4488" s="4">
        <v>124.0</v>
      </c>
      <c r="B4488" s="4" t="s">
        <v>11576</v>
      </c>
      <c r="C4488" s="4"/>
      <c r="D4488" s="4" t="s">
        <v>10122</v>
      </c>
      <c r="E4488" s="4" t="s">
        <v>10123</v>
      </c>
      <c r="F4488" s="4" t="s">
        <v>10122</v>
      </c>
      <c r="G4488" s="5" t="str">
        <f>IFERROR(__xludf.DUMMYFUNCTION("GOOGLETRANSLATE(D4488,""fi"",""es"")"),"comino")</f>
        <v>comino</v>
      </c>
      <c r="H4488" s="4" t="s">
        <v>10124</v>
      </c>
      <c r="I4488" s="4" t="s">
        <v>10124</v>
      </c>
      <c r="J4488" s="4" t="s">
        <v>10125</v>
      </c>
      <c r="K4488" s="4" t="s">
        <v>10126</v>
      </c>
      <c r="L4488" s="4" t="s">
        <v>10127</v>
      </c>
      <c r="M4488" s="4" t="s">
        <v>10128</v>
      </c>
      <c r="N4488" s="4" t="s">
        <v>10129</v>
      </c>
      <c r="O4488" s="4" t="s">
        <v>1521</v>
      </c>
      <c r="P4488" s="4" t="s">
        <v>1522</v>
      </c>
      <c r="Q4488" s="4" t="s">
        <v>1523</v>
      </c>
      <c r="R4488" s="4" t="s">
        <v>1523</v>
      </c>
      <c r="S4488" s="4" t="s">
        <v>10130</v>
      </c>
    </row>
    <row r="4489">
      <c r="A4489" s="4">
        <v>125.0</v>
      </c>
      <c r="B4489" s="4" t="s">
        <v>11576</v>
      </c>
      <c r="C4489" s="4"/>
      <c r="D4489" s="4" t="s">
        <v>10131</v>
      </c>
      <c r="E4489" s="4" t="s">
        <v>10132</v>
      </c>
      <c r="F4489" s="4" t="s">
        <v>10131</v>
      </c>
      <c r="G4489" s="5" t="str">
        <f>IFERROR(__xludf.DUMMYFUNCTION("GOOGLETRANSLATE(D4489,""fi"",""es"")"),"traje de goma")</f>
        <v>traje de goma</v>
      </c>
    </row>
    <row r="4490">
      <c r="A4490" s="4">
        <v>126.0</v>
      </c>
      <c r="B4490" s="4" t="s">
        <v>11576</v>
      </c>
      <c r="C4490" s="4"/>
      <c r="D4490" s="4" t="s">
        <v>8223</v>
      </c>
      <c r="E4490" s="4" t="s">
        <v>8222</v>
      </c>
      <c r="F4490" s="4" t="s">
        <v>8223</v>
      </c>
      <c r="G4490" s="5" t="str">
        <f>IFERROR(__xludf.DUMMYFUNCTION("GOOGLETRANSLATE(D4490,""fi"",""es"")"),"cuando")</f>
        <v>cuando</v>
      </c>
    </row>
    <row r="4491">
      <c r="A4491" s="4">
        <v>127.0</v>
      </c>
      <c r="B4491" s="4" t="s">
        <v>11576</v>
      </c>
      <c r="C4491" s="4"/>
      <c r="D4491" s="4" t="s">
        <v>10135</v>
      </c>
      <c r="E4491" s="4" t="s">
        <v>10136</v>
      </c>
      <c r="F4491" s="4" t="s">
        <v>10135</v>
      </c>
      <c r="G4491" s="5" t="str">
        <f>IFERROR(__xludf.DUMMYFUNCTION("GOOGLETRANSLATE(D4491,""fi"",""es"")"),"kuna")</f>
        <v>kuna</v>
      </c>
    </row>
    <row r="4492">
      <c r="A4492" s="4">
        <v>128.0</v>
      </c>
      <c r="B4492" s="4" t="s">
        <v>11576</v>
      </c>
      <c r="C4492" s="4"/>
      <c r="D4492" s="4" t="s">
        <v>10137</v>
      </c>
      <c r="E4492" s="4" t="s">
        <v>10138</v>
      </c>
      <c r="F4492" s="4" t="s">
        <v>10137</v>
      </c>
      <c r="G4492" s="5" t="str">
        <f>IFERROR(__xludf.DUMMYFUNCTION("GOOGLETRANSLATE(D4492,""fi"",""es"")"),"capucha")</f>
        <v>capucha</v>
      </c>
      <c r="H4492" s="4" t="s">
        <v>10139</v>
      </c>
      <c r="I4492" s="4" t="s">
        <v>10140</v>
      </c>
      <c r="J4492" s="4" t="s">
        <v>10141</v>
      </c>
      <c r="K4492" s="4" t="s">
        <v>10142</v>
      </c>
      <c r="L4492" s="4" t="s">
        <v>10143</v>
      </c>
      <c r="M4492" s="4" t="s">
        <v>10144</v>
      </c>
      <c r="N4492" s="4" t="s">
        <v>10145</v>
      </c>
      <c r="O4492" s="4" t="s">
        <v>1401</v>
      </c>
      <c r="P4492" s="4" t="s">
        <v>10146</v>
      </c>
      <c r="Q4492" s="4" t="s">
        <v>10147</v>
      </c>
      <c r="R4492" s="4" t="s">
        <v>10148</v>
      </c>
      <c r="S4492" s="4" t="s">
        <v>5920</v>
      </c>
    </row>
    <row r="4493">
      <c r="A4493" s="4">
        <v>129.0</v>
      </c>
      <c r="B4493" s="4" t="s">
        <v>11576</v>
      </c>
      <c r="C4493" s="4"/>
      <c r="D4493" s="4" t="s">
        <v>10175</v>
      </c>
      <c r="E4493" s="4" t="s">
        <v>6395</v>
      </c>
      <c r="F4493" s="4" t="s">
        <v>1297</v>
      </c>
      <c r="G4493" s="5" t="str">
        <f>IFERROR(__xludf.DUMMYFUNCTION("GOOGLETRANSLATE(D4493,""fi"",""es"")"),"caqui")</f>
        <v>caqui</v>
      </c>
      <c r="H4493" s="4" t="s">
        <v>9118</v>
      </c>
      <c r="I4493" s="4" t="s">
        <v>10176</v>
      </c>
      <c r="J4493" s="4" t="s">
        <v>10177</v>
      </c>
    </row>
    <row r="4494">
      <c r="A4494" s="4">
        <v>130.0</v>
      </c>
      <c r="B4494" s="4" t="s">
        <v>11576</v>
      </c>
      <c r="C4494" s="4"/>
      <c r="D4494" s="4" t="s">
        <v>10178</v>
      </c>
      <c r="E4494" s="4" t="s">
        <v>10179</v>
      </c>
      <c r="F4494" s="4" t="s">
        <v>10180</v>
      </c>
      <c r="G4494" s="5" t="str">
        <f>IFERROR(__xludf.DUMMYFUNCTION("GOOGLETRANSLATE(D4494,""fi"",""es"")"),"pata")</f>
        <v>pata</v>
      </c>
      <c r="H4494" s="4" t="s">
        <v>10181</v>
      </c>
      <c r="I4494" s="4" t="s">
        <v>7188</v>
      </c>
      <c r="J4494" s="4" t="s">
        <v>2861</v>
      </c>
      <c r="K4494" s="4" t="s">
        <v>2858</v>
      </c>
      <c r="L4494" s="4" t="s">
        <v>2859</v>
      </c>
      <c r="M4494" s="4" t="s">
        <v>2860</v>
      </c>
      <c r="N4494" s="4" t="s">
        <v>2861</v>
      </c>
    </row>
    <row r="4495">
      <c r="A4495" s="4">
        <v>131.0</v>
      </c>
      <c r="B4495" s="4" t="s">
        <v>11576</v>
      </c>
      <c r="C4495" s="4"/>
      <c r="D4495" s="4" t="s">
        <v>10194</v>
      </c>
      <c r="E4495" s="4" t="s">
        <v>5782</v>
      </c>
      <c r="F4495" s="4" t="s">
        <v>506</v>
      </c>
      <c r="G4495" s="5" t="str">
        <f>IFERROR(__xludf.DUMMYFUNCTION("GOOGLETRANSLATE(D4495,""fi"",""es"")"),"l")</f>
        <v>l</v>
      </c>
      <c r="H4495" s="4" t="s">
        <v>10195</v>
      </c>
      <c r="I4495" s="4" t="s">
        <v>10194</v>
      </c>
      <c r="J4495" s="4" t="s">
        <v>10195</v>
      </c>
      <c r="K4495" s="4" t="s">
        <v>10194</v>
      </c>
      <c r="L4495" s="4" t="s">
        <v>10196</v>
      </c>
      <c r="M4495" s="4" t="s">
        <v>10197</v>
      </c>
      <c r="N4495" s="4" t="s">
        <v>10194</v>
      </c>
      <c r="O4495" s="4" t="s">
        <v>10198</v>
      </c>
      <c r="P4495" s="4" t="s">
        <v>10199</v>
      </c>
      <c r="Q4495" s="4" t="s">
        <v>10200</v>
      </c>
      <c r="R4495" s="4" t="s">
        <v>10195</v>
      </c>
      <c r="S4495" s="4" t="s">
        <v>10201</v>
      </c>
      <c r="T4495" s="4">
        <v>50.0</v>
      </c>
      <c r="U4495" s="4" t="s">
        <v>10195</v>
      </c>
      <c r="V4495" s="4" t="s">
        <v>10202</v>
      </c>
      <c r="W4495" s="4" t="s">
        <v>10203</v>
      </c>
      <c r="X4495" s="4" t="s">
        <v>10204</v>
      </c>
      <c r="Y4495" s="4" t="s">
        <v>10205</v>
      </c>
    </row>
    <row r="4496">
      <c r="A4496" s="4">
        <v>132.0</v>
      </c>
      <c r="B4496" s="4" t="s">
        <v>11576</v>
      </c>
      <c r="C4496" s="4"/>
      <c r="D4496" s="4" t="s">
        <v>10206</v>
      </c>
      <c r="E4496" s="4" t="s">
        <v>10207</v>
      </c>
      <c r="F4496" s="4" t="s">
        <v>10208</v>
      </c>
      <c r="G4496" s="5" t="str">
        <f>IFERROR(__xludf.DUMMYFUNCTION("GOOGLETRANSLATE(D4496,""fi"",""es"")"),"especies")</f>
        <v>especies</v>
      </c>
      <c r="H4496" s="4" t="s">
        <v>4414</v>
      </c>
      <c r="I4496" s="4" t="s">
        <v>4413</v>
      </c>
      <c r="J4496" s="4" t="s">
        <v>4414</v>
      </c>
      <c r="K4496" s="4" t="s">
        <v>1679</v>
      </c>
      <c r="L4496" s="4" t="s">
        <v>4415</v>
      </c>
      <c r="M4496" s="4" t="s">
        <v>10209</v>
      </c>
      <c r="N4496" s="4" t="s">
        <v>10210</v>
      </c>
      <c r="O4496" s="4" t="s">
        <v>10211</v>
      </c>
      <c r="P4496" s="4" t="s">
        <v>10212</v>
      </c>
      <c r="Q4496" s="4" t="s">
        <v>3988</v>
      </c>
      <c r="R4496" s="4" t="s">
        <v>10213</v>
      </c>
      <c r="S4496" s="4" t="s">
        <v>4422</v>
      </c>
      <c r="T4496" s="4" t="s">
        <v>4412</v>
      </c>
      <c r="U4496" s="4" t="s">
        <v>10214</v>
      </c>
      <c r="V4496" s="4" t="s">
        <v>10215</v>
      </c>
      <c r="W4496" s="4" t="s">
        <v>10216</v>
      </c>
      <c r="X4496" s="4" t="s">
        <v>10217</v>
      </c>
      <c r="Y4496" s="4" t="s">
        <v>10218</v>
      </c>
      <c r="Z4496" s="4" t="s">
        <v>10211</v>
      </c>
      <c r="AA4496" s="4" t="s">
        <v>4412</v>
      </c>
    </row>
    <row r="4497">
      <c r="A4497" s="4">
        <v>133.0</v>
      </c>
      <c r="B4497" s="4" t="s">
        <v>11576</v>
      </c>
      <c r="C4497" s="4"/>
      <c r="D4497" s="4" t="s">
        <v>10219</v>
      </c>
      <c r="E4497" s="4" t="s">
        <v>10220</v>
      </c>
      <c r="F4497" s="4" t="s">
        <v>10221</v>
      </c>
      <c r="G4497" s="5" t="str">
        <f>IFERROR(__xludf.DUMMYFUNCTION("GOOGLETRANSLATE(D4497,""fi"",""es"")"),"Nombre de la especie")</f>
        <v>Nombre de la especie</v>
      </c>
      <c r="H4497" s="4" t="s">
        <v>10222</v>
      </c>
    </row>
    <row r="4498">
      <c r="A4498" s="4">
        <v>134.0</v>
      </c>
      <c r="B4498" s="4" t="s">
        <v>11576</v>
      </c>
      <c r="C4498" s="4"/>
      <c r="D4498" s="4" t="s">
        <v>10226</v>
      </c>
      <c r="E4498" s="4" t="s">
        <v>10227</v>
      </c>
      <c r="F4498" s="4" t="s">
        <v>10226</v>
      </c>
      <c r="G4498" s="5" t="str">
        <f>IFERROR(__xludf.DUMMYFUNCTION("GOOGLETRANSLATE(D4498,""fi"",""es"")"),"sábana")</f>
        <v>sábana</v>
      </c>
    </row>
    <row r="4499">
      <c r="A4499" s="4">
        <v>135.0</v>
      </c>
      <c r="B4499" s="4" t="s">
        <v>11576</v>
      </c>
      <c r="C4499" s="4"/>
      <c r="D4499" s="4" t="s">
        <v>6531</v>
      </c>
      <c r="E4499" s="4" t="s">
        <v>10228</v>
      </c>
      <c r="F4499" s="4" t="s">
        <v>6531</v>
      </c>
      <c r="G4499" s="5" t="str">
        <f>IFERROR(__xludf.DUMMYFUNCTION("GOOGLETRANSLATE(D4499,""fi"",""es"")"),"ley")</f>
        <v>ley</v>
      </c>
      <c r="H4499" s="4" t="s">
        <v>10229</v>
      </c>
      <c r="I4499" s="4" t="s">
        <v>10230</v>
      </c>
      <c r="J4499" s="4" t="s">
        <v>10231</v>
      </c>
      <c r="K4499" s="4" t="s">
        <v>10230</v>
      </c>
      <c r="L4499" s="4" t="s">
        <v>10232</v>
      </c>
      <c r="M4499" s="4" t="s">
        <v>10233</v>
      </c>
      <c r="N4499" s="4" t="s">
        <v>10234</v>
      </c>
      <c r="O4499" s="4" t="s">
        <v>10235</v>
      </c>
      <c r="P4499" s="4" t="s">
        <v>3993</v>
      </c>
      <c r="Q4499" s="4" t="s">
        <v>10236</v>
      </c>
      <c r="R4499" s="4" t="s">
        <v>10230</v>
      </c>
      <c r="S4499" s="4" t="s">
        <v>10237</v>
      </c>
      <c r="T4499" s="4" t="s">
        <v>10238</v>
      </c>
      <c r="U4499" s="4" t="s">
        <v>10230</v>
      </c>
      <c r="V4499" s="4" t="s">
        <v>10239</v>
      </c>
    </row>
    <row r="4500">
      <c r="A4500" s="4">
        <v>136.0</v>
      </c>
      <c r="B4500" s="4" t="s">
        <v>11576</v>
      </c>
      <c r="C4500" s="4"/>
      <c r="D4500" s="4" t="s">
        <v>10242</v>
      </c>
      <c r="E4500" s="4" t="s">
        <v>10243</v>
      </c>
      <c r="F4500" s="4" t="s">
        <v>10242</v>
      </c>
      <c r="G4500" s="5" t="str">
        <f>IFERROR(__xludf.DUMMYFUNCTION("GOOGLETRANSLATE(D4500,""fi"",""es"")"),"barniz")</f>
        <v>barniz</v>
      </c>
    </row>
    <row r="4501">
      <c r="A4501" s="4">
        <v>137.0</v>
      </c>
      <c r="B4501" s="4" t="s">
        <v>11576</v>
      </c>
      <c r="C4501" s="4"/>
      <c r="D4501" s="4" t="s">
        <v>10244</v>
      </c>
      <c r="E4501" s="4" t="s">
        <v>10245</v>
      </c>
      <c r="F4501" s="4" t="s">
        <v>10244</v>
      </c>
      <c r="G4501" s="5" t="str">
        <f>IFERROR(__xludf.DUMMYFUNCTION("GOOGLETRANSLATE(D4501,""fi"",""es"")"),"recesión")</f>
        <v>recesión</v>
      </c>
      <c r="H4501" s="4" t="s">
        <v>10246</v>
      </c>
      <c r="I4501" s="4" t="s">
        <v>10247</v>
      </c>
      <c r="J4501" s="4" t="s">
        <v>10244</v>
      </c>
      <c r="K4501" s="4" t="s">
        <v>10248</v>
      </c>
      <c r="L4501" s="4" t="s">
        <v>10249</v>
      </c>
      <c r="M4501" s="4" t="s">
        <v>10250</v>
      </c>
      <c r="N4501" s="4" t="s">
        <v>10251</v>
      </c>
      <c r="O4501" s="4" t="s">
        <v>10252</v>
      </c>
    </row>
    <row r="4502">
      <c r="A4502" s="4">
        <v>138.0</v>
      </c>
      <c r="B4502" s="4" t="s">
        <v>11576</v>
      </c>
      <c r="C4502" s="4"/>
      <c r="D4502" s="4" t="s">
        <v>10255</v>
      </c>
      <c r="E4502" s="4" t="s">
        <v>10256</v>
      </c>
      <c r="F4502" s="4" t="s">
        <v>10255</v>
      </c>
      <c r="G4502" s="5" t="str">
        <f>IFERROR(__xludf.DUMMYFUNCTION("GOOGLETRANSLATE(D4502,""fi"",""es"")"),"lana")</f>
        <v>lana</v>
      </c>
    </row>
    <row r="4503">
      <c r="A4503" s="4">
        <v>139.0</v>
      </c>
      <c r="B4503" s="4" t="s">
        <v>11576</v>
      </c>
      <c r="C4503" s="4"/>
      <c r="D4503" s="4" t="s">
        <v>10257</v>
      </c>
      <c r="E4503" s="4" t="s">
        <v>10258</v>
      </c>
      <c r="F4503" s="4" t="s">
        <v>10257</v>
      </c>
      <c r="G4503" s="5" t="str">
        <f>IFERROR(__xludf.DUMMYFUNCTION("GOOGLETRANSLATE(D4503,""fi"",""es"")"),"hombro")</f>
        <v>hombro</v>
      </c>
      <c r="H4503" s="4" t="s">
        <v>10259</v>
      </c>
      <c r="I4503" s="4" t="s">
        <v>10260</v>
      </c>
      <c r="J4503" s="4" t="s">
        <v>10259</v>
      </c>
      <c r="K4503" s="4" t="s">
        <v>10259</v>
      </c>
      <c r="L4503" s="4" t="s">
        <v>10261</v>
      </c>
    </row>
    <row r="4504">
      <c r="A4504" s="4">
        <v>140.0</v>
      </c>
      <c r="B4504" s="4" t="s">
        <v>11576</v>
      </c>
      <c r="C4504" s="4"/>
      <c r="D4504" s="4" t="s">
        <v>10297</v>
      </c>
      <c r="E4504" s="4" t="s">
        <v>10298</v>
      </c>
      <c r="F4504" s="4" t="s">
        <v>10297</v>
      </c>
      <c r="G4504" s="5" t="str">
        <f>IFERROR(__xludf.DUMMYFUNCTION("GOOGLETRANSLATE(D4504,""fi"",""es"")"),"suciedad")</f>
        <v>suciedad</v>
      </c>
      <c r="H4504" s="4" t="s">
        <v>10299</v>
      </c>
      <c r="I4504" s="4" t="s">
        <v>10300</v>
      </c>
      <c r="J4504" s="4" t="s">
        <v>10301</v>
      </c>
      <c r="K4504" s="4" t="s">
        <v>10302</v>
      </c>
      <c r="L4504" s="4" t="s">
        <v>10303</v>
      </c>
      <c r="M4504" s="4" t="s">
        <v>10300</v>
      </c>
      <c r="N4504" s="4" t="s">
        <v>10304</v>
      </c>
      <c r="O4504" s="4" t="s">
        <v>10305</v>
      </c>
    </row>
    <row r="4505">
      <c r="A4505" s="4">
        <v>141.0</v>
      </c>
      <c r="B4505" s="4" t="s">
        <v>11576</v>
      </c>
      <c r="C4505" s="4"/>
      <c r="D4505" s="4" t="s">
        <v>10306</v>
      </c>
      <c r="E4505" s="4" t="s">
        <v>10307</v>
      </c>
      <c r="F4505" s="4" t="s">
        <v>10306</v>
      </c>
      <c r="G4505" s="5" t="str">
        <f>IFERROR(__xludf.DUMMYFUNCTION("GOOGLETRANSLATE(D4505,""fi"",""es"")"),"casi casi")</f>
        <v>casi casi</v>
      </c>
      <c r="H4505" s="4" t="s">
        <v>10308</v>
      </c>
      <c r="I4505" s="4" t="s">
        <v>10309</v>
      </c>
      <c r="J4505" s="4" t="s">
        <v>10310</v>
      </c>
      <c r="K4505" s="4" t="s">
        <v>10311</v>
      </c>
      <c r="L4505" s="4" t="s">
        <v>10312</v>
      </c>
    </row>
    <row r="4506">
      <c r="A4506" s="4">
        <v>142.0</v>
      </c>
      <c r="B4506" s="4" t="s">
        <v>11576</v>
      </c>
      <c r="C4506" s="4"/>
      <c r="D4506" s="4" t="s">
        <v>10313</v>
      </c>
      <c r="E4506" s="4" t="s">
        <v>10314</v>
      </c>
      <c r="F4506" s="4" t="s">
        <v>10313</v>
      </c>
      <c r="G4506" s="5" t="str">
        <f>IFERROR(__xludf.DUMMYFUNCTION("GOOGLETRANSLATE(D4506,""fi"",""es"")"),"moco")</f>
        <v>moco</v>
      </c>
      <c r="H4506" s="4" t="s">
        <v>10315</v>
      </c>
      <c r="I4506" s="4" t="s">
        <v>10316</v>
      </c>
      <c r="J4506" s="4" t="s">
        <v>10317</v>
      </c>
      <c r="K4506" s="4" t="s">
        <v>10318</v>
      </c>
      <c r="L4506" s="4" t="s">
        <v>10319</v>
      </c>
      <c r="M4506" s="4" t="s">
        <v>10320</v>
      </c>
      <c r="N4506" s="4" t="s">
        <v>2155</v>
      </c>
      <c r="O4506" s="4" t="s">
        <v>2156</v>
      </c>
      <c r="P4506" s="4" t="s">
        <v>2157</v>
      </c>
      <c r="Q4506" s="4" t="s">
        <v>2158</v>
      </c>
      <c r="R4506" s="4" t="s">
        <v>2159</v>
      </c>
      <c r="S4506" s="4" t="s">
        <v>2160</v>
      </c>
      <c r="T4506" s="4" t="s">
        <v>2161</v>
      </c>
      <c r="U4506" s="4" t="s">
        <v>2162</v>
      </c>
      <c r="V4506" s="4" t="s">
        <v>2163</v>
      </c>
    </row>
    <row r="4507">
      <c r="A4507" s="4">
        <v>143.0</v>
      </c>
      <c r="B4507" s="4" t="s">
        <v>11576</v>
      </c>
      <c r="C4507" s="4"/>
      <c r="D4507" s="4" t="s">
        <v>10321</v>
      </c>
      <c r="E4507" s="4" t="s">
        <v>10322</v>
      </c>
      <c r="F4507" s="4" t="s">
        <v>10321</v>
      </c>
      <c r="G4507" s="5" t="str">
        <f>IFERROR(__xludf.DUMMYFUNCTION("GOOGLETRANSLATE(D4507,""fi"",""es"")"),"moco")</f>
        <v>moco</v>
      </c>
      <c r="H4507" s="4" t="s">
        <v>10323</v>
      </c>
      <c r="I4507" s="4" t="s">
        <v>10324</v>
      </c>
      <c r="J4507" s="4" t="s">
        <v>10325</v>
      </c>
    </row>
    <row r="4508">
      <c r="A4508" s="4">
        <v>144.0</v>
      </c>
      <c r="B4508" s="4" t="s">
        <v>11576</v>
      </c>
      <c r="C4508" s="4"/>
      <c r="D4508" s="4" t="s">
        <v>6629</v>
      </c>
      <c r="E4508" s="4" t="s">
        <v>10326</v>
      </c>
      <c r="F4508" s="4" t="s">
        <v>6629</v>
      </c>
      <c r="G4508" s="5" t="str">
        <f>IFERROR(__xludf.DUMMYFUNCTION("GOOGLETRANSLATE(D4508,""fi"",""es"")"),"superposición")</f>
        <v>superposición</v>
      </c>
    </row>
    <row r="4509">
      <c r="A4509" s="4">
        <v>145.0</v>
      </c>
      <c r="B4509" s="4" t="s">
        <v>11576</v>
      </c>
      <c r="C4509" s="4"/>
      <c r="D4509" s="4" t="s">
        <v>10329</v>
      </c>
      <c r="E4509" s="4" t="s">
        <v>10330</v>
      </c>
      <c r="F4509" s="4" t="s">
        <v>10329</v>
      </c>
      <c r="G4509" s="5" t="str">
        <f>IFERROR(__xludf.DUMMYFUNCTION("GOOGLETRANSLATE(D4509,""fi"",""es"")"),"estallido")</f>
        <v>estallido</v>
      </c>
    </row>
    <row r="4510">
      <c r="A4510" s="4">
        <v>146.0</v>
      </c>
      <c r="B4510" s="4" t="s">
        <v>11576</v>
      </c>
      <c r="C4510" s="4"/>
      <c r="D4510" s="4" t="s">
        <v>10364</v>
      </c>
      <c r="E4510" s="4" t="s">
        <v>10365</v>
      </c>
      <c r="F4510" s="4" t="s">
        <v>10366</v>
      </c>
      <c r="G4510" s="5" t="str">
        <f>IFERROR(__xludf.DUMMYFUNCTION("GOOGLETRANSLATE(D4510,""fi"",""es"")"),"fuerte")</f>
        <v>fuerte</v>
      </c>
      <c r="H4510" s="4" t="s">
        <v>1366</v>
      </c>
      <c r="I4510" s="4" t="s">
        <v>3468</v>
      </c>
      <c r="J4510" s="4" t="s">
        <v>3469</v>
      </c>
      <c r="K4510" s="4" t="s">
        <v>10367</v>
      </c>
      <c r="L4510" s="4" t="s">
        <v>10368</v>
      </c>
      <c r="M4510" s="4" t="s">
        <v>10369</v>
      </c>
      <c r="N4510" s="4" t="s">
        <v>10370</v>
      </c>
      <c r="O4510" s="4" t="s">
        <v>2547</v>
      </c>
      <c r="P4510" s="4" t="s">
        <v>2550</v>
      </c>
      <c r="Q4510" s="4" t="s">
        <v>10371</v>
      </c>
      <c r="R4510" s="4" t="s">
        <v>10372</v>
      </c>
      <c r="S4510" s="4" t="s">
        <v>2548</v>
      </c>
      <c r="T4510" s="4" t="s">
        <v>10373</v>
      </c>
      <c r="U4510" s="4" t="s">
        <v>10374</v>
      </c>
      <c r="V4510" s="4" t="s">
        <v>10375</v>
      </c>
      <c r="W4510" s="4" t="s">
        <v>10376</v>
      </c>
      <c r="X4510" s="4" t="s">
        <v>10377</v>
      </c>
      <c r="Y4510" s="4" t="s">
        <v>10378</v>
      </c>
      <c r="Z4510" s="4" t="s">
        <v>10379</v>
      </c>
      <c r="AA4510" s="4" t="s">
        <v>9467</v>
      </c>
      <c r="AB4510" s="4" t="s">
        <v>10380</v>
      </c>
      <c r="AC4510" s="4" t="s">
        <v>10381</v>
      </c>
      <c r="AD4510" s="4" t="s">
        <v>10382</v>
      </c>
      <c r="AE4510" s="4" t="s">
        <v>10383</v>
      </c>
    </row>
    <row r="4511">
      <c r="A4511" s="4">
        <v>147.0</v>
      </c>
      <c r="B4511" s="4" t="s">
        <v>11576</v>
      </c>
      <c r="C4511" s="4"/>
      <c r="D4511" s="4" t="s">
        <v>10387</v>
      </c>
      <c r="E4511" s="4" t="s">
        <v>10388</v>
      </c>
      <c r="F4511" s="4" t="s">
        <v>10387</v>
      </c>
      <c r="G4511" s="5" t="str">
        <f>IFERROR(__xludf.DUMMYFUNCTION("GOOGLETRANSLATE(D4511,""fi"",""es"")"),"Luka")</f>
        <v>Luka</v>
      </c>
    </row>
    <row r="4512">
      <c r="A4512" s="4">
        <v>148.0</v>
      </c>
      <c r="B4512" s="4" t="s">
        <v>11576</v>
      </c>
      <c r="C4512" s="4"/>
      <c r="D4512" s="4" t="s">
        <v>10389</v>
      </c>
      <c r="E4512" s="4" t="s">
        <v>10390</v>
      </c>
      <c r="F4512" s="4" t="s">
        <v>10391</v>
      </c>
      <c r="G4512" s="5" t="str">
        <f>IFERROR(__xludf.DUMMYFUNCTION("GOOGLETRANSLATE(D4512,""fi"",""es"")"),"lector")</f>
        <v>lector</v>
      </c>
      <c r="H4512" s="4" t="s">
        <v>10392</v>
      </c>
      <c r="I4512" s="4" t="s">
        <v>10393</v>
      </c>
      <c r="J4512" s="4" t="s">
        <v>10394</v>
      </c>
      <c r="K4512" s="4" t="s">
        <v>10395</v>
      </c>
      <c r="L4512" s="4" t="s">
        <v>10393</v>
      </c>
      <c r="M4512" s="4" t="s">
        <v>10396</v>
      </c>
      <c r="N4512" s="4" t="s">
        <v>10393</v>
      </c>
    </row>
    <row r="4513">
      <c r="A4513" s="4">
        <v>149.0</v>
      </c>
      <c r="B4513" s="4" t="s">
        <v>11576</v>
      </c>
      <c r="C4513" s="4"/>
      <c r="D4513" s="4" t="s">
        <v>10397</v>
      </c>
      <c r="E4513" s="4" t="s">
        <v>10398</v>
      </c>
      <c r="F4513" s="4" t="s">
        <v>10397</v>
      </c>
      <c r="G4513" s="5" t="str">
        <f>IFERROR(__xludf.DUMMYFUNCTION("GOOGLETRANSLATE(D4513,""fi"",""es"")"),"número")</f>
        <v>número</v>
      </c>
      <c r="H4513" s="4" t="s">
        <v>4145</v>
      </c>
      <c r="I4513" s="4" t="s">
        <v>4861</v>
      </c>
      <c r="J4513" s="4" t="s">
        <v>10399</v>
      </c>
      <c r="K4513" s="4" t="s">
        <v>4145</v>
      </c>
      <c r="L4513" s="4" t="s">
        <v>10400</v>
      </c>
      <c r="M4513" s="4" t="s">
        <v>10401</v>
      </c>
      <c r="N4513" s="4" t="s">
        <v>10402</v>
      </c>
      <c r="O4513" s="4" t="s">
        <v>4861</v>
      </c>
      <c r="P4513" s="4" t="s">
        <v>10401</v>
      </c>
    </row>
    <row r="4514">
      <c r="A4514" s="4">
        <v>150.0</v>
      </c>
      <c r="B4514" s="4" t="s">
        <v>11576</v>
      </c>
      <c r="C4514" s="4"/>
      <c r="D4514" s="4" t="s">
        <v>10403</v>
      </c>
      <c r="E4514" s="4" t="s">
        <v>10404</v>
      </c>
      <c r="F4514" s="4" t="s">
        <v>10403</v>
      </c>
      <c r="G4514" s="5" t="str">
        <f>IFERROR(__xludf.DUMMYFUNCTION("GOOGLETRANSLATE(D4514,""fi"",""es"")"),"deseo de lectura")</f>
        <v>deseo de lectura</v>
      </c>
    </row>
    <row r="4515">
      <c r="A4515" s="4">
        <v>151.0</v>
      </c>
      <c r="B4515" s="4" t="s">
        <v>11576</v>
      </c>
      <c r="C4515" s="4"/>
      <c r="D4515" s="4" t="s">
        <v>10409</v>
      </c>
      <c r="E4515" s="4" t="s">
        <v>10410</v>
      </c>
      <c r="F4515" s="4" t="s">
        <v>10409</v>
      </c>
      <c r="G4515" s="5" t="str">
        <f>IFERROR(__xludf.DUMMYFUNCTION("GOOGLETRANSLATE(D4515,""fi"",""es"")"),"nieve")</f>
        <v>nieve</v>
      </c>
      <c r="H4515" s="4" t="s">
        <v>10411</v>
      </c>
      <c r="I4515" s="4" t="s">
        <v>4163</v>
      </c>
      <c r="J4515" s="4" t="s">
        <v>10412</v>
      </c>
      <c r="K4515" s="4" t="s">
        <v>10413</v>
      </c>
      <c r="L4515" s="4" t="s">
        <v>8268</v>
      </c>
      <c r="M4515" s="4" t="s">
        <v>10413</v>
      </c>
      <c r="N4515" s="4" t="s">
        <v>10414</v>
      </c>
      <c r="O4515" s="4" t="s">
        <v>10413</v>
      </c>
    </row>
    <row r="4516">
      <c r="A4516" s="4">
        <v>152.0</v>
      </c>
      <c r="B4516" s="4" t="s">
        <v>11576</v>
      </c>
      <c r="C4516" s="4"/>
      <c r="D4516" s="4" t="s">
        <v>10417</v>
      </c>
      <c r="E4516" s="4" t="s">
        <v>10418</v>
      </c>
      <c r="F4516" s="4" t="s">
        <v>10419</v>
      </c>
      <c r="G4516" s="5" t="str">
        <f>IFERROR(__xludf.DUMMYFUNCTION("GOOGLETRANSLATE(D4516,""fi"",""es"")"),"muñeco de nieve")</f>
        <v>muñeco de nieve</v>
      </c>
    </row>
    <row r="4517">
      <c r="A4517" s="4">
        <v>153.0</v>
      </c>
      <c r="B4517" s="4" t="s">
        <v>11576</v>
      </c>
      <c r="C4517" s="4"/>
      <c r="D4517" s="4" t="s">
        <v>2251</v>
      </c>
      <c r="E4517" s="4" t="s">
        <v>10420</v>
      </c>
      <c r="F4517" s="4" t="s">
        <v>2251</v>
      </c>
      <c r="G4517" s="5" t="str">
        <f>IFERROR(__xludf.DUMMYFUNCTION("GOOGLETRANSLATE(D4517,""fi"",""es"")"),"permiso")</f>
        <v>permiso</v>
      </c>
      <c r="H4517" s="4" t="s">
        <v>10421</v>
      </c>
      <c r="I4517" s="4" t="s">
        <v>10422</v>
      </c>
      <c r="J4517" s="4" t="s">
        <v>10423</v>
      </c>
      <c r="K4517" s="4" t="s">
        <v>10424</v>
      </c>
      <c r="L4517" s="4" t="s">
        <v>10425</v>
      </c>
      <c r="M4517" s="4" t="s">
        <v>10426</v>
      </c>
      <c r="N4517" s="4" t="s">
        <v>10427</v>
      </c>
      <c r="O4517" s="4" t="s">
        <v>10428</v>
      </c>
      <c r="P4517" s="4" t="s">
        <v>10229</v>
      </c>
      <c r="Q4517" s="4" t="s">
        <v>10426</v>
      </c>
      <c r="R4517" s="4" t="s">
        <v>10427</v>
      </c>
      <c r="S4517" s="4" t="s">
        <v>10428</v>
      </c>
      <c r="T4517" s="4" t="s">
        <v>8937</v>
      </c>
      <c r="U4517" s="4" t="s">
        <v>10429</v>
      </c>
      <c r="V4517" s="4" t="s">
        <v>10430</v>
      </c>
      <c r="W4517" s="4" t="s">
        <v>10421</v>
      </c>
      <c r="X4517" s="4" t="s">
        <v>10431</v>
      </c>
      <c r="Y4517" s="4" t="s">
        <v>10423</v>
      </c>
      <c r="Z4517" s="4" t="s">
        <v>10432</v>
      </c>
      <c r="AA4517" s="4" t="s">
        <v>10427</v>
      </c>
      <c r="AB4517" s="4" t="s">
        <v>10428</v>
      </c>
      <c r="AC4517" s="4" t="s">
        <v>10433</v>
      </c>
      <c r="AD4517" s="4" t="s">
        <v>10229</v>
      </c>
      <c r="AE4517" s="4" t="s">
        <v>10434</v>
      </c>
      <c r="AF4517" s="4" t="s">
        <v>10435</v>
      </c>
      <c r="AG4517" s="4" t="s">
        <v>10436</v>
      </c>
      <c r="AH4517" s="4" t="s">
        <v>10437</v>
      </c>
      <c r="AI4517" s="4" t="s">
        <v>10438</v>
      </c>
      <c r="AJ4517" s="4" t="s">
        <v>10422</v>
      </c>
      <c r="AK4517" s="4" t="s">
        <v>643</v>
      </c>
      <c r="AL4517" s="4" t="s">
        <v>647</v>
      </c>
      <c r="AM4517" s="4" t="s">
        <v>7108</v>
      </c>
      <c r="AN4517" s="4" t="s">
        <v>647</v>
      </c>
      <c r="AO4517" s="4" t="s">
        <v>7107</v>
      </c>
      <c r="AP4517" s="4" t="s">
        <v>10439</v>
      </c>
      <c r="AQ4517" s="4" t="s">
        <v>10440</v>
      </c>
      <c r="AR4517" s="4" t="s">
        <v>10430</v>
      </c>
      <c r="AS4517" s="4" t="s">
        <v>10430</v>
      </c>
      <c r="AT4517" s="4" t="s">
        <v>10421</v>
      </c>
      <c r="AU4517" s="4" t="s">
        <v>10431</v>
      </c>
    </row>
    <row r="4518">
      <c r="A4518" s="4">
        <v>154.0</v>
      </c>
      <c r="B4518" s="4" t="s">
        <v>11576</v>
      </c>
      <c r="C4518" s="4"/>
      <c r="D4518" s="4" t="s">
        <v>10456</v>
      </c>
      <c r="E4518" s="4" t="s">
        <v>10457</v>
      </c>
      <c r="F4518" s="4" t="s">
        <v>2023</v>
      </c>
      <c r="G4518" s="5" t="str">
        <f>IFERROR(__xludf.DUMMYFUNCTION("GOOGLETRANSLATE(D4518,""fi"",""es"")"),"montón")</f>
        <v>montón</v>
      </c>
      <c r="H4518" s="4" t="s">
        <v>1736</v>
      </c>
      <c r="I4518" s="4" t="s">
        <v>1737</v>
      </c>
      <c r="J4518" s="4" t="s">
        <v>1738</v>
      </c>
      <c r="K4518" s="4" t="s">
        <v>1739</v>
      </c>
      <c r="L4518" s="4" t="s">
        <v>1740</v>
      </c>
      <c r="M4518" s="4" t="s">
        <v>1741</v>
      </c>
      <c r="N4518" s="4" t="s">
        <v>484</v>
      </c>
      <c r="O4518" s="4" t="s">
        <v>1742</v>
      </c>
      <c r="P4518" s="4" t="s">
        <v>1743</v>
      </c>
      <c r="Q4518" s="4" t="s">
        <v>1744</v>
      </c>
      <c r="R4518" s="4" t="s">
        <v>1745</v>
      </c>
      <c r="S4518" s="4" t="s">
        <v>1746</v>
      </c>
      <c r="T4518" s="4" t="s">
        <v>1747</v>
      </c>
      <c r="U4518" s="4" t="s">
        <v>1748</v>
      </c>
      <c r="V4518" s="4" t="s">
        <v>1749</v>
      </c>
      <c r="W4518" s="4" t="s">
        <v>1750</v>
      </c>
      <c r="X4518" s="4" t="s">
        <v>483</v>
      </c>
      <c r="Y4518" s="4" t="s">
        <v>1751</v>
      </c>
      <c r="Z4518" s="4" t="s">
        <v>1752</v>
      </c>
      <c r="AA4518" s="4" t="s">
        <v>1753</v>
      </c>
      <c r="AB4518" s="4" t="s">
        <v>1754</v>
      </c>
      <c r="AC4518" s="4" t="s">
        <v>1755</v>
      </c>
      <c r="AD4518" s="4" t="s">
        <v>1756</v>
      </c>
      <c r="AE4518" s="4" t="s">
        <v>1757</v>
      </c>
      <c r="AF4518" s="4" t="s">
        <v>482</v>
      </c>
      <c r="AG4518" s="4" t="s">
        <v>1758</v>
      </c>
      <c r="AH4518" s="4" t="s">
        <v>780</v>
      </c>
    </row>
    <row r="4519">
      <c r="A4519" s="4">
        <v>155.0</v>
      </c>
      <c r="B4519" s="4" t="s">
        <v>11576</v>
      </c>
      <c r="C4519" s="4"/>
      <c r="D4519" s="4" t="s">
        <v>10458</v>
      </c>
      <c r="E4519" s="4" t="s">
        <v>10459</v>
      </c>
      <c r="F4519" s="4" t="s">
        <v>10460</v>
      </c>
      <c r="G4519" s="5" t="str">
        <f>IFERROR(__xludf.DUMMYFUNCTION("GOOGLETRANSLATE(D4519,""fi"",""es"")"),"mediante")</f>
        <v>mediante</v>
      </c>
      <c r="H4519" s="4" t="s">
        <v>10461</v>
      </c>
      <c r="I4519" s="4" t="s">
        <v>10461</v>
      </c>
      <c r="J4519" s="4" t="s">
        <v>10461</v>
      </c>
      <c r="K4519" s="4" t="s">
        <v>10461</v>
      </c>
      <c r="L4519" s="4" t="s">
        <v>7219</v>
      </c>
      <c r="M4519" s="4" t="s">
        <v>7989</v>
      </c>
      <c r="N4519" s="4" t="s">
        <v>7990</v>
      </c>
      <c r="O4519" s="4" t="s">
        <v>7991</v>
      </c>
      <c r="P4519" s="4" t="s">
        <v>7987</v>
      </c>
      <c r="Q4519" s="4" t="s">
        <v>2514</v>
      </c>
    </row>
    <row r="4520">
      <c r="A4520" s="4">
        <v>156.0</v>
      </c>
      <c r="B4520" s="4" t="s">
        <v>11576</v>
      </c>
      <c r="C4520" s="4"/>
      <c r="D4520" s="4" t="s">
        <v>2278</v>
      </c>
      <c r="E4520" s="4" t="s">
        <v>10466</v>
      </c>
      <c r="F4520" s="4" t="s">
        <v>2278</v>
      </c>
      <c r="G4520" s="5" t="str">
        <f>IFERROR(__xludf.DUMMYFUNCTION("GOOGLETRANSLATE(D4520,""fi"",""es"")"),"mamá")</f>
        <v>mamá</v>
      </c>
      <c r="H4520" s="4" t="s">
        <v>8010</v>
      </c>
      <c r="I4520" s="4" t="s">
        <v>8011</v>
      </c>
      <c r="J4520" s="4" t="s">
        <v>8012</v>
      </c>
      <c r="K4520" s="4" t="s">
        <v>8013</v>
      </c>
      <c r="L4520" s="4" t="s">
        <v>10467</v>
      </c>
      <c r="M4520" s="4" t="s">
        <v>10468</v>
      </c>
      <c r="N4520" s="4" t="s">
        <v>10469</v>
      </c>
      <c r="O4520" s="4" t="s">
        <v>8011</v>
      </c>
      <c r="P4520" s="4" t="s">
        <v>10470</v>
      </c>
      <c r="Q4520" s="4" t="s">
        <v>10471</v>
      </c>
      <c r="R4520" s="4" t="s">
        <v>8530</v>
      </c>
      <c r="S4520" s="4" t="s">
        <v>8531</v>
      </c>
    </row>
    <row r="4521">
      <c r="A4521" s="4">
        <v>157.0</v>
      </c>
      <c r="B4521" s="4" t="s">
        <v>11576</v>
      </c>
      <c r="C4521" s="4"/>
      <c r="D4521" s="4" t="s">
        <v>10493</v>
      </c>
      <c r="E4521" s="4" t="s">
        <v>10494</v>
      </c>
      <c r="F4521" s="4" t="s">
        <v>2315</v>
      </c>
      <c r="G4521" s="5" t="str">
        <f>IFERROR(__xludf.DUMMYFUNCTION("GOOGLETRANSLATE(D4521,""fi"",""es"")"),"refugio")</f>
        <v>refugio</v>
      </c>
      <c r="H4521" s="4" t="s">
        <v>7455</v>
      </c>
      <c r="I4521" s="4" t="s">
        <v>7456</v>
      </c>
      <c r="J4521" s="4" t="s">
        <v>7457</v>
      </c>
      <c r="K4521" s="4" t="s">
        <v>7452</v>
      </c>
      <c r="L4521" s="4" t="s">
        <v>7458</v>
      </c>
      <c r="M4521" s="4" t="s">
        <v>7456</v>
      </c>
      <c r="N4521" s="4" t="s">
        <v>10495</v>
      </c>
      <c r="O4521" s="4" t="s">
        <v>10496</v>
      </c>
      <c r="P4521" s="4" t="s">
        <v>6364</v>
      </c>
      <c r="Q4521" s="4" t="s">
        <v>10497</v>
      </c>
      <c r="R4521" s="4" t="s">
        <v>10498</v>
      </c>
    </row>
    <row r="4522">
      <c r="A4522" s="4">
        <v>158.0</v>
      </c>
      <c r="B4522" s="4" t="s">
        <v>11576</v>
      </c>
      <c r="C4522" s="4"/>
      <c r="D4522" s="4" t="s">
        <v>2288</v>
      </c>
      <c r="E4522" s="4" t="s">
        <v>10499</v>
      </c>
      <c r="F4522" s="4" t="s">
        <v>2288</v>
      </c>
      <c r="G4522" s="5" t="str">
        <f>IFERROR(__xludf.DUMMYFUNCTION("GOOGLETRANSLATE(D4522,""fi"",""es"")"),"gusto")</f>
        <v>gusto</v>
      </c>
      <c r="H4522" s="4" t="s">
        <v>10500</v>
      </c>
      <c r="I4522" s="4" t="s">
        <v>10501</v>
      </c>
      <c r="J4522" s="4" t="s">
        <v>10502</v>
      </c>
      <c r="K4522" s="4" t="s">
        <v>10503</v>
      </c>
      <c r="L4522" s="4" t="s">
        <v>10504</v>
      </c>
      <c r="M4522" s="4" t="s">
        <v>10505</v>
      </c>
      <c r="N4522" s="4" t="s">
        <v>10506</v>
      </c>
      <c r="O4522" s="4" t="s">
        <v>7001</v>
      </c>
      <c r="P4522" s="4" t="s">
        <v>6678</v>
      </c>
      <c r="Q4522" s="4" t="s">
        <v>6679</v>
      </c>
      <c r="R4522" s="4" t="s">
        <v>7002</v>
      </c>
      <c r="S4522" s="4" t="s">
        <v>7003</v>
      </c>
      <c r="T4522" s="4" t="s">
        <v>7004</v>
      </c>
      <c r="U4522" s="4" t="s">
        <v>7005</v>
      </c>
      <c r="V4522" s="4" t="s">
        <v>4298</v>
      </c>
      <c r="W4522" s="4" t="s">
        <v>7006</v>
      </c>
      <c r="X4522" s="4" t="s">
        <v>10503</v>
      </c>
      <c r="Y4522" s="4" t="s">
        <v>10507</v>
      </c>
      <c r="Z4522" s="4" t="s">
        <v>10508</v>
      </c>
      <c r="AA4522" s="4" t="s">
        <v>10509</v>
      </c>
      <c r="AB4522" s="4" t="s">
        <v>6678</v>
      </c>
      <c r="AC4522" s="4" t="s">
        <v>6679</v>
      </c>
    </row>
    <row r="4523">
      <c r="A4523" s="4">
        <v>159.0</v>
      </c>
      <c r="B4523" s="4" t="s">
        <v>11576</v>
      </c>
      <c r="C4523" s="4"/>
      <c r="D4523" s="4" t="s">
        <v>5314</v>
      </c>
      <c r="E4523" s="4" t="s">
        <v>8500</v>
      </c>
      <c r="F4523" s="4" t="s">
        <v>5314</v>
      </c>
      <c r="G4523" s="5" t="str">
        <f>IFERROR(__xludf.DUMMYFUNCTION("GOOGLETRANSLATE(D4523,""fi"",""es"")"),"ajenjo")</f>
        <v>ajenjo</v>
      </c>
      <c r="H4523" s="4" t="s">
        <v>5347</v>
      </c>
      <c r="I4523" s="4" t="s">
        <v>5348</v>
      </c>
      <c r="J4523" s="4" t="s">
        <v>5349</v>
      </c>
      <c r="K4523" s="4" t="s">
        <v>10510</v>
      </c>
      <c r="L4523" s="4" t="s">
        <v>10511</v>
      </c>
      <c r="M4523" s="4" t="s">
        <v>1893</v>
      </c>
      <c r="N4523" s="4" t="s">
        <v>10512</v>
      </c>
      <c r="O4523" s="4" t="s">
        <v>10513</v>
      </c>
    </row>
    <row r="4524">
      <c r="A4524" s="4">
        <v>160.0</v>
      </c>
      <c r="B4524" s="4" t="s">
        <v>11576</v>
      </c>
      <c r="C4524" s="4"/>
      <c r="D4524" s="4" t="s">
        <v>2401</v>
      </c>
      <c r="E4524" s="4" t="s">
        <v>10514</v>
      </c>
      <c r="F4524" s="4" t="s">
        <v>2401</v>
      </c>
      <c r="G4524" s="5" t="str">
        <f>IFERROR(__xludf.DUMMYFUNCTION("GOOGLETRANSLATE(D4524,""fi"",""es"")"),"maná")</f>
        <v>maná</v>
      </c>
    </row>
    <row r="4525">
      <c r="A4525" s="4">
        <v>161.0</v>
      </c>
      <c r="B4525" s="4" t="s">
        <v>11576</v>
      </c>
      <c r="C4525" s="4"/>
      <c r="D4525" s="4" t="s">
        <v>10515</v>
      </c>
      <c r="E4525" s="4" t="s">
        <v>10516</v>
      </c>
      <c r="F4525" s="4" t="s">
        <v>10515</v>
      </c>
      <c r="G4525" s="5" t="str">
        <f>IFERROR(__xludf.DUMMYFUNCTION("GOOGLETRANSLATE(D4525,""fi"",""es"")"),"Nether World")</f>
        <v>Nether World</v>
      </c>
      <c r="H4525" s="4" t="s">
        <v>10517</v>
      </c>
      <c r="I4525" s="4" t="s">
        <v>10518</v>
      </c>
      <c r="J4525" s="4" t="s">
        <v>10519</v>
      </c>
      <c r="K4525" s="4" t="s">
        <v>10520</v>
      </c>
      <c r="L4525" s="4" t="s">
        <v>10521</v>
      </c>
      <c r="M4525" s="4" t="s">
        <v>10522</v>
      </c>
      <c r="N4525" s="4" t="s">
        <v>10517</v>
      </c>
      <c r="O4525" s="4" t="s">
        <v>10523</v>
      </c>
      <c r="P4525" s="4" t="s">
        <v>10524</v>
      </c>
      <c r="Q4525" s="4" t="s">
        <v>10519</v>
      </c>
      <c r="R4525" s="4" t="s">
        <v>10525</v>
      </c>
      <c r="S4525" s="4" t="s">
        <v>8645</v>
      </c>
    </row>
    <row r="4526">
      <c r="A4526" s="4">
        <v>162.0</v>
      </c>
      <c r="B4526" s="4" t="s">
        <v>11576</v>
      </c>
      <c r="C4526" s="4"/>
      <c r="D4526" s="4" t="s">
        <v>2442</v>
      </c>
      <c r="E4526" s="4" t="s">
        <v>10526</v>
      </c>
      <c r="F4526" s="4" t="s">
        <v>2442</v>
      </c>
      <c r="G4526" s="5" t="str">
        <f>IFERROR(__xludf.DUMMYFUNCTION("GOOGLETRANSLATE(D4526,""fi"",""es"")"),"Manu")</f>
        <v>Manu</v>
      </c>
    </row>
    <row r="4527">
      <c r="A4527" s="4">
        <v>163.0</v>
      </c>
      <c r="B4527" s="4" t="s">
        <v>11576</v>
      </c>
      <c r="C4527" s="4"/>
      <c r="D4527" s="4" t="s">
        <v>342</v>
      </c>
      <c r="E4527" s="4" t="s">
        <v>341</v>
      </c>
      <c r="F4527" s="4" t="s">
        <v>342</v>
      </c>
      <c r="G4527" s="5" t="str">
        <f>IFERROR(__xludf.DUMMYFUNCTION("GOOGLETRANSLATE(D4527,""fi"",""es"")"),"mi")</f>
        <v>mi</v>
      </c>
      <c r="H4527" s="4" t="s">
        <v>342</v>
      </c>
      <c r="I4527" s="4" t="s">
        <v>10541</v>
      </c>
      <c r="J4527" s="4" t="s">
        <v>10542</v>
      </c>
      <c r="K4527" s="4" t="s">
        <v>10543</v>
      </c>
      <c r="L4527" s="4" t="s">
        <v>10544</v>
      </c>
      <c r="M4527" s="4" t="s">
        <v>10542</v>
      </c>
      <c r="N4527" s="4" t="s">
        <v>10545</v>
      </c>
      <c r="O4527" s="4" t="s">
        <v>10546</v>
      </c>
      <c r="P4527" s="4" t="s">
        <v>10547</v>
      </c>
      <c r="Q4527" s="4" t="s">
        <v>10548</v>
      </c>
      <c r="R4527" s="4" t="s">
        <v>10542</v>
      </c>
      <c r="S4527" s="4" t="s">
        <v>2622</v>
      </c>
      <c r="T4527" s="4" t="s">
        <v>2653</v>
      </c>
      <c r="U4527" s="4" t="s">
        <v>2654</v>
      </c>
      <c r="V4527" s="4" t="s">
        <v>2655</v>
      </c>
      <c r="W4527" s="4" t="s">
        <v>2656</v>
      </c>
      <c r="X4527" s="4" t="s">
        <v>2657</v>
      </c>
      <c r="Y4527" s="4" t="s">
        <v>342</v>
      </c>
      <c r="Z4527" s="4" t="s">
        <v>2660</v>
      </c>
      <c r="AA4527" s="4" t="s">
        <v>2653</v>
      </c>
      <c r="AB4527" s="4" t="s">
        <v>342</v>
      </c>
      <c r="AC4527" s="4" t="s">
        <v>2661</v>
      </c>
      <c r="AD4527" s="4" t="s">
        <v>2145</v>
      </c>
      <c r="AE4527" s="4" t="s">
        <v>2662</v>
      </c>
      <c r="AF4527" s="4" t="s">
        <v>2663</v>
      </c>
    </row>
    <row r="4528">
      <c r="A4528" s="4">
        <v>164.0</v>
      </c>
      <c r="B4528" s="4" t="s">
        <v>11576</v>
      </c>
      <c r="C4528" s="4"/>
      <c r="D4528" s="4" t="s">
        <v>2601</v>
      </c>
      <c r="E4528" s="4" t="s">
        <v>10549</v>
      </c>
      <c r="F4528" s="4" t="s">
        <v>2601</v>
      </c>
      <c r="G4528" s="5" t="str">
        <f>IFERROR(__xludf.DUMMYFUNCTION("GOOGLETRANSLATE(D4528,""fi"",""es"")"),"Qué")</f>
        <v>Qué</v>
      </c>
    </row>
    <row r="4529">
      <c r="A4529" s="4">
        <v>165.0</v>
      </c>
      <c r="B4529" s="4" t="s">
        <v>11576</v>
      </c>
      <c r="C4529" s="4"/>
      <c r="D4529" s="4" t="s">
        <v>6811</v>
      </c>
      <c r="E4529" s="4" t="s">
        <v>10550</v>
      </c>
      <c r="F4529" s="4" t="s">
        <v>6811</v>
      </c>
      <c r="G4529" s="5" t="str">
        <f>IFERROR(__xludf.DUMMYFUNCTION("GOOGLETRANSLATE(D4529,""fi"",""es"")"),"miki")</f>
        <v>miki</v>
      </c>
    </row>
    <row r="4530">
      <c r="A4530" s="4">
        <v>166.0</v>
      </c>
      <c r="B4530" s="4" t="s">
        <v>11576</v>
      </c>
      <c r="C4530" s="4"/>
      <c r="D4530" s="4" t="s">
        <v>10551</v>
      </c>
      <c r="E4530" s="4" t="s">
        <v>10552</v>
      </c>
      <c r="F4530" s="4" t="s">
        <v>10551</v>
      </c>
      <c r="G4530" s="5" t="str">
        <f>IFERROR(__xludf.DUMMYFUNCTION("GOOGLETRANSLATE(D4530,""fi"",""es"")"),"cada")</f>
        <v>cada</v>
      </c>
    </row>
    <row r="4531">
      <c r="A4531" s="4">
        <v>167.0</v>
      </c>
      <c r="B4531" s="4" t="s">
        <v>11576</v>
      </c>
      <c r="C4531" s="4"/>
      <c r="D4531" s="4" t="s">
        <v>10553</v>
      </c>
      <c r="E4531" s="4" t="s">
        <v>10554</v>
      </c>
      <c r="F4531" s="4" t="s">
        <v>2601</v>
      </c>
      <c r="G4531" s="5" t="str">
        <f>IFERROR(__xludf.DUMMYFUNCTION("GOOGLETRANSLATE(D4531,""fi"",""es"")"),"Qué")</f>
        <v>Qué</v>
      </c>
    </row>
    <row r="4532">
      <c r="A4532" s="4">
        <v>168.0</v>
      </c>
      <c r="B4532" s="4" t="s">
        <v>11576</v>
      </c>
      <c r="C4532" s="4"/>
      <c r="D4532" s="4" t="s">
        <v>10555</v>
      </c>
      <c r="E4532" s="4" t="s">
        <v>10556</v>
      </c>
      <c r="F4532" s="4" t="s">
        <v>10557</v>
      </c>
      <c r="G4532" s="5" t="str">
        <f>IFERROR(__xludf.DUMMYFUNCTION("GOOGLETRANSLATE(D4532,""fi"",""es"")"),"ningún")</f>
        <v>ningún</v>
      </c>
    </row>
    <row r="4533">
      <c r="A4533" s="4">
        <v>169.0</v>
      </c>
      <c r="B4533" s="4" t="s">
        <v>11576</v>
      </c>
      <c r="C4533" s="4"/>
      <c r="D4533" s="4" t="s">
        <v>10558</v>
      </c>
      <c r="E4533" s="4" t="s">
        <v>10559</v>
      </c>
      <c r="F4533" s="4" t="s">
        <v>10560</v>
      </c>
      <c r="G4533" s="5" t="str">
        <f>IFERROR(__xludf.DUMMYFUNCTION("GOOGLETRANSLATE(D4533,""fi"",""es"")"),"previsto")</f>
        <v>previsto</v>
      </c>
      <c r="H4533" s="4" t="s">
        <v>10561</v>
      </c>
      <c r="I4533" s="4" t="s">
        <v>10562</v>
      </c>
    </row>
    <row r="4534">
      <c r="A4534" s="4">
        <v>170.0</v>
      </c>
      <c r="B4534" s="4" t="s">
        <v>11576</v>
      </c>
      <c r="C4534" s="4"/>
      <c r="D4534" s="4" t="s">
        <v>2686</v>
      </c>
      <c r="E4534" s="4" t="s">
        <v>10563</v>
      </c>
      <c r="F4534" s="4" t="s">
        <v>2686</v>
      </c>
      <c r="G4534" s="5" t="str">
        <f>IFERROR(__xludf.DUMMYFUNCTION("GOOGLETRANSLATE(D4534,""fi"",""es"")"),"Mila")</f>
        <v>Mila</v>
      </c>
    </row>
    <row r="4535">
      <c r="A4535" s="4">
        <v>171.0</v>
      </c>
      <c r="B4535" s="4" t="s">
        <v>11576</v>
      </c>
      <c r="C4535" s="4"/>
      <c r="D4535" s="4" t="s">
        <v>2695</v>
      </c>
      <c r="E4535" s="4" t="s">
        <v>10564</v>
      </c>
      <c r="F4535" s="4" t="s">
        <v>2695</v>
      </c>
      <c r="G4535" s="5" t="str">
        <f>IFERROR(__xludf.DUMMYFUNCTION("GOOGLETRANSLATE(D4535,""fi"",""es"")"),"yo")</f>
        <v>yo</v>
      </c>
    </row>
    <row r="4536">
      <c r="A4536" s="4">
        <v>172.0</v>
      </c>
      <c r="B4536" s="4" t="s">
        <v>11576</v>
      </c>
      <c r="C4536" s="4"/>
      <c r="D4536" s="4" t="s">
        <v>10565</v>
      </c>
      <c r="E4536" s="4" t="s">
        <v>10566</v>
      </c>
      <c r="F4536" s="4" t="s">
        <v>10565</v>
      </c>
      <c r="G4536" s="5" t="str">
        <f>IFERROR(__xludf.DUMMYFUNCTION("GOOGLETRANSLATE(D4536,""fi"",""es"")"),"mi")</f>
        <v>mi</v>
      </c>
    </row>
    <row r="4537">
      <c r="A4537" s="4">
        <v>173.0</v>
      </c>
      <c r="B4537" s="4" t="s">
        <v>11576</v>
      </c>
      <c r="C4537" s="4"/>
      <c r="D4537" s="4" t="s">
        <v>10567</v>
      </c>
      <c r="E4537" s="4" t="s">
        <v>10568</v>
      </c>
      <c r="F4537" s="4" t="s">
        <v>10567</v>
      </c>
      <c r="G4537" s="5" t="str">
        <f>IFERROR(__xludf.DUMMYFUNCTION("GOOGLETRANSLATE(D4537,""fi"",""es"")"),"yo")</f>
        <v>yo</v>
      </c>
    </row>
    <row r="4538">
      <c r="A4538" s="4">
        <v>174.0</v>
      </c>
      <c r="B4538" s="4" t="s">
        <v>11576</v>
      </c>
      <c r="C4538" s="4"/>
      <c r="D4538" s="4" t="s">
        <v>10569</v>
      </c>
      <c r="E4538" s="4" t="s">
        <v>10570</v>
      </c>
      <c r="F4538" s="4" t="s">
        <v>2695</v>
      </c>
      <c r="G4538" s="5" t="str">
        <f>IFERROR(__xludf.DUMMYFUNCTION("GOOGLETRANSLATE(D4538,""fi"",""es"")"),"yo")</f>
        <v>yo</v>
      </c>
    </row>
    <row r="4539">
      <c r="A4539" s="4">
        <v>175.0</v>
      </c>
      <c r="B4539" s="4" t="s">
        <v>11576</v>
      </c>
      <c r="C4539" s="4"/>
      <c r="D4539" s="4" t="s">
        <v>10571</v>
      </c>
      <c r="E4539" s="4" t="s">
        <v>10572</v>
      </c>
      <c r="F4539" s="4" t="s">
        <v>10573</v>
      </c>
      <c r="G4539" s="5" t="str">
        <f>IFERROR(__xludf.DUMMYFUNCTION("GOOGLETRANSLATE(D4539,""fi"",""es"")"),"Yo también")</f>
        <v>Yo también</v>
      </c>
    </row>
    <row r="4540">
      <c r="A4540" s="4">
        <v>176.0</v>
      </c>
      <c r="B4540" s="4" t="s">
        <v>11576</v>
      </c>
      <c r="C4540" s="4"/>
      <c r="D4540" s="4" t="s">
        <v>10586</v>
      </c>
      <c r="E4540" s="4" t="s">
        <v>10587</v>
      </c>
      <c r="F4540" s="4" t="s">
        <v>10588</v>
      </c>
      <c r="G4540" s="5" t="str">
        <f>IFERROR(__xludf.DUMMYFUNCTION("GOOGLETRANSLATE(D4540,""fi"",""es"")"),"tazón")</f>
        <v>tazón</v>
      </c>
    </row>
    <row r="4541">
      <c r="A4541" s="4">
        <v>177.0</v>
      </c>
      <c r="B4541" s="4" t="s">
        <v>11576</v>
      </c>
      <c r="C4541" s="4"/>
      <c r="D4541" s="4" t="s">
        <v>370</v>
      </c>
      <c r="E4541" s="4" t="s">
        <v>10589</v>
      </c>
      <c r="F4541" s="4" t="s">
        <v>370</v>
      </c>
      <c r="G4541" s="5" t="str">
        <f>IFERROR(__xludf.DUMMYFUNCTION("GOOGLETRANSLATE(D4541,""fi"",""es"")"),"según cabe suponer")</f>
        <v>según cabe suponer</v>
      </c>
    </row>
    <row r="4542">
      <c r="A4542" s="4">
        <v>178.0</v>
      </c>
      <c r="B4542" s="4" t="s">
        <v>11576</v>
      </c>
      <c r="C4542" s="4"/>
      <c r="D4542" s="4" t="s">
        <v>10590</v>
      </c>
      <c r="E4542" s="4" t="s">
        <v>10591</v>
      </c>
      <c r="F4542" s="4" t="s">
        <v>10590</v>
      </c>
      <c r="G4542" s="5" t="str">
        <f>IFERROR(__xludf.DUMMYFUNCTION("GOOGLETRANSLATE(D4542,""fi"",""es"")"),"tazón")</f>
        <v>tazón</v>
      </c>
      <c r="H4542" s="4" t="s">
        <v>3236</v>
      </c>
      <c r="I4542" s="4" t="s">
        <v>3236</v>
      </c>
      <c r="J4542" s="4" t="s">
        <v>10592</v>
      </c>
    </row>
    <row r="4543">
      <c r="A4543" s="4">
        <v>179.0</v>
      </c>
      <c r="B4543" s="4" t="s">
        <v>11576</v>
      </c>
      <c r="C4543" s="4"/>
      <c r="D4543" s="4" t="s">
        <v>10593</v>
      </c>
      <c r="E4543" s="4" t="s">
        <v>10594</v>
      </c>
      <c r="F4543" s="4" t="s">
        <v>10593</v>
      </c>
      <c r="G4543" s="5" t="str">
        <f>IFERROR(__xludf.DUMMYFUNCTION("GOOGLETRANSLATE(D4543,""fi"",""es"")"),"murmullo")</f>
        <v>murmullo</v>
      </c>
    </row>
    <row r="4544">
      <c r="A4544" s="4">
        <v>180.0</v>
      </c>
      <c r="B4544" s="4" t="s">
        <v>11576</v>
      </c>
      <c r="C4544" s="4"/>
      <c r="D4544" s="4" t="s">
        <v>10595</v>
      </c>
      <c r="E4544" s="4" t="s">
        <v>10596</v>
      </c>
      <c r="F4544" s="4" t="s">
        <v>10595</v>
      </c>
      <c r="G4544" s="5" t="str">
        <f>IFERROR(__xludf.DUMMYFUNCTION("GOOGLETRANSLATE(D4544,""fi"",""es"")"),"tubérculo")</f>
        <v>tubérculo</v>
      </c>
      <c r="H4544" s="4" t="s">
        <v>10145</v>
      </c>
      <c r="I4544" s="4" t="s">
        <v>10597</v>
      </c>
      <c r="J4544" s="4" t="s">
        <v>10598</v>
      </c>
    </row>
    <row r="4545">
      <c r="A4545" s="4">
        <v>181.0</v>
      </c>
      <c r="B4545" s="4" t="s">
        <v>11576</v>
      </c>
      <c r="C4545" s="4"/>
      <c r="D4545" s="4" t="s">
        <v>10599</v>
      </c>
      <c r="E4545" s="4" t="s">
        <v>10600</v>
      </c>
      <c r="F4545" s="4" t="s">
        <v>10599</v>
      </c>
      <c r="G4545" s="5" t="str">
        <f>IFERROR(__xludf.DUMMYFUNCTION("GOOGLETRANSLATE(D4545,""fi"",""es"")"),"huevo")</f>
        <v>huevo</v>
      </c>
      <c r="H4545" s="4" t="s">
        <v>10601</v>
      </c>
      <c r="I4545" s="4" t="s">
        <v>10602</v>
      </c>
      <c r="J4545" s="4" t="s">
        <v>10603</v>
      </c>
      <c r="K4545" s="4" t="s">
        <v>10601</v>
      </c>
      <c r="L4545" s="4" t="s">
        <v>10604</v>
      </c>
    </row>
    <row r="4546">
      <c r="A4546" s="4">
        <v>182.0</v>
      </c>
      <c r="B4546" s="4" t="s">
        <v>11576</v>
      </c>
      <c r="C4546" s="4"/>
      <c r="D4546" s="4" t="s">
        <v>10610</v>
      </c>
      <c r="E4546" s="4" t="s">
        <v>10611</v>
      </c>
      <c r="F4546" s="4" t="s">
        <v>10612</v>
      </c>
      <c r="G4546" s="5" t="str">
        <f>IFERROR(__xludf.DUMMYFUNCTION("GOOGLETRANSLATE(D4546,""fi"",""es"")"),"huevo")</f>
        <v>huevo</v>
      </c>
      <c r="H4546" s="4" t="s">
        <v>1237</v>
      </c>
    </row>
    <row r="4547">
      <c r="A4547" s="4">
        <v>183.0</v>
      </c>
      <c r="B4547" s="4" t="s">
        <v>11576</v>
      </c>
      <c r="C4547" s="4"/>
      <c r="D4547" s="4" t="s">
        <v>10634</v>
      </c>
      <c r="E4547" s="4" t="s">
        <v>10635</v>
      </c>
      <c r="F4547" s="4" t="s">
        <v>2278</v>
      </c>
      <c r="G4547" s="5" t="str">
        <f>IFERROR(__xludf.DUMMYFUNCTION("GOOGLETRANSLATE(D4547,""fi"",""es"")"),"yo")</f>
        <v>yo</v>
      </c>
    </row>
    <row r="4548">
      <c r="A4548" s="4">
        <v>184.0</v>
      </c>
      <c r="B4548" s="4" t="s">
        <v>11576</v>
      </c>
      <c r="C4548" s="4"/>
      <c r="D4548" s="4" t="s">
        <v>10636</v>
      </c>
      <c r="E4548" s="4" t="s">
        <v>6715</v>
      </c>
      <c r="F4548" s="4" t="s">
        <v>2463</v>
      </c>
      <c r="G4548" s="5" t="str">
        <f>IFERROR(__xludf.DUMMYFUNCTION("GOOGLETRANSLATE(D4548,""fi"",""es"")"),"Cerro")</f>
        <v>Cerro</v>
      </c>
      <c r="H4548" s="4" t="s">
        <v>4536</v>
      </c>
      <c r="I4548" s="4" t="s">
        <v>10637</v>
      </c>
      <c r="J4548" s="4" t="s">
        <v>1410</v>
      </c>
      <c r="K4548" s="4" t="s">
        <v>10638</v>
      </c>
      <c r="L4548" s="4" t="s">
        <v>10639</v>
      </c>
      <c r="M4548" s="4" t="s">
        <v>515</v>
      </c>
    </row>
    <row r="4549">
      <c r="A4549" s="4">
        <v>185.0</v>
      </c>
      <c r="B4549" s="4" t="s">
        <v>11576</v>
      </c>
      <c r="C4549" s="4"/>
      <c r="D4549" s="4" t="s">
        <v>10640</v>
      </c>
      <c r="E4549" s="4" t="s">
        <v>10641</v>
      </c>
      <c r="F4549" s="4" t="s">
        <v>10642</v>
      </c>
      <c r="G4549" s="5" t="str">
        <f>IFERROR(__xludf.DUMMYFUNCTION("GOOGLETRANSLATE(D4549,""fi"",""es"")"),"Cerro")</f>
        <v>Cerro</v>
      </c>
    </row>
    <row r="4550">
      <c r="A4550" s="4">
        <v>186.0</v>
      </c>
      <c r="B4550" s="4" t="s">
        <v>11576</v>
      </c>
      <c r="C4550" s="4"/>
      <c r="D4550" s="4" t="s">
        <v>10688</v>
      </c>
      <c r="E4550" s="4" t="s">
        <v>10689</v>
      </c>
      <c r="F4550" s="4" t="s">
        <v>10688</v>
      </c>
      <c r="G4550" s="5" t="str">
        <f>IFERROR(__xludf.DUMMYFUNCTION("GOOGLETRANSLATE(D4550,""fi"",""es"")"),"NAC")</f>
        <v>NAC</v>
      </c>
      <c r="H4550" s="4" t="s">
        <v>3019</v>
      </c>
      <c r="I4550" s="4" t="s">
        <v>3020</v>
      </c>
      <c r="J4550" s="4" t="s">
        <v>3021</v>
      </c>
      <c r="K4550" s="4" t="s">
        <v>3022</v>
      </c>
      <c r="L4550" s="4" t="s">
        <v>10690</v>
      </c>
      <c r="M4550" s="4" t="s">
        <v>10691</v>
      </c>
      <c r="N4550" s="4" t="s">
        <v>10692</v>
      </c>
      <c r="O4550" s="4" t="s">
        <v>10693</v>
      </c>
      <c r="P4550" s="4" t="s">
        <v>10694</v>
      </c>
      <c r="Q4550" s="4" t="s">
        <v>2963</v>
      </c>
      <c r="R4550" s="4" t="s">
        <v>10695</v>
      </c>
      <c r="S4550" s="4" t="s">
        <v>10696</v>
      </c>
      <c r="T4550" s="4" t="s">
        <v>10697</v>
      </c>
      <c r="U4550" s="4" t="s">
        <v>2963</v>
      </c>
      <c r="V4550" s="4" t="s">
        <v>10698</v>
      </c>
      <c r="W4550" s="4" t="s">
        <v>10699</v>
      </c>
    </row>
    <row r="4551">
      <c r="A4551" s="4">
        <v>187.0</v>
      </c>
      <c r="B4551" s="4" t="s">
        <v>11576</v>
      </c>
      <c r="C4551" s="4"/>
      <c r="D4551" s="4" t="s">
        <v>10705</v>
      </c>
      <c r="E4551" s="4" t="s">
        <v>10706</v>
      </c>
      <c r="F4551" s="4" t="s">
        <v>10705</v>
      </c>
      <c r="G4551" s="5" t="str">
        <f>IFERROR(__xludf.DUMMYFUNCTION("GOOGLETRANSLATE(D4551,""fi"",""es"")"),"dulces")</f>
        <v>dulces</v>
      </c>
      <c r="H4551" s="4" t="s">
        <v>10707</v>
      </c>
      <c r="I4551" s="4" t="s">
        <v>10708</v>
      </c>
      <c r="J4551" s="4" t="s">
        <v>10709</v>
      </c>
      <c r="K4551" s="4" t="s">
        <v>10710</v>
      </c>
      <c r="L4551" s="4" t="s">
        <v>10711</v>
      </c>
    </row>
    <row r="4552">
      <c r="A4552" s="4">
        <v>188.0</v>
      </c>
      <c r="B4552" s="4" t="s">
        <v>11576</v>
      </c>
      <c r="C4552" s="4"/>
      <c r="D4552" s="4" t="s">
        <v>10712</v>
      </c>
      <c r="E4552" s="4" t="s">
        <v>10713</v>
      </c>
      <c r="F4552" s="4" t="s">
        <v>10712</v>
      </c>
      <c r="G4552" s="5" t="str">
        <f>IFERROR(__xludf.DUMMYFUNCTION("GOOGLETRANSLATE(D4552,""fi"",""es"")"),"asentir")</f>
        <v>asentir</v>
      </c>
      <c r="H4552" s="4" t="s">
        <v>10714</v>
      </c>
      <c r="I4552" s="4" t="s">
        <v>10715</v>
      </c>
      <c r="J4552" s="4" t="s">
        <v>10716</v>
      </c>
      <c r="K4552" s="4" t="s">
        <v>10717</v>
      </c>
      <c r="L4552" s="4" t="s">
        <v>10718</v>
      </c>
      <c r="M4552" s="4" t="s">
        <v>10719</v>
      </c>
      <c r="N4552" s="4" t="s">
        <v>8814</v>
      </c>
      <c r="O4552" s="4" t="s">
        <v>10720</v>
      </c>
      <c r="P4552" s="4" t="s">
        <v>10721</v>
      </c>
      <c r="Q4552" s="4" t="s">
        <v>10722</v>
      </c>
      <c r="R4552" s="4" t="s">
        <v>10723</v>
      </c>
    </row>
    <row r="4553">
      <c r="A4553" s="4">
        <v>189.0</v>
      </c>
      <c r="B4553" s="4" t="s">
        <v>11576</v>
      </c>
      <c r="C4553" s="4"/>
      <c r="D4553" s="4" t="s">
        <v>10724</v>
      </c>
      <c r="E4553" s="4" t="s">
        <v>10725</v>
      </c>
      <c r="F4553" s="4" t="s">
        <v>10724</v>
      </c>
      <c r="G4553" s="5" t="str">
        <f>IFERROR(__xludf.DUMMYFUNCTION("GOOGLETRANSLATE(D4553,""fi"",""es"")"),"conejito")</f>
        <v>conejito</v>
      </c>
      <c r="H4553" s="4" t="s">
        <v>10714</v>
      </c>
      <c r="I4553" s="4" t="s">
        <v>10715</v>
      </c>
      <c r="J4553" s="4" t="s">
        <v>10716</v>
      </c>
      <c r="K4553" s="4" t="s">
        <v>10717</v>
      </c>
      <c r="L4553" s="4" t="s">
        <v>10718</v>
      </c>
      <c r="M4553" s="4" t="s">
        <v>10719</v>
      </c>
      <c r="N4553" s="4" t="s">
        <v>8814</v>
      </c>
      <c r="O4553" s="4" t="s">
        <v>10720</v>
      </c>
      <c r="P4553" s="4" t="s">
        <v>10721</v>
      </c>
      <c r="Q4553" s="4" t="s">
        <v>10722</v>
      </c>
      <c r="R4553" s="4" t="s">
        <v>10723</v>
      </c>
    </row>
    <row r="4554">
      <c r="A4554" s="4">
        <v>190.0</v>
      </c>
      <c r="B4554" s="4" t="s">
        <v>11576</v>
      </c>
      <c r="C4554" s="4"/>
      <c r="D4554" s="4" t="s">
        <v>2923</v>
      </c>
      <c r="E4554" s="4" t="s">
        <v>10726</v>
      </c>
      <c r="F4554" s="4" t="s">
        <v>2923</v>
      </c>
      <c r="G4554" s="5" t="str">
        <f>IFERROR(__xludf.DUMMYFUNCTION("GOOGLETRANSLATE(D4554,""fi"",""es"")"),"nana")</f>
        <v>nana</v>
      </c>
    </row>
    <row r="4555">
      <c r="A4555" s="4">
        <v>191.0</v>
      </c>
      <c r="B4555" s="4" t="s">
        <v>11576</v>
      </c>
      <c r="C4555" s="4"/>
      <c r="D4555" s="4" t="s">
        <v>10727</v>
      </c>
      <c r="E4555" s="4" t="s">
        <v>10728</v>
      </c>
      <c r="F4555" s="4" t="s">
        <v>10727</v>
      </c>
      <c r="G4555" s="5" t="str">
        <f>IFERROR(__xludf.DUMMYFUNCTION("GOOGLETRANSLATE(D4555,""fi"",""es"")"),"polo")</f>
        <v>polo</v>
      </c>
      <c r="H4555" s="4" t="s">
        <v>10729</v>
      </c>
      <c r="I4555" s="4" t="s">
        <v>10730</v>
      </c>
      <c r="J4555" s="4" t="s">
        <v>10731</v>
      </c>
      <c r="K4555" s="4" t="s">
        <v>7212</v>
      </c>
      <c r="L4555" s="4" t="s">
        <v>3170</v>
      </c>
      <c r="M4555" s="4" t="s">
        <v>3167</v>
      </c>
      <c r="N4555" s="4" t="s">
        <v>10732</v>
      </c>
      <c r="O4555" s="4" t="s">
        <v>1216</v>
      </c>
      <c r="P4555" s="4" t="s">
        <v>3167</v>
      </c>
      <c r="Q4555" s="4" t="s">
        <v>10733</v>
      </c>
      <c r="R4555" s="4" t="s">
        <v>10734</v>
      </c>
      <c r="S4555" s="4" t="s">
        <v>10735</v>
      </c>
      <c r="T4555" s="4" t="s">
        <v>10736</v>
      </c>
      <c r="U4555" s="4" t="s">
        <v>10737</v>
      </c>
      <c r="V4555" s="4" t="s">
        <v>10738</v>
      </c>
      <c r="W4555" s="4" t="s">
        <v>10733</v>
      </c>
      <c r="X4555" s="4" t="s">
        <v>10739</v>
      </c>
      <c r="Y4555" s="4" t="s">
        <v>10740</v>
      </c>
      <c r="Z4555" s="4" t="s">
        <v>3167</v>
      </c>
      <c r="AA4555" s="4" t="s">
        <v>3167</v>
      </c>
      <c r="AB4555" s="4" t="s">
        <v>10741</v>
      </c>
      <c r="AC4555" s="4" t="s">
        <v>10742</v>
      </c>
    </row>
    <row r="4556">
      <c r="A4556" s="4">
        <v>192.0</v>
      </c>
      <c r="B4556" s="4" t="s">
        <v>11576</v>
      </c>
      <c r="C4556" s="4"/>
      <c r="D4556" s="4" t="s">
        <v>10752</v>
      </c>
      <c r="E4556" s="4" t="s">
        <v>10753</v>
      </c>
      <c r="F4556" s="4" t="s">
        <v>10752</v>
      </c>
      <c r="G4556" s="5" t="str">
        <f>IFERROR(__xludf.DUMMYFUNCTION("GOOGLETRANSLATE(D4556,""fi"",""es"")"),"níquel")</f>
        <v>níquel</v>
      </c>
    </row>
    <row r="4557">
      <c r="A4557" s="4">
        <v>193.0</v>
      </c>
      <c r="B4557" s="4" t="s">
        <v>11576</v>
      </c>
      <c r="C4557" s="4"/>
      <c r="D4557" s="4" t="s">
        <v>10754</v>
      </c>
      <c r="E4557" s="4" t="s">
        <v>10755</v>
      </c>
      <c r="F4557" s="4" t="s">
        <v>10754</v>
      </c>
      <c r="G4557" s="5" t="str">
        <f>IFERROR(__xludf.DUMMYFUNCTION("GOOGLETRANSLATE(D4557,""fi"",""es"")"),"nilada")</f>
        <v>nilada</v>
      </c>
      <c r="H4557" s="4" t="s">
        <v>10756</v>
      </c>
      <c r="I4557" s="4" t="s">
        <v>10757</v>
      </c>
    </row>
    <row r="4558">
      <c r="A4558" s="4">
        <v>194.0</v>
      </c>
      <c r="B4558" s="4" t="s">
        <v>11576</v>
      </c>
      <c r="C4558" s="4"/>
      <c r="D4558" s="4" t="s">
        <v>6988</v>
      </c>
      <c r="E4558" s="4" t="s">
        <v>10758</v>
      </c>
      <c r="F4558" s="4" t="s">
        <v>6988</v>
      </c>
      <c r="G4558" s="5" t="str">
        <f>IFERROR(__xludf.DUMMYFUNCTION("GOOGLETRANSLATE(D4558,""fi"",""es"")"),"nombre")</f>
        <v>nombre</v>
      </c>
      <c r="H4558" s="4" t="s">
        <v>6988</v>
      </c>
    </row>
    <row r="4559">
      <c r="A4559" s="4">
        <v>195.0</v>
      </c>
      <c r="B4559" s="4" t="s">
        <v>11576</v>
      </c>
      <c r="C4559" s="4"/>
      <c r="D4559" s="4" t="s">
        <v>10759</v>
      </c>
      <c r="E4559" s="4" t="s">
        <v>10760</v>
      </c>
      <c r="F4559" s="4" t="s">
        <v>10759</v>
      </c>
      <c r="G4559" s="5" t="str">
        <f>IFERROR(__xludf.DUMMYFUNCTION("GOOGLETRANSLATE(D4559,""fi"",""es"")"),"nombre")</f>
        <v>nombre</v>
      </c>
      <c r="H4559" s="4" t="s">
        <v>1438</v>
      </c>
      <c r="I4559" s="4" t="s">
        <v>1438</v>
      </c>
      <c r="J4559" s="4" t="s">
        <v>10761</v>
      </c>
      <c r="K4559" s="4" t="s">
        <v>4599</v>
      </c>
      <c r="L4559" s="4" t="s">
        <v>9186</v>
      </c>
      <c r="M4559" s="4" t="s">
        <v>9187</v>
      </c>
      <c r="N4559" s="4" t="s">
        <v>1209</v>
      </c>
      <c r="O4559" s="4" t="s">
        <v>1438</v>
      </c>
      <c r="P4559" s="4" t="s">
        <v>10762</v>
      </c>
      <c r="Q4559" s="4" t="s">
        <v>1438</v>
      </c>
      <c r="R4559" s="4" t="s">
        <v>4861</v>
      </c>
      <c r="S4559" s="4" t="s">
        <v>10763</v>
      </c>
    </row>
    <row r="4560">
      <c r="A4560" s="4">
        <v>196.0</v>
      </c>
      <c r="B4560" s="4" t="s">
        <v>11576</v>
      </c>
      <c r="C4560" s="4"/>
      <c r="D4560" s="4" t="s">
        <v>10781</v>
      </c>
      <c r="E4560" s="4" t="s">
        <v>10782</v>
      </c>
      <c r="F4560" s="4" t="s">
        <v>10781</v>
      </c>
      <c r="G4560" s="5" t="str">
        <f>IFERROR(__xludf.DUMMYFUNCTION("GOOGLETRANSLATE(D4560,""fi"",""es"")"),"Guijarro")</f>
        <v>Guijarro</v>
      </c>
    </row>
    <row r="4561">
      <c r="A4561" s="4">
        <v>197.0</v>
      </c>
      <c r="B4561" s="4" t="s">
        <v>11576</v>
      </c>
      <c r="C4561" s="4"/>
      <c r="D4561" s="4" t="s">
        <v>10786</v>
      </c>
      <c r="E4561" s="4" t="s">
        <v>10787</v>
      </c>
      <c r="F4561" s="4" t="s">
        <v>10788</v>
      </c>
      <c r="G4561" s="5" t="str">
        <f>IFERROR(__xludf.DUMMYFUNCTION("GOOGLETRANSLATE(D4561,""fi"",""es"")"),"vidente")</f>
        <v>vidente</v>
      </c>
      <c r="H4561" s="4" t="s">
        <v>10789</v>
      </c>
      <c r="I4561" s="4" t="s">
        <v>10790</v>
      </c>
      <c r="J4561" s="4" t="s">
        <v>10791</v>
      </c>
      <c r="K4561" s="4" t="s">
        <v>10792</v>
      </c>
      <c r="L4561" s="4" t="s">
        <v>10793</v>
      </c>
      <c r="M4561" s="4" t="s">
        <v>10794</v>
      </c>
      <c r="N4561" s="4" t="s">
        <v>10795</v>
      </c>
      <c r="O4561" s="4" t="s">
        <v>10796</v>
      </c>
      <c r="P4561" s="4" t="s">
        <v>10797</v>
      </c>
      <c r="Q4561" s="4" t="s">
        <v>10798</v>
      </c>
      <c r="R4561" s="4" t="s">
        <v>10799</v>
      </c>
      <c r="S4561" s="4" t="s">
        <v>10800</v>
      </c>
    </row>
    <row r="4562">
      <c r="A4562" s="4">
        <v>198.0</v>
      </c>
      <c r="B4562" s="4" t="s">
        <v>11576</v>
      </c>
      <c r="C4562" s="4"/>
      <c r="D4562" s="4" t="s">
        <v>10801</v>
      </c>
      <c r="E4562" s="4" t="s">
        <v>10802</v>
      </c>
      <c r="F4562" s="4" t="s">
        <v>10803</v>
      </c>
      <c r="G4562" s="5" t="str">
        <f>IFERROR(__xludf.DUMMYFUNCTION("GOOGLETRANSLATE(D4562,""fi"",""es"")"),"estas")</f>
        <v>estas</v>
      </c>
    </row>
    <row r="4563">
      <c r="A4563" s="4">
        <v>199.0</v>
      </c>
      <c r="B4563" s="4" t="s">
        <v>11576</v>
      </c>
      <c r="C4563" s="4"/>
      <c r="D4563" s="4" t="s">
        <v>10843</v>
      </c>
      <c r="E4563" s="4" t="s">
        <v>10844</v>
      </c>
      <c r="F4563" s="4" t="s">
        <v>10845</v>
      </c>
      <c r="G4563" s="5" t="str">
        <f>IFERROR(__xludf.DUMMYFUNCTION("GOOGLETRANSLATE(D4563,""fi"",""es"")"),"herrería")</f>
        <v>herrería</v>
      </c>
      <c r="H4563" s="4" t="s">
        <v>10846</v>
      </c>
      <c r="I4563" s="4" t="s">
        <v>10847</v>
      </c>
      <c r="J4563" s="4" t="s">
        <v>8755</v>
      </c>
      <c r="K4563" s="4" t="s">
        <v>8753</v>
      </c>
    </row>
    <row r="4564">
      <c r="A4564" s="4">
        <v>200.0</v>
      </c>
      <c r="B4564" s="4" t="s">
        <v>11576</v>
      </c>
      <c r="C4564" s="4"/>
      <c r="D4564" s="4" t="s">
        <v>10851</v>
      </c>
      <c r="E4564" s="4" t="s">
        <v>10852</v>
      </c>
      <c r="F4564" s="4" t="s">
        <v>3160</v>
      </c>
      <c r="G4564" s="5" t="str">
        <f>IFERROR(__xludf.DUMMYFUNCTION("GOOGLETRANSLATE(D4564,""fi"",""es"")"),"sauce")</f>
        <v>sauce</v>
      </c>
      <c r="H4564" s="4" t="s">
        <v>10853</v>
      </c>
      <c r="I4564" s="4" t="s">
        <v>10854</v>
      </c>
      <c r="J4564" s="4" t="s">
        <v>10855</v>
      </c>
      <c r="K4564" s="4" t="s">
        <v>10856</v>
      </c>
      <c r="L4564" s="4" t="s">
        <v>10857</v>
      </c>
      <c r="M4564" s="4" t="s">
        <v>10858</v>
      </c>
      <c r="N4564" s="4" t="s">
        <v>10859</v>
      </c>
      <c r="O4564" s="4" t="s">
        <v>10860</v>
      </c>
      <c r="P4564" s="4" t="s">
        <v>10861</v>
      </c>
      <c r="Q4564" s="4" t="s">
        <v>10862</v>
      </c>
      <c r="R4564" s="4" t="s">
        <v>10863</v>
      </c>
      <c r="S4564" s="4" t="s">
        <v>10864</v>
      </c>
      <c r="T4564" s="4" t="s">
        <v>10865</v>
      </c>
      <c r="U4564" s="4" t="s">
        <v>10866</v>
      </c>
      <c r="V4564" s="4" t="s">
        <v>10867</v>
      </c>
      <c r="W4564" s="4" t="s">
        <v>10868</v>
      </c>
      <c r="X4564" s="4" t="s">
        <v>10869</v>
      </c>
      <c r="Y4564" s="4" t="s">
        <v>10870</v>
      </c>
      <c r="Z4564" s="4" t="s">
        <v>10871</v>
      </c>
      <c r="AA4564" s="4" t="s">
        <v>10872</v>
      </c>
      <c r="AB4564" s="4" t="s">
        <v>10873</v>
      </c>
      <c r="AC4564" s="4" t="s">
        <v>10874</v>
      </c>
      <c r="AD4564" s="4" t="s">
        <v>10861</v>
      </c>
      <c r="AE4564" s="4" t="s">
        <v>10875</v>
      </c>
    </row>
    <row r="4565">
      <c r="A4565" s="4">
        <v>201.0</v>
      </c>
      <c r="B4565" s="4" t="s">
        <v>11576</v>
      </c>
      <c r="C4565" s="4"/>
      <c r="D4565" s="4" t="s">
        <v>3156</v>
      </c>
      <c r="E4565" s="4" t="s">
        <v>10876</v>
      </c>
      <c r="F4565" s="4" t="s">
        <v>3156</v>
      </c>
      <c r="G4565" s="5" t="str">
        <f>IFERROR(__xludf.DUMMYFUNCTION("GOOGLETRANSLATE(D4565,""fi"",""es"")"),"pagano")</f>
        <v>pagano</v>
      </c>
      <c r="H4565" s="4" t="s">
        <v>10877</v>
      </c>
      <c r="I4565" s="4" t="s">
        <v>10878</v>
      </c>
      <c r="J4565" s="4" t="s">
        <v>10879</v>
      </c>
      <c r="K4565" s="4" t="s">
        <v>10880</v>
      </c>
      <c r="L4565" s="4" t="s">
        <v>10881</v>
      </c>
      <c r="M4565" s="4" t="s">
        <v>10882</v>
      </c>
      <c r="N4565" s="4" t="s">
        <v>10878</v>
      </c>
      <c r="O4565" s="4" t="s">
        <v>10883</v>
      </c>
      <c r="P4565" s="4" t="s">
        <v>10878</v>
      </c>
    </row>
    <row r="4566">
      <c r="A4566" s="4">
        <v>202.0</v>
      </c>
      <c r="B4566" s="4" t="s">
        <v>11576</v>
      </c>
      <c r="C4566" s="4"/>
      <c r="D4566" s="4" t="s">
        <v>10884</v>
      </c>
      <c r="E4566" s="4" t="s">
        <v>10885</v>
      </c>
      <c r="F4566" s="4" t="s">
        <v>10884</v>
      </c>
      <c r="G4566" s="5" t="str">
        <f>IFERROR(__xludf.DUMMYFUNCTION("GOOGLETRANSLATE(D4566,""fi"",""es"")"),"charla")</f>
        <v>charla</v>
      </c>
    </row>
    <row r="4567">
      <c r="A4567" s="4">
        <v>203.0</v>
      </c>
      <c r="B4567" s="4" t="s">
        <v>11576</v>
      </c>
      <c r="C4567" s="4"/>
      <c r="D4567" s="4" t="s">
        <v>10886</v>
      </c>
      <c r="E4567" s="4" t="s">
        <v>10887</v>
      </c>
      <c r="F4567" s="4" t="s">
        <v>10886</v>
      </c>
      <c r="G4567" s="5" t="str">
        <f>IFERROR(__xludf.DUMMYFUNCTION("GOOGLETRANSLATE(D4567,""fi"",""es"")"),"paquete")</f>
        <v>paquete</v>
      </c>
    </row>
    <row r="4568">
      <c r="A4568" s="4">
        <v>204.0</v>
      </c>
      <c r="B4568" s="4" t="s">
        <v>11576</v>
      </c>
      <c r="C4568" s="4"/>
      <c r="D4568" s="4" t="s">
        <v>3173</v>
      </c>
      <c r="E4568" s="4" t="s">
        <v>10888</v>
      </c>
      <c r="F4568" s="4" t="s">
        <v>3173</v>
      </c>
      <c r="G4568" s="5" t="str">
        <f>IFERROR(__xludf.DUMMYFUNCTION("GOOGLETRANSLATE(D4568,""fi"",""es"")"),"pieza")</f>
        <v>pieza</v>
      </c>
      <c r="H4568" s="4" t="s">
        <v>3500</v>
      </c>
      <c r="I4568" s="4" t="s">
        <v>7154</v>
      </c>
      <c r="J4568" s="4" t="s">
        <v>10889</v>
      </c>
      <c r="K4568" s="4" t="s">
        <v>2606</v>
      </c>
      <c r="L4568" s="4" t="s">
        <v>3434</v>
      </c>
      <c r="M4568" s="4" t="s">
        <v>2602</v>
      </c>
      <c r="N4568" s="4" t="s">
        <v>1250</v>
      </c>
      <c r="O4568" s="4" t="s">
        <v>10890</v>
      </c>
      <c r="P4568" s="4" t="s">
        <v>3486</v>
      </c>
      <c r="Q4568" s="4" t="s">
        <v>4281</v>
      </c>
      <c r="R4568" s="4" t="s">
        <v>10891</v>
      </c>
      <c r="S4568" s="4" t="s">
        <v>2602</v>
      </c>
      <c r="T4568" s="4" t="s">
        <v>2603</v>
      </c>
      <c r="U4568" s="4" t="s">
        <v>2604</v>
      </c>
      <c r="V4568" s="4" t="s">
        <v>2605</v>
      </c>
      <c r="W4568" s="4" t="s">
        <v>2606</v>
      </c>
      <c r="X4568" s="4" t="s">
        <v>10892</v>
      </c>
      <c r="Y4568" s="4" t="s">
        <v>10893</v>
      </c>
      <c r="Z4568" s="4" t="s">
        <v>10894</v>
      </c>
      <c r="AA4568" s="4" t="s">
        <v>3486</v>
      </c>
      <c r="AB4568" s="4" t="s">
        <v>4281</v>
      </c>
      <c r="AC4568" s="4" t="s">
        <v>3486</v>
      </c>
    </row>
    <row r="4569">
      <c r="A4569" s="4">
        <v>205.0</v>
      </c>
      <c r="B4569" s="4" t="s">
        <v>11576</v>
      </c>
      <c r="C4569" s="4"/>
      <c r="D4569" s="4" t="s">
        <v>10895</v>
      </c>
      <c r="E4569" s="4" t="s">
        <v>10896</v>
      </c>
      <c r="F4569" s="4" t="s">
        <v>10895</v>
      </c>
      <c r="G4569" s="5" t="str">
        <f>IFERROR(__xludf.DUMMYFUNCTION("GOOGLETRANSLATE(D4569,""fi"",""es"")"),"pieza")</f>
        <v>pieza</v>
      </c>
    </row>
    <row r="4570">
      <c r="A4570" s="4">
        <v>206.0</v>
      </c>
      <c r="B4570" s="4" t="s">
        <v>11576</v>
      </c>
      <c r="C4570" s="4"/>
      <c r="D4570" s="4" t="s">
        <v>3265</v>
      </c>
      <c r="E4570" s="4" t="s">
        <v>10897</v>
      </c>
      <c r="F4570" s="4" t="s">
        <v>3265</v>
      </c>
      <c r="G4570" s="5" t="str">
        <f>IFERROR(__xludf.DUMMYFUNCTION("GOOGLETRANSLATE(D4570,""fi"",""es"")"),"Panamá")</f>
        <v>Panamá</v>
      </c>
      <c r="H4570" s="4" t="s">
        <v>3268</v>
      </c>
      <c r="I4570" s="4" t="s">
        <v>3272</v>
      </c>
    </row>
    <row r="4571">
      <c r="A4571" s="4">
        <v>207.0</v>
      </c>
      <c r="B4571" s="4" t="s">
        <v>11576</v>
      </c>
      <c r="C4571" s="4"/>
      <c r="D4571" s="4" t="s">
        <v>10898</v>
      </c>
      <c r="E4571" s="4" t="s">
        <v>10899</v>
      </c>
      <c r="F4571" s="4" t="s">
        <v>10900</v>
      </c>
      <c r="G4571" s="5" t="str">
        <f>IFERROR(__xludf.DUMMYFUNCTION("GOOGLETRANSLATE(D4571,""fi"",""es"")"),"admirador")</f>
        <v>admirador</v>
      </c>
    </row>
    <row r="4572">
      <c r="A4572" s="4">
        <v>208.0</v>
      </c>
      <c r="B4572" s="4" t="s">
        <v>11576</v>
      </c>
      <c r="C4572" s="4"/>
      <c r="D4572" s="4" t="s">
        <v>10901</v>
      </c>
      <c r="E4572" s="4" t="s">
        <v>10902</v>
      </c>
      <c r="F4572" s="4" t="s">
        <v>10901</v>
      </c>
      <c r="G4572" s="5" t="str">
        <f>IFERROR(__xludf.DUMMYFUNCTION("GOOGLETRANSLATE(D4572,""fi"",""es"")"),"pani")</f>
        <v>pani</v>
      </c>
      <c r="H4572" s="4" t="s">
        <v>10903</v>
      </c>
    </row>
    <row r="4573">
      <c r="A4573" s="4">
        <v>209.0</v>
      </c>
      <c r="B4573" s="4" t="s">
        <v>11576</v>
      </c>
      <c r="C4573" s="4"/>
      <c r="D4573" s="4" t="s">
        <v>10904</v>
      </c>
      <c r="E4573" s="4" t="s">
        <v>10905</v>
      </c>
      <c r="F4573" s="4" t="s">
        <v>10904</v>
      </c>
      <c r="G4573" s="5" t="str">
        <f>IFERROR(__xludf.DUMMYFUNCTION("GOOGLETRANSLATE(D4573,""fi"",""es"")"),"pánico")</f>
        <v>pánico</v>
      </c>
    </row>
    <row r="4574">
      <c r="A4574" s="4">
        <v>210.0</v>
      </c>
      <c r="B4574" s="4" t="s">
        <v>11576</v>
      </c>
      <c r="C4574" s="4"/>
      <c r="D4574" s="4" t="s">
        <v>3323</v>
      </c>
      <c r="E4574" s="4" t="s">
        <v>10922</v>
      </c>
      <c r="F4574" s="4" t="s">
        <v>3323</v>
      </c>
      <c r="G4574" s="5" t="str">
        <f>IFERROR(__xludf.DUMMYFUNCTION("GOOGLETRANSLATE(D4574,""fi"",""es"")"),"frijol")</f>
        <v>frijol</v>
      </c>
      <c r="H4574" s="4" t="s">
        <v>5916</v>
      </c>
      <c r="I4574" s="4" t="s">
        <v>10923</v>
      </c>
      <c r="J4574" s="4" t="s">
        <v>10924</v>
      </c>
      <c r="K4574" s="4" t="s">
        <v>10925</v>
      </c>
      <c r="L4574" s="4" t="s">
        <v>10926</v>
      </c>
      <c r="M4574" s="4" t="s">
        <v>10927</v>
      </c>
      <c r="N4574" s="4" t="s">
        <v>10928</v>
      </c>
      <c r="O4574" s="4" t="s">
        <v>10929</v>
      </c>
      <c r="P4574" s="4" t="s">
        <v>10930</v>
      </c>
      <c r="Q4574" s="4" t="s">
        <v>10931</v>
      </c>
      <c r="R4574" s="4" t="s">
        <v>10932</v>
      </c>
      <c r="S4574" s="4" t="s">
        <v>10933</v>
      </c>
      <c r="T4574" s="4" t="s">
        <v>5916</v>
      </c>
      <c r="U4574" s="4" t="s">
        <v>10934</v>
      </c>
      <c r="V4574" s="4" t="s">
        <v>10927</v>
      </c>
      <c r="W4574" s="4" t="s">
        <v>10928</v>
      </c>
      <c r="X4574" s="4" t="s">
        <v>10935</v>
      </c>
      <c r="Y4574" s="4" t="s">
        <v>10936</v>
      </c>
      <c r="Z4574" s="4" t="s">
        <v>10937</v>
      </c>
      <c r="AA4574" s="4" t="s">
        <v>10938</v>
      </c>
      <c r="AB4574" s="4" t="s">
        <v>10939</v>
      </c>
      <c r="AC4574" s="4" t="s">
        <v>5916</v>
      </c>
    </row>
    <row r="4575">
      <c r="A4575" s="4">
        <v>211.0</v>
      </c>
      <c r="B4575" s="4" t="s">
        <v>11576</v>
      </c>
      <c r="C4575" s="4"/>
      <c r="D4575" s="4" t="s">
        <v>236</v>
      </c>
      <c r="E4575" s="4" t="s">
        <v>10968</v>
      </c>
      <c r="F4575" s="4" t="s">
        <v>236</v>
      </c>
      <c r="G4575" s="5" t="str">
        <f>IFERROR(__xludf.DUMMYFUNCTION("GOOGLETRANSLATE(D4575,""fi"",""es"")"),"instante")</f>
        <v>instante</v>
      </c>
    </row>
    <row r="4576">
      <c r="A4576" s="4">
        <v>212.0</v>
      </c>
      <c r="B4576" s="4" t="s">
        <v>11576</v>
      </c>
      <c r="C4576" s="4"/>
      <c r="D4576" s="4" t="s">
        <v>10969</v>
      </c>
      <c r="E4576" s="4" t="s">
        <v>10970</v>
      </c>
      <c r="F4576" s="4" t="s">
        <v>10969</v>
      </c>
      <c r="G4576" s="5" t="str">
        <f>IFERROR(__xludf.DUMMYFUNCTION("GOOGLETRANSLATE(D4576,""fi"",""es"")"),"búsqueda")</f>
        <v>búsqueda</v>
      </c>
    </row>
    <row r="4577">
      <c r="A4577" s="4">
        <v>213.0</v>
      </c>
      <c r="B4577" s="4" t="s">
        <v>11576</v>
      </c>
      <c r="C4577" s="4"/>
      <c r="D4577" s="4" t="s">
        <v>10971</v>
      </c>
      <c r="E4577" s="4" t="s">
        <v>10972</v>
      </c>
      <c r="F4577" s="4" t="s">
        <v>10971</v>
      </c>
      <c r="G4577" s="5" t="str">
        <f>IFERROR(__xludf.DUMMYFUNCTION("GOOGLETRANSLATE(D4577,""fi"",""es"")"),"prontamente")</f>
        <v>prontamente</v>
      </c>
    </row>
    <row r="4578">
      <c r="A4578" s="4">
        <v>214.0</v>
      </c>
      <c r="B4578" s="4" t="s">
        <v>11576</v>
      </c>
      <c r="C4578" s="4"/>
      <c r="D4578" s="4" t="s">
        <v>7175</v>
      </c>
      <c r="E4578" s="4" t="s">
        <v>10973</v>
      </c>
      <c r="F4578" s="4" t="s">
        <v>7175</v>
      </c>
      <c r="G4578" s="5" t="str">
        <f>IFERROR(__xludf.DUMMYFUNCTION("GOOGLETRANSLATE(D4578,""fi"",""es"")"),"tono")</f>
        <v>tono</v>
      </c>
      <c r="H4578" s="4" t="s">
        <v>10974</v>
      </c>
      <c r="I4578" s="4" t="s">
        <v>2509</v>
      </c>
    </row>
    <row r="4579">
      <c r="A4579" s="4">
        <v>215.0</v>
      </c>
      <c r="B4579" s="4" t="s">
        <v>11576</v>
      </c>
      <c r="C4579" s="4"/>
      <c r="D4579" s="4" t="s">
        <v>3519</v>
      </c>
      <c r="E4579" s="4" t="s">
        <v>10975</v>
      </c>
      <c r="F4579" s="4" t="s">
        <v>3519</v>
      </c>
      <c r="G4579" s="5" t="str">
        <f>IFERROR(__xludf.DUMMYFUNCTION("GOOGLETRANSLATE(D4579,""fi"",""es"")"),"broma")</f>
        <v>broma</v>
      </c>
      <c r="H4579" s="4" t="s">
        <v>10976</v>
      </c>
      <c r="I4579" s="4" t="s">
        <v>10977</v>
      </c>
      <c r="J4579" s="4" t="s">
        <v>10978</v>
      </c>
      <c r="K4579" s="4" t="s">
        <v>10979</v>
      </c>
      <c r="L4579" s="4" t="s">
        <v>10980</v>
      </c>
      <c r="M4579" s="4" t="s">
        <v>10981</v>
      </c>
      <c r="N4579" s="4" t="s">
        <v>10982</v>
      </c>
      <c r="O4579" s="4" t="s">
        <v>10983</v>
      </c>
      <c r="P4579" s="4" t="s">
        <v>10984</v>
      </c>
      <c r="Q4579" s="4" t="s">
        <v>10979</v>
      </c>
      <c r="R4579" s="4" t="s">
        <v>10979</v>
      </c>
      <c r="S4579" s="4" t="s">
        <v>10985</v>
      </c>
      <c r="T4579" s="4" t="s">
        <v>10986</v>
      </c>
      <c r="U4579" s="4" t="s">
        <v>10978</v>
      </c>
      <c r="V4579" s="4" t="s">
        <v>10987</v>
      </c>
      <c r="W4579" s="4" t="s">
        <v>10988</v>
      </c>
      <c r="X4579" s="4" t="s">
        <v>3994</v>
      </c>
      <c r="Y4579" s="4" t="s">
        <v>10989</v>
      </c>
    </row>
    <row r="4580">
      <c r="A4580" s="4">
        <v>216.0</v>
      </c>
      <c r="B4580" s="4" t="s">
        <v>11576</v>
      </c>
      <c r="C4580" s="4"/>
      <c r="D4580" s="4" t="s">
        <v>10990</v>
      </c>
      <c r="E4580" s="4" t="s">
        <v>10991</v>
      </c>
      <c r="F4580" s="4" t="s">
        <v>10990</v>
      </c>
      <c r="G4580" s="5" t="str">
        <f>IFERROR(__xludf.DUMMYFUNCTION("GOOGLETRANSLATE(D4580,""fi"",""es"")"),"pedazo de bienes")</f>
        <v>pedazo de bienes</v>
      </c>
    </row>
    <row r="4581">
      <c r="A4581" s="4">
        <v>217.0</v>
      </c>
      <c r="B4581" s="4" t="s">
        <v>11576</v>
      </c>
      <c r="C4581" s="4"/>
      <c r="D4581" s="4" t="s">
        <v>11006</v>
      </c>
      <c r="E4581" s="4" t="s">
        <v>11007</v>
      </c>
      <c r="F4581" s="4" t="s">
        <v>11006</v>
      </c>
      <c r="G4581" s="5" t="str">
        <f>IFERROR(__xludf.DUMMYFUNCTION("GOOGLETRANSLATE(D4581,""fi"",""es"")"),"bulto")</f>
        <v>bulto</v>
      </c>
    </row>
    <row r="4582">
      <c r="A4582" s="4">
        <v>218.0</v>
      </c>
      <c r="B4582" s="4" t="s">
        <v>11576</v>
      </c>
      <c r="C4582" s="4"/>
      <c r="D4582" s="4" t="s">
        <v>11008</v>
      </c>
      <c r="E4582" s="4" t="s">
        <v>11009</v>
      </c>
      <c r="F4582" s="4" t="s">
        <v>11008</v>
      </c>
      <c r="G4582" s="5" t="str">
        <f>IFERROR(__xludf.DUMMYFUNCTION("GOOGLETRANSLATE(D4582,""fi"",""es"")"),"traje")</f>
        <v>traje</v>
      </c>
      <c r="H4582" s="4" t="s">
        <v>11008</v>
      </c>
      <c r="I4582" s="4" t="s">
        <v>11010</v>
      </c>
      <c r="J4582" s="4" t="s">
        <v>11011</v>
      </c>
      <c r="K4582" s="4" t="s">
        <v>11012</v>
      </c>
      <c r="L4582" s="4" t="s">
        <v>9351</v>
      </c>
      <c r="M4582" s="4" t="s">
        <v>11013</v>
      </c>
      <c r="N4582" s="4" t="s">
        <v>9349</v>
      </c>
      <c r="O4582" s="4" t="s">
        <v>9350</v>
      </c>
      <c r="P4582" s="4" t="s">
        <v>9351</v>
      </c>
      <c r="Q4582" s="4" t="s">
        <v>11014</v>
      </c>
      <c r="R4582" s="4" t="s">
        <v>9352</v>
      </c>
      <c r="S4582" s="4" t="s">
        <v>9353</v>
      </c>
      <c r="T4582" s="4" t="s">
        <v>9354</v>
      </c>
      <c r="U4582" s="4" t="s">
        <v>4797</v>
      </c>
      <c r="V4582" s="4" t="s">
        <v>9355</v>
      </c>
      <c r="W4582" s="4" t="s">
        <v>9356</v>
      </c>
      <c r="X4582" s="4" t="s">
        <v>11015</v>
      </c>
      <c r="Y4582" s="4" t="s">
        <v>11015</v>
      </c>
      <c r="Z4582" s="4" t="s">
        <v>11015</v>
      </c>
      <c r="AA4582" s="4" t="s">
        <v>11015</v>
      </c>
      <c r="AB4582" s="4" t="s">
        <v>11016</v>
      </c>
      <c r="AC4582" s="4" t="s">
        <v>11017</v>
      </c>
    </row>
    <row r="4583">
      <c r="A4583" s="4">
        <v>219.0</v>
      </c>
      <c r="B4583" s="4" t="s">
        <v>11576</v>
      </c>
      <c r="C4583" s="4"/>
      <c r="D4583" s="4" t="s">
        <v>3616</v>
      </c>
      <c r="E4583" s="4" t="s">
        <v>3615</v>
      </c>
      <c r="F4583" s="4" t="s">
        <v>3616</v>
      </c>
      <c r="G4583" s="5" t="str">
        <f>IFERROR(__xludf.DUMMYFUNCTION("GOOGLETRANSLATE(D4583,""fi"",""es"")"),"Corte de equipo")</f>
        <v>Corte de equipo</v>
      </c>
    </row>
    <row r="4584">
      <c r="A4584" s="4">
        <v>220.0</v>
      </c>
      <c r="B4584" s="4" t="s">
        <v>11576</v>
      </c>
      <c r="C4584" s="4"/>
      <c r="D4584" s="4" t="s">
        <v>11018</v>
      </c>
      <c r="E4584" s="4" t="s">
        <v>11019</v>
      </c>
      <c r="F4584" s="4" t="s">
        <v>11018</v>
      </c>
      <c r="G4584" s="5" t="str">
        <f>IFERROR(__xludf.DUMMYFUNCTION("GOOGLETRANSLATE(D4584,""fi"",""es"")"),"miel")</f>
        <v>miel</v>
      </c>
      <c r="H4584" s="4" t="s">
        <v>11020</v>
      </c>
      <c r="I4584" s="4" t="s">
        <v>11021</v>
      </c>
      <c r="J4584" s="4" t="s">
        <v>11022</v>
      </c>
      <c r="K4584" s="4" t="s">
        <v>11023</v>
      </c>
      <c r="L4584" s="4" t="s">
        <v>11024</v>
      </c>
      <c r="M4584" s="4" t="s">
        <v>11025</v>
      </c>
    </row>
    <row r="4585">
      <c r="A4585" s="4">
        <v>221.0</v>
      </c>
      <c r="B4585" s="4" t="s">
        <v>11576</v>
      </c>
      <c r="C4585" s="4"/>
      <c r="D4585" s="4" t="s">
        <v>11026</v>
      </c>
      <c r="E4585" s="4" t="s">
        <v>11027</v>
      </c>
      <c r="F4585" s="4" t="s">
        <v>11026</v>
      </c>
      <c r="G4585" s="5" t="str">
        <f>IFERROR(__xludf.DUMMYFUNCTION("GOOGLETRANSLATE(D4585,""fi"",""es"")"),"pumi")</f>
        <v>pumi</v>
      </c>
    </row>
    <row r="4586">
      <c r="A4586" s="4">
        <v>222.0</v>
      </c>
      <c r="B4586" s="4" t="s">
        <v>11576</v>
      </c>
      <c r="C4586" s="4"/>
      <c r="D4586" s="4" t="s">
        <v>11028</v>
      </c>
      <c r="E4586" s="4" t="s">
        <v>11029</v>
      </c>
      <c r="F4586" s="4" t="s">
        <v>11028</v>
      </c>
      <c r="G4586" s="5" t="str">
        <f>IFERROR(__xludf.DUMMYFUNCTION("GOOGLETRANSLATE(D4586,""fi"",""es"")"),"rojo")</f>
        <v>rojo</v>
      </c>
      <c r="H4586" s="4" t="s">
        <v>11030</v>
      </c>
      <c r="I4586" s="4" t="s">
        <v>11031</v>
      </c>
      <c r="J4586" s="4" t="s">
        <v>11032</v>
      </c>
      <c r="K4586" s="4" t="s">
        <v>11033</v>
      </c>
      <c r="L4586" s="4" t="s">
        <v>6406</v>
      </c>
      <c r="M4586" s="4" t="s">
        <v>11031</v>
      </c>
    </row>
    <row r="4587">
      <c r="A4587" s="4">
        <v>223.0</v>
      </c>
      <c r="B4587" s="4" t="s">
        <v>11576</v>
      </c>
      <c r="C4587" s="4"/>
      <c r="D4587" s="4" t="s">
        <v>11034</v>
      </c>
      <c r="E4587" s="4" t="s">
        <v>11035</v>
      </c>
      <c r="F4587" s="4" t="s">
        <v>11034</v>
      </c>
      <c r="G4587" s="5" t="str">
        <f>IFERROR(__xludf.DUMMYFUNCTION("GOOGLETRANSLATE(D4587,""fi"",""es"")"),"frijol rojo")</f>
        <v>frijol rojo</v>
      </c>
    </row>
    <row r="4588">
      <c r="A4588" s="4">
        <v>224.0</v>
      </c>
      <c r="B4588" s="4" t="s">
        <v>11576</v>
      </c>
      <c r="C4588" s="4"/>
      <c r="D4588" s="4" t="s">
        <v>11040</v>
      </c>
      <c r="E4588" s="4" t="s">
        <v>11041</v>
      </c>
      <c r="F4588" s="4" t="s">
        <v>11040</v>
      </c>
      <c r="G4588" s="5" t="str">
        <f>IFERROR(__xludf.DUMMYFUNCTION("GOOGLETRANSLATE(D4588,""fi"",""es"")"),"conejito")</f>
        <v>conejito</v>
      </c>
      <c r="H4588" s="4" t="s">
        <v>11042</v>
      </c>
      <c r="I4588" s="4" t="s">
        <v>11043</v>
      </c>
    </row>
    <row r="4589">
      <c r="A4589" s="4">
        <v>225.0</v>
      </c>
      <c r="B4589" s="4" t="s">
        <v>11576</v>
      </c>
      <c r="C4589" s="4"/>
      <c r="D4589" s="4" t="s">
        <v>11053</v>
      </c>
      <c r="E4589" s="4" t="s">
        <v>11054</v>
      </c>
      <c r="F4589" s="4" t="s">
        <v>11055</v>
      </c>
      <c r="G4589" s="5" t="str">
        <f>IFERROR(__xludf.DUMMYFUNCTION("GOOGLETRANSLATE(D4589,""fi"",""es"")"),"varilla")</f>
        <v>varilla</v>
      </c>
    </row>
    <row r="4590">
      <c r="A4590" s="4">
        <v>226.0</v>
      </c>
      <c r="B4590" s="4" t="s">
        <v>11576</v>
      </c>
      <c r="C4590" s="4"/>
      <c r="D4590" s="4" t="s">
        <v>11534</v>
      </c>
      <c r="E4590" s="4" t="s">
        <v>11535</v>
      </c>
      <c r="F4590" s="4" t="s">
        <v>11534</v>
      </c>
      <c r="G4590" s="5" t="str">
        <f>IFERROR(__xludf.DUMMYFUNCTION("GOOGLETRANSLATE(D4590,""fi"",""es"")"),"ukuli")</f>
        <v>ukuli</v>
      </c>
    </row>
    <row r="4591">
      <c r="A4591" s="4">
        <v>227.0</v>
      </c>
      <c r="B4591" s="4" t="s">
        <v>11576</v>
      </c>
      <c r="C4591" s="4"/>
      <c r="D4591" s="4" t="s">
        <v>11536</v>
      </c>
      <c r="E4591" s="4" t="s">
        <v>11537</v>
      </c>
      <c r="F4591" s="4" t="s">
        <v>11536</v>
      </c>
      <c r="G4591" s="5" t="str">
        <f>IFERROR(__xludf.DUMMYFUNCTION("GOOGLETRANSLATE(D4591,""fi"",""es"")"),"gimoteo")</f>
        <v>gimoteo</v>
      </c>
      <c r="H4591" s="4" t="s">
        <v>11538</v>
      </c>
      <c r="I4591" s="4" t="s">
        <v>11539</v>
      </c>
      <c r="J4591" s="4" t="s">
        <v>11540</v>
      </c>
      <c r="K4591" s="4" t="s">
        <v>11541</v>
      </c>
      <c r="L4591" s="4" t="s">
        <v>11542</v>
      </c>
    </row>
    <row r="4592">
      <c r="A4592" s="4">
        <v>228.0</v>
      </c>
      <c r="B4592" s="4" t="s">
        <v>11576</v>
      </c>
      <c r="C4592" s="4"/>
      <c r="D4592" s="4" t="s">
        <v>11543</v>
      </c>
      <c r="E4592" s="4" t="s">
        <v>11544</v>
      </c>
      <c r="F4592" s="4" t="s">
        <v>11543</v>
      </c>
      <c r="G4592" s="5" t="str">
        <f>IFERROR(__xludf.DUMMYFUNCTION("GOOGLETRANSLATE(D4592,""fi"",""es"")"),"umami")</f>
        <v>umami</v>
      </c>
    </row>
    <row r="4593">
      <c r="A4593" s="4">
        <v>229.0</v>
      </c>
      <c r="B4593" s="4" t="s">
        <v>11576</v>
      </c>
      <c r="C4593" s="4"/>
      <c r="D4593" s="4" t="s">
        <v>4640</v>
      </c>
      <c r="E4593" s="4" t="s">
        <v>4639</v>
      </c>
      <c r="F4593" s="4" t="s">
        <v>4640</v>
      </c>
      <c r="G4593" s="5" t="str">
        <f>IFERROR(__xludf.DUMMYFUNCTION("GOOGLETRANSLATE(D4593,""fi"",""es"")"),"dormir")</f>
        <v>dormir</v>
      </c>
      <c r="H4593" s="4" t="s">
        <v>11545</v>
      </c>
      <c r="I4593" s="4" t="s">
        <v>11545</v>
      </c>
      <c r="J4593" s="4" t="s">
        <v>11546</v>
      </c>
      <c r="K4593" s="4" t="s">
        <v>11547</v>
      </c>
      <c r="L4593" s="4" t="s">
        <v>11548</v>
      </c>
      <c r="M4593" s="4" t="s">
        <v>8536</v>
      </c>
      <c r="N4593" s="4" t="s">
        <v>11549</v>
      </c>
      <c r="O4593" s="4" t="s">
        <v>11550</v>
      </c>
      <c r="P4593" s="4" t="s">
        <v>11551</v>
      </c>
      <c r="Q4593" s="4" t="s">
        <v>11552</v>
      </c>
      <c r="R4593" s="4" t="s">
        <v>11553</v>
      </c>
      <c r="S4593" s="4" t="s">
        <v>6462</v>
      </c>
      <c r="T4593" s="4" t="s">
        <v>6461</v>
      </c>
      <c r="U4593" s="4" t="s">
        <v>6462</v>
      </c>
      <c r="V4593" s="4" t="s">
        <v>6461</v>
      </c>
      <c r="W4593" s="4" t="s">
        <v>11554</v>
      </c>
      <c r="X4593" s="4" t="s">
        <v>6461</v>
      </c>
      <c r="Y4593" s="4" t="s">
        <v>2928</v>
      </c>
      <c r="Z4593" s="4" t="s">
        <v>6458</v>
      </c>
    </row>
    <row r="4594">
      <c r="A4594" s="4">
        <v>230.0</v>
      </c>
      <c r="B4594" s="4" t="s">
        <v>11576</v>
      </c>
      <c r="C4594" s="4"/>
      <c r="D4594" s="4" t="s">
        <v>11566</v>
      </c>
      <c r="E4594" s="4" t="s">
        <v>11567</v>
      </c>
      <c r="F4594" s="4" t="s">
        <v>11568</v>
      </c>
      <c r="G4594" s="5" t="str">
        <f>IFERROR(__xludf.DUMMYFUNCTION("GOOGLETRANSLATE(D4594,""fi"",""es"")"),"hervir")</f>
        <v>hervir</v>
      </c>
      <c r="H4594" s="4" t="s">
        <v>11569</v>
      </c>
    </row>
    <row r="4595">
      <c r="A4595" s="4">
        <v>231.0</v>
      </c>
      <c r="B4595" s="4" t="s">
        <v>11576</v>
      </c>
      <c r="C4595" s="4"/>
      <c r="D4595" s="4" t="s">
        <v>11570</v>
      </c>
      <c r="E4595" s="4" t="s">
        <v>5782</v>
      </c>
      <c r="F4595" s="4" t="s">
        <v>506</v>
      </c>
      <c r="G4595" s="5" t="str">
        <f>IFERROR(__xludf.DUMMYFUNCTION("GOOGLETRANSLATE(D4595,""fi"",""es"")"),"morder")</f>
        <v>morder</v>
      </c>
    </row>
    <row r="4596">
      <c r="A4596" s="4">
        <v>232.0</v>
      </c>
      <c r="B4596" s="4" t="s">
        <v>11576</v>
      </c>
      <c r="C4596" s="4"/>
      <c r="D4596" s="4" t="s">
        <v>11571</v>
      </c>
      <c r="E4596" s="4" t="s">
        <v>11572</v>
      </c>
      <c r="F4596" s="4" t="s">
        <v>508</v>
      </c>
      <c r="G4596" s="5" t="str">
        <f>IFERROR(__xludf.DUMMYFUNCTION("GOOGLETRANSLATE(D4596,""fi"",""es"")"),"área")</f>
        <v>área</v>
      </c>
    </row>
    <row r="4597">
      <c r="A4597" s="4">
        <v>233.0</v>
      </c>
      <c r="B4597" s="4" t="s">
        <v>11576</v>
      </c>
      <c r="C4597" s="4"/>
      <c r="D4597" s="4" t="s">
        <v>11573</v>
      </c>
      <c r="E4597" s="4" t="s">
        <v>8020</v>
      </c>
      <c r="F4597" s="4" t="s">
        <v>592</v>
      </c>
      <c r="G4597" s="5" t="str">
        <f>IFERROR(__xludf.DUMMYFUNCTION("GOOGLETRANSLATE(D4597,""fi"",""es"")"),"SOY")</f>
        <v>SOY</v>
      </c>
    </row>
    <row r="4598">
      <c r="A4598" s="4">
        <v>234.0</v>
      </c>
      <c r="B4598" s="4" t="s">
        <v>11576</v>
      </c>
      <c r="C4598" s="4"/>
      <c r="D4598" s="4" t="s">
        <v>11574</v>
      </c>
      <c r="E4598" s="4" t="s">
        <v>5829</v>
      </c>
      <c r="F4598" s="4" t="s">
        <v>594</v>
      </c>
      <c r="G4598" s="4" t="s">
        <v>11577</v>
      </c>
    </row>
    <row r="4599">
      <c r="A4599" s="4">
        <v>1.0</v>
      </c>
      <c r="B4599" s="4" t="s">
        <v>11578</v>
      </c>
      <c r="C4599" s="4"/>
      <c r="D4599" s="4" t="s">
        <v>11579</v>
      </c>
      <c r="E4599" s="4" t="s">
        <v>11580</v>
      </c>
      <c r="F4599" s="4" t="s">
        <v>11581</v>
      </c>
      <c r="G4599" s="5" t="str">
        <f>IFERROR(__xludf.DUMMYFUNCTION("GOOGLETRANSLATE(D4599,""fr"",""es"")"),"compra")</f>
        <v>compra</v>
      </c>
      <c r="H4599" s="4" t="s">
        <v>11582</v>
      </c>
      <c r="I4599" s="4" t="s">
        <v>11583</v>
      </c>
      <c r="J4599" s="4" t="s">
        <v>11584</v>
      </c>
      <c r="K4599" s="4" t="s">
        <v>11585</v>
      </c>
      <c r="L4599" s="4" t="s">
        <v>11586</v>
      </c>
      <c r="M4599" s="4" t="s">
        <v>8756</v>
      </c>
      <c r="N4599" s="4" t="s">
        <v>8753</v>
      </c>
      <c r="O4599" s="4" t="s">
        <v>8089</v>
      </c>
      <c r="P4599" s="4" t="s">
        <v>7224</v>
      </c>
      <c r="Q4599" s="4" t="s">
        <v>11582</v>
      </c>
      <c r="R4599" s="4" t="s">
        <v>11587</v>
      </c>
      <c r="S4599" s="4" t="s">
        <v>11582</v>
      </c>
      <c r="T4599" s="4" t="s">
        <v>11588</v>
      </c>
      <c r="U4599" s="4" t="s">
        <v>11582</v>
      </c>
      <c r="V4599" s="4" t="s">
        <v>11589</v>
      </c>
      <c r="W4599" s="4" t="s">
        <v>11590</v>
      </c>
      <c r="X4599" s="4" t="s">
        <v>11591</v>
      </c>
    </row>
    <row r="4600">
      <c r="A4600" s="4">
        <v>2.0</v>
      </c>
      <c r="B4600" s="4" t="s">
        <v>11578</v>
      </c>
      <c r="C4600" s="4"/>
      <c r="D4600" s="4" t="s">
        <v>2349</v>
      </c>
      <c r="E4600" s="4" t="s">
        <v>11592</v>
      </c>
      <c r="F4600" s="4" t="s">
        <v>5876</v>
      </c>
      <c r="G4600" s="5" t="str">
        <f>IFERROR(__xludf.DUMMYFUNCTION("GOOGLETRANSLATE(D4600,""fr"",""es"")"),"finalizar")</f>
        <v>finalizar</v>
      </c>
      <c r="H4600" s="4" t="s">
        <v>11593</v>
      </c>
      <c r="I4600" s="4" t="s">
        <v>11594</v>
      </c>
    </row>
    <row r="4601">
      <c r="A4601" s="4">
        <v>3.0</v>
      </c>
      <c r="B4601" s="4" t="s">
        <v>11578</v>
      </c>
      <c r="C4601" s="4"/>
      <c r="D4601" s="4" t="s">
        <v>11595</v>
      </c>
      <c r="E4601" s="4" t="s">
        <v>11596</v>
      </c>
      <c r="F4601" s="4" t="s">
        <v>11597</v>
      </c>
      <c r="G4601" s="5" t="str">
        <f>IFERROR(__xludf.DUMMYFUNCTION("GOOGLETRANSLATE(D4601,""fr"",""es"")"),"Achille")</f>
        <v>Achille</v>
      </c>
      <c r="H4601" s="4" t="s">
        <v>11598</v>
      </c>
      <c r="I4601" s="4" t="s">
        <v>11166</v>
      </c>
      <c r="J4601" s="4" t="s">
        <v>11167</v>
      </c>
      <c r="K4601" s="4" t="s">
        <v>11168</v>
      </c>
      <c r="L4601" s="4" t="s">
        <v>963</v>
      </c>
      <c r="M4601" s="4" t="s">
        <v>11169</v>
      </c>
      <c r="N4601" s="4" t="s">
        <v>11170</v>
      </c>
    </row>
    <row r="4602">
      <c r="A4602" s="4">
        <v>4.0</v>
      </c>
      <c r="B4602" s="4" t="s">
        <v>11578</v>
      </c>
      <c r="C4602" s="4"/>
      <c r="D4602" s="4" t="s">
        <v>8038</v>
      </c>
      <c r="E4602" s="4" t="s">
        <v>815</v>
      </c>
      <c r="F4602" s="4" t="s">
        <v>816</v>
      </c>
      <c r="G4602" s="5" t="str">
        <f>IFERROR(__xludf.DUMMYFUNCTION("GOOGLETRANSLATE(D4602,""fr"",""es"")"),"adquirido")</f>
        <v>adquirido</v>
      </c>
      <c r="H4602" s="4" t="s">
        <v>11599</v>
      </c>
      <c r="I4602" s="4" t="s">
        <v>11600</v>
      </c>
    </row>
    <row r="4603">
      <c r="A4603" s="4">
        <v>5.0</v>
      </c>
      <c r="B4603" s="4" t="s">
        <v>11578</v>
      </c>
      <c r="C4603" s="4"/>
      <c r="D4603" s="4" t="s">
        <v>11601</v>
      </c>
      <c r="E4603" s="4" t="s">
        <v>815</v>
      </c>
      <c r="F4603" s="4" t="s">
        <v>816</v>
      </c>
      <c r="G4603" s="5" t="str">
        <f>IFERROR(__xludf.DUMMYFUNCTION("GOOGLETRANSLATE(D4603,""fr"",""es"")"),"absolver")</f>
        <v>absolver</v>
      </c>
    </row>
    <row r="4604">
      <c r="A4604" s="4">
        <v>6.0</v>
      </c>
      <c r="B4604" s="4" t="s">
        <v>11578</v>
      </c>
      <c r="C4604" s="4"/>
      <c r="D4604" s="4" t="s">
        <v>11602</v>
      </c>
      <c r="E4604" s="4" t="s">
        <v>812</v>
      </c>
      <c r="F4604" s="4" t="s">
        <v>813</v>
      </c>
      <c r="G4604" s="5" t="str">
        <f>IFERROR(__xludf.DUMMYFUNCTION("GOOGLETRANSLATE(D4604,""fr"",""es"")"),"absoluto")</f>
        <v>absoluto</v>
      </c>
    </row>
    <row r="4605">
      <c r="A4605" s="4">
        <v>7.0</v>
      </c>
      <c r="B4605" s="4" t="s">
        <v>11578</v>
      </c>
      <c r="C4605" s="4"/>
      <c r="D4605" s="4" t="s">
        <v>11603</v>
      </c>
      <c r="E4605" s="4" t="s">
        <v>11604</v>
      </c>
      <c r="F4605" s="4" t="s">
        <v>813</v>
      </c>
      <c r="G4605" s="5" t="str">
        <f>IFERROR(__xludf.DUMMYFUNCTION("GOOGLETRANSLATE(D4605,""fr"",""es"")"),"abogados")</f>
        <v>abogados</v>
      </c>
    </row>
    <row r="4606">
      <c r="A4606" s="4">
        <v>8.0</v>
      </c>
      <c r="B4606" s="4" t="s">
        <v>11578</v>
      </c>
      <c r="C4606" s="4"/>
      <c r="D4606" s="4" t="s">
        <v>11605</v>
      </c>
      <c r="E4606" s="4" t="s">
        <v>11606</v>
      </c>
      <c r="F4606" s="4" t="s">
        <v>11607</v>
      </c>
      <c r="G4606" s="5" t="str">
        <f>IFERROR(__xludf.DUMMYFUNCTION("GOOGLETRANSLATE(D4606,""fr"",""es"")"),"abogado")</f>
        <v>abogado</v>
      </c>
    </row>
    <row r="4607">
      <c r="A4607" s="4">
        <v>9.0</v>
      </c>
      <c r="B4607" s="4" t="s">
        <v>11578</v>
      </c>
      <c r="C4607" s="4"/>
      <c r="D4607" s="4" t="s">
        <v>11608</v>
      </c>
      <c r="E4607" s="4" t="s">
        <v>11606</v>
      </c>
      <c r="F4607" s="4" t="s">
        <v>11607</v>
      </c>
      <c r="G4607" s="5" t="str">
        <f>IFERROR(__xludf.DUMMYFUNCTION("GOOGLETRANSLATE(D4607,""fr"",""es"")"),"absolver")</f>
        <v>absolver</v>
      </c>
    </row>
    <row r="4608">
      <c r="A4608" s="4">
        <v>10.0</v>
      </c>
      <c r="B4608" s="4" t="s">
        <v>11578</v>
      </c>
      <c r="C4608" s="4"/>
      <c r="D4608" s="4" t="s">
        <v>11609</v>
      </c>
      <c r="E4608" s="4" t="s">
        <v>11606</v>
      </c>
      <c r="F4608" s="4" t="s">
        <v>11607</v>
      </c>
      <c r="G4608" s="5" t="str">
        <f>IFERROR(__xludf.DUMMYFUNCTION("GOOGLETRANSLATE(D4608,""fr"",""es"")"),"incorporación")</f>
        <v>incorporación</v>
      </c>
    </row>
    <row r="4609">
      <c r="A4609" s="4">
        <v>11.0</v>
      </c>
      <c r="B4609" s="4" t="s">
        <v>11578</v>
      </c>
      <c r="C4609" s="4"/>
      <c r="D4609" s="4" t="s">
        <v>11610</v>
      </c>
      <c r="E4609" s="4" t="s">
        <v>11611</v>
      </c>
      <c r="F4609" s="4" t="s">
        <v>11612</v>
      </c>
      <c r="G4609" s="5" t="str">
        <f>IFERROR(__xludf.DUMMYFUNCTION("GOOGLETRANSLATE(D4609,""fr"",""es"")"),"absoluto")</f>
        <v>absoluto</v>
      </c>
    </row>
    <row r="4610">
      <c r="A4610" s="4">
        <v>12.0</v>
      </c>
      <c r="B4610" s="4" t="s">
        <v>11578</v>
      </c>
      <c r="C4610" s="4"/>
      <c r="D4610" s="4" t="s">
        <v>11613</v>
      </c>
      <c r="E4610" s="4" t="s">
        <v>11604</v>
      </c>
      <c r="F4610" s="4" t="s">
        <v>813</v>
      </c>
      <c r="G4610" s="5" t="str">
        <f>IFERROR(__xludf.DUMMYFUNCTION("GOOGLETRANSLATE(D4610,""fr"",""es"")"),"abogado")</f>
        <v>abogado</v>
      </c>
    </row>
    <row r="4611">
      <c r="A4611" s="4">
        <v>13.0</v>
      </c>
      <c r="B4611" s="4" t="s">
        <v>11578</v>
      </c>
      <c r="C4611" s="4"/>
      <c r="D4611" s="4" t="s">
        <v>527</v>
      </c>
      <c r="E4611" s="4" t="s">
        <v>504</v>
      </c>
      <c r="F4611" s="4" t="s">
        <v>505</v>
      </c>
      <c r="G4611" s="5" t="str">
        <f>IFERROR(__xludf.DUMMYFUNCTION("GOOGLETRANSLATE(D4611,""fr"",""es"")"),"ajo")</f>
        <v>ajo</v>
      </c>
      <c r="H4611" s="4" t="s">
        <v>526</v>
      </c>
      <c r="I4611" s="4" t="s">
        <v>527</v>
      </c>
      <c r="J4611" s="4" t="s">
        <v>526</v>
      </c>
      <c r="K4611" s="4" t="s">
        <v>528</v>
      </c>
    </row>
    <row r="4612">
      <c r="A4612" s="4">
        <v>14.0</v>
      </c>
      <c r="B4612" s="4" t="s">
        <v>11578</v>
      </c>
      <c r="C4612" s="4"/>
      <c r="D4612" s="4" t="s">
        <v>11614</v>
      </c>
      <c r="E4612" s="4" t="s">
        <v>504</v>
      </c>
      <c r="F4612" s="4" t="s">
        <v>505</v>
      </c>
      <c r="G4612" s="5" t="str">
        <f>IFERROR(__xludf.DUMMYFUNCTION("GOOGLETRANSLATE(D4612,""fr"",""es"")"),"ala")</f>
        <v>ala</v>
      </c>
    </row>
    <row r="4613">
      <c r="A4613" s="4">
        <v>15.0</v>
      </c>
      <c r="B4613" s="4" t="s">
        <v>11578</v>
      </c>
      <c r="C4613" s="4"/>
      <c r="D4613" s="4" t="s">
        <v>11615</v>
      </c>
      <c r="E4613" s="4" t="s">
        <v>504</v>
      </c>
      <c r="F4613" s="4" t="s">
        <v>505</v>
      </c>
      <c r="G4613" s="5" t="str">
        <f>IFERROR(__xludf.DUMMYFUNCTION("GOOGLETRANSLATE(D4613,""fr"",""es"")"),"Vamos")</f>
        <v>Vamos</v>
      </c>
    </row>
    <row r="4614">
      <c r="A4614" s="4">
        <v>16.0</v>
      </c>
      <c r="B4614" s="4" t="s">
        <v>11578</v>
      </c>
      <c r="C4614" s="4"/>
      <c r="D4614" s="4" t="s">
        <v>11616</v>
      </c>
      <c r="E4614" s="4" t="s">
        <v>504</v>
      </c>
      <c r="F4614" s="4" t="s">
        <v>505</v>
      </c>
      <c r="G4614" s="5" t="str">
        <f>IFERROR(__xludf.DUMMYFUNCTION("GOOGLETRANSLATE(D4614,""fr"",""es"")"),"heridas")</f>
        <v>heridas</v>
      </c>
    </row>
    <row r="4615">
      <c r="A4615" s="4">
        <v>17.0</v>
      </c>
      <c r="B4615" s="4" t="s">
        <v>11578</v>
      </c>
      <c r="C4615" s="4"/>
      <c r="D4615" s="4" t="s">
        <v>11617</v>
      </c>
      <c r="E4615" s="4" t="s">
        <v>504</v>
      </c>
      <c r="F4615" s="4" t="s">
        <v>505</v>
      </c>
      <c r="G4615" s="5" t="str">
        <f>IFERROR(__xludf.DUMMYFUNCTION("GOOGLETRANSLATE(D4615,""fr"",""es"")"),"almacenamiento")</f>
        <v>almacenamiento</v>
      </c>
    </row>
    <row r="4616">
      <c r="A4616" s="4">
        <v>18.0</v>
      </c>
      <c r="B4616" s="4" t="s">
        <v>11578</v>
      </c>
      <c r="C4616" s="4"/>
      <c r="D4616" s="4" t="s">
        <v>5799</v>
      </c>
      <c r="E4616" s="4" t="s">
        <v>11618</v>
      </c>
      <c r="F4616" s="4" t="s">
        <v>5801</v>
      </c>
      <c r="G4616" s="5" t="str">
        <f>IFERROR(__xludf.DUMMYFUNCTION("GOOGLETRANSLATE(D4616,""fr"",""es"")"),"Alicia")</f>
        <v>Alicia</v>
      </c>
    </row>
    <row r="4617">
      <c r="A4617" s="4">
        <v>19.0</v>
      </c>
      <c r="B4617" s="4" t="s">
        <v>11578</v>
      </c>
      <c r="C4617" s="4"/>
      <c r="D4617" s="4" t="s">
        <v>11619</v>
      </c>
      <c r="E4617" s="4" t="s">
        <v>11620</v>
      </c>
      <c r="F4617" s="4" t="s">
        <v>9262</v>
      </c>
      <c r="G4617" s="5" t="str">
        <f>IFERROR(__xludf.DUMMYFUNCTION("GOOGLETRANSLATE(D4617,""fr"",""es"")"),"Alinear")</f>
        <v>Alinear</v>
      </c>
    </row>
    <row r="4618">
      <c r="A4618" s="4">
        <v>20.0</v>
      </c>
      <c r="B4618" s="4" t="s">
        <v>11578</v>
      </c>
      <c r="C4618" s="4"/>
      <c r="D4618" s="4" t="s">
        <v>11621</v>
      </c>
      <c r="E4618" s="4" t="s">
        <v>11622</v>
      </c>
      <c r="F4618" s="4" t="s">
        <v>11621</v>
      </c>
      <c r="G4618" s="5" t="str">
        <f>IFERROR(__xludf.DUMMYFUNCTION("GOOGLETRANSLATE(D4618,""fr"",""es"")"),"Alita")</f>
        <v>Alita</v>
      </c>
    </row>
    <row r="4619">
      <c r="A4619" s="4">
        <v>21.0</v>
      </c>
      <c r="B4619" s="4" t="s">
        <v>11578</v>
      </c>
      <c r="C4619" s="4"/>
      <c r="D4619" s="4" t="s">
        <v>541</v>
      </c>
      <c r="E4619" s="4" t="s">
        <v>509</v>
      </c>
      <c r="F4619" s="4" t="s">
        <v>508</v>
      </c>
      <c r="G4619" s="5" t="str">
        <f>IFERROR(__xludf.DUMMYFUNCTION("GOOGLETRANSLATE(D4619,""fr"",""es"")"),"alla")</f>
        <v>alla</v>
      </c>
    </row>
    <row r="4620">
      <c r="A4620" s="4">
        <v>22.0</v>
      </c>
      <c r="B4620" s="4" t="s">
        <v>11578</v>
      </c>
      <c r="C4620" s="4"/>
      <c r="D4620" s="4" t="s">
        <v>11623</v>
      </c>
      <c r="E4620" s="4" t="s">
        <v>11624</v>
      </c>
      <c r="F4620" s="4" t="s">
        <v>508</v>
      </c>
      <c r="G4620" s="5" t="str">
        <f>IFERROR(__xludf.DUMMYFUNCTION("GOOGLETRANSLATE(D4620,""fr"",""es"")"),"alas")</f>
        <v>alas</v>
      </c>
    </row>
    <row r="4621">
      <c r="A4621" s="4">
        <v>23.0</v>
      </c>
      <c r="B4621" s="4" t="s">
        <v>11578</v>
      </c>
      <c r="C4621" s="4"/>
      <c r="D4621" s="4" t="s">
        <v>11625</v>
      </c>
      <c r="E4621" s="4" t="s">
        <v>4899</v>
      </c>
      <c r="F4621" s="4" t="s">
        <v>4900</v>
      </c>
      <c r="G4621" s="5" t="str">
        <f>IFERROR(__xludf.DUMMYFUNCTION("GOOGLETRANSLATE(D4621,""fr"",""es"")"),"alegar")</f>
        <v>alegar</v>
      </c>
    </row>
    <row r="4622">
      <c r="A4622" s="4">
        <v>24.0</v>
      </c>
      <c r="B4622" s="4" t="s">
        <v>11578</v>
      </c>
      <c r="C4622" s="4"/>
      <c r="D4622" s="4" t="s">
        <v>11626</v>
      </c>
      <c r="E4622" s="4" t="s">
        <v>4899</v>
      </c>
      <c r="F4622" s="4" t="s">
        <v>4900</v>
      </c>
      <c r="G4622" s="5" t="str">
        <f>IFERROR(__xludf.DUMMYFUNCTION("GOOGLETRANSLATE(D4622,""fr"",""es"")"),"aliviar")</f>
        <v>aliviar</v>
      </c>
    </row>
    <row r="4623">
      <c r="A4623" s="4">
        <v>25.0</v>
      </c>
      <c r="B4623" s="4" t="s">
        <v>11578</v>
      </c>
      <c r="C4623" s="4"/>
      <c r="D4623" s="4" t="s">
        <v>11627</v>
      </c>
      <c r="E4623" s="4" t="s">
        <v>4899</v>
      </c>
      <c r="F4623" s="4" t="s">
        <v>4900</v>
      </c>
      <c r="G4623" s="5" t="str">
        <f>IFERROR(__xludf.DUMMYFUNCTION("GOOGLETRANSLATE(D4623,""fr"",""es"")"),"alegar")</f>
        <v>alegar</v>
      </c>
    </row>
    <row r="4624">
      <c r="A4624" s="4">
        <v>26.0</v>
      </c>
      <c r="B4624" s="4" t="s">
        <v>11578</v>
      </c>
      <c r="C4624" s="4"/>
      <c r="D4624" s="4" t="s">
        <v>11628</v>
      </c>
      <c r="E4624" s="4" t="s">
        <v>507</v>
      </c>
      <c r="F4624" s="4" t="s">
        <v>506</v>
      </c>
      <c r="G4624" s="5" t="str">
        <f>IFERROR(__xludf.DUMMYFUNCTION("GOOGLETRANSLATE(D4624,""fr"",""es"")"),"Vamos")</f>
        <v>Vamos</v>
      </c>
    </row>
    <row r="4625">
      <c r="A4625" s="4">
        <v>27.0</v>
      </c>
      <c r="B4625" s="4" t="s">
        <v>11578</v>
      </c>
      <c r="C4625" s="4"/>
      <c r="D4625" s="4" t="s">
        <v>11629</v>
      </c>
      <c r="E4625" s="4" t="s">
        <v>11630</v>
      </c>
      <c r="F4625" s="4" t="s">
        <v>11631</v>
      </c>
      <c r="G4625" s="5" t="str">
        <f>IFERROR(__xludf.DUMMYFUNCTION("GOOGLETRANSLATE(D4625,""fr"",""es"")"),"permitió")</f>
        <v>permitió</v>
      </c>
    </row>
    <row r="4626">
      <c r="A4626" s="4">
        <v>28.0</v>
      </c>
      <c r="B4626" s="4" t="s">
        <v>11578</v>
      </c>
      <c r="C4626" s="4"/>
      <c r="D4626" s="4" t="s">
        <v>11632</v>
      </c>
      <c r="E4626" s="4" t="s">
        <v>11624</v>
      </c>
      <c r="F4626" s="4" t="s">
        <v>508</v>
      </c>
      <c r="G4626" s="5" t="str">
        <f>IFERROR(__xludf.DUMMYFUNCTION("GOOGLETRANSLATE(D4626,""fr"",""es"")"),"permitir")</f>
        <v>permitir</v>
      </c>
    </row>
    <row r="4627">
      <c r="A4627" s="4">
        <v>29.0</v>
      </c>
      <c r="B4627" s="4" t="s">
        <v>11578</v>
      </c>
      <c r="C4627" s="4"/>
      <c r="D4627" s="4" t="s">
        <v>11633</v>
      </c>
      <c r="E4627" s="4" t="s">
        <v>11634</v>
      </c>
      <c r="F4627" s="4" t="s">
        <v>566</v>
      </c>
      <c r="G4627" s="5" t="str">
        <f>IFERROR(__xludf.DUMMYFUNCTION("GOOGLETRANSLATE(D4627,""fr"",""es"")"),"grupo")</f>
        <v>grupo</v>
      </c>
      <c r="H4627" s="4" t="s">
        <v>1736</v>
      </c>
      <c r="I4627" s="4" t="s">
        <v>1737</v>
      </c>
      <c r="J4627" s="4" t="s">
        <v>1738</v>
      </c>
      <c r="K4627" s="4" t="s">
        <v>1739</v>
      </c>
      <c r="L4627" s="4" t="s">
        <v>1740</v>
      </c>
      <c r="M4627" s="4" t="s">
        <v>1741</v>
      </c>
      <c r="N4627" s="4" t="s">
        <v>484</v>
      </c>
      <c r="O4627" s="4" t="s">
        <v>1742</v>
      </c>
      <c r="P4627" s="4" t="s">
        <v>1743</v>
      </c>
      <c r="Q4627" s="4" t="s">
        <v>1744</v>
      </c>
      <c r="R4627" s="4" t="s">
        <v>1745</v>
      </c>
      <c r="S4627" s="4" t="s">
        <v>1746</v>
      </c>
      <c r="T4627" s="4" t="s">
        <v>1747</v>
      </c>
      <c r="U4627" s="4" t="s">
        <v>1748</v>
      </c>
      <c r="V4627" s="4" t="s">
        <v>1749</v>
      </c>
      <c r="W4627" s="4" t="s">
        <v>1750</v>
      </c>
      <c r="X4627" s="4" t="s">
        <v>483</v>
      </c>
      <c r="Y4627" s="4" t="s">
        <v>1751</v>
      </c>
      <c r="Z4627" s="4" t="s">
        <v>1752</v>
      </c>
      <c r="AA4627" s="4" t="s">
        <v>1753</v>
      </c>
      <c r="AB4627" s="4" t="s">
        <v>1754</v>
      </c>
      <c r="AC4627" s="4" t="s">
        <v>1755</v>
      </c>
      <c r="AD4627" s="4" t="s">
        <v>1756</v>
      </c>
      <c r="AE4627" s="4" t="s">
        <v>1757</v>
      </c>
      <c r="AF4627" s="4" t="s">
        <v>482</v>
      </c>
      <c r="AG4627" s="4" t="s">
        <v>1758</v>
      </c>
      <c r="AH4627" s="4" t="s">
        <v>780</v>
      </c>
    </row>
    <row r="4628">
      <c r="A4628" s="4">
        <v>30.0</v>
      </c>
      <c r="B4628" s="4" t="s">
        <v>11578</v>
      </c>
      <c r="C4628" s="4"/>
      <c r="D4628" s="4" t="s">
        <v>11635</v>
      </c>
      <c r="E4628" s="4" t="s">
        <v>11636</v>
      </c>
      <c r="F4628" s="4" t="s">
        <v>11637</v>
      </c>
      <c r="G4628" s="5" t="str">
        <f>IFERROR(__xludf.DUMMYFUNCTION("GOOGLETRANSLATE(D4628,""fr"",""es"")"),"amassa")</f>
        <v>amassa</v>
      </c>
    </row>
    <row r="4629">
      <c r="A4629" s="4">
        <v>31.0</v>
      </c>
      <c r="B4629" s="4" t="s">
        <v>11578</v>
      </c>
      <c r="C4629" s="4"/>
      <c r="D4629" s="4" t="s">
        <v>11638</v>
      </c>
      <c r="E4629" s="4" t="s">
        <v>11639</v>
      </c>
      <c r="F4629" s="4" t="s">
        <v>11637</v>
      </c>
      <c r="G4629" s="5" t="str">
        <f>IFERROR(__xludf.DUMMYFUNCTION("GOOGLETRANSLATE(D4629,""fr"",""es"")"),"amasas")</f>
        <v>amasas</v>
      </c>
    </row>
    <row r="4630">
      <c r="A4630" s="4">
        <v>32.0</v>
      </c>
      <c r="B4630" s="4" t="s">
        <v>11578</v>
      </c>
      <c r="C4630" s="4"/>
      <c r="D4630" s="4" t="s">
        <v>11640</v>
      </c>
      <c r="E4630" s="4" t="s">
        <v>11641</v>
      </c>
      <c r="F4630" s="4" t="s">
        <v>11642</v>
      </c>
      <c r="G4630" s="5" t="str">
        <f>IFERROR(__xludf.DUMMYFUNCTION("GOOGLETRANSLATE(D4630,""fr"",""es"")"),"pasarela")</f>
        <v>pasarela</v>
      </c>
    </row>
    <row r="4631">
      <c r="A4631" s="4">
        <v>33.0</v>
      </c>
      <c r="B4631" s="4" t="s">
        <v>11578</v>
      </c>
      <c r="C4631" s="4"/>
      <c r="D4631" s="4" t="s">
        <v>11643</v>
      </c>
      <c r="E4631" s="4" t="s">
        <v>11641</v>
      </c>
      <c r="F4631" s="4" t="s">
        <v>11642</v>
      </c>
      <c r="G4631" s="5" t="str">
        <f>IFERROR(__xludf.DUMMYFUNCTION("GOOGLETRANSLATE(D4631,""fr"",""es"")"),"acelerar")</f>
        <v>acelerar</v>
      </c>
    </row>
    <row r="4632">
      <c r="A4632" s="4">
        <v>34.0</v>
      </c>
      <c r="B4632" s="4" t="s">
        <v>11578</v>
      </c>
      <c r="C4632" s="4"/>
      <c r="D4632" s="4" t="s">
        <v>11644</v>
      </c>
      <c r="E4632" s="4" t="s">
        <v>11641</v>
      </c>
      <c r="F4632" s="4" t="s">
        <v>11642</v>
      </c>
      <c r="G4632" s="5" t="str">
        <f>IFERROR(__xludf.DUMMYFUNCTION("GOOGLETRANSLATE(D4632,""fr"",""es"")"),"vaina")</f>
        <v>vaina</v>
      </c>
    </row>
    <row r="4633">
      <c r="A4633" s="4">
        <v>35.0</v>
      </c>
      <c r="B4633" s="4" t="s">
        <v>11578</v>
      </c>
      <c r="C4633" s="4"/>
      <c r="D4633" s="4" t="s">
        <v>11645</v>
      </c>
      <c r="E4633" s="4" t="s">
        <v>11646</v>
      </c>
      <c r="F4633" s="4" t="s">
        <v>11633</v>
      </c>
      <c r="G4633" s="5" t="str">
        <f>IFERROR(__xludf.DUMMYFUNCTION("GOOGLETRANSLATE(D4633,""fr"",""es"")"),"vaina")</f>
        <v>vaina</v>
      </c>
    </row>
    <row r="4634">
      <c r="A4634" s="4">
        <v>36.0</v>
      </c>
      <c r="B4634" s="4" t="s">
        <v>11578</v>
      </c>
      <c r="C4634" s="4"/>
      <c r="D4634" s="4" t="s">
        <v>11647</v>
      </c>
      <c r="E4634" s="4" t="s">
        <v>11646</v>
      </c>
      <c r="F4634" s="4" t="s">
        <v>11633</v>
      </c>
      <c r="G4634" s="5" t="str">
        <f>IFERROR(__xludf.DUMMYFUNCTION("GOOGLETRANSLATE(D4634,""fr"",""es"")"),"montón")</f>
        <v>montón</v>
      </c>
    </row>
    <row r="4635">
      <c r="A4635" s="4">
        <v>37.0</v>
      </c>
      <c r="B4635" s="4" t="s">
        <v>11578</v>
      </c>
      <c r="C4635" s="4"/>
      <c r="D4635" s="4" t="s">
        <v>11648</v>
      </c>
      <c r="E4635" s="4" t="s">
        <v>11646</v>
      </c>
      <c r="F4635" s="4" t="s">
        <v>11633</v>
      </c>
      <c r="G4635" s="5" t="str">
        <f>IFERROR(__xludf.DUMMYFUNCTION("GOOGLETRANSLATE(D4635,""fr"",""es"")"),"Almendras")</f>
        <v>Almendras</v>
      </c>
    </row>
    <row r="4636">
      <c r="A4636" s="4">
        <v>38.0</v>
      </c>
      <c r="B4636" s="4" t="s">
        <v>11578</v>
      </c>
      <c r="C4636" s="4"/>
      <c r="D4636" s="4" t="s">
        <v>11649</v>
      </c>
      <c r="E4636" s="4" t="s">
        <v>11650</v>
      </c>
      <c r="F4636" s="4" t="s">
        <v>11651</v>
      </c>
      <c r="G4636" s="5" t="str">
        <f>IFERROR(__xludf.DUMMYFUNCTION("GOOGLETRANSLATE(D4636,""fr"",""es"")"),"amassaâme")</f>
        <v>amassaâme</v>
      </c>
    </row>
    <row r="4637">
      <c r="A4637" s="4">
        <v>39.0</v>
      </c>
      <c r="B4637" s="4" t="s">
        <v>11578</v>
      </c>
      <c r="C4637" s="4"/>
      <c r="D4637" s="4" t="s">
        <v>11652</v>
      </c>
      <c r="E4637" s="4" t="s">
        <v>11639</v>
      </c>
      <c r="F4637" s="4" t="s">
        <v>11637</v>
      </c>
      <c r="G4637" s="5" t="str">
        <f>IFERROR(__xludf.DUMMYFUNCTION("GOOGLETRANSLATE(D4637,""fr"",""es"")"),"amasas")</f>
        <v>amasas</v>
      </c>
    </row>
    <row r="4638">
      <c r="A4638" s="4">
        <v>40.0</v>
      </c>
      <c r="B4638" s="4" t="s">
        <v>11578</v>
      </c>
      <c r="C4638" s="4"/>
      <c r="D4638" s="4" t="s">
        <v>8040</v>
      </c>
      <c r="E4638" s="4" t="s">
        <v>11653</v>
      </c>
      <c r="F4638" s="4" t="s">
        <v>8040</v>
      </c>
      <c r="G4638" s="5" t="str">
        <f>IFERROR(__xludf.DUMMYFUNCTION("GOOGLETRANSLATE(D4638,""fr"",""es"")"),"amati")</f>
        <v>amati</v>
      </c>
    </row>
    <row r="4639">
      <c r="A4639" s="4">
        <v>41.0</v>
      </c>
      <c r="B4639" s="4" t="s">
        <v>11578</v>
      </c>
      <c r="C4639" s="4"/>
      <c r="D4639" s="4" t="s">
        <v>11654</v>
      </c>
      <c r="E4639" s="4" t="s">
        <v>11655</v>
      </c>
      <c r="F4639" s="4" t="s">
        <v>11654</v>
      </c>
      <c r="G4639" s="5" t="str">
        <f>IFERROR(__xludf.DUMMYFUNCTION("GOOGLETRANSLATE(D4639,""fr"",""es"")"),"amigo")</f>
        <v>amigo</v>
      </c>
      <c r="H4639" s="4" t="s">
        <v>11656</v>
      </c>
      <c r="I4639" s="4" t="s">
        <v>11657</v>
      </c>
      <c r="J4639" s="4" t="s">
        <v>11658</v>
      </c>
      <c r="K4639" s="4" t="s">
        <v>602</v>
      </c>
      <c r="L4639" s="4" t="s">
        <v>5816</v>
      </c>
      <c r="M4639" s="4" t="s">
        <v>602</v>
      </c>
      <c r="N4639" s="4" t="s">
        <v>9151</v>
      </c>
      <c r="O4639" s="4" t="s">
        <v>9152</v>
      </c>
      <c r="P4639" s="4" t="s">
        <v>9153</v>
      </c>
      <c r="Q4639" s="4" t="s">
        <v>9154</v>
      </c>
      <c r="R4639" s="4" t="s">
        <v>9155</v>
      </c>
      <c r="S4639" s="4" t="s">
        <v>602</v>
      </c>
      <c r="T4639" s="4" t="s">
        <v>603</v>
      </c>
      <c r="U4639" s="4" t="s">
        <v>604</v>
      </c>
      <c r="V4639" s="4" t="s">
        <v>605</v>
      </c>
      <c r="W4639" s="4" t="s">
        <v>606</v>
      </c>
      <c r="X4639" s="4" t="s">
        <v>607</v>
      </c>
      <c r="Y4639" s="4" t="s">
        <v>602</v>
      </c>
    </row>
    <row r="4640">
      <c r="A4640" s="4">
        <v>42.0</v>
      </c>
      <c r="B4640" s="4" t="s">
        <v>11578</v>
      </c>
      <c r="C4640" s="4"/>
      <c r="D4640" s="4" t="s">
        <v>11659</v>
      </c>
      <c r="E4640" s="4" t="s">
        <v>11660</v>
      </c>
      <c r="F4640" s="4" t="s">
        <v>11661</v>
      </c>
      <c r="G4640" s="5" t="str">
        <f>IFERROR(__xludf.DUMMYFUNCTION("GOOGLETRANSLATE(D4640,""fr"",""es"")"),"amigable")</f>
        <v>amigable</v>
      </c>
      <c r="H4640" s="4" t="s">
        <v>11662</v>
      </c>
      <c r="I4640" s="4" t="s">
        <v>11663</v>
      </c>
      <c r="J4640" s="4" t="s">
        <v>11664</v>
      </c>
      <c r="K4640" s="4" t="s">
        <v>11665</v>
      </c>
      <c r="L4640" s="4" t="s">
        <v>11666</v>
      </c>
    </row>
    <row r="4641">
      <c r="A4641" s="4">
        <v>43.0</v>
      </c>
      <c r="B4641" s="4" t="s">
        <v>11578</v>
      </c>
      <c r="C4641" s="4"/>
      <c r="D4641" s="4" t="s">
        <v>11667</v>
      </c>
      <c r="E4641" s="4" t="s">
        <v>11660</v>
      </c>
      <c r="F4641" s="4" t="s">
        <v>11661</v>
      </c>
      <c r="G4641" s="5" t="str">
        <f>IFERROR(__xludf.DUMMYFUNCTION("GOOGLETRANSLATE(D4641,""fr"",""es"")"),"amigable")</f>
        <v>amigable</v>
      </c>
    </row>
    <row r="4642">
      <c r="A4642" s="4">
        <v>44.0</v>
      </c>
      <c r="B4642" s="4" t="s">
        <v>11578</v>
      </c>
      <c r="C4642" s="4"/>
      <c r="D4642" s="4" t="s">
        <v>11668</v>
      </c>
      <c r="E4642" s="4" t="s">
        <v>11655</v>
      </c>
      <c r="F4642" s="4" t="s">
        <v>11654</v>
      </c>
      <c r="G4642" s="5" t="str">
        <f>IFERROR(__xludf.DUMMYFUNCTION("GOOGLETRANSLATE(D4642,""fr"",""es"")"),"AMCT")</f>
        <v>AMCT</v>
      </c>
    </row>
    <row r="4643">
      <c r="A4643" s="4">
        <v>45.0</v>
      </c>
      <c r="B4643" s="4" t="s">
        <v>11578</v>
      </c>
      <c r="C4643" s="4"/>
      <c r="D4643" s="4" t="s">
        <v>11669</v>
      </c>
      <c r="E4643" s="4" t="s">
        <v>11655</v>
      </c>
      <c r="F4643" s="4" t="s">
        <v>11654</v>
      </c>
      <c r="G4643" s="5" t="str">
        <f>IFERROR(__xludf.DUMMYFUNCTION("GOOGLETRANSLATE(D4643,""fr"",""es"")"),"Amiga")</f>
        <v>Amiga</v>
      </c>
      <c r="H4643" s="4" t="s">
        <v>11656</v>
      </c>
      <c r="I4643" s="4" t="s">
        <v>11657</v>
      </c>
      <c r="J4643" s="4" t="s">
        <v>602</v>
      </c>
    </row>
    <row r="4644">
      <c r="A4644" s="4">
        <v>46.0</v>
      </c>
      <c r="B4644" s="4" t="s">
        <v>11578</v>
      </c>
      <c r="C4644" s="4"/>
      <c r="D4644" s="4" t="s">
        <v>11670</v>
      </c>
      <c r="E4644" s="4" t="s">
        <v>11655</v>
      </c>
      <c r="F4644" s="4" t="s">
        <v>11654</v>
      </c>
      <c r="G4644" s="5" t="str">
        <f>IFERROR(__xludf.DUMMYFUNCTION("GOOGLETRANSLATE(D4644,""fr"",""es"")"),"amigos")</f>
        <v>amigos</v>
      </c>
    </row>
    <row r="4645">
      <c r="A4645" s="4">
        <v>47.0</v>
      </c>
      <c r="B4645" s="4" t="s">
        <v>11578</v>
      </c>
      <c r="C4645" s="4"/>
      <c r="D4645" s="4" t="s">
        <v>9287</v>
      </c>
      <c r="E4645" s="4" t="s">
        <v>11655</v>
      </c>
      <c r="F4645" s="4" t="s">
        <v>11654</v>
      </c>
      <c r="G4645" s="5" t="str">
        <f>IFERROR(__xludf.DUMMYFUNCTION("GOOGLETRANSLATE(D4645,""fr"",""es"")"),"amigos")</f>
        <v>amigos</v>
      </c>
    </row>
    <row r="4646">
      <c r="A4646" s="4">
        <v>48.0</v>
      </c>
      <c r="B4646" s="4" t="s">
        <v>11578</v>
      </c>
      <c r="C4646" s="4"/>
      <c r="D4646" s="4" t="s">
        <v>622</v>
      </c>
      <c r="E4646" s="4" t="s">
        <v>623</v>
      </c>
      <c r="F4646" s="4" t="s">
        <v>622</v>
      </c>
      <c r="G4646" s="5" t="str">
        <f>IFERROR(__xludf.DUMMYFUNCTION("GOOGLETRANSLATE(D4646,""fr"",""es"")"),"anal")</f>
        <v>anal</v>
      </c>
      <c r="H4646" s="4" t="s">
        <v>622</v>
      </c>
      <c r="I4646" s="4" t="s">
        <v>624</v>
      </c>
      <c r="J4646" s="4" t="s">
        <v>622</v>
      </c>
    </row>
    <row r="4647">
      <c r="A4647" s="4">
        <v>49.0</v>
      </c>
      <c r="B4647" s="4" t="s">
        <v>11578</v>
      </c>
      <c r="C4647" s="4"/>
      <c r="D4647" s="4" t="s">
        <v>11671</v>
      </c>
      <c r="E4647" s="4" t="s">
        <v>623</v>
      </c>
      <c r="F4647" s="4" t="s">
        <v>622</v>
      </c>
      <c r="G4647" s="5" t="str">
        <f>IFERROR(__xludf.DUMMYFUNCTION("GOOGLETRANSLATE(D4647,""fr"",""es"")"),"anal")</f>
        <v>anal</v>
      </c>
    </row>
    <row r="4648">
      <c r="A4648" s="4">
        <v>50.0</v>
      </c>
      <c r="B4648" s="4" t="s">
        <v>11578</v>
      </c>
      <c r="C4648" s="4"/>
      <c r="D4648" s="4" t="s">
        <v>11672</v>
      </c>
      <c r="E4648" s="4" t="s">
        <v>623</v>
      </c>
      <c r="F4648" s="4" t="s">
        <v>622</v>
      </c>
      <c r="G4648" s="5" t="str">
        <f>IFERROR(__xludf.DUMMYFUNCTION("GOOGLETRANSLATE(D4648,""fr"",""es"")"),"anal")</f>
        <v>anal</v>
      </c>
    </row>
    <row r="4649">
      <c r="A4649" s="4">
        <v>51.0</v>
      </c>
      <c r="B4649" s="4" t="s">
        <v>11578</v>
      </c>
      <c r="C4649" s="4"/>
      <c r="D4649" s="4" t="s">
        <v>3547</v>
      </c>
      <c r="E4649" s="4" t="s">
        <v>5023</v>
      </c>
      <c r="F4649" s="4" t="s">
        <v>5024</v>
      </c>
      <c r="G4649" s="5" t="str">
        <f>IFERROR(__xludf.DUMMYFUNCTION("GOOGLETRANSLATE(D4649,""fr"",""es"")"),"piña")</f>
        <v>piña</v>
      </c>
      <c r="H4649" s="4" t="s">
        <v>3546</v>
      </c>
      <c r="I4649" s="4" t="s">
        <v>3547</v>
      </c>
      <c r="J4649" s="4" t="s">
        <v>9290</v>
      </c>
      <c r="K4649" s="4" t="s">
        <v>9291</v>
      </c>
      <c r="L4649" s="4" t="s">
        <v>9290</v>
      </c>
      <c r="M4649" s="4" t="s">
        <v>9291</v>
      </c>
      <c r="N4649" s="4" t="s">
        <v>3546</v>
      </c>
      <c r="O4649" s="4" t="s">
        <v>8943</v>
      </c>
      <c r="P4649" s="4" t="s">
        <v>8944</v>
      </c>
    </row>
    <row r="4650">
      <c r="A4650" s="4">
        <v>52.0</v>
      </c>
      <c r="B4650" s="4" t="s">
        <v>11578</v>
      </c>
      <c r="C4650" s="4"/>
      <c r="D4650" s="4" t="s">
        <v>3547</v>
      </c>
      <c r="E4650" s="4" t="s">
        <v>4810</v>
      </c>
      <c r="F4650" s="4" t="s">
        <v>3547</v>
      </c>
      <c r="G4650" s="5" t="str">
        <f>IFERROR(__xludf.DUMMYFUNCTION("GOOGLETRANSLATE(D4650,""fr"",""es"")"),"piña")</f>
        <v>piña</v>
      </c>
      <c r="H4650" s="4" t="s">
        <v>3546</v>
      </c>
      <c r="I4650" s="4" t="s">
        <v>3547</v>
      </c>
      <c r="J4650" s="4" t="s">
        <v>9290</v>
      </c>
      <c r="K4650" s="4" t="s">
        <v>9291</v>
      </c>
      <c r="L4650" s="4" t="s">
        <v>9290</v>
      </c>
      <c r="M4650" s="4" t="s">
        <v>9291</v>
      </c>
      <c r="N4650" s="4" t="s">
        <v>3546</v>
      </c>
      <c r="O4650" s="4" t="s">
        <v>8943</v>
      </c>
      <c r="P4650" s="4" t="s">
        <v>8944</v>
      </c>
    </row>
    <row r="4651">
      <c r="A4651" s="4">
        <v>53.0</v>
      </c>
      <c r="B4651" s="4" t="s">
        <v>11578</v>
      </c>
      <c r="C4651" s="4"/>
      <c r="D4651" s="4" t="s">
        <v>11673</v>
      </c>
      <c r="E4651" s="4" t="s">
        <v>11674</v>
      </c>
      <c r="F4651" s="4" t="s">
        <v>11675</v>
      </c>
      <c r="G4651" s="5" t="str">
        <f>IFERROR(__xludf.DUMMYFUNCTION("GOOGLETRANSLATE(D4651,""fr"",""es"")"),"anilla")</f>
        <v>anilla</v>
      </c>
    </row>
    <row r="4652">
      <c r="A4652" s="4">
        <v>54.0</v>
      </c>
      <c r="B4652" s="4" t="s">
        <v>11578</v>
      </c>
      <c r="C4652" s="4"/>
      <c r="D4652" s="4" t="s">
        <v>654</v>
      </c>
      <c r="E4652" s="4" t="s">
        <v>655</v>
      </c>
      <c r="F4652" s="4" t="s">
        <v>654</v>
      </c>
      <c r="G4652" s="5" t="str">
        <f>IFERROR(__xludf.DUMMYFUNCTION("GOOGLETRANSLATE(D4652,""fr"",""es"")"),"animal")</f>
        <v>animal</v>
      </c>
      <c r="H4652" s="4" t="s">
        <v>654</v>
      </c>
      <c r="I4652" s="4" t="s">
        <v>656</v>
      </c>
      <c r="J4652" s="4" t="s">
        <v>657</v>
      </c>
      <c r="K4652" s="4" t="s">
        <v>658</v>
      </c>
      <c r="L4652" s="4" t="s">
        <v>659</v>
      </c>
      <c r="M4652" s="4" t="s">
        <v>660</v>
      </c>
      <c r="N4652" s="4" t="s">
        <v>11676</v>
      </c>
      <c r="O4652" s="4" t="s">
        <v>11677</v>
      </c>
      <c r="P4652" s="4" t="s">
        <v>11678</v>
      </c>
      <c r="Q4652" s="4" t="s">
        <v>654</v>
      </c>
      <c r="R4652" s="4" t="s">
        <v>661</v>
      </c>
      <c r="S4652" s="4" t="s">
        <v>662</v>
      </c>
      <c r="T4652" s="4" t="s">
        <v>663</v>
      </c>
    </row>
    <row r="4653">
      <c r="A4653" s="4">
        <v>55.0</v>
      </c>
      <c r="B4653" s="4" t="s">
        <v>11578</v>
      </c>
      <c r="C4653" s="4"/>
      <c r="D4653" s="4" t="s">
        <v>11679</v>
      </c>
      <c r="E4653" s="4" t="s">
        <v>655</v>
      </c>
      <c r="F4653" s="4" t="s">
        <v>654</v>
      </c>
      <c r="G4653" s="5" t="str">
        <f>IFERROR(__xludf.DUMMYFUNCTION("GOOGLETRANSLATE(D4653,""fr"",""es"")"),"animal")</f>
        <v>animal</v>
      </c>
    </row>
    <row r="4654">
      <c r="A4654" s="4">
        <v>56.0</v>
      </c>
      <c r="B4654" s="4" t="s">
        <v>11578</v>
      </c>
      <c r="C4654" s="4"/>
      <c r="D4654" s="4" t="s">
        <v>11680</v>
      </c>
      <c r="E4654" s="4" t="s">
        <v>655</v>
      </c>
      <c r="F4654" s="4" t="s">
        <v>654</v>
      </c>
      <c r="G4654" s="5" t="str">
        <f>IFERROR(__xludf.DUMMYFUNCTION("GOOGLETRANSLATE(D4654,""fr"",""es"")"),"animal")</f>
        <v>animal</v>
      </c>
    </row>
    <row r="4655">
      <c r="A4655" s="4">
        <v>57.0</v>
      </c>
      <c r="B4655" s="4" t="s">
        <v>11578</v>
      </c>
      <c r="C4655" s="4"/>
      <c r="D4655" s="4" t="s">
        <v>11681</v>
      </c>
      <c r="E4655" s="4" t="s">
        <v>11682</v>
      </c>
      <c r="F4655" s="4" t="s">
        <v>11683</v>
      </c>
      <c r="G4655" s="5" t="str">
        <f>IFERROR(__xludf.DUMMYFUNCTION("GOOGLETRANSLATE(D4655,""fr"",""es"")"),"animal")</f>
        <v>animal</v>
      </c>
    </row>
    <row r="4656">
      <c r="A4656" s="4">
        <v>58.0</v>
      </c>
      <c r="B4656" s="4" t="s">
        <v>11578</v>
      </c>
      <c r="C4656" s="4"/>
      <c r="D4656" s="4" t="s">
        <v>11684</v>
      </c>
      <c r="E4656" s="4" t="s">
        <v>11682</v>
      </c>
      <c r="F4656" s="4" t="s">
        <v>11683</v>
      </c>
      <c r="G4656" s="5" t="str">
        <f>IFERROR(__xludf.DUMMYFUNCTION("GOOGLETRANSLATE(D4656,""fr"",""es"")"),"animal")</f>
        <v>animal</v>
      </c>
    </row>
    <row r="4657">
      <c r="A4657" s="4">
        <v>59.0</v>
      </c>
      <c r="B4657" s="4" t="s">
        <v>11578</v>
      </c>
      <c r="C4657" s="4"/>
      <c r="D4657" s="4" t="s">
        <v>11685</v>
      </c>
      <c r="E4657" s="4" t="s">
        <v>4749</v>
      </c>
      <c r="F4657" s="4" t="s">
        <v>4750</v>
      </c>
      <c r="G4657" s="5" t="str">
        <f>IFERROR(__xludf.DUMMYFUNCTION("GOOGLETRANSLATE(D4657,""fr"",""es"")"),"anime")</f>
        <v>anime</v>
      </c>
    </row>
    <row r="4658">
      <c r="A4658" s="4">
        <v>60.0</v>
      </c>
      <c r="B4658" s="4" t="s">
        <v>11578</v>
      </c>
      <c r="C4658" s="4"/>
      <c r="D4658" s="4" t="s">
        <v>747</v>
      </c>
      <c r="E4658" s="4" t="s">
        <v>743</v>
      </c>
      <c r="F4658" s="4" t="s">
        <v>744</v>
      </c>
      <c r="G4658" s="5" t="str">
        <f>IFERROR(__xludf.DUMMYFUNCTION("GOOGLETRANSLATE(D4658,""fr"",""es"")"),"anís")</f>
        <v>anís</v>
      </c>
      <c r="H4658" s="4" t="s">
        <v>748</v>
      </c>
      <c r="I4658" s="4" t="s">
        <v>749</v>
      </c>
      <c r="J4658" s="4" t="s">
        <v>750</v>
      </c>
      <c r="K4658" s="4" t="s">
        <v>748</v>
      </c>
      <c r="L4658" s="4" t="s">
        <v>753</v>
      </c>
      <c r="M4658" s="4" t="s">
        <v>754</v>
      </c>
    </row>
    <row r="4659">
      <c r="A4659" s="4">
        <v>61.0</v>
      </c>
      <c r="B4659" s="4" t="s">
        <v>11578</v>
      </c>
      <c r="C4659" s="4"/>
      <c r="D4659" s="4" t="s">
        <v>747</v>
      </c>
      <c r="E4659" s="4" t="s">
        <v>746</v>
      </c>
      <c r="F4659" s="4" t="s">
        <v>747</v>
      </c>
      <c r="G4659" s="5" t="str">
        <f>IFERROR(__xludf.DUMMYFUNCTION("GOOGLETRANSLATE(D4659,""fr"",""es"")"),"anís")</f>
        <v>anís</v>
      </c>
      <c r="H4659" s="4" t="s">
        <v>748</v>
      </c>
      <c r="I4659" s="4" t="s">
        <v>749</v>
      </c>
      <c r="J4659" s="4" t="s">
        <v>750</v>
      </c>
      <c r="K4659" s="4" t="s">
        <v>748</v>
      </c>
      <c r="L4659" s="4" t="s">
        <v>753</v>
      </c>
      <c r="M4659" s="4" t="s">
        <v>754</v>
      </c>
    </row>
    <row r="4660">
      <c r="A4660" s="4">
        <v>62.0</v>
      </c>
      <c r="B4660" s="4" t="s">
        <v>11578</v>
      </c>
      <c r="C4660" s="4"/>
      <c r="D4660" s="4" t="s">
        <v>9294</v>
      </c>
      <c r="E4660" s="4" t="s">
        <v>11686</v>
      </c>
      <c r="F4660" s="4" t="s">
        <v>9294</v>
      </c>
      <c r="G4660" s="5" t="str">
        <f>IFERROR(__xludf.DUMMYFUNCTION("GOOGLETRANSLATE(D4660,""fr"",""es"")"),"Anita")</f>
        <v>Anita</v>
      </c>
    </row>
    <row r="4661">
      <c r="A4661" s="4">
        <v>63.0</v>
      </c>
      <c r="B4661" s="4" t="s">
        <v>11578</v>
      </c>
      <c r="C4661" s="4"/>
      <c r="D4661" s="4" t="s">
        <v>11687</v>
      </c>
      <c r="E4661" s="4" t="s">
        <v>740</v>
      </c>
      <c r="F4661" s="4" t="s">
        <v>741</v>
      </c>
      <c r="G4661" s="5" t="str">
        <f>IFERROR(__xludf.DUMMYFUNCTION("GOOGLETRANSLATE(D4661,""fr"",""es"")"),"Anna")</f>
        <v>Anna</v>
      </c>
    </row>
    <row r="4662">
      <c r="A4662" s="4">
        <v>64.0</v>
      </c>
      <c r="B4662" s="4" t="s">
        <v>11578</v>
      </c>
      <c r="C4662" s="4"/>
      <c r="D4662" s="4" t="s">
        <v>11688</v>
      </c>
      <c r="E4662" s="4" t="s">
        <v>623</v>
      </c>
      <c r="F4662" s="4" t="s">
        <v>622</v>
      </c>
      <c r="G4662" s="5" t="str">
        <f>IFERROR(__xludf.DUMMYFUNCTION("GOOGLETRANSLATE(D4662,""fr"",""es"")"),"annal")</f>
        <v>annal</v>
      </c>
    </row>
    <row r="4663">
      <c r="A4663" s="4">
        <v>65.0</v>
      </c>
      <c r="B4663" s="4" t="s">
        <v>11578</v>
      </c>
      <c r="C4663" s="4"/>
      <c r="D4663" s="4" t="s">
        <v>11689</v>
      </c>
      <c r="E4663" s="4" t="s">
        <v>623</v>
      </c>
      <c r="F4663" s="4" t="s">
        <v>622</v>
      </c>
      <c r="G4663" s="5" t="str">
        <f>IFERROR(__xludf.DUMMYFUNCTION("GOOGLETRANSLATE(D4663,""fr"",""es"")"),"annale")</f>
        <v>annale</v>
      </c>
    </row>
    <row r="4664">
      <c r="A4664" s="4">
        <v>66.0</v>
      </c>
      <c r="B4664" s="4" t="s">
        <v>11578</v>
      </c>
      <c r="C4664" s="4"/>
      <c r="D4664" s="4" t="s">
        <v>11690</v>
      </c>
      <c r="E4664" s="4" t="s">
        <v>623</v>
      </c>
      <c r="F4664" s="4" t="s">
        <v>622</v>
      </c>
      <c r="G4664" s="5" t="str">
        <f>IFERROR(__xludf.DUMMYFUNCTION("GOOGLETRANSLATE(D4664,""fr"",""es"")"),"anales")</f>
        <v>anales</v>
      </c>
    </row>
    <row r="4665">
      <c r="A4665" s="4">
        <v>67.0</v>
      </c>
      <c r="B4665" s="4" t="s">
        <v>11578</v>
      </c>
      <c r="C4665" s="4"/>
      <c r="D4665" s="4" t="s">
        <v>11691</v>
      </c>
      <c r="E4665" s="4" t="s">
        <v>11692</v>
      </c>
      <c r="F4665" s="4" t="s">
        <v>11693</v>
      </c>
      <c r="G4665" s="5" t="str">
        <f>IFERROR(__xludf.DUMMYFUNCTION("GOOGLETRANSLATE(D4665,""fr"",""es"")"),"Annam")</f>
        <v>Annam</v>
      </c>
    </row>
    <row r="4666">
      <c r="A4666" s="4">
        <v>68.0</v>
      </c>
      <c r="B4666" s="4" t="s">
        <v>11578</v>
      </c>
      <c r="C4666" s="4"/>
      <c r="D4666" s="4" t="s">
        <v>5840</v>
      </c>
      <c r="E4666" s="4" t="s">
        <v>593</v>
      </c>
      <c r="F4666" s="4" t="s">
        <v>594</v>
      </c>
      <c r="G4666" s="5" t="str">
        <f>IFERROR(__xludf.DUMMYFUNCTION("GOOGLETRANSLATE(D4666,""fr"",""es"")"),"Ana")</f>
        <v>Ana</v>
      </c>
      <c r="H4666" s="4" t="s">
        <v>11687</v>
      </c>
    </row>
    <row r="4667">
      <c r="A4667" s="4">
        <v>69.0</v>
      </c>
      <c r="B4667" s="4" t="s">
        <v>11578</v>
      </c>
      <c r="C4667" s="4"/>
      <c r="D4667" s="4" t="s">
        <v>11694</v>
      </c>
      <c r="E4667" s="4" t="s">
        <v>11695</v>
      </c>
      <c r="F4667" s="4" t="s">
        <v>11696</v>
      </c>
      <c r="G4667" s="5" t="str">
        <f>IFERROR(__xludf.DUMMYFUNCTION("GOOGLETRANSLATE(D4667,""fr"",""es"")"),"anillo")</f>
        <v>anillo</v>
      </c>
    </row>
    <row r="4668">
      <c r="A4668" s="4">
        <v>70.0</v>
      </c>
      <c r="B4668" s="4" t="s">
        <v>11578</v>
      </c>
      <c r="C4668" s="4"/>
      <c r="D4668" s="4" t="s">
        <v>8050</v>
      </c>
      <c r="E4668" s="4" t="s">
        <v>743</v>
      </c>
      <c r="F4668" s="4" t="s">
        <v>744</v>
      </c>
      <c r="G4668" s="5" t="str">
        <f>IFERROR(__xludf.DUMMYFUNCTION("GOOGLETRANSLATE(D4668,""fr"",""es"")"),"Annie")</f>
        <v>Annie</v>
      </c>
    </row>
    <row r="4669">
      <c r="A4669" s="4">
        <v>71.0</v>
      </c>
      <c r="B4669" s="4" t="s">
        <v>11578</v>
      </c>
      <c r="C4669" s="4"/>
      <c r="D4669" s="4" t="s">
        <v>11697</v>
      </c>
      <c r="E4669" s="4" t="s">
        <v>11698</v>
      </c>
      <c r="F4669" s="4" t="s">
        <v>11699</v>
      </c>
      <c r="G4669" s="5" t="str">
        <f>IFERROR(__xludf.DUMMYFUNCTION("GOOGLETRANSLATE(D4669,""fr"",""es"")"),"apache")</f>
        <v>apache</v>
      </c>
      <c r="H4669" s="4" t="s">
        <v>11700</v>
      </c>
      <c r="I4669" s="4" t="s">
        <v>11697</v>
      </c>
      <c r="J4669" s="4" t="s">
        <v>11700</v>
      </c>
    </row>
    <row r="4670">
      <c r="A4670" s="4">
        <v>72.0</v>
      </c>
      <c r="B4670" s="4" t="s">
        <v>11578</v>
      </c>
      <c r="C4670" s="4"/>
      <c r="D4670" s="4" t="s">
        <v>11701</v>
      </c>
      <c r="E4670" s="4" t="s">
        <v>5691</v>
      </c>
      <c r="F4670" s="4" t="s">
        <v>5692</v>
      </c>
      <c r="G4670" s="5" t="str">
        <f>IFERROR(__xludf.DUMMYFUNCTION("GOOGLETRANSLATE(D4670,""fr"",""es"")"),"apatía")</f>
        <v>apatía</v>
      </c>
      <c r="H4670" s="4" t="s">
        <v>11702</v>
      </c>
      <c r="I4670" s="4" t="s">
        <v>11703</v>
      </c>
      <c r="J4670" s="4" t="s">
        <v>11704</v>
      </c>
      <c r="K4670" s="4" t="s">
        <v>11705</v>
      </c>
      <c r="L4670" s="4" t="s">
        <v>11702</v>
      </c>
    </row>
    <row r="4671">
      <c r="A4671" s="4">
        <v>73.0</v>
      </c>
      <c r="B4671" s="4" t="s">
        <v>11578</v>
      </c>
      <c r="C4671" s="4"/>
      <c r="D4671" s="4" t="s">
        <v>11706</v>
      </c>
      <c r="E4671" s="4" t="s">
        <v>798</v>
      </c>
      <c r="F4671" s="4" t="s">
        <v>799</v>
      </c>
      <c r="G4671" s="5" t="str">
        <f>IFERROR(__xludf.DUMMYFUNCTION("GOOGLETRANSLATE(D4671,""fr"",""es"")"),"apático")</f>
        <v>apático</v>
      </c>
      <c r="H4671" s="4" t="s">
        <v>11707</v>
      </c>
      <c r="I4671" s="4" t="s">
        <v>11708</v>
      </c>
      <c r="J4671" s="4" t="s">
        <v>11707</v>
      </c>
    </row>
    <row r="4672">
      <c r="A4672" s="4">
        <v>74.0</v>
      </c>
      <c r="B4672" s="4" t="s">
        <v>11578</v>
      </c>
      <c r="C4672" s="4"/>
      <c r="D4672" s="4" t="s">
        <v>11709</v>
      </c>
      <c r="E4672" s="4" t="s">
        <v>11710</v>
      </c>
      <c r="F4672" s="4" t="s">
        <v>11711</v>
      </c>
      <c r="G4672" s="5" t="str">
        <f>IFERROR(__xludf.DUMMYFUNCTION("GOOGLETRANSLATE(D4672,""fr"",""es"")"),"aparato")</f>
        <v>aparato</v>
      </c>
      <c r="H4672" s="4" t="s">
        <v>11712</v>
      </c>
      <c r="I4672" s="4" t="s">
        <v>11713</v>
      </c>
    </row>
    <row r="4673">
      <c r="A4673" s="4">
        <v>75.0</v>
      </c>
      <c r="B4673" s="4" t="s">
        <v>11578</v>
      </c>
      <c r="C4673" s="4"/>
      <c r="D4673" s="4" t="s">
        <v>11714</v>
      </c>
      <c r="E4673" s="4" t="s">
        <v>11715</v>
      </c>
      <c r="F4673" s="4" t="s">
        <v>755</v>
      </c>
      <c r="G4673" s="5" t="str">
        <f>IFERROR(__xludf.DUMMYFUNCTION("GOOGLETRANSLATE(D4673,""fr"",""es"")"),"parases")</f>
        <v>parases</v>
      </c>
    </row>
    <row r="4674">
      <c r="A4674" s="4">
        <v>76.0</v>
      </c>
      <c r="B4674" s="4" t="s">
        <v>11578</v>
      </c>
      <c r="C4674" s="4"/>
      <c r="D4674" s="4" t="s">
        <v>11716</v>
      </c>
      <c r="E4674" s="4" t="s">
        <v>756</v>
      </c>
      <c r="F4674" s="4" t="s">
        <v>755</v>
      </c>
      <c r="G4674" s="5" t="str">
        <f>IFERROR(__xludf.DUMMYFUNCTION("GOOGLETRANSLATE(D4674,""fr"",""es"")"),"carnada")</f>
        <v>carnada</v>
      </c>
      <c r="H4674" s="4" t="s">
        <v>3334</v>
      </c>
      <c r="I4674" s="4" t="s">
        <v>3335</v>
      </c>
      <c r="J4674" s="4" t="s">
        <v>3336</v>
      </c>
      <c r="K4674" s="4" t="s">
        <v>3336</v>
      </c>
      <c r="L4674" s="4" t="s">
        <v>11717</v>
      </c>
      <c r="M4674" s="4" t="s">
        <v>6282</v>
      </c>
      <c r="N4674" s="4" t="s">
        <v>3334</v>
      </c>
      <c r="O4674" s="4" t="s">
        <v>6282</v>
      </c>
      <c r="P4674" s="4" t="s">
        <v>6278</v>
      </c>
      <c r="Q4674" s="4" t="s">
        <v>3336</v>
      </c>
      <c r="R4674" s="4" t="s">
        <v>6283</v>
      </c>
    </row>
    <row r="4675">
      <c r="A4675" s="4">
        <v>77.0</v>
      </c>
      <c r="B4675" s="4" t="s">
        <v>11578</v>
      </c>
      <c r="C4675" s="4"/>
      <c r="D4675" s="4" t="s">
        <v>11716</v>
      </c>
      <c r="E4675" s="4" t="s">
        <v>11715</v>
      </c>
      <c r="F4675" s="4" t="s">
        <v>755</v>
      </c>
      <c r="G4675" s="5" t="str">
        <f>IFERROR(__xludf.DUMMYFUNCTION("GOOGLETRANSLATE(D4675,""fr"",""es"")"),"carnada")</f>
        <v>carnada</v>
      </c>
      <c r="H4675" s="4" t="s">
        <v>3334</v>
      </c>
      <c r="I4675" s="4" t="s">
        <v>3335</v>
      </c>
      <c r="J4675" s="4" t="s">
        <v>3336</v>
      </c>
      <c r="K4675" s="4" t="s">
        <v>3336</v>
      </c>
      <c r="L4675" s="4" t="s">
        <v>11717</v>
      </c>
      <c r="M4675" s="4" t="s">
        <v>6282</v>
      </c>
      <c r="N4675" s="4" t="s">
        <v>3334</v>
      </c>
      <c r="O4675" s="4" t="s">
        <v>6282</v>
      </c>
      <c r="P4675" s="4" t="s">
        <v>6278</v>
      </c>
      <c r="Q4675" s="4" t="s">
        <v>3336</v>
      </c>
      <c r="R4675" s="4" t="s">
        <v>6283</v>
      </c>
    </row>
    <row r="4676">
      <c r="A4676" s="4">
        <v>78.0</v>
      </c>
      <c r="B4676" s="4" t="s">
        <v>11578</v>
      </c>
      <c r="C4676" s="4"/>
      <c r="D4676" s="4" t="s">
        <v>11718</v>
      </c>
      <c r="E4676" s="4" t="s">
        <v>11719</v>
      </c>
      <c r="F4676" s="4" t="s">
        <v>11720</v>
      </c>
      <c r="G4676" s="5" t="str">
        <f>IFERROR(__xludf.DUMMYFUNCTION("GOOGLETRANSLATE(D4676,""fr"",""es"")"),"carnada")</f>
        <v>carnada</v>
      </c>
    </row>
    <row r="4677">
      <c r="A4677" s="4">
        <v>79.0</v>
      </c>
      <c r="B4677" s="4" t="s">
        <v>11578</v>
      </c>
      <c r="C4677" s="4"/>
      <c r="D4677" s="4" t="s">
        <v>11721</v>
      </c>
      <c r="E4677" s="4" t="s">
        <v>11719</v>
      </c>
      <c r="F4677" s="4" t="s">
        <v>11720</v>
      </c>
      <c r="G4677" s="5" t="str">
        <f>IFERROR(__xludf.DUMMYFUNCTION("GOOGLETRANSLATE(D4677,""fr"",""es"")"),"carnada")</f>
        <v>carnada</v>
      </c>
    </row>
    <row r="4678">
      <c r="A4678" s="4">
        <v>80.0</v>
      </c>
      <c r="B4678" s="4" t="s">
        <v>11578</v>
      </c>
      <c r="C4678" s="4"/>
      <c r="D4678" s="4" t="s">
        <v>11722</v>
      </c>
      <c r="E4678" s="4" t="s">
        <v>11723</v>
      </c>
      <c r="F4678" s="4" t="s">
        <v>11724</v>
      </c>
      <c r="G4678" s="5" t="str">
        <f>IFERROR(__xludf.DUMMYFUNCTION("GOOGLETRANSLATE(D4678,""fr"",""es"")"),"carnada")</f>
        <v>carnada</v>
      </c>
    </row>
    <row r="4679">
      <c r="A4679" s="4">
        <v>81.0</v>
      </c>
      <c r="B4679" s="4" t="s">
        <v>11578</v>
      </c>
      <c r="C4679" s="4"/>
      <c r="D4679" s="4" t="s">
        <v>11725</v>
      </c>
      <c r="E4679" s="4" t="s">
        <v>11723</v>
      </c>
      <c r="F4679" s="4" t="s">
        <v>11724</v>
      </c>
      <c r="G4679" s="5" t="str">
        <f>IFERROR(__xludf.DUMMYFUNCTION("GOOGLETRANSLATE(D4679,""fr"",""es"")"),"carnada")</f>
        <v>carnada</v>
      </c>
    </row>
    <row r="4680">
      <c r="A4680" s="4">
        <v>82.0</v>
      </c>
      <c r="B4680" s="4" t="s">
        <v>11578</v>
      </c>
      <c r="C4680" s="4"/>
      <c r="D4680" s="4" t="s">
        <v>11726</v>
      </c>
      <c r="E4680" s="4" t="s">
        <v>11723</v>
      </c>
      <c r="F4680" s="4" t="s">
        <v>11724</v>
      </c>
      <c r="G4680" s="5" t="str">
        <f>IFERROR(__xludf.DUMMYFUNCTION("GOOGLETRANSLATE(D4680,""fr"",""es"")"),"carnada")</f>
        <v>carnada</v>
      </c>
    </row>
    <row r="4681">
      <c r="A4681" s="4">
        <v>83.0</v>
      </c>
      <c r="B4681" s="4" t="s">
        <v>11578</v>
      </c>
      <c r="C4681" s="4"/>
      <c r="D4681" s="4" t="s">
        <v>11727</v>
      </c>
      <c r="E4681" s="4" t="s">
        <v>11715</v>
      </c>
      <c r="F4681" s="4" t="s">
        <v>755</v>
      </c>
      <c r="G4681" s="5" t="str">
        <f>IFERROR(__xludf.DUMMYFUNCTION("GOOGLETRANSLATE(D4681,""fr"",""es"")"),"carnada")</f>
        <v>carnada</v>
      </c>
    </row>
    <row r="4682">
      <c r="A4682" s="4">
        <v>84.0</v>
      </c>
      <c r="B4682" s="4" t="s">
        <v>11578</v>
      </c>
      <c r="C4682" s="4"/>
      <c r="D4682" s="4" t="s">
        <v>11728</v>
      </c>
      <c r="E4682" s="4" t="s">
        <v>11729</v>
      </c>
      <c r="F4682" s="4" t="s">
        <v>11730</v>
      </c>
      <c r="G4682" s="5" t="str">
        <f>IFERROR(__xludf.DUMMYFUNCTION("GOOGLETRANSLATE(D4682,""fr"",""es"")"),"carnada")</f>
        <v>carnada</v>
      </c>
    </row>
    <row r="4683">
      <c r="A4683" s="4">
        <v>85.0</v>
      </c>
      <c r="B4683" s="4" t="s">
        <v>11578</v>
      </c>
      <c r="C4683" s="4"/>
      <c r="D4683" s="4" t="s">
        <v>11731</v>
      </c>
      <c r="E4683" s="4" t="s">
        <v>11719</v>
      </c>
      <c r="F4683" s="4" t="s">
        <v>11720</v>
      </c>
      <c r="G4683" s="5" t="str">
        <f>IFERROR(__xludf.DUMMYFUNCTION("GOOGLETRANSLATE(D4683,""fr"",""es"")"),"carnada")</f>
        <v>carnada</v>
      </c>
    </row>
    <row r="4684">
      <c r="A4684" s="4">
        <v>86.0</v>
      </c>
      <c r="B4684" s="4" t="s">
        <v>11578</v>
      </c>
      <c r="C4684" s="4"/>
      <c r="D4684" s="4" t="s">
        <v>11732</v>
      </c>
      <c r="E4684" s="4" t="s">
        <v>11733</v>
      </c>
      <c r="F4684" s="4" t="s">
        <v>11734</v>
      </c>
      <c r="G4684" s="5" t="str">
        <f>IFERROR(__xludf.DUMMYFUNCTION("GOOGLETRANSLATE(D4684,""fr"",""es"")"),"aguileño")</f>
        <v>aguileño</v>
      </c>
    </row>
    <row r="4685">
      <c r="A4685" s="4">
        <v>87.0</v>
      </c>
      <c r="B4685" s="4" t="s">
        <v>11578</v>
      </c>
      <c r="C4685" s="4"/>
      <c r="D4685" s="4" t="s">
        <v>295</v>
      </c>
      <c r="E4685" s="4" t="s">
        <v>8581</v>
      </c>
      <c r="F4685" s="4" t="s">
        <v>295</v>
      </c>
      <c r="G4685" s="5" t="str">
        <f>IFERROR(__xludf.DUMMYFUNCTION("GOOGLETRANSLATE(D4685,""fr"",""es"")"),"COMO")</f>
        <v>COMO</v>
      </c>
      <c r="H4685" s="4" t="s">
        <v>833</v>
      </c>
      <c r="I4685" s="4" t="s">
        <v>833</v>
      </c>
      <c r="J4685" s="4" t="s">
        <v>833</v>
      </c>
      <c r="K4685" s="4" t="s">
        <v>833</v>
      </c>
      <c r="L4685" s="4" t="s">
        <v>11735</v>
      </c>
      <c r="M4685" s="4" t="s">
        <v>833</v>
      </c>
      <c r="N4685" s="4" t="s">
        <v>11736</v>
      </c>
      <c r="O4685" s="4" t="s">
        <v>11737</v>
      </c>
      <c r="P4685" s="4" t="s">
        <v>11738</v>
      </c>
      <c r="Q4685" s="4" t="s">
        <v>8236</v>
      </c>
      <c r="R4685" s="4" t="s">
        <v>833</v>
      </c>
      <c r="S4685" s="4" t="s">
        <v>833</v>
      </c>
      <c r="T4685" s="4" t="s">
        <v>834</v>
      </c>
      <c r="U4685" s="4" t="s">
        <v>605</v>
      </c>
      <c r="V4685" s="4" t="s">
        <v>835</v>
      </c>
      <c r="W4685" s="4" t="s">
        <v>836</v>
      </c>
      <c r="X4685" s="4" t="s">
        <v>837</v>
      </c>
      <c r="Y4685" s="4" t="s">
        <v>838</v>
      </c>
      <c r="Z4685" s="4" t="s">
        <v>839</v>
      </c>
      <c r="AA4685" s="4" t="s">
        <v>840</v>
      </c>
      <c r="AB4685" s="4" t="s">
        <v>841</v>
      </c>
      <c r="AC4685" s="4" t="s">
        <v>842</v>
      </c>
      <c r="AD4685" s="4" t="s">
        <v>843</v>
      </c>
      <c r="AE4685" s="4" t="s">
        <v>844</v>
      </c>
      <c r="AF4685" s="4" t="s">
        <v>845</v>
      </c>
      <c r="AG4685" s="4" t="s">
        <v>846</v>
      </c>
      <c r="AH4685" s="4" t="s">
        <v>5852</v>
      </c>
      <c r="AI4685" s="4" t="s">
        <v>5853</v>
      </c>
      <c r="AJ4685" s="4" t="s">
        <v>5854</v>
      </c>
      <c r="AK4685" s="4" t="s">
        <v>11739</v>
      </c>
      <c r="AL4685" s="4" t="s">
        <v>11740</v>
      </c>
      <c r="AM4685" s="4" t="s">
        <v>11741</v>
      </c>
    </row>
    <row r="4686">
      <c r="A4686" s="4">
        <v>88.0</v>
      </c>
      <c r="B4686" s="4" t="s">
        <v>11578</v>
      </c>
      <c r="C4686" s="4"/>
      <c r="D4686" s="4" t="s">
        <v>11742</v>
      </c>
      <c r="E4686" s="4" t="s">
        <v>848</v>
      </c>
      <c r="F4686" s="4" t="s">
        <v>849</v>
      </c>
      <c r="G4686" s="5" t="str">
        <f>IFERROR(__xludf.DUMMYFUNCTION("GOOGLETRANSLATE(D4686,""fr"",""es"")"),"asesinato")</f>
        <v>asesinato</v>
      </c>
      <c r="H4686" s="4" t="s">
        <v>11743</v>
      </c>
      <c r="I4686" s="4" t="s">
        <v>854</v>
      </c>
      <c r="J4686" s="4" t="s">
        <v>11744</v>
      </c>
      <c r="K4686" s="4" t="s">
        <v>11745</v>
      </c>
      <c r="L4686" s="4" t="s">
        <v>11746</v>
      </c>
      <c r="M4686" s="4" t="s">
        <v>11747</v>
      </c>
      <c r="N4686" s="4" t="s">
        <v>11748</v>
      </c>
      <c r="O4686" s="4" t="s">
        <v>854</v>
      </c>
      <c r="P4686" s="4" t="s">
        <v>11749</v>
      </c>
      <c r="Q4686" s="4" t="s">
        <v>11746</v>
      </c>
      <c r="R4686" s="4" t="s">
        <v>11750</v>
      </c>
    </row>
    <row r="4687">
      <c r="A4687" s="4">
        <v>89.0</v>
      </c>
      <c r="B4687" s="4" t="s">
        <v>11578</v>
      </c>
      <c r="C4687" s="4"/>
      <c r="D4687" s="4" t="s">
        <v>11751</v>
      </c>
      <c r="E4687" s="4" t="s">
        <v>11752</v>
      </c>
      <c r="F4687" s="4" t="s">
        <v>11753</v>
      </c>
      <c r="G4687" s="5" t="str">
        <f>IFERROR(__xludf.DUMMYFUNCTION("GOOGLETRANSLATE(D4687,""fr"",""es"")"),"asesino")</f>
        <v>asesino</v>
      </c>
    </row>
    <row r="4688">
      <c r="A4688" s="4">
        <v>90.0</v>
      </c>
      <c r="B4688" s="4" t="s">
        <v>11578</v>
      </c>
      <c r="C4688" s="4"/>
      <c r="D4688" s="4" t="s">
        <v>11754</v>
      </c>
      <c r="E4688" s="4" t="s">
        <v>11755</v>
      </c>
      <c r="F4688" s="4" t="s">
        <v>11756</v>
      </c>
      <c r="G4688" s="5" t="str">
        <f>IFERROR(__xludf.DUMMYFUNCTION("GOOGLETRANSLATE(D4688,""fr"",""es"")"),"asignación")</f>
        <v>asignación</v>
      </c>
    </row>
    <row r="4689">
      <c r="A4689" s="4">
        <v>91.0</v>
      </c>
      <c r="B4689" s="4" t="s">
        <v>11578</v>
      </c>
      <c r="C4689" s="4"/>
      <c r="D4689" s="4" t="s">
        <v>11757</v>
      </c>
      <c r="E4689" s="4" t="s">
        <v>501</v>
      </c>
      <c r="F4689" s="4" t="s">
        <v>502</v>
      </c>
      <c r="G4689" s="5" t="str">
        <f>IFERROR(__xludf.DUMMYFUNCTION("GOOGLETRANSLATE(D4689,""fr"",""es"")"),"se sentó")</f>
        <v>se sentó</v>
      </c>
      <c r="H4689" s="4" t="s">
        <v>11758</v>
      </c>
      <c r="I4689" s="4" t="s">
        <v>11759</v>
      </c>
    </row>
    <row r="4690">
      <c r="A4690" s="4">
        <v>92.0</v>
      </c>
      <c r="B4690" s="4" t="s">
        <v>11578</v>
      </c>
      <c r="C4690" s="4"/>
      <c r="D4690" s="4" t="s">
        <v>11760</v>
      </c>
      <c r="E4690" s="4" t="s">
        <v>11761</v>
      </c>
      <c r="F4690" s="4" t="s">
        <v>11762</v>
      </c>
      <c r="G4690" s="5" t="str">
        <f>IFERROR(__xludf.DUMMYFUNCTION("GOOGLETRANSLATE(D4690,""fr"",""es"")"),"activo")</f>
        <v>activo</v>
      </c>
      <c r="H4690" s="4" t="s">
        <v>11763</v>
      </c>
      <c r="I4690" s="4" t="s">
        <v>11764</v>
      </c>
      <c r="J4690" s="4" t="s">
        <v>11765</v>
      </c>
      <c r="K4690" s="4" t="s">
        <v>4122</v>
      </c>
      <c r="L4690" s="4" t="s">
        <v>11766</v>
      </c>
    </row>
    <row r="4691">
      <c r="A4691" s="4">
        <v>93.0</v>
      </c>
      <c r="B4691" s="4" t="s">
        <v>11578</v>
      </c>
      <c r="C4691" s="4"/>
      <c r="D4691" s="4" t="s">
        <v>11767</v>
      </c>
      <c r="E4691" s="4" t="s">
        <v>11768</v>
      </c>
      <c r="F4691" s="4" t="s">
        <v>11769</v>
      </c>
      <c r="G4691" s="5" t="str">
        <f>IFERROR(__xludf.DUMMYFUNCTION("GOOGLETRANSLATE(D4691,""fr"",""es"")"),"Attalia")</f>
        <v>Attalia</v>
      </c>
    </row>
    <row r="4692">
      <c r="A4692" s="4">
        <v>94.0</v>
      </c>
      <c r="B4692" s="4" t="s">
        <v>11578</v>
      </c>
      <c r="C4692" s="4"/>
      <c r="D4692" s="4" t="s">
        <v>11770</v>
      </c>
      <c r="E4692" s="4" t="s">
        <v>893</v>
      </c>
      <c r="F4692" s="4" t="s">
        <v>894</v>
      </c>
      <c r="G4692" s="5" t="str">
        <f>IFERROR(__xludf.DUMMYFUNCTION("GOOGLETRANSLATE(D4692,""fr"",""es"")"),"ofensivo")</f>
        <v>ofensivo</v>
      </c>
      <c r="H4692" s="4" t="s">
        <v>895</v>
      </c>
      <c r="I4692" s="4" t="s">
        <v>895</v>
      </c>
      <c r="J4692" s="4" t="s">
        <v>896</v>
      </c>
      <c r="K4692" s="4" t="s">
        <v>895</v>
      </c>
      <c r="L4692" s="4" t="s">
        <v>895</v>
      </c>
      <c r="M4692" s="4" t="s">
        <v>915</v>
      </c>
      <c r="N4692" s="4" t="s">
        <v>895</v>
      </c>
      <c r="O4692" s="4" t="s">
        <v>899</v>
      </c>
      <c r="P4692" s="4" t="s">
        <v>3371</v>
      </c>
      <c r="Q4692" s="4" t="s">
        <v>895</v>
      </c>
      <c r="R4692" s="4" t="s">
        <v>11771</v>
      </c>
      <c r="S4692" s="4" t="s">
        <v>895</v>
      </c>
      <c r="T4692" s="4" t="s">
        <v>900</v>
      </c>
      <c r="U4692" s="4" t="s">
        <v>901</v>
      </c>
      <c r="V4692" s="4" t="s">
        <v>902</v>
      </c>
      <c r="W4692" s="4" t="s">
        <v>903</v>
      </c>
      <c r="X4692" s="4" t="s">
        <v>904</v>
      </c>
      <c r="Y4692" s="4" t="s">
        <v>905</v>
      </c>
      <c r="Z4692" s="4" t="s">
        <v>906</v>
      </c>
      <c r="AA4692" s="4" t="s">
        <v>914</v>
      </c>
      <c r="AB4692" s="4" t="s">
        <v>915</v>
      </c>
      <c r="AC4692" s="4" t="s">
        <v>916</v>
      </c>
      <c r="AD4692" s="4" t="s">
        <v>895</v>
      </c>
      <c r="AE4692" s="4" t="s">
        <v>895</v>
      </c>
      <c r="AF4692" s="4" t="s">
        <v>11772</v>
      </c>
      <c r="AG4692" s="4" t="s">
        <v>907</v>
      </c>
      <c r="AH4692" s="4" t="s">
        <v>895</v>
      </c>
      <c r="AI4692" s="4" t="s">
        <v>908</v>
      </c>
      <c r="AJ4692" s="4" t="s">
        <v>909</v>
      </c>
      <c r="AK4692" s="4" t="s">
        <v>910</v>
      </c>
      <c r="AL4692" s="4" t="s">
        <v>901</v>
      </c>
      <c r="AM4692" s="4" t="s">
        <v>11773</v>
      </c>
      <c r="AN4692" s="4" t="s">
        <v>895</v>
      </c>
      <c r="AO4692" s="4" t="s">
        <v>11774</v>
      </c>
      <c r="AP4692" s="4" t="s">
        <v>11775</v>
      </c>
      <c r="AQ4692" s="4" t="s">
        <v>11776</v>
      </c>
    </row>
    <row r="4693">
      <c r="A4693" s="4">
        <v>95.0</v>
      </c>
      <c r="B4693" s="4" t="s">
        <v>11578</v>
      </c>
      <c r="C4693" s="4"/>
      <c r="D4693" s="4" t="s">
        <v>11777</v>
      </c>
      <c r="E4693" s="4" t="s">
        <v>893</v>
      </c>
      <c r="F4693" s="4" t="s">
        <v>894</v>
      </c>
      <c r="G4693" s="5" t="str">
        <f>IFERROR(__xludf.DUMMYFUNCTION("GOOGLETRANSLATE(D4693,""fr"",""es"")"),"ataques")</f>
        <v>ataques</v>
      </c>
    </row>
    <row r="4694">
      <c r="A4694" s="4">
        <v>96.0</v>
      </c>
      <c r="B4694" s="4" t="s">
        <v>11578</v>
      </c>
      <c r="C4694" s="4"/>
      <c r="D4694" s="4" t="s">
        <v>11778</v>
      </c>
      <c r="E4694" s="4" t="s">
        <v>4768</v>
      </c>
      <c r="F4694" s="4" t="s">
        <v>4769</v>
      </c>
      <c r="G4694" s="5" t="str">
        <f>IFERROR(__xludf.DUMMYFUNCTION("GOOGLETRANSLATE(D4694,""fr"",""es"")"),"ático")</f>
        <v>ático</v>
      </c>
      <c r="H4694" s="4" t="s">
        <v>11779</v>
      </c>
      <c r="I4694" s="4" t="s">
        <v>11780</v>
      </c>
    </row>
    <row r="4695">
      <c r="A4695" s="4">
        <v>97.0</v>
      </c>
      <c r="B4695" s="4" t="s">
        <v>11578</v>
      </c>
      <c r="C4695" s="4"/>
      <c r="D4695" s="4" t="s">
        <v>11781</v>
      </c>
      <c r="E4695" s="4" t="s">
        <v>11782</v>
      </c>
      <c r="F4695" s="4" t="s">
        <v>11781</v>
      </c>
      <c r="G4695" s="5" t="str">
        <f>IFERROR(__xludf.DUMMYFUNCTION("GOOGLETRANSLATE(D4695,""fr"",""es"")"),"aya")</f>
        <v>aya</v>
      </c>
      <c r="H4695" s="4" t="s">
        <v>11783</v>
      </c>
    </row>
    <row r="4696">
      <c r="A4696" s="4">
        <v>98.0</v>
      </c>
      <c r="B4696" s="4" t="s">
        <v>11578</v>
      </c>
      <c r="C4696" s="4"/>
      <c r="D4696" s="4" t="s">
        <v>11784</v>
      </c>
      <c r="E4696" s="4" t="s">
        <v>11785</v>
      </c>
      <c r="F4696" s="4" t="s">
        <v>9204</v>
      </c>
      <c r="G4696" s="5" t="str">
        <f>IFERROR(__xludf.DUMMYFUNCTION("GOOGLETRANSLATE(D4696,""fr"",""es"")"),"ayoù")</f>
        <v>ayoù</v>
      </c>
    </row>
    <row r="4697">
      <c r="A4697" s="4">
        <v>99.0</v>
      </c>
      <c r="B4697" s="4" t="s">
        <v>11578</v>
      </c>
      <c r="C4697" s="4"/>
      <c r="D4697" s="4" t="s">
        <v>11786</v>
      </c>
      <c r="E4697" s="4" t="s">
        <v>11787</v>
      </c>
      <c r="F4697" s="4" t="s">
        <v>11786</v>
      </c>
      <c r="G4697" s="5" t="str">
        <f>IFERROR(__xludf.DUMMYFUNCTION("GOOGLETRANSLATE(D4697,""fr"",""es"")"),"ayumi")</f>
        <v>ayumi</v>
      </c>
    </row>
    <row r="4698">
      <c r="A4698" s="4">
        <v>100.0</v>
      </c>
      <c r="B4698" s="4" t="s">
        <v>11578</v>
      </c>
      <c r="C4698" s="4"/>
      <c r="D4698" s="4" t="s">
        <v>11788</v>
      </c>
      <c r="E4698" s="4" t="s">
        <v>11789</v>
      </c>
      <c r="F4698" s="4" t="s">
        <v>11790</v>
      </c>
      <c r="G4698" s="5" t="str">
        <f>IFERROR(__xludf.DUMMYFUNCTION("GOOGLETRANSLATE(D4698,""fr"",""es"")"),"açai")</f>
        <v>açai</v>
      </c>
    </row>
    <row r="4699">
      <c r="A4699" s="4">
        <v>101.0</v>
      </c>
      <c r="B4699" s="4" t="s">
        <v>11578</v>
      </c>
      <c r="C4699" s="4"/>
      <c r="D4699" s="4" t="s">
        <v>11791</v>
      </c>
      <c r="E4699" s="4" t="s">
        <v>504</v>
      </c>
      <c r="F4699" s="4" t="s">
        <v>505</v>
      </c>
      <c r="G4699" s="5" t="str">
        <f>IFERROR(__xludf.DUMMYFUNCTION("GOOGLETRANSLATE(D4699,""fr"",""es"")"),"Ay")</f>
        <v>Ay</v>
      </c>
    </row>
    <row r="4700">
      <c r="A4700" s="4">
        <v>102.0</v>
      </c>
      <c r="B4700" s="4" t="s">
        <v>11578</v>
      </c>
      <c r="C4700" s="4"/>
      <c r="D4700" s="4" t="s">
        <v>11792</v>
      </c>
      <c r="E4700" s="4" t="s">
        <v>318</v>
      </c>
      <c r="F4700" s="4" t="s">
        <v>319</v>
      </c>
      <c r="G4700" s="5" t="str">
        <f>IFERROR(__xludf.DUMMYFUNCTION("GOOGLETRANSLATE(D4700,""fr"",""es"")"),"CAC")</f>
        <v>CAC</v>
      </c>
    </row>
    <row r="4701">
      <c r="A4701" s="4">
        <v>103.0</v>
      </c>
      <c r="B4701" s="4" t="s">
        <v>11578</v>
      </c>
      <c r="C4701" s="4"/>
      <c r="D4701" s="4" t="s">
        <v>11793</v>
      </c>
      <c r="E4701" s="4" t="s">
        <v>11794</v>
      </c>
      <c r="F4701" s="4" t="s">
        <v>9073</v>
      </c>
      <c r="G4701" s="5" t="str">
        <f>IFERROR(__xludf.DUMMYFUNCTION("GOOGLETRANSLATE(D4701,""fr"",""es"")"),"caca")</f>
        <v>caca</v>
      </c>
    </row>
    <row r="4702">
      <c r="A4702" s="4">
        <v>104.0</v>
      </c>
      <c r="B4702" s="4" t="s">
        <v>11578</v>
      </c>
      <c r="C4702" s="4"/>
      <c r="D4702" s="4" t="s">
        <v>496</v>
      </c>
      <c r="E4702" s="4" t="s">
        <v>8026</v>
      </c>
      <c r="F4702" s="4" t="s">
        <v>5924</v>
      </c>
      <c r="G4702" s="5" t="str">
        <f>IFERROR(__xludf.DUMMYFUNCTION("GOOGLETRANSLATE(D4702,""fr"",""es"")"),"oculto")</f>
        <v>oculto</v>
      </c>
      <c r="H4702" s="4" t="s">
        <v>7677</v>
      </c>
      <c r="I4702" s="4" t="s">
        <v>11795</v>
      </c>
      <c r="J4702" s="4" t="s">
        <v>4343</v>
      </c>
      <c r="K4702" s="4" t="s">
        <v>4332</v>
      </c>
      <c r="L4702" s="4" t="s">
        <v>11796</v>
      </c>
      <c r="M4702" s="4" t="s">
        <v>11797</v>
      </c>
      <c r="N4702" s="4" t="s">
        <v>11798</v>
      </c>
      <c r="O4702" s="4" t="s">
        <v>11799</v>
      </c>
      <c r="P4702" s="4" t="s">
        <v>11800</v>
      </c>
      <c r="Q4702" s="4" t="s">
        <v>11801</v>
      </c>
      <c r="R4702" s="4" t="s">
        <v>11802</v>
      </c>
      <c r="S4702" s="4" t="s">
        <v>11799</v>
      </c>
      <c r="T4702" s="4" t="s">
        <v>11803</v>
      </c>
      <c r="U4702" s="4" t="s">
        <v>11804</v>
      </c>
    </row>
    <row r="4703">
      <c r="A4703" s="4">
        <v>105.0</v>
      </c>
      <c r="B4703" s="4" t="s">
        <v>11578</v>
      </c>
      <c r="C4703" s="4"/>
      <c r="D4703" s="4" t="s">
        <v>11805</v>
      </c>
      <c r="E4703" s="4" t="s">
        <v>11806</v>
      </c>
      <c r="F4703" s="4" t="s">
        <v>11807</v>
      </c>
      <c r="G4703" s="5" t="str">
        <f>IFERROR(__xludf.DUMMYFUNCTION("GOOGLETRANSLATE(D4703,""fr"",""es"")"),"cacique")</f>
        <v>cacique</v>
      </c>
    </row>
    <row r="4704">
      <c r="A4704" s="4">
        <v>106.0</v>
      </c>
      <c r="B4704" s="4" t="s">
        <v>11578</v>
      </c>
      <c r="C4704" s="4"/>
      <c r="D4704" s="4" t="s">
        <v>11808</v>
      </c>
      <c r="E4704" s="4" t="s">
        <v>1185</v>
      </c>
      <c r="F4704" s="4" t="s">
        <v>1186</v>
      </c>
      <c r="G4704" s="5" t="str">
        <f>IFERROR(__xludf.DUMMYFUNCTION("GOOGLETRANSLATE(D4704,""fr"",""es"")"),"Cagna")</f>
        <v>Cagna</v>
      </c>
    </row>
    <row r="4705">
      <c r="A4705" s="4">
        <v>107.0</v>
      </c>
      <c r="B4705" s="4" t="s">
        <v>11578</v>
      </c>
      <c r="C4705" s="4"/>
      <c r="D4705" s="4" t="s">
        <v>11809</v>
      </c>
      <c r="E4705" s="4" t="s">
        <v>11810</v>
      </c>
      <c r="F4705" s="4" t="s">
        <v>11811</v>
      </c>
      <c r="G4705" s="5" t="str">
        <f>IFERROR(__xludf.DUMMYFUNCTION("GOOGLETRANSLATE(D4705,""fr"",""es"")"),"codorniz")</f>
        <v>codorniz</v>
      </c>
      <c r="H4705" s="4" t="s">
        <v>11812</v>
      </c>
    </row>
    <row r="4706">
      <c r="A4706" s="4">
        <v>108.0</v>
      </c>
      <c r="B4706" s="4" t="s">
        <v>11578</v>
      </c>
      <c r="C4706" s="4"/>
      <c r="D4706" s="4" t="s">
        <v>11813</v>
      </c>
      <c r="E4706" s="4" t="s">
        <v>11814</v>
      </c>
      <c r="F4706" s="4" t="s">
        <v>11815</v>
      </c>
      <c r="G4706" s="5" t="str">
        <f>IFERROR(__xludf.DUMMYFUNCTION("GOOGLETRANSLATE(D4706,""fr"",""es"")"),"piedra")</f>
        <v>piedra</v>
      </c>
      <c r="H4706" s="4" t="s">
        <v>11816</v>
      </c>
      <c r="I4706" s="4" t="s">
        <v>11817</v>
      </c>
      <c r="J4706" s="4" t="s">
        <v>11818</v>
      </c>
    </row>
    <row r="4707">
      <c r="A4707" s="4">
        <v>109.0</v>
      </c>
      <c r="B4707" s="4" t="s">
        <v>11578</v>
      </c>
      <c r="C4707" s="4"/>
      <c r="D4707" s="4" t="s">
        <v>11819</v>
      </c>
      <c r="E4707" s="4" t="s">
        <v>11814</v>
      </c>
      <c r="F4707" s="4" t="s">
        <v>11815</v>
      </c>
      <c r="G4707" s="5" t="str">
        <f>IFERROR(__xludf.DUMMYFUNCTION("GOOGLETRANSLATE(D4707,""fr"",""es"")"),"Guijarro")</f>
        <v>Guijarro</v>
      </c>
    </row>
    <row r="4708">
      <c r="A4708" s="4">
        <v>110.0</v>
      </c>
      <c r="B4708" s="4" t="s">
        <v>11578</v>
      </c>
      <c r="C4708" s="4"/>
      <c r="D4708" s="4" t="s">
        <v>973</v>
      </c>
      <c r="E4708" s="4" t="s">
        <v>974</v>
      </c>
      <c r="F4708" s="4" t="s">
        <v>975</v>
      </c>
      <c r="G4708" s="5" t="str">
        <f>IFERROR(__xludf.DUMMYFUNCTION("GOOGLETRANSLATE(D4708,""fr"",""es"")"),"California")</f>
        <v>California</v>
      </c>
      <c r="H4708" s="4" t="s">
        <v>1013</v>
      </c>
      <c r="I4708" s="4" t="s">
        <v>1013</v>
      </c>
      <c r="J4708" s="4" t="s">
        <v>1013</v>
      </c>
      <c r="K4708" s="4" t="s">
        <v>1013</v>
      </c>
      <c r="L4708" s="4" t="s">
        <v>11820</v>
      </c>
      <c r="M4708" s="4" t="s">
        <v>1013</v>
      </c>
    </row>
    <row r="4709">
      <c r="A4709" s="4">
        <v>111.0</v>
      </c>
      <c r="B4709" s="4" t="s">
        <v>11578</v>
      </c>
      <c r="C4709" s="4"/>
      <c r="D4709" s="4" t="s">
        <v>976</v>
      </c>
      <c r="E4709" s="4" t="s">
        <v>977</v>
      </c>
      <c r="F4709" s="4" t="s">
        <v>978</v>
      </c>
      <c r="G4709" s="5" t="str">
        <f>IFERROR(__xludf.DUMMYFUNCTION("GOOGLETRANSLATE(D4709,""fr"",""es"")"),"cala")</f>
        <v>cala</v>
      </c>
    </row>
    <row r="4710">
      <c r="A4710" s="4">
        <v>112.0</v>
      </c>
      <c r="B4710" s="4" t="s">
        <v>11578</v>
      </c>
      <c r="C4710" s="4"/>
      <c r="D4710" s="4" t="s">
        <v>11821</v>
      </c>
      <c r="E4710" s="4" t="s">
        <v>1698</v>
      </c>
      <c r="F4710" s="4" t="s">
        <v>1699</v>
      </c>
      <c r="G4710" s="5" t="str">
        <f>IFERROR(__xludf.DUMMYFUNCTION("GOOGLETRANSLATE(D4710,""fr"",""es"")"),"calame")</f>
        <v>calame</v>
      </c>
    </row>
    <row r="4711">
      <c r="A4711" s="4">
        <v>113.0</v>
      </c>
      <c r="B4711" s="4" t="s">
        <v>11578</v>
      </c>
      <c r="C4711" s="4"/>
      <c r="D4711" s="4" t="s">
        <v>11822</v>
      </c>
      <c r="E4711" s="4" t="s">
        <v>977</v>
      </c>
      <c r="F4711" s="4" t="s">
        <v>978</v>
      </c>
      <c r="G4711" s="5" t="str">
        <f>IFERROR(__xludf.DUMMYFUNCTION("GOOGLETRANSLATE(D4711,""fr"",""es"")"),"calas")</f>
        <v>calas</v>
      </c>
    </row>
    <row r="4712">
      <c r="A4712" s="4">
        <v>114.0</v>
      </c>
      <c r="B4712" s="4" t="s">
        <v>11578</v>
      </c>
      <c r="C4712" s="4"/>
      <c r="D4712" s="4" t="s">
        <v>11823</v>
      </c>
      <c r="E4712" s="4" t="s">
        <v>11824</v>
      </c>
      <c r="F4712" s="4" t="s">
        <v>11825</v>
      </c>
      <c r="G4712" s="5" t="str">
        <f>IFERROR(__xludf.DUMMYFUNCTION("GOOGLETRANSLATE(D4712,""fr"",""es"")"),"calas")</f>
        <v>calas</v>
      </c>
    </row>
    <row r="4713">
      <c r="A4713" s="4">
        <v>115.0</v>
      </c>
      <c r="B4713" s="4" t="s">
        <v>11578</v>
      </c>
      <c r="C4713" s="4"/>
      <c r="D4713" s="4" t="s">
        <v>11826</v>
      </c>
      <c r="E4713" s="4" t="s">
        <v>11824</v>
      </c>
      <c r="F4713" s="4" t="s">
        <v>11825</v>
      </c>
      <c r="G4713" s="5" t="str">
        <f>IFERROR(__xludf.DUMMYFUNCTION("GOOGLETRANSLATE(D4713,""fr"",""es"")"),"calas")</f>
        <v>calas</v>
      </c>
    </row>
    <row r="4714">
      <c r="A4714" s="4">
        <v>116.0</v>
      </c>
      <c r="B4714" s="4" t="s">
        <v>11578</v>
      </c>
      <c r="C4714" s="4"/>
      <c r="D4714" s="4" t="s">
        <v>11827</v>
      </c>
      <c r="E4714" s="4" t="s">
        <v>974</v>
      </c>
      <c r="F4714" s="4" t="s">
        <v>975</v>
      </c>
      <c r="G4714" s="5" t="str">
        <f>IFERROR(__xludf.DUMMYFUNCTION("GOOGLETRANSLATE(D4714,""fr"",""es"")"),"mantener")</f>
        <v>mantener</v>
      </c>
      <c r="H4714" s="4" t="s">
        <v>11828</v>
      </c>
      <c r="I4714" s="4" t="s">
        <v>11829</v>
      </c>
      <c r="J4714" s="4" t="s">
        <v>11830</v>
      </c>
      <c r="K4714" s="4" t="s">
        <v>313</v>
      </c>
      <c r="L4714" s="4" t="s">
        <v>11831</v>
      </c>
      <c r="M4714" s="4" t="s">
        <v>11832</v>
      </c>
      <c r="N4714" s="4" t="s">
        <v>11833</v>
      </c>
    </row>
    <row r="4715">
      <c r="A4715" s="4">
        <v>117.0</v>
      </c>
      <c r="B4715" s="4" t="s">
        <v>11578</v>
      </c>
      <c r="C4715" s="4"/>
      <c r="D4715" s="4" t="s">
        <v>11834</v>
      </c>
      <c r="E4715" s="4" t="s">
        <v>974</v>
      </c>
      <c r="F4715" s="4" t="s">
        <v>975</v>
      </c>
      <c r="G4715" s="5" t="str">
        <f>IFERROR(__xludf.DUMMYFUNCTION("GOOGLETRANSLATE(D4715,""fr"",""es"")"),"agujeros")</f>
        <v>agujeros</v>
      </c>
    </row>
    <row r="4716">
      <c r="A4716" s="4">
        <v>118.0</v>
      </c>
      <c r="B4716" s="4" t="s">
        <v>11578</v>
      </c>
      <c r="C4716" s="4"/>
      <c r="D4716" s="4" t="s">
        <v>11835</v>
      </c>
      <c r="E4716" s="4" t="s">
        <v>11836</v>
      </c>
      <c r="F4716" s="4" t="s">
        <v>11837</v>
      </c>
      <c r="G4716" s="5" t="str">
        <f>IFERROR(__xludf.DUMMYFUNCTION("GOOGLETRANSLATE(D4716,""fr"",""es"")"),"cáliz")</f>
        <v>cáliz</v>
      </c>
      <c r="H4716" s="4" t="s">
        <v>11838</v>
      </c>
      <c r="I4716" s="4" t="s">
        <v>11839</v>
      </c>
      <c r="J4716" s="4" t="s">
        <v>11840</v>
      </c>
    </row>
    <row r="4717">
      <c r="A4717" s="4">
        <v>119.0</v>
      </c>
      <c r="B4717" s="4" t="s">
        <v>11578</v>
      </c>
      <c r="C4717" s="4"/>
      <c r="D4717" s="4" t="s">
        <v>11841</v>
      </c>
      <c r="E4717" s="4" t="s">
        <v>11842</v>
      </c>
      <c r="F4717" s="4" t="s">
        <v>11843</v>
      </c>
      <c r="G4717" s="5" t="str">
        <f>IFERROR(__xludf.DUMMYFUNCTION("GOOGLETRANSLATE(D4717,""fr"",""es"")"),"callima")</f>
        <v>callima</v>
      </c>
    </row>
    <row r="4718">
      <c r="A4718" s="4">
        <v>120.0</v>
      </c>
      <c r="B4718" s="4" t="s">
        <v>11578</v>
      </c>
      <c r="C4718" s="4"/>
      <c r="D4718" s="4" t="s">
        <v>1037</v>
      </c>
      <c r="E4718" s="4" t="s">
        <v>1038</v>
      </c>
      <c r="F4718" s="4" t="s">
        <v>1039</v>
      </c>
      <c r="G4718" s="5" t="str">
        <f>IFERROR(__xludf.DUMMYFUNCTION("GOOGLETRANSLATE(D4718,""fr"",""es"")"),"leva")</f>
        <v>leva</v>
      </c>
      <c r="H4718" s="4" t="s">
        <v>11844</v>
      </c>
      <c r="I4718" s="4" t="s">
        <v>8023</v>
      </c>
      <c r="J4718" s="4" t="s">
        <v>8024</v>
      </c>
      <c r="K4718" s="4" t="s">
        <v>8025</v>
      </c>
    </row>
    <row r="4719">
      <c r="A4719" s="4">
        <v>121.0</v>
      </c>
      <c r="B4719" s="4" t="s">
        <v>11578</v>
      </c>
      <c r="C4719" s="4"/>
      <c r="D4719" s="4" t="s">
        <v>11845</v>
      </c>
      <c r="E4719" s="4" t="s">
        <v>11846</v>
      </c>
      <c r="F4719" s="4" t="s">
        <v>11847</v>
      </c>
      <c r="G4719" s="5" t="str">
        <f>IFERROR(__xludf.DUMMYFUNCTION("GOOGLETRANSLATE(D4719,""fr"",""es"")"),"caña")</f>
        <v>caña</v>
      </c>
      <c r="H4719" s="4" t="s">
        <v>11845</v>
      </c>
      <c r="I4719" s="4" t="s">
        <v>11848</v>
      </c>
      <c r="J4719" s="4" t="s">
        <v>11849</v>
      </c>
    </row>
    <row r="4720">
      <c r="A4720" s="4">
        <v>122.0</v>
      </c>
      <c r="B4720" s="4" t="s">
        <v>11578</v>
      </c>
      <c r="C4720" s="4"/>
      <c r="D4720" s="4" t="s">
        <v>11850</v>
      </c>
      <c r="E4720" s="4" t="s">
        <v>1038</v>
      </c>
      <c r="F4720" s="4" t="s">
        <v>1039</v>
      </c>
      <c r="G4720" s="5" t="str">
        <f>IFERROR(__xludf.DUMMYFUNCTION("GOOGLETRANSLATE(D4720,""fr"",""es"")"),"leva")</f>
        <v>leva</v>
      </c>
      <c r="H4720" s="4" t="s">
        <v>1037</v>
      </c>
      <c r="I4720" s="4" t="s">
        <v>8023</v>
      </c>
      <c r="J4720" s="4" t="s">
        <v>8024</v>
      </c>
      <c r="K4720" s="4" t="s">
        <v>8025</v>
      </c>
    </row>
    <row r="4721">
      <c r="A4721" s="4">
        <v>123.0</v>
      </c>
      <c r="B4721" s="4" t="s">
        <v>11578</v>
      </c>
      <c r="C4721" s="4"/>
      <c r="D4721" s="4" t="s">
        <v>11851</v>
      </c>
      <c r="E4721" s="4" t="s">
        <v>1038</v>
      </c>
      <c r="F4721" s="4" t="s">
        <v>1039</v>
      </c>
      <c r="G4721" s="5" t="str">
        <f>IFERROR(__xludf.DUMMYFUNCTION("GOOGLETRANSLATE(D4721,""fr"",""es"")"),"árbol de levas")</f>
        <v>árbol de levas</v>
      </c>
    </row>
    <row r="4722">
      <c r="A4722" s="4">
        <v>124.0</v>
      </c>
      <c r="B4722" s="4" t="s">
        <v>11578</v>
      </c>
      <c r="C4722" s="4"/>
      <c r="D4722" s="4" t="s">
        <v>11852</v>
      </c>
      <c r="E4722" s="4" t="s">
        <v>11853</v>
      </c>
      <c r="F4722" s="4" t="s">
        <v>11854</v>
      </c>
      <c r="G4722" s="5" t="str">
        <f>IFERROR(__xludf.DUMMYFUNCTION("GOOGLETRANSLATE(D4722,""fr"",""es"")"),"camilla")</f>
        <v>camilla</v>
      </c>
    </row>
    <row r="4723">
      <c r="A4723" s="4">
        <v>125.0</v>
      </c>
      <c r="B4723" s="4" t="s">
        <v>11578</v>
      </c>
      <c r="C4723" s="4"/>
      <c r="D4723" s="4" t="s">
        <v>11855</v>
      </c>
      <c r="E4723" s="4" t="s">
        <v>11856</v>
      </c>
      <c r="F4723" s="4" t="s">
        <v>11857</v>
      </c>
      <c r="G4723" s="5" t="str">
        <f>IFERROR(__xludf.DUMMYFUNCTION("GOOGLETRANSLATE(D4723,""fr"",""es"")"),"sinvergüenza")</f>
        <v>sinvergüenza</v>
      </c>
      <c r="H4723" s="4" t="s">
        <v>11858</v>
      </c>
      <c r="I4723" s="4" t="s">
        <v>11859</v>
      </c>
      <c r="J4723" s="4" t="s">
        <v>11860</v>
      </c>
      <c r="K4723" s="4" t="s">
        <v>11861</v>
      </c>
      <c r="L4723" s="4" t="s">
        <v>11862</v>
      </c>
      <c r="M4723" s="4" t="s">
        <v>11863</v>
      </c>
      <c r="N4723" s="4" t="s">
        <v>11864</v>
      </c>
      <c r="O4723" s="4" t="s">
        <v>1154</v>
      </c>
      <c r="P4723" s="4" t="s">
        <v>1155</v>
      </c>
    </row>
    <row r="4724">
      <c r="A4724" s="4">
        <v>126.0</v>
      </c>
      <c r="B4724" s="4" t="s">
        <v>11578</v>
      </c>
      <c r="C4724" s="4"/>
      <c r="D4724" s="4" t="s">
        <v>11855</v>
      </c>
      <c r="E4724" s="4" t="s">
        <v>11865</v>
      </c>
      <c r="F4724" s="4" t="s">
        <v>11857</v>
      </c>
      <c r="G4724" s="5" t="str">
        <f>IFERROR(__xludf.DUMMYFUNCTION("GOOGLETRANSLATE(D4724,""fr"",""es"")"),"sinvergüenza")</f>
        <v>sinvergüenza</v>
      </c>
      <c r="H4724" s="4" t="s">
        <v>11858</v>
      </c>
      <c r="I4724" s="4" t="s">
        <v>11859</v>
      </c>
      <c r="J4724" s="4" t="s">
        <v>11860</v>
      </c>
      <c r="K4724" s="4" t="s">
        <v>11861</v>
      </c>
      <c r="L4724" s="4" t="s">
        <v>11862</v>
      </c>
      <c r="M4724" s="4" t="s">
        <v>11863</v>
      </c>
      <c r="N4724" s="4" t="s">
        <v>11864</v>
      </c>
      <c r="O4724" s="4" t="s">
        <v>1154</v>
      </c>
      <c r="P4724" s="4" t="s">
        <v>1155</v>
      </c>
    </row>
    <row r="4725">
      <c r="A4725" s="4">
        <v>127.0</v>
      </c>
      <c r="B4725" s="4" t="s">
        <v>11578</v>
      </c>
      <c r="C4725" s="4"/>
      <c r="D4725" s="4" t="s">
        <v>1126</v>
      </c>
      <c r="E4725" s="4" t="s">
        <v>1127</v>
      </c>
      <c r="F4725" s="4" t="s">
        <v>1128</v>
      </c>
      <c r="G4725" s="5" t="str">
        <f>IFERROR(__xludf.DUMMYFUNCTION("GOOGLETRANSLATE(D4725,""fr"",""es"")"),"canal")</f>
        <v>canal</v>
      </c>
      <c r="H4725" s="4" t="s">
        <v>1126</v>
      </c>
      <c r="I4725" s="4" t="s">
        <v>11866</v>
      </c>
      <c r="J4725" s="4" t="s">
        <v>11867</v>
      </c>
      <c r="K4725" s="4" t="s">
        <v>1126</v>
      </c>
      <c r="L4725" s="4" t="s">
        <v>1130</v>
      </c>
      <c r="M4725" s="4" t="s">
        <v>1135</v>
      </c>
      <c r="N4725" s="4" t="s">
        <v>1126</v>
      </c>
      <c r="O4725" s="4" t="s">
        <v>1136</v>
      </c>
      <c r="P4725" s="4" t="s">
        <v>1126</v>
      </c>
    </row>
    <row r="4726">
      <c r="A4726" s="4">
        <v>128.0</v>
      </c>
      <c r="B4726" s="4" t="s">
        <v>11578</v>
      </c>
      <c r="C4726" s="4"/>
      <c r="D4726" s="4" t="s">
        <v>11868</v>
      </c>
      <c r="E4726" s="4" t="s">
        <v>11869</v>
      </c>
      <c r="F4726" s="4" t="s">
        <v>11870</v>
      </c>
      <c r="G4726" s="5" t="str">
        <f>IFERROR(__xludf.DUMMYFUNCTION("GOOGLETRANSLATE(D4726,""fr"",""es"")"),"canaco")</f>
        <v>canaco</v>
      </c>
    </row>
    <row r="4727">
      <c r="A4727" s="4">
        <v>129.0</v>
      </c>
      <c r="B4727" s="4" t="s">
        <v>11578</v>
      </c>
      <c r="C4727" s="4"/>
      <c r="D4727" s="4" t="s">
        <v>11871</v>
      </c>
      <c r="E4727" s="4" t="s">
        <v>1121</v>
      </c>
      <c r="F4727" s="4" t="s">
        <v>1122</v>
      </c>
      <c r="G4727" s="5" t="str">
        <f>IFERROR(__xludf.DUMMYFUNCTION("GOOGLETRANSLATE(D4727,""fr"",""es"")"),"caña")</f>
        <v>caña</v>
      </c>
      <c r="H4727" s="4" t="s">
        <v>11872</v>
      </c>
      <c r="I4727" s="4" t="s">
        <v>11872</v>
      </c>
      <c r="J4727" s="4" t="s">
        <v>11872</v>
      </c>
      <c r="K4727" s="4" t="s">
        <v>584</v>
      </c>
      <c r="L4727" s="4" t="s">
        <v>587</v>
      </c>
      <c r="M4727" s="4" t="s">
        <v>11872</v>
      </c>
      <c r="N4727" s="4" t="s">
        <v>11872</v>
      </c>
      <c r="O4727" s="4" t="s">
        <v>11872</v>
      </c>
      <c r="P4727" s="4" t="s">
        <v>11872</v>
      </c>
      <c r="Q4727" s="4" t="s">
        <v>11873</v>
      </c>
    </row>
    <row r="4728">
      <c r="A4728" s="4">
        <v>130.0</v>
      </c>
      <c r="B4728" s="4" t="s">
        <v>11578</v>
      </c>
      <c r="C4728" s="4"/>
      <c r="D4728" s="4" t="s">
        <v>11874</v>
      </c>
      <c r="E4728" s="4" t="s">
        <v>11875</v>
      </c>
      <c r="F4728" s="4" t="s">
        <v>11876</v>
      </c>
      <c r="G4728" s="5" t="str">
        <f>IFERROR(__xludf.DUMMYFUNCTION("GOOGLETRANSLATE(D4728,""fr"",""es"")"),"caniche")</f>
        <v>caniche</v>
      </c>
      <c r="H4728" s="4" t="s">
        <v>11877</v>
      </c>
      <c r="I4728" s="4" t="s">
        <v>11878</v>
      </c>
    </row>
    <row r="4729">
      <c r="A4729" s="4">
        <v>131.0</v>
      </c>
      <c r="B4729" s="4" t="s">
        <v>11578</v>
      </c>
      <c r="C4729" s="4"/>
      <c r="D4729" s="4" t="s">
        <v>4629</v>
      </c>
      <c r="E4729" s="4" t="s">
        <v>11879</v>
      </c>
      <c r="F4729" s="4" t="s">
        <v>11880</v>
      </c>
      <c r="G4729" s="5" t="str">
        <f>IFERROR(__xludf.DUMMYFUNCTION("GOOGLETRANSLATE(D4729,""fr"",""es"")"),"canino")</f>
        <v>canino</v>
      </c>
      <c r="H4729" s="4" t="s">
        <v>4629</v>
      </c>
      <c r="I4729" s="4" t="s">
        <v>11881</v>
      </c>
      <c r="J4729" s="4" t="s">
        <v>4629</v>
      </c>
      <c r="K4729" s="4" t="s">
        <v>4629</v>
      </c>
      <c r="L4729" s="4" t="s">
        <v>11882</v>
      </c>
      <c r="M4729" s="4" t="s">
        <v>4629</v>
      </c>
      <c r="N4729" s="4" t="s">
        <v>4630</v>
      </c>
      <c r="O4729" s="4" t="s">
        <v>4631</v>
      </c>
      <c r="P4729" s="4" t="s">
        <v>4632</v>
      </c>
      <c r="Q4729" s="4" t="s">
        <v>4633</v>
      </c>
      <c r="R4729" s="4" t="s">
        <v>4634</v>
      </c>
    </row>
    <row r="4730">
      <c r="A4730" s="4">
        <v>132.0</v>
      </c>
      <c r="B4730" s="4" t="s">
        <v>11578</v>
      </c>
      <c r="C4730" s="4"/>
      <c r="D4730" s="4" t="s">
        <v>11883</v>
      </c>
      <c r="E4730" s="4" t="s">
        <v>1121</v>
      </c>
      <c r="F4730" s="4" t="s">
        <v>1122</v>
      </c>
      <c r="G4730" s="5" t="str">
        <f>IFERROR(__xludf.DUMMYFUNCTION("GOOGLETRANSLATE(D4730,""fr"",""es"")"),"caña")</f>
        <v>caña</v>
      </c>
      <c r="H4730" s="4" t="s">
        <v>11884</v>
      </c>
      <c r="I4730" s="4" t="s">
        <v>11885</v>
      </c>
      <c r="J4730" s="4" t="s">
        <v>11886</v>
      </c>
      <c r="K4730" s="4" t="s">
        <v>11887</v>
      </c>
      <c r="L4730" s="4" t="s">
        <v>11888</v>
      </c>
      <c r="M4730" s="4" t="s">
        <v>11871</v>
      </c>
      <c r="N4730" s="4" t="s">
        <v>11871</v>
      </c>
      <c r="O4730" s="4" t="s">
        <v>5144</v>
      </c>
      <c r="P4730" s="4" t="s">
        <v>5145</v>
      </c>
      <c r="Q4730" s="4" t="s">
        <v>11884</v>
      </c>
      <c r="R4730" s="4" t="s">
        <v>11871</v>
      </c>
      <c r="S4730" s="4" t="s">
        <v>1189</v>
      </c>
    </row>
    <row r="4731">
      <c r="A4731" s="4">
        <v>133.0</v>
      </c>
      <c r="B4731" s="4" t="s">
        <v>11578</v>
      </c>
      <c r="C4731" s="4"/>
      <c r="D4731" s="4" t="s">
        <v>5966</v>
      </c>
      <c r="E4731" s="4" t="s">
        <v>1121</v>
      </c>
      <c r="F4731" s="4" t="s">
        <v>1122</v>
      </c>
      <c r="G4731" s="5" t="str">
        <f>IFERROR(__xludf.DUMMYFUNCTION("GOOGLETRANSLATE(D4731,""fr"",""es"")"),"bastón")</f>
        <v>bastón</v>
      </c>
      <c r="H4731" s="4" t="s">
        <v>5967</v>
      </c>
    </row>
    <row r="4732">
      <c r="A4732" s="4">
        <v>134.0</v>
      </c>
      <c r="B4732" s="4" t="s">
        <v>11578</v>
      </c>
      <c r="C4732" s="4"/>
      <c r="D4732" s="4" t="s">
        <v>1208</v>
      </c>
      <c r="E4732" s="4" t="s">
        <v>321</v>
      </c>
      <c r="F4732" s="4" t="s">
        <v>322</v>
      </c>
      <c r="G4732" s="5" t="str">
        <f>IFERROR(__xludf.DUMMYFUNCTION("GOOGLETRANSLATE(D4732,""fr"",""es"")"),"gorra")</f>
        <v>gorra</v>
      </c>
      <c r="H4732" s="4" t="s">
        <v>1217</v>
      </c>
      <c r="I4732" s="4" t="s">
        <v>1243</v>
      </c>
      <c r="J4732" s="4" t="s">
        <v>1217</v>
      </c>
      <c r="K4732" s="4" t="s">
        <v>1218</v>
      </c>
      <c r="L4732" s="4" t="s">
        <v>11889</v>
      </c>
      <c r="M4732" s="4" t="s">
        <v>11890</v>
      </c>
      <c r="N4732" s="4" t="s">
        <v>1209</v>
      </c>
      <c r="O4732" s="4" t="s">
        <v>11891</v>
      </c>
    </row>
    <row r="4733">
      <c r="A4733" s="4">
        <v>135.0</v>
      </c>
      <c r="B4733" s="4" t="s">
        <v>11578</v>
      </c>
      <c r="C4733" s="4"/>
      <c r="D4733" s="4" t="s">
        <v>1231</v>
      </c>
      <c r="E4733" s="4" t="s">
        <v>1232</v>
      </c>
      <c r="F4733" s="4" t="s">
        <v>1233</v>
      </c>
      <c r="G4733" s="5" t="str">
        <f>IFERROR(__xludf.DUMMYFUNCTION("GOOGLETRANSLATE(D4733,""fr"",""es"")"),"capa")</f>
        <v>capa</v>
      </c>
    </row>
    <row r="4734">
      <c r="A4734" s="4">
        <v>136.0</v>
      </c>
      <c r="B4734" s="4" t="s">
        <v>11578</v>
      </c>
      <c r="C4734" s="4"/>
      <c r="D4734" s="4" t="s">
        <v>1217</v>
      </c>
      <c r="E4734" s="4" t="s">
        <v>321</v>
      </c>
      <c r="F4734" s="4" t="s">
        <v>322</v>
      </c>
      <c r="G4734" s="5" t="str">
        <f>IFERROR(__xludf.DUMMYFUNCTION("GOOGLETRANSLATE(D4734,""fr"",""es"")"),"capa")</f>
        <v>capa</v>
      </c>
      <c r="H4734" s="4" t="s">
        <v>1217</v>
      </c>
      <c r="I4734" s="4" t="s">
        <v>1243</v>
      </c>
      <c r="J4734" s="4" t="s">
        <v>1217</v>
      </c>
      <c r="K4734" s="4" t="s">
        <v>1218</v>
      </c>
    </row>
    <row r="4735">
      <c r="A4735" s="4">
        <v>137.0</v>
      </c>
      <c r="B4735" s="4" t="s">
        <v>11578</v>
      </c>
      <c r="C4735" s="4"/>
      <c r="D4735" s="4" t="s">
        <v>11892</v>
      </c>
      <c r="E4735" s="4" t="s">
        <v>1292</v>
      </c>
      <c r="F4735" s="4" t="s">
        <v>1293</v>
      </c>
      <c r="G4735" s="5" t="str">
        <f>IFERROR(__xludf.DUMMYFUNCTION("GOOGLETRANSLATE(D4735,""fr"",""es"")"),"capita")</f>
        <v>capita</v>
      </c>
    </row>
    <row r="4736">
      <c r="A4736" s="4">
        <v>138.0</v>
      </c>
      <c r="B4736" s="4" t="s">
        <v>11578</v>
      </c>
      <c r="C4736" s="4"/>
      <c r="D4736" s="4" t="s">
        <v>1274</v>
      </c>
      <c r="E4736" s="4" t="s">
        <v>1275</v>
      </c>
      <c r="F4736" s="4" t="s">
        <v>1276</v>
      </c>
      <c r="G4736" s="5" t="str">
        <f>IFERROR(__xludf.DUMMYFUNCTION("GOOGLETRANSLATE(D4736,""fr"",""es"")"),"capital")</f>
        <v>capital</v>
      </c>
      <c r="H4736" s="4" t="s">
        <v>11893</v>
      </c>
      <c r="I4736" s="4" t="s">
        <v>11894</v>
      </c>
      <c r="J4736" s="4" t="s">
        <v>11893</v>
      </c>
      <c r="K4736" s="4" t="s">
        <v>11894</v>
      </c>
      <c r="L4736" s="4" t="s">
        <v>11893</v>
      </c>
      <c r="M4736" s="4" t="s">
        <v>11894</v>
      </c>
      <c r="N4736" s="4" t="s">
        <v>1224</v>
      </c>
      <c r="O4736" s="4" t="s">
        <v>11895</v>
      </c>
      <c r="P4736" s="4" t="s">
        <v>11896</v>
      </c>
      <c r="Q4736" s="4" t="s">
        <v>1281</v>
      </c>
      <c r="R4736" s="4" t="s">
        <v>617</v>
      </c>
      <c r="S4736" s="4" t="s">
        <v>1279</v>
      </c>
      <c r="T4736" s="4" t="s">
        <v>1274</v>
      </c>
      <c r="U4736" s="4" t="s">
        <v>5983</v>
      </c>
      <c r="V4736" s="4" t="s">
        <v>1208</v>
      </c>
      <c r="W4736" s="4" t="s">
        <v>11897</v>
      </c>
      <c r="X4736" s="4" t="s">
        <v>11898</v>
      </c>
      <c r="Y4736" s="4" t="s">
        <v>1274</v>
      </c>
      <c r="Z4736" s="4" t="s">
        <v>1274</v>
      </c>
      <c r="AA4736" s="4" t="s">
        <v>1274</v>
      </c>
      <c r="AB4736" s="4" t="s">
        <v>11899</v>
      </c>
    </row>
    <row r="4737">
      <c r="A4737" s="4">
        <v>139.0</v>
      </c>
      <c r="B4737" s="4" t="s">
        <v>11578</v>
      </c>
      <c r="C4737" s="4"/>
      <c r="D4737" s="4" t="s">
        <v>11900</v>
      </c>
      <c r="E4737" s="4" t="s">
        <v>1275</v>
      </c>
      <c r="F4737" s="4" t="s">
        <v>1276</v>
      </c>
      <c r="G4737" s="5" t="str">
        <f>IFERROR(__xludf.DUMMYFUNCTION("GOOGLETRANSLATE(D4737,""fr"",""es"")"),"ciudad capital")</f>
        <v>ciudad capital</v>
      </c>
      <c r="H4737" s="4" t="s">
        <v>1274</v>
      </c>
      <c r="I4737" s="4" t="s">
        <v>1277</v>
      </c>
      <c r="J4737" s="4" t="s">
        <v>1278</v>
      </c>
      <c r="K4737" s="4" t="s">
        <v>1274</v>
      </c>
      <c r="L4737" s="4" t="s">
        <v>1274</v>
      </c>
      <c r="M4737" s="4" t="s">
        <v>1274</v>
      </c>
      <c r="N4737" s="4" t="s">
        <v>5983</v>
      </c>
      <c r="O4737" s="4" t="s">
        <v>1208</v>
      </c>
      <c r="P4737" s="4" t="s">
        <v>1274</v>
      </c>
      <c r="Q4737" s="4" t="s">
        <v>11901</v>
      </c>
      <c r="R4737" s="4" t="s">
        <v>11902</v>
      </c>
      <c r="S4737" s="4" t="s">
        <v>11903</v>
      </c>
      <c r="T4737" s="4" t="s">
        <v>1278</v>
      </c>
      <c r="U4737" s="4" t="s">
        <v>11897</v>
      </c>
      <c r="V4737" s="4" t="s">
        <v>11898</v>
      </c>
      <c r="W4737" s="4" t="s">
        <v>1274</v>
      </c>
    </row>
    <row r="4738">
      <c r="A4738" s="4">
        <v>140.0</v>
      </c>
      <c r="B4738" s="4" t="s">
        <v>11578</v>
      </c>
      <c r="C4738" s="4"/>
      <c r="D4738" s="4" t="s">
        <v>11904</v>
      </c>
      <c r="E4738" s="4" t="s">
        <v>1275</v>
      </c>
      <c r="F4738" s="4" t="s">
        <v>1276</v>
      </c>
      <c r="G4738" s="5" t="str">
        <f>IFERROR(__xludf.DUMMYFUNCTION("GOOGLETRANSLATE(D4738,""fr"",""es"")"),"letras mayúsculas")</f>
        <v>letras mayúsculas</v>
      </c>
    </row>
    <row r="4739">
      <c r="A4739" s="4">
        <v>141.0</v>
      </c>
      <c r="B4739" s="4" t="s">
        <v>11578</v>
      </c>
      <c r="C4739" s="4"/>
      <c r="D4739" s="4" t="s">
        <v>11905</v>
      </c>
      <c r="E4739" s="4" t="s">
        <v>1283</v>
      </c>
      <c r="F4739" s="4" t="s">
        <v>1284</v>
      </c>
      <c r="G4739" s="5" t="str">
        <f>IFERROR(__xludf.DUMMYFUNCTION("GOOGLETRANSLATE(D4739,""fr"",""es"")"),"capitalista")</f>
        <v>capitalista</v>
      </c>
    </row>
    <row r="4740">
      <c r="A4740" s="4">
        <v>142.0</v>
      </c>
      <c r="B4740" s="4" t="s">
        <v>11578</v>
      </c>
      <c r="C4740" s="4"/>
      <c r="D4740" s="4" t="s">
        <v>11906</v>
      </c>
      <c r="E4740" s="4" t="s">
        <v>11907</v>
      </c>
      <c r="F4740" s="4" t="s">
        <v>11908</v>
      </c>
      <c r="G4740" s="5" t="str">
        <f>IFERROR(__xludf.DUMMYFUNCTION("GOOGLETRANSLATE(D4740,""fr"",""es"")"),"Capitoul")</f>
        <v>Capitoul</v>
      </c>
    </row>
    <row r="4741">
      <c r="A4741" s="4">
        <v>143.0</v>
      </c>
      <c r="B4741" s="4" t="s">
        <v>11578</v>
      </c>
      <c r="C4741" s="4"/>
      <c r="D4741" s="4" t="s">
        <v>11909</v>
      </c>
      <c r="E4741" s="4" t="s">
        <v>11910</v>
      </c>
      <c r="F4741" s="4" t="s">
        <v>11911</v>
      </c>
      <c r="G4741" s="5" t="str">
        <f>IFERROR(__xludf.DUMMYFUNCTION("GOOGLETRANSLATE(D4741,""fr"",""es"")"),"Capitoulat")</f>
        <v>Capitoulat</v>
      </c>
    </row>
    <row r="4742">
      <c r="A4742" s="4">
        <v>144.0</v>
      </c>
      <c r="B4742" s="4" t="s">
        <v>11578</v>
      </c>
      <c r="C4742" s="4"/>
      <c r="D4742" s="4" t="s">
        <v>11912</v>
      </c>
      <c r="E4742" s="4" t="s">
        <v>11913</v>
      </c>
      <c r="F4742" s="4" t="s">
        <v>9993</v>
      </c>
      <c r="G4742" s="5" t="str">
        <f>IFERROR(__xludf.DUMMYFUNCTION("GOOGLETRANSLATE(D4742,""fr"",""es"")"),"capuio")</f>
        <v>capuio</v>
      </c>
    </row>
    <row r="4743">
      <c r="A4743" s="4">
        <v>145.0</v>
      </c>
      <c r="B4743" s="4" t="s">
        <v>11578</v>
      </c>
      <c r="C4743" s="4"/>
      <c r="D4743" s="4" t="s">
        <v>11914</v>
      </c>
      <c r="E4743" s="4" t="s">
        <v>318</v>
      </c>
      <c r="F4743" s="4" t="s">
        <v>319</v>
      </c>
      <c r="G4743" s="5" t="str">
        <f>IFERROR(__xludf.DUMMYFUNCTION("GOOGLETRANSLATE(D4743,""fr"",""es"")"),"Caq")</f>
        <v>Caq</v>
      </c>
    </row>
    <row r="4744">
      <c r="A4744" s="4">
        <v>146.0</v>
      </c>
      <c r="B4744" s="4" t="s">
        <v>11578</v>
      </c>
      <c r="C4744" s="4"/>
      <c r="D4744" s="4" t="s">
        <v>11915</v>
      </c>
      <c r="E4744" s="4" t="s">
        <v>318</v>
      </c>
      <c r="F4744" s="4" t="s">
        <v>319</v>
      </c>
      <c r="G4744" s="5" t="str">
        <f>IFERROR(__xludf.DUMMYFUNCTION("GOOGLETRANSLATE(D4744,""fr"",""es"")"),"cacareo")</f>
        <v>cacareo</v>
      </c>
    </row>
    <row r="4745">
      <c r="A4745" s="4">
        <v>147.0</v>
      </c>
      <c r="B4745" s="4" t="s">
        <v>11578</v>
      </c>
      <c r="C4745" s="4"/>
      <c r="D4745" s="4" t="s">
        <v>1334</v>
      </c>
      <c r="E4745" s="4" t="s">
        <v>9868</v>
      </c>
      <c r="F4745" s="4" t="s">
        <v>962</v>
      </c>
      <c r="G4745" s="5" t="str">
        <f>IFERROR(__xludf.DUMMYFUNCTION("GOOGLETRANSLATE(D4745,""fr"",""es"")"),"caso")</f>
        <v>caso</v>
      </c>
      <c r="H4745" s="4" t="s">
        <v>11916</v>
      </c>
      <c r="I4745" s="4" t="s">
        <v>11016</v>
      </c>
      <c r="J4745" s="4" t="s">
        <v>1337</v>
      </c>
      <c r="K4745" s="4" t="s">
        <v>11917</v>
      </c>
      <c r="L4745" s="4" t="s">
        <v>11918</v>
      </c>
      <c r="M4745" s="4" t="s">
        <v>1337</v>
      </c>
      <c r="N4745" s="4" t="s">
        <v>1337</v>
      </c>
      <c r="O4745" s="4" t="s">
        <v>1337</v>
      </c>
      <c r="P4745" s="4" t="s">
        <v>11919</v>
      </c>
      <c r="Q4745" s="4" t="s">
        <v>11920</v>
      </c>
      <c r="R4745" s="4" t="s">
        <v>11921</v>
      </c>
      <c r="S4745" s="4" t="s">
        <v>1337</v>
      </c>
      <c r="T4745" s="4" t="s">
        <v>11922</v>
      </c>
      <c r="U4745" s="4" t="s">
        <v>3397</v>
      </c>
      <c r="V4745" s="4" t="s">
        <v>11923</v>
      </c>
      <c r="W4745" s="4" t="s">
        <v>11924</v>
      </c>
      <c r="X4745" s="4" t="s">
        <v>1337</v>
      </c>
      <c r="Y4745" s="4" t="s">
        <v>11925</v>
      </c>
      <c r="Z4745" s="4" t="s">
        <v>1337</v>
      </c>
      <c r="AA4745" s="4" t="s">
        <v>11924</v>
      </c>
      <c r="AB4745" s="4" t="s">
        <v>8719</v>
      </c>
      <c r="AC4745" s="4" t="s">
        <v>1337</v>
      </c>
      <c r="AD4745" s="4" t="s">
        <v>1337</v>
      </c>
      <c r="AE4745" s="4" t="s">
        <v>1337</v>
      </c>
      <c r="AF4745" s="4" t="s">
        <v>1338</v>
      </c>
      <c r="AG4745" s="4" t="s">
        <v>1337</v>
      </c>
      <c r="AH4745" s="4" t="s">
        <v>1337</v>
      </c>
      <c r="AI4745" s="4" t="s">
        <v>11926</v>
      </c>
      <c r="AJ4745" s="4" t="s">
        <v>11927</v>
      </c>
      <c r="AK4745" s="4" t="s">
        <v>11928</v>
      </c>
      <c r="AL4745" s="4" t="s">
        <v>1337</v>
      </c>
      <c r="AM4745" s="4" t="s">
        <v>4416</v>
      </c>
      <c r="AN4745" s="4" t="s">
        <v>4417</v>
      </c>
      <c r="AO4745" s="4" t="s">
        <v>4412</v>
      </c>
      <c r="AP4745" s="4" t="s">
        <v>1337</v>
      </c>
      <c r="AQ4745" s="4" t="s">
        <v>1069</v>
      </c>
      <c r="AR4745" s="4" t="s">
        <v>1337</v>
      </c>
      <c r="AS4745" s="4" t="s">
        <v>11929</v>
      </c>
      <c r="AT4745" s="4" t="s">
        <v>1337</v>
      </c>
      <c r="AU4745" s="4" t="s">
        <v>11930</v>
      </c>
      <c r="AV4745" s="4" t="s">
        <v>11928</v>
      </c>
      <c r="AW4745" s="4" t="s">
        <v>1339</v>
      </c>
      <c r="AX4745" s="4" t="s">
        <v>1337</v>
      </c>
      <c r="AY4745" s="4" t="s">
        <v>11931</v>
      </c>
      <c r="AZ4745" s="4" t="s">
        <v>1337</v>
      </c>
    </row>
    <row r="4746">
      <c r="A4746" s="4">
        <v>148.0</v>
      </c>
      <c r="B4746" s="4" t="s">
        <v>11578</v>
      </c>
      <c r="C4746" s="4"/>
      <c r="D4746" s="4" t="s">
        <v>5989</v>
      </c>
      <c r="E4746" s="4" t="s">
        <v>8026</v>
      </c>
      <c r="F4746" s="4" t="s">
        <v>5924</v>
      </c>
      <c r="G4746" s="5" t="str">
        <f>IFERROR(__xludf.DUMMYFUNCTION("GOOGLETRANSLATE(D4746,""fr"",""es"")"),"dinero")</f>
        <v>dinero</v>
      </c>
    </row>
    <row r="4747">
      <c r="A4747" s="4">
        <v>149.0</v>
      </c>
      <c r="B4747" s="4" t="s">
        <v>11578</v>
      </c>
      <c r="C4747" s="4"/>
      <c r="D4747" s="4" t="s">
        <v>11932</v>
      </c>
      <c r="E4747" s="4" t="s">
        <v>1358</v>
      </c>
      <c r="F4747" s="4" t="s">
        <v>1359</v>
      </c>
      <c r="G4747" s="5" t="str">
        <f>IFERROR(__xludf.DUMMYFUNCTION("GOOGLETRANSLATE(D4747,""fr"",""es"")"),"Cassa")</f>
        <v>Cassa</v>
      </c>
    </row>
    <row r="4748">
      <c r="A4748" s="4">
        <v>150.0</v>
      </c>
      <c r="B4748" s="4" t="s">
        <v>11578</v>
      </c>
      <c r="C4748" s="4"/>
      <c r="D4748" s="4" t="s">
        <v>11933</v>
      </c>
      <c r="E4748" s="4" t="s">
        <v>8246</v>
      </c>
      <c r="F4748" s="4" t="s">
        <v>1336</v>
      </c>
      <c r="G4748" s="5" t="str">
        <f>IFERROR(__xludf.DUMMYFUNCTION("GOOGLETRANSLATE(D4748,""fr"",""es"")"),"roto")</f>
        <v>roto</v>
      </c>
      <c r="H4748" s="4" t="s">
        <v>11934</v>
      </c>
    </row>
    <row r="4749">
      <c r="A4749" s="4">
        <v>151.0</v>
      </c>
      <c r="B4749" s="4" t="s">
        <v>11578</v>
      </c>
      <c r="C4749" s="4"/>
      <c r="D4749" s="4" t="s">
        <v>11935</v>
      </c>
      <c r="E4749" s="4" t="s">
        <v>1335</v>
      </c>
      <c r="F4749" s="4" t="s">
        <v>1336</v>
      </c>
      <c r="G4749" s="5" t="str">
        <f>IFERROR(__xludf.DUMMYFUNCTION("GOOGLETRANSLATE(D4749,""fr"",""es"")"),"descanso")</f>
        <v>descanso</v>
      </c>
    </row>
    <row r="4750">
      <c r="A4750" s="4">
        <v>152.0</v>
      </c>
      <c r="B4750" s="4" t="s">
        <v>11578</v>
      </c>
      <c r="C4750" s="4"/>
      <c r="D4750" s="4" t="s">
        <v>11936</v>
      </c>
      <c r="E4750" s="4" t="s">
        <v>1335</v>
      </c>
      <c r="F4750" s="4" t="s">
        <v>1336</v>
      </c>
      <c r="G4750" s="5" t="str">
        <f>IFERROR(__xludf.DUMMYFUNCTION("GOOGLETRANSLATE(D4750,""fr"",""es"")"),"descanso")</f>
        <v>descanso</v>
      </c>
    </row>
    <row r="4751">
      <c r="A4751" s="4">
        <v>153.0</v>
      </c>
      <c r="B4751" s="4" t="s">
        <v>11578</v>
      </c>
      <c r="C4751" s="4"/>
      <c r="D4751" s="4" t="s">
        <v>8119</v>
      </c>
      <c r="E4751" s="4" t="s">
        <v>11937</v>
      </c>
      <c r="F4751" s="4" t="s">
        <v>8121</v>
      </c>
      <c r="G4751" s="5" t="str">
        <f>IFERROR(__xludf.DUMMYFUNCTION("GOOGLETRANSLATE(D4751,""fr"",""es"")"),"castaño")</f>
        <v>castaño</v>
      </c>
    </row>
    <row r="4752">
      <c r="A4752" s="4">
        <v>154.0</v>
      </c>
      <c r="B4752" s="4" t="s">
        <v>11578</v>
      </c>
      <c r="C4752" s="4"/>
      <c r="D4752" s="4" t="s">
        <v>11938</v>
      </c>
      <c r="E4752" s="4" t="s">
        <v>11937</v>
      </c>
      <c r="F4752" s="4" t="s">
        <v>8121</v>
      </c>
      <c r="G4752" s="5" t="str">
        <f>IFERROR(__xludf.DUMMYFUNCTION("GOOGLETRANSLATE(D4752,""fr"",""es"")"),"Cassis")</f>
        <v>Cassis</v>
      </c>
      <c r="H4752" s="4" t="s">
        <v>11939</v>
      </c>
    </row>
    <row r="4753">
      <c r="A4753" s="4">
        <v>155.0</v>
      </c>
      <c r="B4753" s="4" t="s">
        <v>11578</v>
      </c>
      <c r="C4753" s="4"/>
      <c r="D4753" s="4" t="s">
        <v>11938</v>
      </c>
      <c r="E4753" s="4" t="s">
        <v>11940</v>
      </c>
      <c r="F4753" s="4" t="s">
        <v>5665</v>
      </c>
      <c r="G4753" s="5" t="str">
        <f>IFERROR(__xludf.DUMMYFUNCTION("GOOGLETRANSLATE(D4753,""fr"",""es"")"),"Cassis")</f>
        <v>Cassis</v>
      </c>
      <c r="H4753" s="4" t="s">
        <v>11939</v>
      </c>
    </row>
    <row r="4754">
      <c r="A4754" s="4">
        <v>156.0</v>
      </c>
      <c r="B4754" s="4" t="s">
        <v>11578</v>
      </c>
      <c r="C4754" s="4"/>
      <c r="D4754" s="4" t="s">
        <v>11941</v>
      </c>
      <c r="E4754" s="4" t="s">
        <v>5161</v>
      </c>
      <c r="F4754" s="4" t="s">
        <v>5162</v>
      </c>
      <c r="G4754" s="5" t="str">
        <f>IFERROR(__xludf.DUMMYFUNCTION("GOOGLETRANSLATE(D4754,""fr"",""es"")"),"gato")</f>
        <v>gato</v>
      </c>
    </row>
    <row r="4755">
      <c r="A4755" s="4">
        <v>157.0</v>
      </c>
      <c r="B4755" s="4" t="s">
        <v>11578</v>
      </c>
      <c r="C4755" s="4"/>
      <c r="D4755" s="4" t="s">
        <v>11942</v>
      </c>
      <c r="E4755" s="4" t="s">
        <v>11943</v>
      </c>
      <c r="F4755" s="4" t="s">
        <v>11944</v>
      </c>
      <c r="G4755" s="5" t="str">
        <f>IFERROR(__xludf.DUMMYFUNCTION("GOOGLETRANSLATE(D4755,""fr"",""es"")"),"catalán")</f>
        <v>catalán</v>
      </c>
    </row>
    <row r="4756">
      <c r="A4756" s="4">
        <v>158.0</v>
      </c>
      <c r="B4756" s="4" t="s">
        <v>11578</v>
      </c>
      <c r="C4756" s="4"/>
      <c r="D4756" s="4" t="s">
        <v>11945</v>
      </c>
      <c r="E4756" s="4" t="s">
        <v>11943</v>
      </c>
      <c r="F4756" s="4" t="s">
        <v>11944</v>
      </c>
      <c r="G4756" s="5" t="str">
        <f>IFERROR(__xludf.DUMMYFUNCTION("GOOGLETRANSLATE(D4756,""fr"",""es"")"),"catalán")</f>
        <v>catalán</v>
      </c>
    </row>
    <row r="4757">
      <c r="A4757" s="4">
        <v>159.0</v>
      </c>
      <c r="B4757" s="4" t="s">
        <v>11578</v>
      </c>
      <c r="C4757" s="4"/>
      <c r="D4757" s="4" t="s">
        <v>11946</v>
      </c>
      <c r="E4757" s="4" t="s">
        <v>11947</v>
      </c>
      <c r="F4757" s="4" t="s">
        <v>11948</v>
      </c>
      <c r="G4757" s="5" t="str">
        <f>IFERROR(__xludf.DUMMYFUNCTION("GOOGLETRANSLATE(D4757,""fr"",""es"")"),"catán")</f>
        <v>catán</v>
      </c>
    </row>
    <row r="4758">
      <c r="A4758" s="4">
        <v>160.0</v>
      </c>
      <c r="B4758" s="4" t="s">
        <v>11578</v>
      </c>
      <c r="C4758" s="4"/>
      <c r="D4758" s="4" t="s">
        <v>11949</v>
      </c>
      <c r="E4758" s="4" t="s">
        <v>5161</v>
      </c>
      <c r="F4758" s="4" t="s">
        <v>5162</v>
      </c>
      <c r="G4758" s="5" t="str">
        <f>IFERROR(__xludf.DUMMYFUNCTION("GOOGLETRANSLATE(D4758,""fr"",""es"")"),"catasas")</f>
        <v>catasas</v>
      </c>
    </row>
    <row r="4759">
      <c r="A4759" s="4">
        <v>161.0</v>
      </c>
      <c r="B4759" s="4" t="s">
        <v>11578</v>
      </c>
      <c r="C4759" s="4"/>
      <c r="D4759" s="4" t="s">
        <v>11950</v>
      </c>
      <c r="E4759" s="4" t="s">
        <v>11951</v>
      </c>
      <c r="F4759" s="4" t="s">
        <v>11811</v>
      </c>
      <c r="G4759" s="5" t="str">
        <f>IFERROR(__xludf.DUMMYFUNCTION("GOOGLETRANSLATE(D4759,""fr"",""es"")"),"caya")</f>
        <v>caya</v>
      </c>
    </row>
    <row r="4760">
      <c r="A4760" s="4">
        <v>162.0</v>
      </c>
      <c r="B4760" s="4" t="s">
        <v>11578</v>
      </c>
      <c r="C4760" s="4"/>
      <c r="D4760" s="4" t="s">
        <v>11952</v>
      </c>
      <c r="E4760" s="4" t="s">
        <v>11953</v>
      </c>
      <c r="F4760" s="4" t="s">
        <v>11954</v>
      </c>
      <c r="G4760" s="5" t="str">
        <f>IFERROR(__xludf.DUMMYFUNCTION("GOOGLETRANSLATE(D4760,""fr"",""es"")"),"chacal")</f>
        <v>chacal</v>
      </c>
      <c r="H4760" s="4" t="s">
        <v>11955</v>
      </c>
      <c r="I4760" s="4" t="s">
        <v>11956</v>
      </c>
      <c r="J4760" s="4" t="s">
        <v>11957</v>
      </c>
      <c r="K4760" s="4" t="s">
        <v>11958</v>
      </c>
      <c r="L4760" s="4" t="s">
        <v>11959</v>
      </c>
      <c r="M4760" s="4" t="s">
        <v>11960</v>
      </c>
      <c r="N4760" s="4" t="s">
        <v>11961</v>
      </c>
      <c r="O4760" s="4" t="s">
        <v>11962</v>
      </c>
      <c r="P4760" s="4" t="s">
        <v>11963</v>
      </c>
      <c r="Q4760" s="4" t="s">
        <v>11964</v>
      </c>
      <c r="R4760" s="4" t="s">
        <v>11965</v>
      </c>
      <c r="S4760" s="4" t="s">
        <v>11966</v>
      </c>
      <c r="T4760" s="4" t="s">
        <v>11967</v>
      </c>
    </row>
    <row r="4761">
      <c r="A4761" s="4">
        <v>163.0</v>
      </c>
      <c r="B4761" s="4" t="s">
        <v>11578</v>
      </c>
      <c r="C4761" s="4"/>
      <c r="D4761" s="4" t="s">
        <v>11968</v>
      </c>
      <c r="E4761" s="4" t="s">
        <v>11953</v>
      </c>
      <c r="F4761" s="4" t="s">
        <v>11954</v>
      </c>
      <c r="G4761" s="5" t="str">
        <f>IFERROR(__xludf.DUMMYFUNCTION("GOOGLETRANSLATE(D4761,""fr"",""es"")"),"chacal")</f>
        <v>chacal</v>
      </c>
    </row>
    <row r="4762">
      <c r="A4762" s="4">
        <v>164.0</v>
      </c>
      <c r="B4762" s="4" t="s">
        <v>11578</v>
      </c>
      <c r="C4762" s="4"/>
      <c r="D4762" s="4" t="s">
        <v>11969</v>
      </c>
      <c r="E4762" s="4" t="s">
        <v>11970</v>
      </c>
      <c r="F4762" s="4" t="s">
        <v>11971</v>
      </c>
      <c r="G4762" s="5" t="str">
        <f>IFERROR(__xludf.DUMMYFUNCTION("GOOGLETRANSLATE(D4762,""fr"",""es"")"),"chacha")</f>
        <v>chacha</v>
      </c>
    </row>
    <row r="4763">
      <c r="A4763" s="4">
        <v>165.0</v>
      </c>
      <c r="B4763" s="4" t="s">
        <v>11578</v>
      </c>
      <c r="C4763" s="4"/>
      <c r="D4763" s="4" t="s">
        <v>11972</v>
      </c>
      <c r="E4763" s="4" t="s">
        <v>11973</v>
      </c>
      <c r="F4763" s="4" t="s">
        <v>11974</v>
      </c>
      <c r="G4763" s="5" t="str">
        <f>IFERROR(__xludf.DUMMYFUNCTION("GOOGLETRANSLATE(D4763,""fr"",""es"")"),"barco")</f>
        <v>barco</v>
      </c>
      <c r="H4763" s="4" t="s">
        <v>11975</v>
      </c>
    </row>
    <row r="4764">
      <c r="A4764" s="4">
        <v>166.0</v>
      </c>
      <c r="B4764" s="4" t="s">
        <v>11578</v>
      </c>
      <c r="C4764" s="4"/>
      <c r="D4764" s="4" t="s">
        <v>11976</v>
      </c>
      <c r="E4764" s="4" t="s">
        <v>11977</v>
      </c>
      <c r="F4764" s="4" t="s">
        <v>11978</v>
      </c>
      <c r="G4764" s="5" t="str">
        <f>IFERROR(__xludf.DUMMYFUNCTION("GOOGLETRANSLATE(D4764,""fr"",""es"")"),"vago")</f>
        <v>vago</v>
      </c>
    </row>
    <row r="4765">
      <c r="A4765" s="4">
        <v>167.0</v>
      </c>
      <c r="B4765" s="4" t="s">
        <v>11578</v>
      </c>
      <c r="C4765" s="4"/>
      <c r="D4765" s="4" t="s">
        <v>11979</v>
      </c>
      <c r="E4765" s="4" t="s">
        <v>11980</v>
      </c>
      <c r="F4765" s="4" t="s">
        <v>11981</v>
      </c>
      <c r="G4765" s="5" t="str">
        <f>IFERROR(__xludf.DUMMYFUNCTION("GOOGLETRANSLATE(D4765,""fr"",""es"")"),"chamán")</f>
        <v>chamán</v>
      </c>
      <c r="H4765" s="4" t="s">
        <v>11981</v>
      </c>
      <c r="I4765" s="4" t="s">
        <v>11982</v>
      </c>
    </row>
    <row r="4766">
      <c r="A4766" s="4">
        <v>168.0</v>
      </c>
      <c r="B4766" s="4" t="s">
        <v>11578</v>
      </c>
      <c r="C4766" s="4"/>
      <c r="D4766" s="4" t="s">
        <v>11983</v>
      </c>
      <c r="E4766" s="4" t="s">
        <v>11980</v>
      </c>
      <c r="F4766" s="4" t="s">
        <v>11981</v>
      </c>
      <c r="G4766" s="5" t="str">
        <f>IFERROR(__xludf.DUMMYFUNCTION("GOOGLETRANSLATE(D4766,""fr"",""es"")"),"chamán")</f>
        <v>chamán</v>
      </c>
    </row>
    <row r="4767">
      <c r="A4767" s="4">
        <v>169.0</v>
      </c>
      <c r="B4767" s="4" t="s">
        <v>11578</v>
      </c>
      <c r="C4767" s="4"/>
      <c r="D4767" s="4" t="s">
        <v>11984</v>
      </c>
      <c r="E4767" s="4" t="s">
        <v>11985</v>
      </c>
      <c r="F4767" s="4" t="s">
        <v>6012</v>
      </c>
      <c r="G4767" s="5" t="str">
        <f>IFERROR(__xludf.DUMMYFUNCTION("GOOGLETRANSLATE(D4767,""fr"",""es"")"),"tornillo")</f>
        <v>tornillo</v>
      </c>
      <c r="H4767" s="4" t="s">
        <v>9187</v>
      </c>
      <c r="I4767" s="4" t="s">
        <v>11986</v>
      </c>
      <c r="J4767" s="4" t="s">
        <v>11987</v>
      </c>
    </row>
    <row r="4768">
      <c r="A4768" s="4">
        <v>170.0</v>
      </c>
      <c r="B4768" s="4" t="s">
        <v>11578</v>
      </c>
      <c r="C4768" s="4"/>
      <c r="D4768" s="4" t="s">
        <v>11988</v>
      </c>
      <c r="E4768" s="4" t="s">
        <v>11989</v>
      </c>
      <c r="F4768" s="4" t="s">
        <v>7454</v>
      </c>
      <c r="G4768" s="5" t="str">
        <f>IFERROR(__xludf.DUMMYFUNCTION("GOOGLETRANSLATE(D4768,""fr"",""es"")"),"cada")</f>
        <v>cada</v>
      </c>
      <c r="H4768" s="4" t="s">
        <v>11990</v>
      </c>
      <c r="I4768" s="4" t="s">
        <v>11991</v>
      </c>
      <c r="J4768" s="4" t="s">
        <v>11992</v>
      </c>
      <c r="K4768" s="4" t="s">
        <v>11993</v>
      </c>
      <c r="L4768" s="4" t="s">
        <v>11994</v>
      </c>
      <c r="M4768" s="4" t="s">
        <v>11990</v>
      </c>
      <c r="N4768" s="4" t="s">
        <v>11995</v>
      </c>
      <c r="O4768" s="4" t="s">
        <v>11995</v>
      </c>
    </row>
    <row r="4769">
      <c r="A4769" s="4">
        <v>171.0</v>
      </c>
      <c r="B4769" s="4" t="s">
        <v>11578</v>
      </c>
      <c r="C4769" s="4"/>
      <c r="D4769" s="4" t="s">
        <v>11996</v>
      </c>
      <c r="E4769" s="4" t="s">
        <v>11997</v>
      </c>
      <c r="F4769" s="4" t="s">
        <v>4672</v>
      </c>
      <c r="G4769" s="5" t="str">
        <f>IFERROR(__xludf.DUMMYFUNCTION("GOOGLETRANSLATE(D4769,""fr"",""es"")"),"Chas")</f>
        <v>Chas</v>
      </c>
      <c r="H4769" s="4" t="s">
        <v>4619</v>
      </c>
    </row>
    <row r="4770">
      <c r="A4770" s="4">
        <v>172.0</v>
      </c>
      <c r="B4770" s="4" t="s">
        <v>11578</v>
      </c>
      <c r="C4770" s="4"/>
      <c r="D4770" s="4" t="s">
        <v>6013</v>
      </c>
      <c r="E4770" s="4" t="s">
        <v>11998</v>
      </c>
      <c r="F4770" s="4" t="s">
        <v>6015</v>
      </c>
      <c r="G4770" s="5" t="str">
        <f>IFERROR(__xludf.DUMMYFUNCTION("GOOGLETRANSLATE(D4770,""fr"",""es"")"),"caza")</f>
        <v>caza</v>
      </c>
      <c r="H4770" s="4" t="s">
        <v>1364</v>
      </c>
      <c r="I4770" s="4" t="s">
        <v>1365</v>
      </c>
      <c r="J4770" s="4" t="s">
        <v>1364</v>
      </c>
      <c r="K4770" s="4" t="s">
        <v>1365</v>
      </c>
      <c r="L4770" s="4" t="s">
        <v>6682</v>
      </c>
      <c r="M4770" s="4" t="s">
        <v>1364</v>
      </c>
      <c r="N4770" s="4" t="s">
        <v>1365</v>
      </c>
      <c r="O4770" s="4" t="s">
        <v>11999</v>
      </c>
      <c r="P4770" s="4" t="s">
        <v>1364</v>
      </c>
      <c r="Q4770" s="4" t="s">
        <v>646</v>
      </c>
      <c r="R4770" s="4" t="s">
        <v>1373</v>
      </c>
      <c r="S4770" s="4" t="s">
        <v>1374</v>
      </c>
      <c r="T4770" s="4" t="s">
        <v>1364</v>
      </c>
      <c r="U4770" s="4" t="s">
        <v>1364</v>
      </c>
      <c r="V4770" s="4" t="s">
        <v>11169</v>
      </c>
      <c r="W4770" s="4" t="s">
        <v>1364</v>
      </c>
      <c r="X4770" s="4" t="s">
        <v>3713</v>
      </c>
      <c r="Y4770" s="4" t="s">
        <v>1364</v>
      </c>
      <c r="Z4770" s="4" t="s">
        <v>1364</v>
      </c>
      <c r="AA4770" s="4" t="s">
        <v>1364</v>
      </c>
      <c r="AB4770" s="4" t="s">
        <v>1364</v>
      </c>
      <c r="AC4770" s="4" t="s">
        <v>12000</v>
      </c>
      <c r="AD4770" s="4" t="s">
        <v>12001</v>
      </c>
    </row>
    <row r="4771">
      <c r="A4771" s="4">
        <v>173.0</v>
      </c>
      <c r="B4771" s="4" t="s">
        <v>11578</v>
      </c>
      <c r="C4771" s="4"/>
      <c r="D4771" s="4" t="s">
        <v>12002</v>
      </c>
      <c r="E4771" s="4" t="s">
        <v>11998</v>
      </c>
      <c r="F4771" s="4" t="s">
        <v>6015</v>
      </c>
      <c r="G4771" s="5" t="str">
        <f>IFERROR(__xludf.DUMMYFUNCTION("GOOGLETRANSLATE(D4771,""fr"",""es"")"),"caza")</f>
        <v>caza</v>
      </c>
    </row>
    <row r="4772">
      <c r="A4772" s="4">
        <v>174.0</v>
      </c>
      <c r="B4772" s="4" t="s">
        <v>11578</v>
      </c>
      <c r="C4772" s="4"/>
      <c r="D4772" s="4" t="s">
        <v>6017</v>
      </c>
      <c r="E4772" s="4" t="s">
        <v>12003</v>
      </c>
      <c r="F4772" s="4" t="s">
        <v>6019</v>
      </c>
      <c r="G4772" s="5" t="str">
        <f>IFERROR(__xludf.DUMMYFUNCTION("GOOGLETRANSLATE(D4772,""fr"",""es"")"),"cuadro")</f>
        <v>cuadro</v>
      </c>
    </row>
    <row r="4773">
      <c r="A4773" s="4">
        <v>175.0</v>
      </c>
      <c r="B4773" s="4" t="s">
        <v>11578</v>
      </c>
      <c r="C4773" s="4"/>
      <c r="D4773" s="4" t="s">
        <v>12004</v>
      </c>
      <c r="E4773" s="4" t="s">
        <v>4671</v>
      </c>
      <c r="F4773" s="4" t="s">
        <v>4672</v>
      </c>
      <c r="G4773" s="5" t="str">
        <f>IFERROR(__xludf.DUMMYFUNCTION("GOOGLETRANSLATE(D4773,""fr"",""es"")"),"gato")</f>
        <v>gato</v>
      </c>
      <c r="H4773" s="4" t="s">
        <v>12005</v>
      </c>
      <c r="I4773" s="4" t="s">
        <v>12006</v>
      </c>
      <c r="J4773" s="4" t="s">
        <v>12007</v>
      </c>
      <c r="K4773" s="4" t="s">
        <v>12008</v>
      </c>
      <c r="L4773" s="4" t="s">
        <v>12009</v>
      </c>
      <c r="M4773" s="4" t="s">
        <v>12010</v>
      </c>
      <c r="N4773" s="4" t="s">
        <v>4845</v>
      </c>
      <c r="O4773" s="4" t="s">
        <v>12011</v>
      </c>
      <c r="P4773" s="4" t="s">
        <v>12012</v>
      </c>
      <c r="Q4773" s="4" t="s">
        <v>4845</v>
      </c>
      <c r="R4773" s="4" t="s">
        <v>4846</v>
      </c>
      <c r="S4773" s="4" t="s">
        <v>8837</v>
      </c>
      <c r="T4773" s="4" t="s">
        <v>8841</v>
      </c>
      <c r="U4773" s="4" t="s">
        <v>9109</v>
      </c>
      <c r="V4773" s="4" t="s">
        <v>4845</v>
      </c>
      <c r="W4773" s="4" t="s">
        <v>12013</v>
      </c>
      <c r="X4773" s="4" t="s">
        <v>4845</v>
      </c>
      <c r="Y4773" s="4" t="s">
        <v>12014</v>
      </c>
      <c r="Z4773" s="4" t="s">
        <v>4845</v>
      </c>
      <c r="AA4773" s="4" t="s">
        <v>12015</v>
      </c>
      <c r="AB4773" s="4" t="s">
        <v>12016</v>
      </c>
      <c r="AC4773" s="4" t="s">
        <v>12017</v>
      </c>
      <c r="AD4773" s="4" t="s">
        <v>12018</v>
      </c>
      <c r="AE4773" s="4" t="s">
        <v>4845</v>
      </c>
      <c r="AF4773" s="4" t="s">
        <v>12019</v>
      </c>
      <c r="AG4773" s="4" t="s">
        <v>12020</v>
      </c>
      <c r="AH4773" s="4" t="s">
        <v>8226</v>
      </c>
      <c r="AI4773" s="4" t="s">
        <v>8839</v>
      </c>
      <c r="AJ4773" s="4" t="s">
        <v>8840</v>
      </c>
      <c r="AK4773" s="4" t="s">
        <v>4845</v>
      </c>
      <c r="AL4773" s="4" t="s">
        <v>9156</v>
      </c>
      <c r="AM4773" s="4" t="s">
        <v>4845</v>
      </c>
      <c r="AN4773" s="4" t="s">
        <v>9157</v>
      </c>
      <c r="AO4773" s="4" t="s">
        <v>9158</v>
      </c>
    </row>
    <row r="4774">
      <c r="A4774" s="4">
        <v>176.0</v>
      </c>
      <c r="B4774" s="4" t="s">
        <v>11578</v>
      </c>
      <c r="C4774" s="4"/>
      <c r="D4774" s="4" t="s">
        <v>12021</v>
      </c>
      <c r="E4774" s="4" t="s">
        <v>4671</v>
      </c>
      <c r="F4774" s="4" t="s">
        <v>4672</v>
      </c>
      <c r="G4774" s="5" t="str">
        <f>IFERROR(__xludf.DUMMYFUNCTION("GOOGLETRANSLATE(D4774,""fr"",""es"")"),"gatos")</f>
        <v>gatos</v>
      </c>
    </row>
    <row r="4775">
      <c r="A4775" s="4">
        <v>177.0</v>
      </c>
      <c r="B4775" s="4" t="s">
        <v>11578</v>
      </c>
      <c r="C4775" s="4"/>
      <c r="D4775" s="4" t="s">
        <v>6034</v>
      </c>
      <c r="E4775" s="4" t="s">
        <v>4687</v>
      </c>
      <c r="F4775" s="4" t="s">
        <v>287</v>
      </c>
      <c r="G4775" s="5" t="str">
        <f>IFERROR(__xludf.DUMMYFUNCTION("GOOGLETRANSLATE(D4775,""fr"",""es"")"),"elegante")</f>
        <v>elegante</v>
      </c>
      <c r="H4775" s="4" t="s">
        <v>6034</v>
      </c>
      <c r="I4775" s="4" t="s">
        <v>3502</v>
      </c>
      <c r="J4775" s="4" t="s">
        <v>8141</v>
      </c>
      <c r="K4775" s="4" t="s">
        <v>8696</v>
      </c>
      <c r="L4775" s="4" t="s">
        <v>8694</v>
      </c>
      <c r="M4775" s="4" t="s">
        <v>4725</v>
      </c>
      <c r="N4775" s="4" t="s">
        <v>6034</v>
      </c>
      <c r="O4775" s="4" t="s">
        <v>6035</v>
      </c>
      <c r="P4775" s="4" t="s">
        <v>6031</v>
      </c>
      <c r="Q4775" s="4" t="s">
        <v>6036</v>
      </c>
      <c r="R4775" s="4" t="s">
        <v>6037</v>
      </c>
      <c r="S4775" s="4" t="s">
        <v>6038</v>
      </c>
      <c r="T4775" s="4" t="s">
        <v>6039</v>
      </c>
      <c r="U4775" s="4" t="s">
        <v>6040</v>
      </c>
    </row>
    <row r="4776">
      <c r="A4776" s="4">
        <v>178.0</v>
      </c>
      <c r="B4776" s="4" t="s">
        <v>11578</v>
      </c>
      <c r="C4776" s="4"/>
      <c r="D4776" s="4" t="s">
        <v>12022</v>
      </c>
      <c r="E4776" s="4" t="s">
        <v>12023</v>
      </c>
      <c r="F4776" s="4" t="s">
        <v>12024</v>
      </c>
      <c r="G4776" s="5" t="str">
        <f>IFERROR(__xludf.DUMMYFUNCTION("GOOGLETRANSLATE(D4776,""fr"",""es"")"),"chicana")</f>
        <v>chicana</v>
      </c>
    </row>
    <row r="4777">
      <c r="A4777" s="4">
        <v>179.0</v>
      </c>
      <c r="B4777" s="4" t="s">
        <v>11578</v>
      </c>
      <c r="C4777" s="4"/>
      <c r="D4777" s="4" t="s">
        <v>12025</v>
      </c>
      <c r="E4777" s="4" t="s">
        <v>12026</v>
      </c>
      <c r="F4777" s="4" t="s">
        <v>12024</v>
      </c>
      <c r="G4777" s="5" t="str">
        <f>IFERROR(__xludf.DUMMYFUNCTION("GOOGLETRANSLATE(D4777,""fr"",""es"")"),"chicanas")</f>
        <v>chicanas</v>
      </c>
    </row>
    <row r="4778">
      <c r="A4778" s="4">
        <v>180.0</v>
      </c>
      <c r="B4778" s="4" t="s">
        <v>11578</v>
      </c>
      <c r="C4778" s="4"/>
      <c r="D4778" s="4" t="s">
        <v>12027</v>
      </c>
      <c r="E4778" s="4" t="s">
        <v>12028</v>
      </c>
      <c r="F4778" s="4" t="s">
        <v>12029</v>
      </c>
      <c r="G4778" s="5" t="str">
        <f>IFERROR(__xludf.DUMMYFUNCTION("GOOGLETRANSLATE(D4778,""fr"",""es"")"),"chicular")</f>
        <v>chicular</v>
      </c>
    </row>
    <row r="4779">
      <c r="A4779" s="4">
        <v>181.0</v>
      </c>
      <c r="B4779" s="4" t="s">
        <v>11578</v>
      </c>
      <c r="C4779" s="4"/>
      <c r="D4779" s="4" t="s">
        <v>12030</v>
      </c>
      <c r="E4779" s="4" t="s">
        <v>12028</v>
      </c>
      <c r="F4779" s="4" t="s">
        <v>12029</v>
      </c>
      <c r="G4779" s="5" t="str">
        <f>IFERROR(__xludf.DUMMYFUNCTION("GOOGLETRANSLATE(D4779,""fr"",""es"")"),"elegante")</f>
        <v>elegante</v>
      </c>
    </row>
    <row r="4780">
      <c r="A4780" s="4">
        <v>182.0</v>
      </c>
      <c r="B4780" s="4" t="s">
        <v>11578</v>
      </c>
      <c r="C4780" s="4"/>
      <c r="D4780" s="4" t="s">
        <v>12031</v>
      </c>
      <c r="E4780" s="4" t="s">
        <v>12028</v>
      </c>
      <c r="F4780" s="4" t="s">
        <v>12029</v>
      </c>
      <c r="G4780" s="5" t="str">
        <f>IFERROR(__xludf.DUMMYFUNCTION("GOOGLETRANSLATE(D4780,""fr"",""es"")"),"chicanas")</f>
        <v>chicanas</v>
      </c>
    </row>
    <row r="4781">
      <c r="A4781" s="4">
        <v>183.0</v>
      </c>
      <c r="B4781" s="4" t="s">
        <v>11578</v>
      </c>
      <c r="C4781" s="4"/>
      <c r="D4781" s="4" t="s">
        <v>12032</v>
      </c>
      <c r="E4781" s="4" t="s">
        <v>12033</v>
      </c>
      <c r="F4781" s="4" t="s">
        <v>12034</v>
      </c>
      <c r="G4781" s="5" t="str">
        <f>IFERROR(__xludf.DUMMYFUNCTION("GOOGLETRANSLATE(D4781,""fr"",""es"")"),"crítica")</f>
        <v>crítica</v>
      </c>
    </row>
    <row r="4782">
      <c r="A4782" s="4">
        <v>184.0</v>
      </c>
      <c r="B4782" s="4" t="s">
        <v>11578</v>
      </c>
      <c r="C4782" s="4"/>
      <c r="D4782" s="4" t="s">
        <v>12035</v>
      </c>
      <c r="E4782" s="4" t="s">
        <v>12033</v>
      </c>
      <c r="F4782" s="4" t="s">
        <v>12034</v>
      </c>
      <c r="G4782" s="5" t="str">
        <f>IFERROR(__xludf.DUMMYFUNCTION("GOOGLETRANSLATE(D4782,""fr"",""es"")"),"crítica")</f>
        <v>crítica</v>
      </c>
    </row>
    <row r="4783">
      <c r="A4783" s="4">
        <v>185.0</v>
      </c>
      <c r="B4783" s="4" t="s">
        <v>11578</v>
      </c>
      <c r="C4783" s="4"/>
      <c r="D4783" s="4" t="s">
        <v>12036</v>
      </c>
      <c r="E4783" s="4" t="s">
        <v>12033</v>
      </c>
      <c r="F4783" s="4" t="s">
        <v>12034</v>
      </c>
      <c r="G4783" s="5" t="str">
        <f>IFERROR(__xludf.DUMMYFUNCTION("GOOGLETRANSLATE(D4783,""fr"",""es"")"),"desconcierto")</f>
        <v>desconcierto</v>
      </c>
    </row>
    <row r="4784">
      <c r="A4784" s="4">
        <v>186.0</v>
      </c>
      <c r="B4784" s="4" t="s">
        <v>11578</v>
      </c>
      <c r="C4784" s="4"/>
      <c r="D4784" s="4" t="s">
        <v>12037</v>
      </c>
      <c r="E4784" s="4" t="s">
        <v>12038</v>
      </c>
      <c r="F4784" s="4" t="s">
        <v>12039</v>
      </c>
      <c r="G4784" s="5" t="str">
        <f>IFERROR(__xludf.DUMMYFUNCTION("GOOGLETRANSLATE(D4784,""fr"",""es"")"),"chicanâmes")</f>
        <v>chicanâmes</v>
      </c>
    </row>
    <row r="4785">
      <c r="A4785" s="4">
        <v>187.0</v>
      </c>
      <c r="B4785" s="4" t="s">
        <v>11578</v>
      </c>
      <c r="C4785" s="4"/>
      <c r="D4785" s="4" t="s">
        <v>12040</v>
      </c>
      <c r="E4785" s="4" t="s">
        <v>12026</v>
      </c>
      <c r="F4785" s="4" t="s">
        <v>12024</v>
      </c>
      <c r="G4785" s="5" t="str">
        <f>IFERROR(__xludf.DUMMYFUNCTION("GOOGLETRANSLATE(D4785,""fr"",""es"")"),"chicanât")</f>
        <v>chicanât</v>
      </c>
    </row>
    <row r="4786">
      <c r="A4786" s="4">
        <v>188.0</v>
      </c>
      <c r="B4786" s="4" t="s">
        <v>11578</v>
      </c>
      <c r="C4786" s="4"/>
      <c r="D4786" s="4" t="s">
        <v>12041</v>
      </c>
      <c r="E4786" s="4" t="s">
        <v>12042</v>
      </c>
      <c r="F4786" s="4" t="s">
        <v>12043</v>
      </c>
      <c r="G4786" s="5" t="str">
        <f>IFERROR(__xludf.DUMMYFUNCTION("GOOGLETRANSLATE(D4786,""fr"",""es"")"),"Chicaya")</f>
        <v>Chicaya</v>
      </c>
    </row>
    <row r="4787">
      <c r="A4787" s="4">
        <v>189.0</v>
      </c>
      <c r="B4787" s="4" t="s">
        <v>11578</v>
      </c>
      <c r="C4787" s="4"/>
      <c r="D4787" s="4" t="s">
        <v>12044</v>
      </c>
      <c r="E4787" s="4" t="s">
        <v>12045</v>
      </c>
      <c r="F4787" s="4" t="s">
        <v>7507</v>
      </c>
      <c r="G4787" s="5" t="str">
        <f>IFERROR(__xludf.DUMMYFUNCTION("GOOGLETRANSLATE(D4787,""fr"",""es"")"),"chiche")</f>
        <v>chiche</v>
      </c>
    </row>
    <row r="4788">
      <c r="A4788" s="4">
        <v>190.0</v>
      </c>
      <c r="B4788" s="4" t="s">
        <v>11578</v>
      </c>
      <c r="C4788" s="4"/>
      <c r="D4788" s="4" t="s">
        <v>6031</v>
      </c>
      <c r="E4788" s="4" t="s">
        <v>6032</v>
      </c>
      <c r="F4788" s="4" t="s">
        <v>6033</v>
      </c>
      <c r="G4788" s="5" t="str">
        <f>IFERROR(__xludf.DUMMYFUNCTION("GOOGLETRANSLATE(D4788,""fr"",""es"")"),"Chi-chi")</f>
        <v>Chi-chi</v>
      </c>
    </row>
    <row r="4789">
      <c r="A4789" s="4">
        <v>191.0</v>
      </c>
      <c r="B4789" s="4" t="s">
        <v>11578</v>
      </c>
      <c r="C4789" s="4"/>
      <c r="D4789" s="4" t="s">
        <v>12046</v>
      </c>
      <c r="E4789" s="4" t="s">
        <v>12047</v>
      </c>
      <c r="F4789" s="4" t="s">
        <v>7490</v>
      </c>
      <c r="G4789" s="5" t="str">
        <f>IFERROR(__xludf.DUMMYFUNCTION("GOOGLETRANSLATE(D4789,""fr"",""es"")"),"química")</f>
        <v>química</v>
      </c>
      <c r="H4789" s="4" t="s">
        <v>3857</v>
      </c>
      <c r="I4789" s="4" t="s">
        <v>3858</v>
      </c>
      <c r="J4789" s="4" t="s">
        <v>3857</v>
      </c>
      <c r="K4789" s="4" t="s">
        <v>3859</v>
      </c>
      <c r="L4789" s="4" t="s">
        <v>3860</v>
      </c>
      <c r="M4789" s="4" t="s">
        <v>3851</v>
      </c>
      <c r="N4789" s="4" t="s">
        <v>12048</v>
      </c>
    </row>
    <row r="4790">
      <c r="A4790" s="4">
        <v>192.0</v>
      </c>
      <c r="B4790" s="4" t="s">
        <v>11578</v>
      </c>
      <c r="C4790" s="4"/>
      <c r="D4790" s="4" t="s">
        <v>12049</v>
      </c>
      <c r="E4790" s="4" t="s">
        <v>12050</v>
      </c>
      <c r="F4790" s="4" t="s">
        <v>12051</v>
      </c>
      <c r="G4790" s="5" t="str">
        <f>IFERROR(__xludf.DUMMYFUNCTION("GOOGLETRANSLATE(D4790,""fr"",""es"")"),"químico")</f>
        <v>químico</v>
      </c>
      <c r="H4790" s="4" t="s">
        <v>3851</v>
      </c>
      <c r="I4790" s="4" t="s">
        <v>3852</v>
      </c>
      <c r="J4790" s="4" t="s">
        <v>3851</v>
      </c>
      <c r="K4790" s="4" t="s">
        <v>3851</v>
      </c>
      <c r="L4790" s="4" t="s">
        <v>12048</v>
      </c>
    </row>
    <row r="4791">
      <c r="A4791" s="4">
        <v>193.0</v>
      </c>
      <c r="B4791" s="4" t="s">
        <v>11578</v>
      </c>
      <c r="C4791" s="4"/>
      <c r="D4791" s="4" t="s">
        <v>12052</v>
      </c>
      <c r="E4791" s="4" t="s">
        <v>12053</v>
      </c>
      <c r="F4791" s="4" t="s">
        <v>1188</v>
      </c>
      <c r="G4791" s="5" t="str">
        <f>IFERROR(__xludf.DUMMYFUNCTION("GOOGLETRANSLATE(D4791,""fr"",""es"")"),"Porcelana")</f>
        <v>Porcelana</v>
      </c>
      <c r="H4791" s="4" t="s">
        <v>12054</v>
      </c>
      <c r="I4791" s="4" t="s">
        <v>12055</v>
      </c>
      <c r="J4791" s="4" t="s">
        <v>12056</v>
      </c>
      <c r="K4791" s="4" t="s">
        <v>12057</v>
      </c>
      <c r="L4791" s="4" t="s">
        <v>12058</v>
      </c>
      <c r="M4791" s="4" t="s">
        <v>12059</v>
      </c>
      <c r="N4791" s="4" t="s">
        <v>12060</v>
      </c>
      <c r="O4791" s="4" t="s">
        <v>12061</v>
      </c>
      <c r="P4791" s="4" t="s">
        <v>12062</v>
      </c>
      <c r="Q4791" s="4" t="s">
        <v>12055</v>
      </c>
      <c r="R4791" s="4" t="s">
        <v>12063</v>
      </c>
      <c r="S4791" s="4" t="s">
        <v>12064</v>
      </c>
    </row>
    <row r="4792">
      <c r="A4792" s="4">
        <v>194.0</v>
      </c>
      <c r="B4792" s="4" t="s">
        <v>11578</v>
      </c>
      <c r="C4792" s="4"/>
      <c r="D4792" s="4" t="s">
        <v>12065</v>
      </c>
      <c r="E4792" s="4" t="s">
        <v>12066</v>
      </c>
      <c r="F4792" s="4" t="s">
        <v>12067</v>
      </c>
      <c r="G4792" s="5" t="str">
        <f>IFERROR(__xludf.DUMMYFUNCTION("GOOGLETRANSLATE(D4792,""fr"",""es"")"),"chipa")</f>
        <v>chipa</v>
      </c>
    </row>
    <row r="4793">
      <c r="A4793" s="4">
        <v>195.0</v>
      </c>
      <c r="B4793" s="4" t="s">
        <v>11578</v>
      </c>
      <c r="C4793" s="4"/>
      <c r="D4793" s="4" t="s">
        <v>12068</v>
      </c>
      <c r="E4793" s="4" t="s">
        <v>12069</v>
      </c>
      <c r="F4793" s="4" t="s">
        <v>12067</v>
      </c>
      <c r="G4793" s="5" t="str">
        <f>IFERROR(__xludf.DUMMYFUNCTION("GOOGLETRANSLATE(D4793,""fr"",""es"")"),"chipas")</f>
        <v>chipas</v>
      </c>
    </row>
    <row r="4794">
      <c r="A4794" s="4">
        <v>196.0</v>
      </c>
      <c r="B4794" s="4" t="s">
        <v>11578</v>
      </c>
      <c r="C4794" s="4"/>
      <c r="D4794" s="4" t="s">
        <v>12070</v>
      </c>
      <c r="E4794" s="4" t="s">
        <v>12071</v>
      </c>
      <c r="F4794" s="4" t="s">
        <v>12072</v>
      </c>
      <c r="G4794" s="5" t="str">
        <f>IFERROR(__xludf.DUMMYFUNCTION("GOOGLETRANSLATE(D4794,""fr"",""es"")"),"chipasse")</f>
        <v>chipasse</v>
      </c>
    </row>
    <row r="4795">
      <c r="A4795" s="4">
        <v>197.0</v>
      </c>
      <c r="B4795" s="4" t="s">
        <v>11578</v>
      </c>
      <c r="C4795" s="4"/>
      <c r="D4795" s="4" t="s">
        <v>12073</v>
      </c>
      <c r="E4795" s="4" t="s">
        <v>12071</v>
      </c>
      <c r="F4795" s="4" t="s">
        <v>12072</v>
      </c>
      <c r="G4795" s="5" t="str">
        <f>IFERROR(__xludf.DUMMYFUNCTION("GOOGLETRANSLATE(D4795,""fr"",""es"")"),"chip")</f>
        <v>chip</v>
      </c>
    </row>
    <row r="4796">
      <c r="A4796" s="4">
        <v>198.0</v>
      </c>
      <c r="B4796" s="4" t="s">
        <v>11578</v>
      </c>
      <c r="C4796" s="4"/>
      <c r="D4796" s="4" t="s">
        <v>12074</v>
      </c>
      <c r="E4796" s="4" t="s">
        <v>12071</v>
      </c>
      <c r="F4796" s="4" t="s">
        <v>12072</v>
      </c>
      <c r="G4796" s="5" t="str">
        <f>IFERROR(__xludf.DUMMYFUNCTION("GOOGLETRANSLATE(D4796,""fr"",""es"")"),"chipses")</f>
        <v>chipses</v>
      </c>
    </row>
    <row r="4797">
      <c r="A4797" s="4">
        <v>199.0</v>
      </c>
      <c r="B4797" s="4" t="s">
        <v>11578</v>
      </c>
      <c r="C4797" s="4"/>
      <c r="D4797" s="4" t="s">
        <v>12075</v>
      </c>
      <c r="E4797" s="4" t="s">
        <v>4714</v>
      </c>
      <c r="F4797" s="4" t="s">
        <v>4715</v>
      </c>
      <c r="G4797" s="5" t="str">
        <f>IFERROR(__xludf.DUMMYFUNCTION("GOOGLETRANSLATE(D4797,""fr"",""es"")"),"chiple")</f>
        <v>chiple</v>
      </c>
    </row>
    <row r="4798">
      <c r="A4798" s="4">
        <v>200.0</v>
      </c>
      <c r="B4798" s="4" t="s">
        <v>11578</v>
      </c>
      <c r="C4798" s="4"/>
      <c r="D4798" s="4" t="s">
        <v>12076</v>
      </c>
      <c r="E4798" s="4" t="s">
        <v>4714</v>
      </c>
      <c r="F4798" s="4" t="s">
        <v>4715</v>
      </c>
      <c r="G4798" s="5" t="str">
        <f>IFERROR(__xludf.DUMMYFUNCTION("GOOGLETRANSLATE(D4798,""fr"",""es"")"),"chiple")</f>
        <v>chiple</v>
      </c>
    </row>
    <row r="4799">
      <c r="A4799" s="4">
        <v>201.0</v>
      </c>
      <c r="B4799" s="4" t="s">
        <v>11578</v>
      </c>
      <c r="C4799" s="4"/>
      <c r="D4799" s="4" t="s">
        <v>12077</v>
      </c>
      <c r="E4799" s="4" t="s">
        <v>4714</v>
      </c>
      <c r="F4799" s="4" t="s">
        <v>4715</v>
      </c>
      <c r="G4799" s="5" t="str">
        <f>IFERROR(__xludf.DUMMYFUNCTION("GOOGLETRANSLATE(D4799,""fr"",""es"")"),"chie")</f>
        <v>chie</v>
      </c>
    </row>
    <row r="4800">
      <c r="A4800" s="4">
        <v>202.0</v>
      </c>
      <c r="B4800" s="4" t="s">
        <v>11578</v>
      </c>
      <c r="C4800" s="4"/>
      <c r="D4800" s="4" t="s">
        <v>12078</v>
      </c>
      <c r="E4800" s="4" t="s">
        <v>12079</v>
      </c>
      <c r="F4800" s="4" t="s">
        <v>12080</v>
      </c>
      <c r="G4800" s="5" t="str">
        <f>IFERROR(__xludf.DUMMYFUNCTION("GOOGLETRANSLATE(D4800,""fr"",""es"")"),"chipie")</f>
        <v>chipie</v>
      </c>
      <c r="H4800" s="4" t="s">
        <v>3432</v>
      </c>
      <c r="I4800" s="4" t="s">
        <v>6411</v>
      </c>
      <c r="J4800" s="4" t="s">
        <v>12081</v>
      </c>
      <c r="K4800" s="4" t="s">
        <v>12082</v>
      </c>
      <c r="L4800" s="4" t="s">
        <v>12083</v>
      </c>
    </row>
    <row r="4801">
      <c r="A4801" s="4">
        <v>203.0</v>
      </c>
      <c r="B4801" s="4" t="s">
        <v>11578</v>
      </c>
      <c r="C4801" s="4"/>
      <c r="D4801" s="4" t="s">
        <v>12084</v>
      </c>
      <c r="E4801" s="4" t="s">
        <v>12079</v>
      </c>
      <c r="F4801" s="4" t="s">
        <v>12080</v>
      </c>
      <c r="G4801" s="5" t="str">
        <f>IFERROR(__xludf.DUMMYFUNCTION("GOOGLETRANSLATE(D4801,""fr"",""es"")"),"chipies")</f>
        <v>chipies</v>
      </c>
    </row>
    <row r="4802">
      <c r="A4802" s="4">
        <v>204.0</v>
      </c>
      <c r="B4802" s="4" t="s">
        <v>11578</v>
      </c>
      <c r="C4802" s="4"/>
      <c r="D4802" s="4" t="s">
        <v>12085</v>
      </c>
      <c r="E4802" s="4" t="s">
        <v>12086</v>
      </c>
      <c r="F4802" s="4" t="s">
        <v>12087</v>
      </c>
      <c r="G4802" s="5" t="str">
        <f>IFERROR(__xludf.DUMMYFUNCTION("GOOGLETRANSLATE(D4802,""fr"",""es"")"),"chip")</f>
        <v>chip</v>
      </c>
    </row>
    <row r="4803">
      <c r="A4803" s="4">
        <v>205.0</v>
      </c>
      <c r="B4803" s="4" t="s">
        <v>11578</v>
      </c>
      <c r="C4803" s="4"/>
      <c r="D4803" s="4" t="s">
        <v>12088</v>
      </c>
      <c r="E4803" s="4" t="s">
        <v>12069</v>
      </c>
      <c r="F4803" s="4" t="s">
        <v>12067</v>
      </c>
      <c r="G4803" s="5" t="str">
        <f>IFERROR(__xludf.DUMMYFUNCTION("GOOGLETRANSLATE(D4803,""fr"",""es"")"),"chip")</f>
        <v>chip</v>
      </c>
    </row>
    <row r="4804">
      <c r="A4804" s="4">
        <v>206.0</v>
      </c>
      <c r="B4804" s="4" t="s">
        <v>11578</v>
      </c>
      <c r="C4804" s="4"/>
      <c r="D4804" s="4" t="s">
        <v>12089</v>
      </c>
      <c r="E4804" s="4" t="s">
        <v>4687</v>
      </c>
      <c r="F4804" s="4" t="s">
        <v>287</v>
      </c>
      <c r="G4804" s="5" t="str">
        <f>IFERROR(__xludf.DUMMYFUNCTION("GOOGLETRANSLATE(D4804,""fr"",""es"")"),"chique")</f>
        <v>chique</v>
      </c>
      <c r="H4804" s="4" t="s">
        <v>8696</v>
      </c>
      <c r="I4804" s="4" t="s">
        <v>8694</v>
      </c>
      <c r="J4804" s="4" t="s">
        <v>4725</v>
      </c>
    </row>
    <row r="4805">
      <c r="A4805" s="4">
        <v>207.0</v>
      </c>
      <c r="B4805" s="4" t="s">
        <v>11578</v>
      </c>
      <c r="C4805" s="4"/>
      <c r="D4805" s="4" t="s">
        <v>12090</v>
      </c>
      <c r="E4805" s="4" t="s">
        <v>12091</v>
      </c>
      <c r="F4805" s="4" t="s">
        <v>12092</v>
      </c>
      <c r="G4805" s="5" t="str">
        <f>IFERROR(__xludf.DUMMYFUNCTION("GOOGLETRANSLATE(D4805,""fr"",""es"")"),"quitina")</f>
        <v>quitina</v>
      </c>
      <c r="H4805" s="4" t="s">
        <v>3842</v>
      </c>
    </row>
    <row r="4806">
      <c r="A4806" s="4">
        <v>208.0</v>
      </c>
      <c r="B4806" s="4" t="s">
        <v>11578</v>
      </c>
      <c r="C4806" s="4"/>
      <c r="D4806" s="4" t="s">
        <v>12093</v>
      </c>
      <c r="E4806" s="4" t="s">
        <v>12094</v>
      </c>
      <c r="F4806" s="4" t="s">
        <v>12095</v>
      </c>
      <c r="G4806" s="5" t="str">
        <f>IFERROR(__xludf.DUMMYFUNCTION("GOOGLETRANSLATE(D4806,""fr"",""es"")"),"repollo")</f>
        <v>repollo</v>
      </c>
      <c r="H4806" s="4" t="s">
        <v>6299</v>
      </c>
      <c r="I4806" s="4" t="s">
        <v>6300</v>
      </c>
      <c r="J4806" s="4" t="s">
        <v>6301</v>
      </c>
      <c r="K4806" s="4" t="s">
        <v>6302</v>
      </c>
      <c r="L4806" s="4" t="s">
        <v>6303</v>
      </c>
      <c r="M4806" s="4" t="s">
        <v>6304</v>
      </c>
      <c r="N4806" s="4" t="s">
        <v>6305</v>
      </c>
      <c r="O4806" s="4" t="s">
        <v>6278</v>
      </c>
      <c r="P4806" s="4" t="s">
        <v>6306</v>
      </c>
      <c r="Q4806" s="4" t="s">
        <v>6307</v>
      </c>
      <c r="R4806" s="4" t="s">
        <v>6308</v>
      </c>
      <c r="S4806" s="4" t="s">
        <v>1800</v>
      </c>
      <c r="T4806" s="4" t="s">
        <v>12096</v>
      </c>
      <c r="U4806" s="4" t="s">
        <v>6300</v>
      </c>
      <c r="V4806" s="4" t="s">
        <v>12093</v>
      </c>
      <c r="W4806" s="4" t="s">
        <v>12097</v>
      </c>
      <c r="X4806" s="4" t="s">
        <v>12098</v>
      </c>
      <c r="Y4806" s="4" t="s">
        <v>12099</v>
      </c>
      <c r="Z4806" s="4" t="s">
        <v>12100</v>
      </c>
      <c r="AA4806" s="4" t="s">
        <v>12101</v>
      </c>
      <c r="AB4806" s="4" t="s">
        <v>12102</v>
      </c>
      <c r="AC4806" s="4" t="s">
        <v>12103</v>
      </c>
      <c r="AD4806" s="4" t="s">
        <v>12104</v>
      </c>
      <c r="AE4806" s="4" t="s">
        <v>6300</v>
      </c>
      <c r="AF4806" s="4" t="s">
        <v>12105</v>
      </c>
      <c r="AG4806" s="4" t="s">
        <v>12104</v>
      </c>
      <c r="AH4806" s="4" t="s">
        <v>12106</v>
      </c>
      <c r="AI4806" s="4" t="s">
        <v>12107</v>
      </c>
      <c r="AJ4806" s="4" t="s">
        <v>12108</v>
      </c>
      <c r="AK4806" s="4" t="s">
        <v>12109</v>
      </c>
      <c r="AL4806" s="4" t="s">
        <v>12110</v>
      </c>
      <c r="AM4806" s="4" t="s">
        <v>12111</v>
      </c>
    </row>
    <row r="4807">
      <c r="A4807" s="4">
        <v>209.0</v>
      </c>
      <c r="B4807" s="4" t="s">
        <v>11578</v>
      </c>
      <c r="C4807" s="4"/>
      <c r="D4807" s="4" t="s">
        <v>12112</v>
      </c>
      <c r="E4807" s="4" t="s">
        <v>12113</v>
      </c>
      <c r="F4807" s="4" t="s">
        <v>12114</v>
      </c>
      <c r="G4807" s="5" t="str">
        <f>IFERROR(__xludf.DUMMYFUNCTION("GOOGLETRANSLATE(D4807,""fr"",""es"")"),"grajo")</f>
        <v>grajo</v>
      </c>
      <c r="H4807" s="4" t="s">
        <v>12115</v>
      </c>
      <c r="I4807" s="4" t="s">
        <v>12116</v>
      </c>
      <c r="J4807" s="4" t="s">
        <v>12117</v>
      </c>
    </row>
    <row r="4808">
      <c r="A4808" s="4">
        <v>210.0</v>
      </c>
      <c r="B4808" s="4" t="s">
        <v>11578</v>
      </c>
      <c r="C4808" s="4"/>
      <c r="D4808" s="4" t="s">
        <v>12118</v>
      </c>
      <c r="E4808" s="4" t="s">
        <v>12119</v>
      </c>
      <c r="F4808" s="4" t="s">
        <v>12120</v>
      </c>
      <c r="G4808" s="5" t="str">
        <f>IFERROR(__xludf.DUMMYFUNCTION("GOOGLETRANSLATE(D4808,""fr"",""es"")"),"chouchanik")</f>
        <v>chouchanik</v>
      </c>
    </row>
    <row r="4809">
      <c r="A4809" s="4">
        <v>211.0</v>
      </c>
      <c r="B4809" s="4" t="s">
        <v>11578</v>
      </c>
      <c r="C4809" s="4"/>
      <c r="D4809" s="4" t="s">
        <v>12121</v>
      </c>
      <c r="E4809" s="4" t="s">
        <v>12122</v>
      </c>
      <c r="F4809" s="4" t="s">
        <v>12123</v>
      </c>
      <c r="G4809" s="5" t="str">
        <f>IFERROR(__xludf.DUMMYFUNCTION("GOOGLETRANSLATE(D4809,""fr"",""es"")"),"chouchi")</f>
        <v>chouchi</v>
      </c>
    </row>
    <row r="4810">
      <c r="A4810" s="4">
        <v>212.0</v>
      </c>
      <c r="B4810" s="4" t="s">
        <v>11578</v>
      </c>
      <c r="C4810" s="4"/>
      <c r="D4810" s="4" t="s">
        <v>12124</v>
      </c>
      <c r="E4810" s="4" t="s">
        <v>4739</v>
      </c>
      <c r="F4810" s="4" t="s">
        <v>4740</v>
      </c>
      <c r="G4810" s="5" t="str">
        <f>IFERROR(__xludf.DUMMYFUNCTION("GOOGLETRANSLATE(D4810,""fr"",""es"")"),"mascota")</f>
        <v>mascota</v>
      </c>
      <c r="H4810" s="4" t="s">
        <v>12125</v>
      </c>
      <c r="I4810" s="4" t="s">
        <v>5681</v>
      </c>
      <c r="J4810" s="4" t="s">
        <v>5682</v>
      </c>
      <c r="K4810" s="4" t="s">
        <v>12126</v>
      </c>
      <c r="L4810" s="4" t="s">
        <v>5683</v>
      </c>
      <c r="M4810" s="4" t="s">
        <v>12127</v>
      </c>
      <c r="N4810" s="4" t="s">
        <v>12128</v>
      </c>
      <c r="O4810" s="4" t="s">
        <v>12129</v>
      </c>
      <c r="P4810" s="4" t="s">
        <v>12130</v>
      </c>
    </row>
    <row r="4811">
      <c r="A4811" s="4">
        <v>213.0</v>
      </c>
      <c r="B4811" s="4" t="s">
        <v>11578</v>
      </c>
      <c r="C4811" s="4"/>
      <c r="D4811" s="4" t="s">
        <v>12131</v>
      </c>
      <c r="E4811" s="4" t="s">
        <v>12132</v>
      </c>
      <c r="F4811" s="4" t="s">
        <v>12133</v>
      </c>
      <c r="G4811" s="5" t="str">
        <f>IFERROR(__xludf.DUMMYFUNCTION("GOOGLETRANSLATE(D4811,""fr"",""es"")"),"chouillat")</f>
        <v>chouillat</v>
      </c>
    </row>
    <row r="4812">
      <c r="A4812" s="4">
        <v>214.0</v>
      </c>
      <c r="B4812" s="4" t="s">
        <v>11578</v>
      </c>
      <c r="C4812" s="4"/>
      <c r="D4812" s="4" t="s">
        <v>8142</v>
      </c>
      <c r="E4812" s="4" t="s">
        <v>8143</v>
      </c>
      <c r="F4812" s="4" t="s">
        <v>8144</v>
      </c>
      <c r="G4812" s="5" t="str">
        <f>IFERROR(__xludf.DUMMYFUNCTION("GOOGLETRANSLATE(D4812,""fr"",""es"")"),"choupical")</f>
        <v>choupical</v>
      </c>
    </row>
    <row r="4813">
      <c r="A4813" s="4">
        <v>215.0</v>
      </c>
      <c r="B4813" s="4" t="s">
        <v>11578</v>
      </c>
      <c r="C4813" s="4"/>
      <c r="D4813" s="4" t="s">
        <v>12134</v>
      </c>
      <c r="E4813" s="4" t="s">
        <v>12135</v>
      </c>
      <c r="F4813" s="4" t="s">
        <v>7448</v>
      </c>
      <c r="G4813" s="5" t="str">
        <f>IFERROR(__xludf.DUMMYFUNCTION("GOOGLETRANSLATE(D4813,""fr"",""es"")"),"chiflarse")</f>
        <v>chiflarse</v>
      </c>
    </row>
    <row r="4814">
      <c r="A4814" s="4">
        <v>216.0</v>
      </c>
      <c r="B4814" s="4" t="s">
        <v>11578</v>
      </c>
      <c r="C4814" s="4"/>
      <c r="D4814" s="4" t="s">
        <v>12136</v>
      </c>
      <c r="E4814" s="4" t="s">
        <v>12132</v>
      </c>
      <c r="F4814" s="4" t="s">
        <v>12133</v>
      </c>
      <c r="G4814" s="5" t="str">
        <f>IFERROR(__xludf.DUMMYFUNCTION("GOOGLETRANSLATE(D4814,""fr"",""es"")"),"chouïa")</f>
        <v>chouïa</v>
      </c>
      <c r="H4814" s="4" t="s">
        <v>12137</v>
      </c>
      <c r="I4814" s="4" t="s">
        <v>12138</v>
      </c>
      <c r="J4814" s="4" t="s">
        <v>12139</v>
      </c>
      <c r="K4814" s="4" t="s">
        <v>12140</v>
      </c>
      <c r="L4814" s="4" t="s">
        <v>12141</v>
      </c>
      <c r="M4814" s="4" t="s">
        <v>12142</v>
      </c>
      <c r="N4814" s="4" t="s">
        <v>12143</v>
      </c>
      <c r="O4814" s="4" t="s">
        <v>12144</v>
      </c>
      <c r="P4814" s="4" t="s">
        <v>12145</v>
      </c>
    </row>
    <row r="4815">
      <c r="A4815" s="4">
        <v>217.0</v>
      </c>
      <c r="B4815" s="4" t="s">
        <v>11578</v>
      </c>
      <c r="C4815" s="4"/>
      <c r="D4815" s="4" t="s">
        <v>12146</v>
      </c>
      <c r="E4815" s="4" t="s">
        <v>12147</v>
      </c>
      <c r="F4815" s="4" t="s">
        <v>4681</v>
      </c>
      <c r="G4815" s="5" t="str">
        <f>IFERROR(__xludf.DUMMYFUNCTION("GOOGLETRANSLATE(D4815,""fr"",""es"")"),"chal")</f>
        <v>chal</v>
      </c>
      <c r="H4815" s="4" t="s">
        <v>4682</v>
      </c>
    </row>
    <row r="4816">
      <c r="A4816" s="4">
        <v>218.0</v>
      </c>
      <c r="B4816" s="4" t="s">
        <v>11578</v>
      </c>
      <c r="C4816" s="4"/>
      <c r="D4816" s="4" t="s">
        <v>12148</v>
      </c>
      <c r="E4816" s="4" t="s">
        <v>12149</v>
      </c>
      <c r="F4816" s="4" t="s">
        <v>6015</v>
      </c>
      <c r="G4816" s="5" t="str">
        <f>IFERROR(__xludf.DUMMYFUNCTION("GOOGLETRANSLATE(D4816,""fr"",""es"")"),"caza")</f>
        <v>caza</v>
      </c>
    </row>
    <row r="4817">
      <c r="A4817" s="4">
        <v>219.0</v>
      </c>
      <c r="B4817" s="4" t="s">
        <v>11578</v>
      </c>
      <c r="C4817" s="4"/>
      <c r="D4817" s="4" t="s">
        <v>12150</v>
      </c>
      <c r="E4817" s="4" t="s">
        <v>12149</v>
      </c>
      <c r="F4817" s="4" t="s">
        <v>6015</v>
      </c>
      <c r="G4817" s="5" t="str">
        <f>IFERROR(__xludf.DUMMYFUNCTION("GOOGLETRANSLATE(D4817,""fr"",""es"")"),"señales")</f>
        <v>señales</v>
      </c>
    </row>
    <row r="4818">
      <c r="A4818" s="4">
        <v>220.0</v>
      </c>
      <c r="B4818" s="4" t="s">
        <v>11578</v>
      </c>
      <c r="C4818" s="4"/>
      <c r="D4818" s="4" t="s">
        <v>12151</v>
      </c>
      <c r="E4818" s="4" t="s">
        <v>12152</v>
      </c>
      <c r="F4818" s="4" t="s">
        <v>6019</v>
      </c>
      <c r="G4818" s="5" t="str">
        <f>IFERROR(__xludf.DUMMYFUNCTION("GOOGLETRANSLATE(D4818,""fr"",""es"")"),"cuadro")</f>
        <v>cuadro</v>
      </c>
      <c r="H4818" s="4" t="s">
        <v>12153</v>
      </c>
      <c r="I4818" s="4" t="s">
        <v>12154</v>
      </c>
    </row>
    <row r="4819">
      <c r="A4819" s="4">
        <v>221.0</v>
      </c>
      <c r="B4819" s="4" t="s">
        <v>11578</v>
      </c>
      <c r="C4819" s="4"/>
      <c r="D4819" s="4" t="s">
        <v>12155</v>
      </c>
      <c r="E4819" s="4" t="s">
        <v>400</v>
      </c>
      <c r="F4819" s="4" t="s">
        <v>401</v>
      </c>
      <c r="G4819" s="5" t="str">
        <f>IFERROR(__xludf.DUMMYFUNCTION("GOOGLETRANSLATE(D4819,""fr"",""es"")"),"este")</f>
        <v>este</v>
      </c>
    </row>
    <row r="4820">
      <c r="A4820" s="4">
        <v>222.0</v>
      </c>
      <c r="B4820" s="4" t="s">
        <v>11578</v>
      </c>
      <c r="C4820" s="4"/>
      <c r="D4820" s="4" t="s">
        <v>12156</v>
      </c>
      <c r="E4820" s="4" t="s">
        <v>12157</v>
      </c>
      <c r="F4820" s="4" t="s">
        <v>7587</v>
      </c>
      <c r="G4820" s="5" t="str">
        <f>IFERROR(__xludf.DUMMYFUNCTION("GOOGLETRANSLATE(D4820,""fr"",""es"")"),"pestaña")</f>
        <v>pestaña</v>
      </c>
      <c r="H4820" s="4" t="s">
        <v>12158</v>
      </c>
      <c r="I4820" s="4" t="s">
        <v>12159</v>
      </c>
      <c r="J4820" s="4" t="s">
        <v>12160</v>
      </c>
      <c r="K4820" s="4" t="s">
        <v>12161</v>
      </c>
      <c r="L4820" s="4" t="s">
        <v>12162</v>
      </c>
      <c r="M4820" s="4" t="s">
        <v>6571</v>
      </c>
      <c r="N4820" s="4" t="s">
        <v>6520</v>
      </c>
      <c r="O4820" s="4" t="s">
        <v>6572</v>
      </c>
      <c r="P4820" s="4" t="s">
        <v>6571</v>
      </c>
      <c r="Q4820" s="4" t="s">
        <v>6520</v>
      </c>
      <c r="R4820" s="4" t="s">
        <v>6572</v>
      </c>
    </row>
    <row r="4821">
      <c r="A4821" s="4">
        <v>223.0</v>
      </c>
      <c r="B4821" s="4" t="s">
        <v>11578</v>
      </c>
      <c r="C4821" s="4"/>
      <c r="D4821" s="4" t="s">
        <v>12163</v>
      </c>
      <c r="E4821" s="4" t="s">
        <v>12164</v>
      </c>
      <c r="F4821" s="4" t="s">
        <v>12165</v>
      </c>
      <c r="G4821" s="5" t="str">
        <f>IFERROR(__xludf.DUMMYFUNCTION("GOOGLETRANSLATE(D4821,""fr"",""es"")"),"cila")</f>
        <v>cila</v>
      </c>
    </row>
    <row r="4822">
      <c r="A4822" s="4">
        <v>224.0</v>
      </c>
      <c r="B4822" s="4" t="s">
        <v>11578</v>
      </c>
      <c r="C4822" s="4"/>
      <c r="D4822" s="4" t="s">
        <v>12166</v>
      </c>
      <c r="E4822" s="4" t="s">
        <v>12164</v>
      </c>
      <c r="F4822" s="4" t="s">
        <v>12165</v>
      </c>
      <c r="G4822" s="5" t="str">
        <f>IFERROR(__xludf.DUMMYFUNCTION("GOOGLETRANSLATE(D4822,""fr"",""es"")"),"cilles")</f>
        <v>cilles</v>
      </c>
    </row>
    <row r="4823">
      <c r="A4823" s="4">
        <v>225.0</v>
      </c>
      <c r="B4823" s="4" t="s">
        <v>11578</v>
      </c>
      <c r="C4823" s="4"/>
      <c r="D4823" s="4" t="s">
        <v>12167</v>
      </c>
      <c r="E4823" s="4" t="s">
        <v>1398</v>
      </c>
      <c r="F4823" s="4" t="s">
        <v>1399</v>
      </c>
      <c r="G4823" s="5" t="str">
        <f>IFERROR(__xludf.DUMMYFUNCTION("GOOGLETRANSLATE(D4823,""fr"",""es"")"),"parte superior")</f>
        <v>parte superior</v>
      </c>
      <c r="H4823" s="4" t="s">
        <v>12168</v>
      </c>
      <c r="I4823" s="4" t="s">
        <v>12169</v>
      </c>
      <c r="J4823" s="4" t="s">
        <v>1406</v>
      </c>
      <c r="K4823" s="4" t="s">
        <v>12170</v>
      </c>
      <c r="L4823" s="4" t="s">
        <v>12171</v>
      </c>
      <c r="M4823" s="4" t="s">
        <v>1400</v>
      </c>
      <c r="N4823" s="4" t="s">
        <v>1401</v>
      </c>
      <c r="O4823" s="4" t="s">
        <v>1402</v>
      </c>
      <c r="P4823" s="4" t="s">
        <v>1403</v>
      </c>
      <c r="Q4823" s="4" t="s">
        <v>425</v>
      </c>
      <c r="R4823" s="4" t="s">
        <v>1404</v>
      </c>
      <c r="S4823" s="4" t="s">
        <v>1405</v>
      </c>
      <c r="T4823" s="4" t="s">
        <v>1400</v>
      </c>
      <c r="U4823" s="4" t="s">
        <v>1406</v>
      </c>
      <c r="V4823" s="4" t="s">
        <v>1407</v>
      </c>
      <c r="W4823" s="4" t="s">
        <v>12172</v>
      </c>
      <c r="X4823" s="4" t="s">
        <v>3705</v>
      </c>
      <c r="Y4823" s="4" t="s">
        <v>425</v>
      </c>
      <c r="Z4823" s="4" t="s">
        <v>1400</v>
      </c>
      <c r="AA4823" s="4" t="s">
        <v>1407</v>
      </c>
      <c r="AB4823" s="4" t="s">
        <v>1409</v>
      </c>
      <c r="AC4823" s="4" t="s">
        <v>1410</v>
      </c>
      <c r="AD4823" s="4" t="s">
        <v>1400</v>
      </c>
      <c r="AE4823" s="4" t="s">
        <v>1411</v>
      </c>
      <c r="AF4823" s="4" t="s">
        <v>1404</v>
      </c>
      <c r="AG4823" s="4" t="s">
        <v>1412</v>
      </c>
      <c r="AH4823" s="4" t="s">
        <v>1413</v>
      </c>
      <c r="AI4823" s="4" t="s">
        <v>1414</v>
      </c>
      <c r="AJ4823" s="4" t="s">
        <v>1403</v>
      </c>
    </row>
    <row r="4824">
      <c r="A4824" s="4">
        <v>226.0</v>
      </c>
      <c r="B4824" s="4" t="s">
        <v>11578</v>
      </c>
      <c r="C4824" s="4"/>
      <c r="D4824" s="4" t="s">
        <v>12173</v>
      </c>
      <c r="E4824" s="4" t="s">
        <v>1398</v>
      </c>
      <c r="F4824" s="4" t="s">
        <v>1399</v>
      </c>
      <c r="G4824" s="5" t="str">
        <f>IFERROR(__xludf.DUMMYFUNCTION("GOOGLETRANSLATE(D4824,""fr"",""es"")"),"picos")</f>
        <v>picos</v>
      </c>
    </row>
    <row r="4825">
      <c r="A4825" s="4">
        <v>227.0</v>
      </c>
      <c r="B4825" s="4" t="s">
        <v>11578</v>
      </c>
      <c r="C4825" s="4"/>
      <c r="D4825" s="4" t="s">
        <v>12174</v>
      </c>
      <c r="E4825" s="4" t="s">
        <v>12175</v>
      </c>
      <c r="F4825" s="4" t="s">
        <v>12176</v>
      </c>
      <c r="G4825" s="5" t="str">
        <f>IFERROR(__xludf.DUMMYFUNCTION("GOOGLETRANSLATE(D4825,""fr"",""es"")"),"cipaille")</f>
        <v>cipaille</v>
      </c>
    </row>
    <row r="4826">
      <c r="A4826" s="4">
        <v>228.0</v>
      </c>
      <c r="B4826" s="4" t="s">
        <v>11578</v>
      </c>
      <c r="C4826" s="4"/>
      <c r="D4826" s="4" t="s">
        <v>12177</v>
      </c>
      <c r="E4826" s="4" t="s">
        <v>12175</v>
      </c>
      <c r="F4826" s="4" t="s">
        <v>12176</v>
      </c>
      <c r="G4826" s="5" t="str">
        <f>IFERROR(__xludf.DUMMYFUNCTION("GOOGLETRANSLATE(D4826,""fr"",""es"")"),"cipayo")</f>
        <v>cipayo</v>
      </c>
    </row>
    <row r="4827">
      <c r="A4827" s="4">
        <v>229.0</v>
      </c>
      <c r="B4827" s="4" t="s">
        <v>11578</v>
      </c>
      <c r="C4827" s="4"/>
      <c r="D4827" s="4" t="s">
        <v>12178</v>
      </c>
      <c r="E4827" s="4" t="s">
        <v>12179</v>
      </c>
      <c r="F4827" s="4" t="s">
        <v>7626</v>
      </c>
      <c r="G4827" s="5" t="str">
        <f>IFERROR(__xludf.DUMMYFUNCTION("GOOGLETRANSLATE(D4827,""fr"",""es"")"),"cipurar")</f>
        <v>cipurar</v>
      </c>
    </row>
    <row r="4828">
      <c r="A4828" s="4">
        <v>230.0</v>
      </c>
      <c r="B4828" s="4" t="s">
        <v>11578</v>
      </c>
      <c r="C4828" s="4"/>
      <c r="D4828" s="4" t="s">
        <v>1423</v>
      </c>
      <c r="E4828" s="4" t="s">
        <v>1424</v>
      </c>
      <c r="F4828" s="4" t="s">
        <v>1425</v>
      </c>
      <c r="G4828" s="5" t="str">
        <f>IFERROR(__xludf.DUMMYFUNCTION("GOOGLETRANSLATE(D4828,""fr"",""es"")"),"urbano")</f>
        <v>urbano</v>
      </c>
    </row>
    <row r="4829">
      <c r="A4829" s="4">
        <v>231.0</v>
      </c>
      <c r="B4829" s="4" t="s">
        <v>11578</v>
      </c>
      <c r="C4829" s="4"/>
      <c r="D4829" s="4" t="s">
        <v>12180</v>
      </c>
      <c r="E4829" s="4" t="s">
        <v>1424</v>
      </c>
      <c r="F4829" s="4" t="s">
        <v>1425</v>
      </c>
      <c r="G4829" s="5" t="str">
        <f>IFERROR(__xludf.DUMMYFUNCTION("GOOGLETRANSLATE(D4829,""fr"",""es"")"),"cita")</f>
        <v>cita</v>
      </c>
    </row>
    <row r="4830">
      <c r="A4830" s="4">
        <v>232.0</v>
      </c>
      <c r="B4830" s="4" t="s">
        <v>11578</v>
      </c>
      <c r="C4830" s="4"/>
      <c r="D4830" s="4" t="s">
        <v>12181</v>
      </c>
      <c r="E4830" s="4" t="s">
        <v>12182</v>
      </c>
      <c r="F4830" s="4" t="s">
        <v>12183</v>
      </c>
      <c r="G4830" s="5" t="str">
        <f>IFERROR(__xludf.DUMMYFUNCTION("GOOGLETRANSLATE(D4830,""fr"",""es"")"),"florecer")</f>
        <v>florecer</v>
      </c>
    </row>
    <row r="4831">
      <c r="A4831" s="4">
        <v>233.0</v>
      </c>
      <c r="B4831" s="4" t="s">
        <v>11578</v>
      </c>
      <c r="C4831" s="4"/>
      <c r="D4831" s="4" t="s">
        <v>12184</v>
      </c>
      <c r="E4831" s="4" t="s">
        <v>12182</v>
      </c>
      <c r="F4831" s="4" t="s">
        <v>12183</v>
      </c>
      <c r="G4831" s="5" t="str">
        <f>IFERROR(__xludf.DUMMYFUNCTION("GOOGLETRANSLATE(D4831,""fr"",""es"")"),"cotas")</f>
        <v>cotas</v>
      </c>
    </row>
    <row r="4832">
      <c r="A4832" s="4">
        <v>234.0</v>
      </c>
      <c r="B4832" s="4" t="s">
        <v>11578</v>
      </c>
      <c r="C4832" s="4"/>
      <c r="D4832" s="4" t="s">
        <v>1554</v>
      </c>
      <c r="E4832" s="4" t="s">
        <v>1555</v>
      </c>
      <c r="F4832" s="4" t="s">
        <v>1556</v>
      </c>
      <c r="G4832" s="5" t="str">
        <f>IFERROR(__xludf.DUMMYFUNCTION("GOOGLETRANSLATE(D4832,""fr"",""es"")"),"Galleta")</f>
        <v>Galleta</v>
      </c>
    </row>
    <row r="4833">
      <c r="A4833" s="4">
        <v>235.0</v>
      </c>
      <c r="B4833" s="4" t="s">
        <v>11578</v>
      </c>
      <c r="C4833" s="4"/>
      <c r="D4833" s="4" t="s">
        <v>12185</v>
      </c>
      <c r="E4833" s="4" t="s">
        <v>1600</v>
      </c>
      <c r="F4833" s="4" t="s">
        <v>1601</v>
      </c>
      <c r="G4833" s="5" t="str">
        <f>IFERROR(__xludf.DUMMYFUNCTION("GOOGLETRANSLATE(D4833,""fr"",""es"")"),"Frío")</f>
        <v>Frío</v>
      </c>
      <c r="H4833" s="4" t="s">
        <v>12185</v>
      </c>
      <c r="I4833" s="4" t="s">
        <v>8110</v>
      </c>
      <c r="J4833" s="4" t="s">
        <v>12186</v>
      </c>
      <c r="K4833" s="4" t="s">
        <v>12185</v>
      </c>
      <c r="L4833" s="4" t="s">
        <v>12187</v>
      </c>
      <c r="M4833" s="4" t="s">
        <v>12188</v>
      </c>
      <c r="N4833" s="4" t="s">
        <v>12185</v>
      </c>
      <c r="O4833" s="4" t="s">
        <v>12185</v>
      </c>
      <c r="P4833" s="4" t="s">
        <v>12185</v>
      </c>
      <c r="Q4833" s="4" t="s">
        <v>12185</v>
      </c>
      <c r="R4833" s="4" t="s">
        <v>12189</v>
      </c>
      <c r="S4833" s="4" t="s">
        <v>12190</v>
      </c>
      <c r="T4833" s="4" t="s">
        <v>12185</v>
      </c>
      <c r="U4833" s="4" t="s">
        <v>12191</v>
      </c>
      <c r="V4833" s="4" t="s">
        <v>12192</v>
      </c>
      <c r="W4833" s="4" t="s">
        <v>12185</v>
      </c>
    </row>
    <row r="4834">
      <c r="A4834" s="4">
        <v>236.0</v>
      </c>
      <c r="B4834" s="4" t="s">
        <v>11578</v>
      </c>
      <c r="C4834" s="4"/>
      <c r="D4834" s="4" t="s">
        <v>12193</v>
      </c>
      <c r="E4834" s="4" t="s">
        <v>1581</v>
      </c>
      <c r="F4834" s="4" t="s">
        <v>1582</v>
      </c>
      <c r="G4834" s="5" t="str">
        <f>IFERROR(__xludf.DUMMYFUNCTION("GOOGLETRANSLATE(D4834,""fr"",""es"")"),"cuello")</f>
        <v>cuello</v>
      </c>
      <c r="H4834" s="4" t="s">
        <v>12194</v>
      </c>
      <c r="I4834" s="4" t="s">
        <v>12194</v>
      </c>
      <c r="J4834" s="4" t="s">
        <v>12195</v>
      </c>
      <c r="K4834" s="4" t="s">
        <v>3040</v>
      </c>
      <c r="L4834" s="4" t="s">
        <v>3041</v>
      </c>
      <c r="M4834" s="4" t="s">
        <v>3042</v>
      </c>
      <c r="N4834" s="4" t="s">
        <v>12194</v>
      </c>
      <c r="O4834" s="4" t="s">
        <v>12196</v>
      </c>
      <c r="P4834" s="4" t="s">
        <v>12197</v>
      </c>
      <c r="Q4834" s="4" t="s">
        <v>12198</v>
      </c>
      <c r="R4834" s="4" t="s">
        <v>12199</v>
      </c>
      <c r="S4834" s="4" t="s">
        <v>12200</v>
      </c>
    </row>
    <row r="4835">
      <c r="A4835" s="4">
        <v>237.0</v>
      </c>
      <c r="B4835" s="4" t="s">
        <v>11578</v>
      </c>
      <c r="C4835" s="4"/>
      <c r="D4835" s="4" t="s">
        <v>12201</v>
      </c>
      <c r="E4835" s="4" t="s">
        <v>12202</v>
      </c>
      <c r="F4835" s="4" t="s">
        <v>6099</v>
      </c>
      <c r="G4835" s="5" t="str">
        <f>IFERROR(__xludf.DUMMYFUNCTION("GOOGLETRANSLATE(D4835,""fr"",""es"")"),"capa")</f>
        <v>capa</v>
      </c>
      <c r="H4835" s="4" t="s">
        <v>6952</v>
      </c>
      <c r="I4835" s="4" t="s">
        <v>6953</v>
      </c>
      <c r="J4835" s="4" t="s">
        <v>6954</v>
      </c>
      <c r="K4835" s="4" t="s">
        <v>6955</v>
      </c>
      <c r="L4835" s="4" t="s">
        <v>6947</v>
      </c>
      <c r="M4835" s="4" t="s">
        <v>1237</v>
      </c>
      <c r="N4835" s="4" t="s">
        <v>6950</v>
      </c>
      <c r="O4835" s="4" t="s">
        <v>6947</v>
      </c>
      <c r="P4835" s="4" t="s">
        <v>6951</v>
      </c>
      <c r="Q4835" s="4" t="s">
        <v>6950</v>
      </c>
      <c r="R4835" s="4" t="s">
        <v>1237</v>
      </c>
      <c r="S4835" s="4" t="s">
        <v>1241</v>
      </c>
      <c r="T4835" s="4" t="s">
        <v>2187</v>
      </c>
      <c r="U4835" s="4" t="s">
        <v>1237</v>
      </c>
      <c r="V4835" s="4" t="s">
        <v>12203</v>
      </c>
      <c r="W4835" s="4" t="s">
        <v>10891</v>
      </c>
      <c r="X4835" s="4" t="s">
        <v>1237</v>
      </c>
      <c r="Y4835" s="4" t="s">
        <v>12203</v>
      </c>
    </row>
    <row r="4836">
      <c r="A4836" s="4">
        <v>238.0</v>
      </c>
      <c r="B4836" s="4" t="s">
        <v>11578</v>
      </c>
      <c r="C4836" s="4"/>
      <c r="D4836" s="4" t="s">
        <v>12204</v>
      </c>
      <c r="E4836" s="4" t="s">
        <v>9115</v>
      </c>
      <c r="F4836" s="4" t="s">
        <v>9114</v>
      </c>
      <c r="G4836" s="5" t="str">
        <f>IFERROR(__xludf.DUMMYFUNCTION("GOOGLETRANSLATE(D4836,""fr"",""es"")"),"Hola")</f>
        <v>Hola</v>
      </c>
      <c r="H4836" s="4" t="s">
        <v>9118</v>
      </c>
      <c r="I4836" s="4" t="s">
        <v>9118</v>
      </c>
      <c r="J4836" s="4" t="s">
        <v>10176</v>
      </c>
      <c r="K4836" s="4" t="s">
        <v>10177</v>
      </c>
      <c r="L4836" s="4" t="s">
        <v>12205</v>
      </c>
      <c r="M4836" s="4" t="s">
        <v>12206</v>
      </c>
      <c r="N4836" s="4" t="s">
        <v>7619</v>
      </c>
      <c r="O4836" s="4" t="s">
        <v>12207</v>
      </c>
      <c r="P4836" s="4" t="s">
        <v>9158</v>
      </c>
      <c r="Q4836" s="4" t="s">
        <v>12208</v>
      </c>
      <c r="R4836" s="4" t="s">
        <v>12209</v>
      </c>
      <c r="S4836" s="4" t="s">
        <v>9118</v>
      </c>
      <c r="T4836" s="4" t="s">
        <v>3435</v>
      </c>
      <c r="U4836" s="4" t="s">
        <v>7420</v>
      </c>
      <c r="V4836" s="4" t="s">
        <v>12210</v>
      </c>
      <c r="W4836" s="4" t="s">
        <v>12211</v>
      </c>
      <c r="X4836" s="4" t="s">
        <v>12212</v>
      </c>
    </row>
    <row r="4837">
      <c r="A4837" s="4">
        <v>239.0</v>
      </c>
      <c r="B4837" s="4" t="s">
        <v>11578</v>
      </c>
      <c r="C4837" s="4"/>
      <c r="D4837" s="4" t="s">
        <v>12213</v>
      </c>
      <c r="E4837" s="4" t="s">
        <v>12214</v>
      </c>
      <c r="F4837" s="4" t="s">
        <v>12215</v>
      </c>
      <c r="G4837" s="5" t="str">
        <f>IFERROR(__xludf.DUMMYFUNCTION("GOOGLETRANSLATE(D4837,""fr"",""es"")"),"cuco")</f>
        <v>cuco</v>
      </c>
    </row>
    <row r="4838">
      <c r="A4838" s="4">
        <v>240.0</v>
      </c>
      <c r="B4838" s="4" t="s">
        <v>11578</v>
      </c>
      <c r="C4838" s="4"/>
      <c r="D4838" s="4" t="s">
        <v>12216</v>
      </c>
      <c r="E4838" s="4" t="s">
        <v>1581</v>
      </c>
      <c r="F4838" s="4" t="s">
        <v>1582</v>
      </c>
      <c r="G4838" s="5" t="str">
        <f>IFERROR(__xludf.DUMMYFUNCTION("GOOGLETRANSLATE(D4838,""fr"",""es"")"),"coser")</f>
        <v>coser</v>
      </c>
    </row>
    <row r="4839">
      <c r="A4839" s="4">
        <v>241.0</v>
      </c>
      <c r="B4839" s="4" t="s">
        <v>11578</v>
      </c>
      <c r="C4839" s="4"/>
      <c r="D4839" s="4" t="s">
        <v>12217</v>
      </c>
      <c r="E4839" s="4" t="s">
        <v>1581</v>
      </c>
      <c r="F4839" s="4" t="s">
        <v>1582</v>
      </c>
      <c r="G4839" s="5" t="str">
        <f>IFERROR(__xludf.DUMMYFUNCTION("GOOGLETRANSLATE(D4839,""fr"",""es"")"),"coser")</f>
        <v>coser</v>
      </c>
    </row>
    <row r="4840">
      <c r="A4840" s="4">
        <v>242.0</v>
      </c>
      <c r="B4840" s="4" t="s">
        <v>11578</v>
      </c>
      <c r="C4840" s="4"/>
      <c r="D4840" s="4" t="s">
        <v>12218</v>
      </c>
      <c r="E4840" s="4" t="s">
        <v>12219</v>
      </c>
      <c r="F4840" s="4" t="s">
        <v>468</v>
      </c>
      <c r="G4840" s="5" t="str">
        <f>IFERROR(__xludf.DUMMYFUNCTION("GOOGLETRANSLATE(D4840,""fr"",""es"")"),"pelota")</f>
        <v>pelota</v>
      </c>
      <c r="H4840" s="4" t="s">
        <v>12220</v>
      </c>
      <c r="I4840" s="4" t="s">
        <v>12221</v>
      </c>
      <c r="J4840" s="4" t="s">
        <v>12222</v>
      </c>
      <c r="K4840" s="4" t="s">
        <v>1067</v>
      </c>
      <c r="L4840" s="4" t="s">
        <v>12223</v>
      </c>
      <c r="M4840" s="4" t="s">
        <v>12224</v>
      </c>
      <c r="N4840" s="4" t="s">
        <v>12225</v>
      </c>
      <c r="O4840" s="4" t="s">
        <v>12226</v>
      </c>
      <c r="P4840" s="4" t="s">
        <v>12227</v>
      </c>
      <c r="Q4840" s="4" t="s">
        <v>12220</v>
      </c>
      <c r="R4840" s="4" t="s">
        <v>12228</v>
      </c>
      <c r="S4840" s="4" t="s">
        <v>12221</v>
      </c>
      <c r="T4840" s="4" t="s">
        <v>12229</v>
      </c>
      <c r="U4840" s="4" t="s">
        <v>10601</v>
      </c>
      <c r="V4840" s="4" t="s">
        <v>12230</v>
      </c>
      <c r="W4840" s="4" t="s">
        <v>12231</v>
      </c>
      <c r="X4840" s="4" t="s">
        <v>12232</v>
      </c>
      <c r="Y4840" s="4" t="s">
        <v>1067</v>
      </c>
    </row>
    <row r="4841">
      <c r="A4841" s="4">
        <v>243.0</v>
      </c>
      <c r="B4841" s="4" t="s">
        <v>11578</v>
      </c>
      <c r="C4841" s="4"/>
      <c r="D4841" s="4" t="s">
        <v>12233</v>
      </c>
      <c r="E4841" s="4" t="s">
        <v>12219</v>
      </c>
      <c r="F4841" s="4" t="s">
        <v>468</v>
      </c>
      <c r="G4841" s="5" t="str">
        <f>IFERROR(__xludf.DUMMYFUNCTION("GOOGLETRANSLATE(D4841,""fr"",""es"")"),"pelotas")</f>
        <v>pelotas</v>
      </c>
    </row>
    <row r="4842">
      <c r="A4842" s="4">
        <v>244.0</v>
      </c>
      <c r="B4842" s="4" t="s">
        <v>11578</v>
      </c>
      <c r="C4842" s="4"/>
      <c r="D4842" s="4" t="s">
        <v>12234</v>
      </c>
      <c r="E4842" s="4" t="s">
        <v>1479</v>
      </c>
      <c r="F4842" s="4" t="s">
        <v>1480</v>
      </c>
      <c r="G4842" s="5" t="str">
        <f>IFERROR(__xludf.DUMMYFUNCTION("GOOGLETRANSLATE(D4842,""fr"",""es"")"),"coulis")</f>
        <v>coulis</v>
      </c>
    </row>
    <row r="4843">
      <c r="A4843" s="4">
        <v>245.0</v>
      </c>
      <c r="B4843" s="4" t="s">
        <v>11578</v>
      </c>
      <c r="C4843" s="4"/>
      <c r="D4843" s="4" t="s">
        <v>12235</v>
      </c>
      <c r="E4843" s="4" t="s">
        <v>1482</v>
      </c>
      <c r="F4843" s="4" t="s">
        <v>1483</v>
      </c>
      <c r="G4843" s="5" t="str">
        <f>IFERROR(__xludf.DUMMYFUNCTION("GOOGLETRANSLATE(D4843,""fr"",""es"")"),"deslizar")</f>
        <v>deslizar</v>
      </c>
      <c r="H4843" s="4" t="s">
        <v>12236</v>
      </c>
      <c r="I4843" s="4" t="s">
        <v>12237</v>
      </c>
    </row>
    <row r="4844">
      <c r="A4844" s="4">
        <v>246.0</v>
      </c>
      <c r="B4844" s="4" t="s">
        <v>11578</v>
      </c>
      <c r="C4844" s="4"/>
      <c r="D4844" s="4" t="s">
        <v>8272</v>
      </c>
      <c r="E4844" s="4" t="s">
        <v>1581</v>
      </c>
      <c r="F4844" s="4" t="s">
        <v>1582</v>
      </c>
      <c r="G4844" s="5" t="str">
        <f>IFERROR(__xludf.DUMMYFUNCTION("GOOGLETRANSLATE(D4844,""fr"",""es"")"),"Corte")</f>
        <v>Corte</v>
      </c>
      <c r="H4844" s="4" t="s">
        <v>856</v>
      </c>
      <c r="I4844" s="4" t="s">
        <v>8272</v>
      </c>
      <c r="J4844" s="4" t="s">
        <v>3462</v>
      </c>
      <c r="K4844" s="4" t="s">
        <v>8412</v>
      </c>
      <c r="L4844" s="4" t="s">
        <v>6486</v>
      </c>
      <c r="M4844" s="4" t="s">
        <v>8413</v>
      </c>
      <c r="N4844" s="4" t="s">
        <v>8414</v>
      </c>
      <c r="O4844" s="4" t="s">
        <v>7005</v>
      </c>
      <c r="P4844" s="4" t="s">
        <v>12238</v>
      </c>
      <c r="Q4844" s="4" t="s">
        <v>12239</v>
      </c>
      <c r="R4844" s="4" t="s">
        <v>3498</v>
      </c>
      <c r="S4844" s="4" t="s">
        <v>6602</v>
      </c>
      <c r="T4844" s="4" t="s">
        <v>3489</v>
      </c>
      <c r="U4844" s="4" t="s">
        <v>6566</v>
      </c>
      <c r="V4844" s="4" t="s">
        <v>6603</v>
      </c>
      <c r="W4844" s="4" t="s">
        <v>2170</v>
      </c>
      <c r="X4844" s="4" t="s">
        <v>12240</v>
      </c>
      <c r="Y4844" s="4" t="s">
        <v>12241</v>
      </c>
      <c r="Z4844" s="4" t="s">
        <v>639</v>
      </c>
      <c r="AA4844" s="4" t="s">
        <v>639</v>
      </c>
      <c r="AB4844" s="4" t="s">
        <v>903</v>
      </c>
      <c r="AC4844" s="4" t="s">
        <v>12242</v>
      </c>
      <c r="AD4844" s="4" t="s">
        <v>12240</v>
      </c>
      <c r="AE4844" s="4" t="s">
        <v>6998</v>
      </c>
      <c r="AF4844" s="4" t="s">
        <v>12243</v>
      </c>
      <c r="AG4844" s="4" t="s">
        <v>12244</v>
      </c>
      <c r="AH4844" s="4" t="s">
        <v>12245</v>
      </c>
      <c r="AI4844" s="4" t="s">
        <v>8273</v>
      </c>
      <c r="AJ4844" s="4" t="s">
        <v>8272</v>
      </c>
      <c r="AK4844" s="4" t="s">
        <v>8274</v>
      </c>
      <c r="AL4844" s="4" t="s">
        <v>8275</v>
      </c>
      <c r="AM4844" s="4" t="s">
        <v>4163</v>
      </c>
      <c r="AN4844" s="4" t="s">
        <v>12246</v>
      </c>
      <c r="AO4844" s="4" t="s">
        <v>4283</v>
      </c>
      <c r="AP4844" s="4" t="s">
        <v>12247</v>
      </c>
      <c r="AQ4844" s="4" t="s">
        <v>12248</v>
      </c>
      <c r="AR4844" s="4" t="s">
        <v>12240</v>
      </c>
      <c r="AS4844" s="4" t="s">
        <v>12249</v>
      </c>
      <c r="AT4844" s="4" t="s">
        <v>12250</v>
      </c>
      <c r="AU4844" s="4" t="s">
        <v>12240</v>
      </c>
      <c r="AV4844" s="4" t="s">
        <v>12251</v>
      </c>
      <c r="AW4844" s="4" t="s">
        <v>12252</v>
      </c>
      <c r="AX4844" s="4" t="s">
        <v>12253</v>
      </c>
      <c r="AY4844" s="4" t="s">
        <v>12240</v>
      </c>
      <c r="AZ4844" s="4" t="s">
        <v>12254</v>
      </c>
      <c r="BA4844" s="4" t="s">
        <v>3462</v>
      </c>
      <c r="BB4844" s="4" t="s">
        <v>3463</v>
      </c>
      <c r="BC4844" s="4" t="s">
        <v>8413</v>
      </c>
      <c r="BD4844" s="4" t="s">
        <v>6998</v>
      </c>
      <c r="BE4844" s="4" t="s">
        <v>12255</v>
      </c>
      <c r="BF4844" s="4" t="s">
        <v>12256</v>
      </c>
      <c r="BG4844" s="4" t="s">
        <v>12257</v>
      </c>
      <c r="BH4844" s="4" t="s">
        <v>910</v>
      </c>
      <c r="BI4844" s="4" t="s">
        <v>4163</v>
      </c>
    </row>
    <row r="4845">
      <c r="A4845" s="4">
        <v>247.0</v>
      </c>
      <c r="B4845" s="4" t="s">
        <v>11578</v>
      </c>
      <c r="C4845" s="4"/>
      <c r="D4845" s="4" t="s">
        <v>12258</v>
      </c>
      <c r="E4845" s="4" t="s">
        <v>324</v>
      </c>
      <c r="F4845" s="4" t="s">
        <v>325</v>
      </c>
      <c r="G4845" s="5" t="str">
        <f>IFERROR(__xludf.DUMMYFUNCTION("GOOGLETRANSLATE(D4845,""fr"",""es"")"),"cortado")</f>
        <v>cortado</v>
      </c>
      <c r="H4845" s="4" t="s">
        <v>12259</v>
      </c>
      <c r="I4845" s="4" t="s">
        <v>4278</v>
      </c>
      <c r="J4845" s="4" t="s">
        <v>1250</v>
      </c>
      <c r="K4845" s="4" t="s">
        <v>4267</v>
      </c>
      <c r="L4845" s="4" t="s">
        <v>4283</v>
      </c>
      <c r="M4845" s="4" t="s">
        <v>4272</v>
      </c>
      <c r="N4845" s="4" t="s">
        <v>12260</v>
      </c>
      <c r="O4845" s="4" t="s">
        <v>10891</v>
      </c>
      <c r="P4845" s="4" t="s">
        <v>12261</v>
      </c>
      <c r="Q4845" s="4" t="s">
        <v>4378</v>
      </c>
      <c r="R4845" s="4" t="s">
        <v>12262</v>
      </c>
      <c r="S4845" s="4" t="s">
        <v>4278</v>
      </c>
      <c r="T4845" s="4" t="s">
        <v>10891</v>
      </c>
      <c r="U4845" s="4" t="s">
        <v>12263</v>
      </c>
      <c r="V4845" s="4" t="s">
        <v>12264</v>
      </c>
      <c r="W4845" s="4" t="s">
        <v>1250</v>
      </c>
      <c r="X4845" s="4" t="s">
        <v>4272</v>
      </c>
      <c r="Y4845" s="4" t="s">
        <v>4283</v>
      </c>
      <c r="Z4845" s="4" t="s">
        <v>4281</v>
      </c>
    </row>
    <row r="4846">
      <c r="A4846" s="4">
        <v>248.0</v>
      </c>
      <c r="B4846" s="4" t="s">
        <v>11578</v>
      </c>
      <c r="C4846" s="4"/>
      <c r="D4846" s="4" t="s">
        <v>12265</v>
      </c>
      <c r="E4846" s="4" t="s">
        <v>1581</v>
      </c>
      <c r="F4846" s="4" t="s">
        <v>1582</v>
      </c>
      <c r="G4846" s="5" t="str">
        <f>IFERROR(__xludf.DUMMYFUNCTION("GOOGLETRANSLATE(D4846,""fr"",""es"")"),"costo")</f>
        <v>costo</v>
      </c>
    </row>
    <row r="4847">
      <c r="A4847" s="4">
        <v>249.0</v>
      </c>
      <c r="B4847" s="4" t="s">
        <v>11578</v>
      </c>
      <c r="C4847" s="4"/>
      <c r="D4847" s="4" t="s">
        <v>12266</v>
      </c>
      <c r="E4847" s="4" t="s">
        <v>10159</v>
      </c>
      <c r="F4847" s="4" t="s">
        <v>10158</v>
      </c>
      <c r="G4847" s="5" t="str">
        <f>IFERROR(__xludf.DUMMYFUNCTION("GOOGLETRANSLATE(D4847,""fr"",""es"")"),"cabaña")</f>
        <v>cabaña</v>
      </c>
    </row>
    <row r="4848">
      <c r="A4848" s="4">
        <v>250.0</v>
      </c>
      <c r="B4848" s="4" t="s">
        <v>11578</v>
      </c>
      <c r="C4848" s="4"/>
      <c r="D4848" s="4" t="s">
        <v>12267</v>
      </c>
      <c r="E4848" s="4" t="s">
        <v>1581</v>
      </c>
      <c r="F4848" s="4" t="s">
        <v>1582</v>
      </c>
      <c r="G4848" s="5" t="str">
        <f>IFERROR(__xludf.DUMMYFUNCTION("GOOGLETRANSLATE(D4848,""fr"",""es"")"),"costo")</f>
        <v>costo</v>
      </c>
      <c r="H4848" s="4" t="s">
        <v>5609</v>
      </c>
      <c r="I4848" s="4" t="s">
        <v>5608</v>
      </c>
      <c r="J4848" s="4" t="s">
        <v>5607</v>
      </c>
      <c r="K4848" s="4" t="s">
        <v>5609</v>
      </c>
      <c r="L4848" s="4" t="s">
        <v>5607</v>
      </c>
      <c r="M4848" s="4" t="s">
        <v>5609</v>
      </c>
      <c r="N4848" s="4" t="s">
        <v>4086</v>
      </c>
      <c r="O4848" s="4" t="s">
        <v>5609</v>
      </c>
    </row>
    <row r="4849">
      <c r="A4849" s="4">
        <v>251.0</v>
      </c>
      <c r="B4849" s="4" t="s">
        <v>11578</v>
      </c>
      <c r="C4849" s="4"/>
      <c r="D4849" s="4" t="s">
        <v>12268</v>
      </c>
      <c r="E4849" s="4" t="s">
        <v>12269</v>
      </c>
      <c r="F4849" s="4" t="s">
        <v>12270</v>
      </c>
      <c r="G4849" s="5" t="str">
        <f>IFERROR(__xludf.DUMMYFUNCTION("GOOGLETRANSLATE(D4849,""fr"",""es"")"),"cisne")</f>
        <v>cisne</v>
      </c>
      <c r="H4849" s="4" t="s">
        <v>12271</v>
      </c>
      <c r="I4849" s="4" t="s">
        <v>12272</v>
      </c>
      <c r="J4849" s="4" t="s">
        <v>12273</v>
      </c>
      <c r="K4849" s="4" t="s">
        <v>12274</v>
      </c>
      <c r="L4849" s="4" t="s">
        <v>12271</v>
      </c>
      <c r="M4849" s="4" t="s">
        <v>12273</v>
      </c>
    </row>
    <row r="4850">
      <c r="A4850" s="4">
        <v>252.0</v>
      </c>
      <c r="B4850" s="4" t="s">
        <v>11578</v>
      </c>
      <c r="C4850" s="4"/>
      <c r="D4850" s="4" t="s">
        <v>12275</v>
      </c>
      <c r="E4850" s="4" t="s">
        <v>12269</v>
      </c>
      <c r="F4850" s="4" t="s">
        <v>12270</v>
      </c>
      <c r="G4850" s="5" t="str">
        <f>IFERROR(__xludf.DUMMYFUNCTION("GOOGLETRANSLATE(D4850,""fr"",""es"")"),"cisnes")</f>
        <v>cisnes</v>
      </c>
    </row>
    <row r="4851">
      <c r="A4851" s="4">
        <v>253.0</v>
      </c>
      <c r="B4851" s="4" t="s">
        <v>11578</v>
      </c>
      <c r="C4851" s="4"/>
      <c r="D4851" s="4" t="s">
        <v>12276</v>
      </c>
      <c r="E4851" s="4" t="s">
        <v>1711</v>
      </c>
      <c r="F4851" s="4" t="s">
        <v>1712</v>
      </c>
      <c r="G4851" s="5" t="str">
        <f>IFERROR(__xludf.DUMMYFUNCTION("GOOGLETRANSLATE(D4851,""fr"",""es"")"),"cínico")</f>
        <v>cínico</v>
      </c>
      <c r="H4851" s="4" t="s">
        <v>1713</v>
      </c>
      <c r="I4851" s="4" t="s">
        <v>1714</v>
      </c>
      <c r="J4851" s="4" t="s">
        <v>1715</v>
      </c>
      <c r="K4851" s="4" t="s">
        <v>1716</v>
      </c>
      <c r="L4851" s="4" t="s">
        <v>1717</v>
      </c>
    </row>
    <row r="4852">
      <c r="A4852" s="4">
        <v>254.0</v>
      </c>
      <c r="B4852" s="4" t="s">
        <v>11578</v>
      </c>
      <c r="C4852" s="4"/>
      <c r="D4852" s="4" t="s">
        <v>12277</v>
      </c>
      <c r="E4852" s="4" t="s">
        <v>12278</v>
      </c>
      <c r="F4852" s="4" t="s">
        <v>12279</v>
      </c>
      <c r="G4852" s="5" t="str">
        <f>IFERROR(__xludf.DUMMYFUNCTION("GOOGLETRANSLATE(D4852,""fr"",""es"")"),"gnaque")</f>
        <v>gnaque</v>
      </c>
    </row>
    <row r="4853">
      <c r="A4853" s="4">
        <v>255.0</v>
      </c>
      <c r="B4853" s="4" t="s">
        <v>11578</v>
      </c>
      <c r="C4853" s="4"/>
      <c r="D4853" s="4" t="s">
        <v>12280</v>
      </c>
      <c r="E4853" s="4" t="s">
        <v>3065</v>
      </c>
      <c r="F4853" s="4" t="s">
        <v>3066</v>
      </c>
      <c r="G4853" s="5" t="str">
        <f>IFERROR(__xludf.DUMMYFUNCTION("GOOGLETRANSLATE(D4853,""fr"",""es"")"),"ñu")</f>
        <v>ñu</v>
      </c>
      <c r="H4853" s="4" t="s">
        <v>3067</v>
      </c>
      <c r="I4853" s="4" t="s">
        <v>3068</v>
      </c>
    </row>
    <row r="4854">
      <c r="A4854" s="4">
        <v>256.0</v>
      </c>
      <c r="B4854" s="4" t="s">
        <v>11578</v>
      </c>
      <c r="C4854" s="4"/>
      <c r="D4854" s="4" t="s">
        <v>12281</v>
      </c>
      <c r="E4854" s="4" t="s">
        <v>11592</v>
      </c>
      <c r="F4854" s="4" t="s">
        <v>5876</v>
      </c>
      <c r="G4854" s="5" t="str">
        <f>IFERROR(__xludf.DUMMYFUNCTION("GOOGLETRANSLATE(D4854,""fr"",""es"")"),"H")</f>
        <v>H</v>
      </c>
      <c r="H4854" s="4" t="s">
        <v>12282</v>
      </c>
      <c r="I4854" s="4" t="s">
        <v>12283</v>
      </c>
      <c r="J4854" s="4" t="s">
        <v>12284</v>
      </c>
      <c r="K4854" s="4" t="s">
        <v>12281</v>
      </c>
      <c r="L4854" s="4" t="s">
        <v>12285</v>
      </c>
      <c r="M4854" s="4" t="s">
        <v>12286</v>
      </c>
      <c r="N4854" s="4" t="s">
        <v>12287</v>
      </c>
      <c r="O4854" s="4" t="s">
        <v>12285</v>
      </c>
      <c r="P4854" s="4" t="s">
        <v>12286</v>
      </c>
      <c r="Q4854" s="4" t="s">
        <v>12287</v>
      </c>
    </row>
    <row r="4855">
      <c r="A4855" s="4">
        <v>257.0</v>
      </c>
      <c r="B4855" s="4" t="s">
        <v>11578</v>
      </c>
      <c r="C4855" s="4"/>
      <c r="D4855" s="4" t="s">
        <v>12288</v>
      </c>
      <c r="E4855" s="4" t="s">
        <v>11592</v>
      </c>
      <c r="F4855" s="4" t="s">
        <v>5876</v>
      </c>
      <c r="G4855" s="5" t="str">
        <f>IFERROR(__xludf.DUMMYFUNCTION("GOOGLETRANSLATE(D4855,""fr"",""es"")"),"Cortado")</f>
        <v>Cortado</v>
      </c>
      <c r="H4855" s="4" t="s">
        <v>12289</v>
      </c>
      <c r="I4855" s="4" t="s">
        <v>12290</v>
      </c>
      <c r="J4855" s="4" t="s">
        <v>12290</v>
      </c>
      <c r="K4855" s="4" t="s">
        <v>12289</v>
      </c>
      <c r="L4855" s="4" t="s">
        <v>12289</v>
      </c>
      <c r="M4855" s="4" t="s">
        <v>12290</v>
      </c>
      <c r="N4855" s="4" t="s">
        <v>12291</v>
      </c>
    </row>
    <row r="4856">
      <c r="A4856" s="4">
        <v>258.0</v>
      </c>
      <c r="B4856" s="4" t="s">
        <v>11578</v>
      </c>
      <c r="C4856" s="4"/>
      <c r="D4856" s="4" t="s">
        <v>12288</v>
      </c>
      <c r="E4856" s="4" t="s">
        <v>12292</v>
      </c>
      <c r="F4856" s="4" t="s">
        <v>6172</v>
      </c>
      <c r="G4856" s="5" t="str">
        <f>IFERROR(__xludf.DUMMYFUNCTION("GOOGLETRANSLATE(D4856,""fr"",""es"")"),"Cortado")</f>
        <v>Cortado</v>
      </c>
      <c r="H4856" s="4" t="s">
        <v>12289</v>
      </c>
      <c r="I4856" s="4" t="s">
        <v>12290</v>
      </c>
      <c r="J4856" s="4" t="s">
        <v>12290</v>
      </c>
      <c r="K4856" s="4" t="s">
        <v>12289</v>
      </c>
      <c r="L4856" s="4" t="s">
        <v>12289</v>
      </c>
      <c r="M4856" s="4" t="s">
        <v>12290</v>
      </c>
      <c r="N4856" s="4" t="s">
        <v>12291</v>
      </c>
    </row>
    <row r="4857">
      <c r="A4857" s="4">
        <v>259.0</v>
      </c>
      <c r="B4857" s="4" t="s">
        <v>11578</v>
      </c>
      <c r="C4857" s="4"/>
      <c r="D4857" s="4" t="s">
        <v>12293</v>
      </c>
      <c r="E4857" s="4" t="s">
        <v>11592</v>
      </c>
      <c r="F4857" s="4" t="s">
        <v>5876</v>
      </c>
      <c r="G4857" s="5" t="str">
        <f>IFERROR(__xludf.DUMMYFUNCTION("GOOGLETRANSLATE(D4857,""fr"",""es"")"),"hacha")</f>
        <v>hacha</v>
      </c>
    </row>
    <row r="4858">
      <c r="A4858" s="4">
        <v>260.0</v>
      </c>
      <c r="B4858" s="4" t="s">
        <v>11578</v>
      </c>
      <c r="C4858" s="4"/>
      <c r="D4858" s="4" t="s">
        <v>12294</v>
      </c>
      <c r="E4858" s="4" t="s">
        <v>12295</v>
      </c>
      <c r="F4858" s="4" t="s">
        <v>5888</v>
      </c>
      <c r="G4858" s="5" t="str">
        <f>IFERROR(__xludf.DUMMYFUNCTION("GOOGLETRANSLATE(D4858,""fr"",""es"")"),"desmenuzar")</f>
        <v>desmenuzar</v>
      </c>
      <c r="H4858" s="4" t="s">
        <v>6172</v>
      </c>
    </row>
    <row r="4859">
      <c r="A4859" s="4">
        <v>261.0</v>
      </c>
      <c r="B4859" s="4" t="s">
        <v>11578</v>
      </c>
      <c r="C4859" s="4"/>
      <c r="D4859" s="4" t="s">
        <v>12296</v>
      </c>
      <c r="E4859" s="4" t="s">
        <v>12297</v>
      </c>
      <c r="F4859" s="4" t="s">
        <v>12298</v>
      </c>
      <c r="G4859" s="5" t="str">
        <f>IFERROR(__xludf.DUMMYFUNCTION("GOOGLETRANSLATE(D4859,""fr"",""es"")"),"hallali")</f>
        <v>hallali</v>
      </c>
    </row>
    <row r="4860">
      <c r="A4860" s="4">
        <v>262.0</v>
      </c>
      <c r="B4860" s="4" t="s">
        <v>11578</v>
      </c>
      <c r="C4860" s="4"/>
      <c r="D4860" s="4" t="s">
        <v>12299</v>
      </c>
      <c r="E4860" s="4" t="s">
        <v>507</v>
      </c>
      <c r="F4860" s="4" t="s">
        <v>506</v>
      </c>
      <c r="G4860" s="5" t="str">
        <f>IFERROR(__xludf.DUMMYFUNCTION("GOOGLETRANSLATE(D4860,""fr"",""es"")"),"salón")</f>
        <v>salón</v>
      </c>
      <c r="H4860" s="4" t="s">
        <v>12300</v>
      </c>
      <c r="I4860" s="4" t="s">
        <v>12301</v>
      </c>
      <c r="J4860" s="4" t="s">
        <v>12300</v>
      </c>
      <c r="K4860" s="4" t="s">
        <v>12301</v>
      </c>
      <c r="L4860" s="4" t="s">
        <v>12302</v>
      </c>
      <c r="M4860" s="4" t="s">
        <v>12303</v>
      </c>
    </row>
    <row r="4861">
      <c r="A4861" s="4">
        <v>263.0</v>
      </c>
      <c r="B4861" s="4" t="s">
        <v>11578</v>
      </c>
      <c r="C4861" s="4"/>
      <c r="D4861" s="4" t="s">
        <v>9452</v>
      </c>
      <c r="E4861" s="4" t="s">
        <v>567</v>
      </c>
      <c r="F4861" s="4" t="s">
        <v>566</v>
      </c>
      <c r="G4861" s="5" t="str">
        <f>IFERROR(__xludf.DUMMYFUNCTION("GOOGLETRANSLATE(D4861,""fr"",""es"")"),"jerga")</f>
        <v>jerga</v>
      </c>
    </row>
    <row r="4862">
      <c r="A4862" s="4">
        <v>264.0</v>
      </c>
      <c r="B4862" s="4" t="s">
        <v>11578</v>
      </c>
      <c r="C4862" s="4"/>
      <c r="D4862" s="4" t="s">
        <v>12304</v>
      </c>
      <c r="E4862" s="4" t="s">
        <v>12305</v>
      </c>
      <c r="F4862" s="4" t="s">
        <v>12306</v>
      </c>
      <c r="G4862" s="5" t="str">
        <f>IFERROR(__xludf.DUMMYFUNCTION("GOOGLETRANSLATE(D4862,""fr"",""es"")"),"hamaca")</f>
        <v>hamaca</v>
      </c>
      <c r="H4862" s="4" t="s">
        <v>1784</v>
      </c>
      <c r="I4862" s="4" t="s">
        <v>1785</v>
      </c>
      <c r="J4862" s="4" t="s">
        <v>10683</v>
      </c>
      <c r="K4862" s="4" t="s">
        <v>2824</v>
      </c>
      <c r="L4862" s="4" t="s">
        <v>10684</v>
      </c>
      <c r="M4862" s="4" t="s">
        <v>10685</v>
      </c>
      <c r="N4862" s="4" t="s">
        <v>1784</v>
      </c>
    </row>
    <row r="4863">
      <c r="A4863" s="4">
        <v>265.0</v>
      </c>
      <c r="B4863" s="4" t="s">
        <v>11578</v>
      </c>
      <c r="C4863" s="4"/>
      <c r="D4863" s="4" t="s">
        <v>12307</v>
      </c>
      <c r="E4863" s="4" t="s">
        <v>12305</v>
      </c>
      <c r="F4863" s="4" t="s">
        <v>12306</v>
      </c>
      <c r="G4863" s="5" t="str">
        <f>IFERROR(__xludf.DUMMYFUNCTION("GOOGLETRANSLATE(D4863,""fr"",""es"")"),"hamacas")</f>
        <v>hamacas</v>
      </c>
    </row>
    <row r="4864">
      <c r="A4864" s="4">
        <v>266.0</v>
      </c>
      <c r="B4864" s="4" t="s">
        <v>11578</v>
      </c>
      <c r="C4864" s="4"/>
      <c r="D4864" s="4" t="s">
        <v>12308</v>
      </c>
      <c r="E4864" s="4" t="s">
        <v>12309</v>
      </c>
      <c r="F4864" s="4" t="s">
        <v>12310</v>
      </c>
      <c r="G4864" s="5" t="str">
        <f>IFERROR(__xludf.DUMMYFUNCTION("GOOGLETRANSLATE(D4864,""fr"",""es"")"),"Hanap")</f>
        <v>Hanap</v>
      </c>
    </row>
    <row r="4865">
      <c r="A4865" s="4">
        <v>267.0</v>
      </c>
      <c r="B4865" s="4" t="s">
        <v>11578</v>
      </c>
      <c r="C4865" s="4"/>
      <c r="D4865" s="4" t="s">
        <v>12311</v>
      </c>
      <c r="E4865" s="4" t="s">
        <v>12312</v>
      </c>
      <c r="F4865" s="4" t="s">
        <v>12313</v>
      </c>
      <c r="G4865" s="5" t="str">
        <f>IFERROR(__xludf.DUMMYFUNCTION("GOOGLETRANSLATE(D4865,""fr"",""es"")"),"Hanukka")</f>
        <v>Hanukka</v>
      </c>
      <c r="H4865" s="4" t="s">
        <v>12314</v>
      </c>
      <c r="I4865" s="4" t="s">
        <v>12315</v>
      </c>
      <c r="J4865" s="4" t="s">
        <v>12316</v>
      </c>
      <c r="K4865" s="4" t="s">
        <v>12317</v>
      </c>
      <c r="L4865" s="4" t="s">
        <v>12318</v>
      </c>
      <c r="M4865" s="4" t="s">
        <v>12319</v>
      </c>
      <c r="N4865" s="4" t="s">
        <v>12320</v>
      </c>
      <c r="O4865" s="4" t="s">
        <v>12321</v>
      </c>
      <c r="P4865" s="4" t="s">
        <v>12322</v>
      </c>
      <c r="Q4865" s="4" t="s">
        <v>12323</v>
      </c>
      <c r="R4865" s="4" t="s">
        <v>12324</v>
      </c>
    </row>
    <row r="4866">
      <c r="A4866" s="4">
        <v>268.0</v>
      </c>
      <c r="B4866" s="4" t="s">
        <v>11578</v>
      </c>
      <c r="C4866" s="4"/>
      <c r="D4866" s="4" t="s">
        <v>12325</v>
      </c>
      <c r="E4866" s="4" t="s">
        <v>11592</v>
      </c>
      <c r="F4866" s="4" t="s">
        <v>5876</v>
      </c>
      <c r="G4866" s="5" t="str">
        <f>IFERROR(__xludf.DUMMYFUNCTION("GOOGLETRANSLATE(D4866,""fr"",""es"")"),"picadillo")</f>
        <v>picadillo</v>
      </c>
    </row>
    <row r="4867">
      <c r="A4867" s="4">
        <v>269.0</v>
      </c>
      <c r="B4867" s="4" t="s">
        <v>11578</v>
      </c>
      <c r="C4867" s="4"/>
      <c r="D4867" s="4" t="s">
        <v>12326</v>
      </c>
      <c r="E4867" s="4" t="s">
        <v>12327</v>
      </c>
      <c r="F4867" s="4" t="s">
        <v>12328</v>
      </c>
      <c r="G4867" s="5" t="str">
        <f>IFERROR(__xludf.DUMMYFUNCTION("GOOGLETRANSLATE(D4867,""fr"",""es"")"),"hachís")</f>
        <v>hachís</v>
      </c>
      <c r="H4867" s="4" t="s">
        <v>6174</v>
      </c>
      <c r="I4867" s="4" t="s">
        <v>6175</v>
      </c>
      <c r="J4867" s="4" t="s">
        <v>6176</v>
      </c>
      <c r="K4867" s="4" t="s">
        <v>6172</v>
      </c>
    </row>
    <row r="4868">
      <c r="A4868" s="4">
        <v>270.0</v>
      </c>
      <c r="B4868" s="4" t="s">
        <v>11578</v>
      </c>
      <c r="C4868" s="4"/>
      <c r="D4868" s="4" t="s">
        <v>12329</v>
      </c>
      <c r="E4868" s="4" t="s">
        <v>504</v>
      </c>
      <c r="F4868" s="4" t="s">
        <v>505</v>
      </c>
      <c r="G4868" s="5" t="str">
        <f>IFERROR(__xludf.DUMMYFUNCTION("GOOGLETRANSLATE(D4868,""fr"",""es"")"),"cobertura")</f>
        <v>cobertura</v>
      </c>
    </row>
    <row r="4869">
      <c r="A4869" s="4">
        <v>271.0</v>
      </c>
      <c r="B4869" s="4" t="s">
        <v>11578</v>
      </c>
      <c r="C4869" s="4"/>
      <c r="D4869" s="4" t="s">
        <v>12330</v>
      </c>
      <c r="E4869" s="4" t="s">
        <v>12331</v>
      </c>
      <c r="F4869" s="4" t="s">
        <v>12332</v>
      </c>
      <c r="G4869" s="5" t="str">
        <f>IFERROR(__xludf.DUMMYFUNCTION("GOOGLETRANSLATE(D4869,""fr"",""es"")"),"Hiatal")</f>
        <v>Hiatal</v>
      </c>
    </row>
    <row r="4870">
      <c r="A4870" s="4">
        <v>272.0</v>
      </c>
      <c r="B4870" s="4" t="s">
        <v>11578</v>
      </c>
      <c r="C4870" s="4"/>
      <c r="D4870" s="4" t="s">
        <v>8314</v>
      </c>
      <c r="E4870" s="4" t="s">
        <v>8295</v>
      </c>
      <c r="F4870" s="4" t="s">
        <v>6328</v>
      </c>
      <c r="G4870" s="5" t="str">
        <f>IFERROR(__xludf.DUMMYFUNCTION("GOOGLETRANSLATE(D4870,""fr"",""es"")"),"HIC")</f>
        <v>HIC</v>
      </c>
      <c r="H4870" s="4" t="s">
        <v>12333</v>
      </c>
      <c r="I4870" s="4" t="s">
        <v>1375</v>
      </c>
      <c r="J4870" s="4" t="s">
        <v>12334</v>
      </c>
    </row>
    <row r="4871">
      <c r="A4871" s="4">
        <v>273.0</v>
      </c>
      <c r="B4871" s="4" t="s">
        <v>11578</v>
      </c>
      <c r="C4871" s="4"/>
      <c r="D4871" s="4" t="s">
        <v>12335</v>
      </c>
      <c r="E4871" s="4" t="s">
        <v>9010</v>
      </c>
      <c r="F4871" s="4" t="s">
        <v>6341</v>
      </c>
      <c r="G4871" s="5" t="str">
        <f>IFERROR(__xludf.DUMMYFUNCTION("GOOGLETRANSLATE(D4871,""fr"",""es"")"),"hilio")</f>
        <v>hilio</v>
      </c>
    </row>
    <row r="4872">
      <c r="A4872" s="4">
        <v>274.0</v>
      </c>
      <c r="B4872" s="4" t="s">
        <v>11578</v>
      </c>
      <c r="C4872" s="4"/>
      <c r="D4872" s="4" t="s">
        <v>12336</v>
      </c>
      <c r="E4872" s="4" t="s">
        <v>12337</v>
      </c>
      <c r="F4872" s="4" t="s">
        <v>12338</v>
      </c>
      <c r="G4872" s="5" t="str">
        <f>IFERROR(__xludf.DUMMYFUNCTION("GOOGLETRANSLATE(D4872,""fr"",""es"")"),"Himalaya")</f>
        <v>Himalaya</v>
      </c>
      <c r="H4872" s="4" t="s">
        <v>12339</v>
      </c>
      <c r="I4872" s="4" t="s">
        <v>12340</v>
      </c>
      <c r="J4872" s="4" t="s">
        <v>12341</v>
      </c>
    </row>
    <row r="4873">
      <c r="A4873" s="4">
        <v>275.0</v>
      </c>
      <c r="B4873" s="4" t="s">
        <v>11578</v>
      </c>
      <c r="C4873" s="4"/>
      <c r="D4873" s="4" t="s">
        <v>12342</v>
      </c>
      <c r="E4873" s="4" t="s">
        <v>12343</v>
      </c>
      <c r="F4873" s="4" t="s">
        <v>12344</v>
      </c>
      <c r="G4873" s="5" t="str">
        <f>IFERROR(__xludf.DUMMYFUNCTION("GOOGLETRANSLATE(D4873,""fr"",""es"")"),"carbón")</f>
        <v>carbón</v>
      </c>
      <c r="H4873" s="4" t="s">
        <v>12345</v>
      </c>
      <c r="I4873" s="4" t="s">
        <v>12345</v>
      </c>
      <c r="J4873" s="4" t="s">
        <v>12346</v>
      </c>
      <c r="K4873" s="4" t="s">
        <v>12345</v>
      </c>
      <c r="L4873" s="4" t="s">
        <v>12347</v>
      </c>
      <c r="M4873" s="4" t="s">
        <v>12345</v>
      </c>
      <c r="N4873" s="4" t="s">
        <v>12345</v>
      </c>
      <c r="O4873" s="4" t="s">
        <v>12348</v>
      </c>
      <c r="P4873" s="4" t="s">
        <v>12349</v>
      </c>
    </row>
    <row r="4874">
      <c r="A4874" s="4">
        <v>276.0</v>
      </c>
      <c r="B4874" s="4" t="s">
        <v>11578</v>
      </c>
      <c r="C4874" s="4"/>
      <c r="D4874" s="4" t="s">
        <v>12350</v>
      </c>
      <c r="E4874" s="4" t="s">
        <v>12351</v>
      </c>
      <c r="F4874" s="4" t="s">
        <v>12352</v>
      </c>
      <c r="G4874" s="5" t="str">
        <f>IFERROR(__xludf.DUMMYFUNCTION("GOOGLETRANSLATE(D4874,""fr"",""es"")"),"houka")</f>
        <v>houka</v>
      </c>
      <c r="H4874" s="4" t="s">
        <v>12353</v>
      </c>
      <c r="I4874" s="4" t="s">
        <v>12354</v>
      </c>
      <c r="J4874" s="4" t="s">
        <v>12355</v>
      </c>
      <c r="K4874" s="4" t="s">
        <v>12356</v>
      </c>
      <c r="L4874" s="4" t="s">
        <v>12357</v>
      </c>
      <c r="M4874" s="4" t="s">
        <v>12358</v>
      </c>
      <c r="N4874" s="4" t="s">
        <v>12359</v>
      </c>
      <c r="O4874" s="4" t="s">
        <v>12360</v>
      </c>
      <c r="P4874" s="4" t="s">
        <v>12361</v>
      </c>
      <c r="Q4874" s="4" t="s">
        <v>12362</v>
      </c>
      <c r="R4874" s="4" t="s">
        <v>12363</v>
      </c>
    </row>
    <row r="4875">
      <c r="A4875" s="4">
        <v>277.0</v>
      </c>
      <c r="B4875" s="4" t="s">
        <v>11578</v>
      </c>
      <c r="C4875" s="4"/>
      <c r="D4875" s="4" t="s">
        <v>12364</v>
      </c>
      <c r="E4875" s="4" t="s">
        <v>12365</v>
      </c>
      <c r="F4875" s="4" t="s">
        <v>12366</v>
      </c>
      <c r="G4875" s="5" t="str">
        <f>IFERROR(__xludf.DUMMYFUNCTION("GOOGLETRANSLATE(D4875,""fr"",""es"")"),"hinchar")</f>
        <v>hinchar</v>
      </c>
    </row>
    <row r="4876">
      <c r="A4876" s="4">
        <v>278.0</v>
      </c>
      <c r="B4876" s="4" t="s">
        <v>11578</v>
      </c>
      <c r="C4876" s="4"/>
      <c r="D4876" s="4" t="s">
        <v>12367</v>
      </c>
      <c r="E4876" s="4" t="s">
        <v>12368</v>
      </c>
      <c r="F4876" s="4" t="s">
        <v>8033</v>
      </c>
      <c r="G4876" s="5" t="str">
        <f>IFERROR(__xludf.DUMMYFUNCTION("GOOGLETRANSLATE(D4876,""fr"",""es"")"),"Houlque")</f>
        <v>Houlque</v>
      </c>
      <c r="H4876" s="4" t="s">
        <v>12369</v>
      </c>
      <c r="I4876" s="4" t="s">
        <v>12370</v>
      </c>
    </row>
    <row r="4877">
      <c r="A4877" s="4">
        <v>279.0</v>
      </c>
      <c r="B4877" s="4" t="s">
        <v>11578</v>
      </c>
      <c r="C4877" s="4"/>
      <c r="D4877" s="4" t="s">
        <v>12371</v>
      </c>
      <c r="E4877" s="4" t="s">
        <v>12372</v>
      </c>
      <c r="F4877" s="4" t="s">
        <v>12373</v>
      </c>
      <c r="G4877" s="5" t="str">
        <f>IFERROR(__xludf.DUMMYFUNCTION("GOOGLETRANSLATE(D4877,""fr"",""es"")"),"Houmach")</f>
        <v>Houmach</v>
      </c>
    </row>
    <row r="4878">
      <c r="A4878" s="4">
        <v>280.0</v>
      </c>
      <c r="B4878" s="4" t="s">
        <v>11578</v>
      </c>
      <c r="C4878" s="4"/>
      <c r="D4878" s="4" t="s">
        <v>12374</v>
      </c>
      <c r="E4878" s="4" t="s">
        <v>12375</v>
      </c>
      <c r="F4878" s="4" t="s">
        <v>12376</v>
      </c>
      <c r="G4878" s="5" t="str">
        <f>IFERROR(__xludf.DUMMYFUNCTION("GOOGLETRANSLATE(D4878,""fr"",""es"")"),"Humus")</f>
        <v>Humus</v>
      </c>
      <c r="H4878" s="4" t="s">
        <v>12377</v>
      </c>
      <c r="I4878" s="4" t="s">
        <v>9554</v>
      </c>
      <c r="J4878" s="4" t="s">
        <v>12378</v>
      </c>
      <c r="K4878" s="4" t="s">
        <v>12379</v>
      </c>
      <c r="L4878" s="4" t="s">
        <v>12380</v>
      </c>
    </row>
    <row r="4879">
      <c r="A4879" s="4">
        <v>281.0</v>
      </c>
      <c r="B4879" s="4" t="s">
        <v>11578</v>
      </c>
      <c r="C4879" s="4"/>
      <c r="D4879" s="4" t="s">
        <v>12381</v>
      </c>
      <c r="E4879" s="4" t="s">
        <v>12382</v>
      </c>
      <c r="F4879" s="4" t="s">
        <v>7041</v>
      </c>
      <c r="G4879" s="5" t="str">
        <f>IFERROR(__xludf.DUMMYFUNCTION("GOOGLETRANSLATE(D4879,""fr"",""es"")"),"soplo")</f>
        <v>soplo</v>
      </c>
    </row>
    <row r="4880">
      <c r="A4880" s="4">
        <v>282.0</v>
      </c>
      <c r="B4880" s="4" t="s">
        <v>11578</v>
      </c>
      <c r="C4880" s="4"/>
      <c r="D4880" s="4" t="s">
        <v>12383</v>
      </c>
      <c r="E4880" s="4" t="s">
        <v>4669</v>
      </c>
      <c r="F4880" s="4" t="s">
        <v>4668</v>
      </c>
      <c r="G4880" s="5" t="str">
        <f>IFERROR(__xludf.DUMMYFUNCTION("GOOGLETRANSLATE(D4880,""fr"",""es"")"),"cubrir")</f>
        <v>cubrir</v>
      </c>
    </row>
    <row r="4881">
      <c r="A4881" s="4">
        <v>283.0</v>
      </c>
      <c r="B4881" s="4" t="s">
        <v>11578</v>
      </c>
      <c r="C4881" s="4"/>
      <c r="D4881" s="4" t="s">
        <v>12384</v>
      </c>
      <c r="E4881" s="4" t="s">
        <v>12385</v>
      </c>
      <c r="F4881" s="4" t="s">
        <v>12386</v>
      </c>
      <c r="G4881" s="5" t="str">
        <f>IFERROR(__xludf.DUMMYFUNCTION("GOOGLETRANSLATE(D4881,""fr"",""es"")"),"hutí")</f>
        <v>hutí</v>
      </c>
    </row>
    <row r="4882">
      <c r="A4882" s="4">
        <v>284.0</v>
      </c>
      <c r="B4882" s="4" t="s">
        <v>11578</v>
      </c>
      <c r="C4882" s="4"/>
      <c r="D4882" s="4" t="s">
        <v>12387</v>
      </c>
      <c r="E4882" s="4" t="s">
        <v>9705</v>
      </c>
      <c r="F4882" s="4" t="s">
        <v>9704</v>
      </c>
      <c r="G4882" s="5" t="str">
        <f>IFERROR(__xludf.DUMMYFUNCTION("GOOGLETRANSLATE(D4882,""fr"",""es"")"),"aquí")</f>
        <v>aquí</v>
      </c>
      <c r="H4882" s="4" t="s">
        <v>12388</v>
      </c>
      <c r="I4882" s="4" t="s">
        <v>12389</v>
      </c>
      <c r="J4882" s="4" t="s">
        <v>12389</v>
      </c>
      <c r="K4882" s="4" t="s">
        <v>12390</v>
      </c>
      <c r="L4882" s="4" t="s">
        <v>12389</v>
      </c>
      <c r="M4882" s="4" t="s">
        <v>12389</v>
      </c>
      <c r="N4882" s="4" t="s">
        <v>12391</v>
      </c>
      <c r="O4882" s="4" t="s">
        <v>12392</v>
      </c>
      <c r="P4882" s="4" t="s">
        <v>12389</v>
      </c>
      <c r="Q4882" s="4" t="s">
        <v>12389</v>
      </c>
      <c r="R4882" s="4" t="s">
        <v>12393</v>
      </c>
      <c r="S4882" s="4" t="s">
        <v>12394</v>
      </c>
    </row>
    <row r="4883">
      <c r="A4883" s="4">
        <v>285.0</v>
      </c>
      <c r="B4883" s="4" t="s">
        <v>11578</v>
      </c>
      <c r="C4883" s="4"/>
      <c r="D4883" s="4" t="s">
        <v>12395</v>
      </c>
      <c r="E4883" s="4" t="s">
        <v>12396</v>
      </c>
      <c r="F4883" s="4" t="s">
        <v>12397</v>
      </c>
      <c r="G4883" s="5" t="str">
        <f>IFERROR(__xludf.DUMMYFUNCTION("GOOGLETRANSLATE(D4883,""fr"",""es"")"),"Ignicio")</f>
        <v>Ignicio</v>
      </c>
      <c r="H4883" s="4" t="s">
        <v>12398</v>
      </c>
      <c r="I4883" s="4" t="s">
        <v>12399</v>
      </c>
      <c r="J4883" s="4" t="s">
        <v>12400</v>
      </c>
    </row>
    <row r="4884">
      <c r="A4884" s="4">
        <v>286.0</v>
      </c>
      <c r="B4884" s="4" t="s">
        <v>11578</v>
      </c>
      <c r="C4884" s="4"/>
      <c r="D4884" s="4" t="s">
        <v>12401</v>
      </c>
      <c r="E4884" s="4" t="s">
        <v>12402</v>
      </c>
      <c r="F4884" s="4" t="s">
        <v>12403</v>
      </c>
      <c r="G4884" s="5" t="str">
        <f>IFERROR(__xludf.DUMMYFUNCTION("GOOGLETRANSLATE(D4884,""fr"",""es"")"),"batata")</f>
        <v>batata</v>
      </c>
      <c r="H4884" s="4" t="s">
        <v>3056</v>
      </c>
      <c r="I4884" s="4" t="s">
        <v>3056</v>
      </c>
      <c r="J4884" s="4" t="s">
        <v>3056</v>
      </c>
      <c r="K4884" s="4" t="s">
        <v>7986</v>
      </c>
      <c r="L4884" s="4" t="s">
        <v>3056</v>
      </c>
    </row>
    <row r="4885">
      <c r="A4885" s="4">
        <v>287.0</v>
      </c>
      <c r="B4885" s="4" t="s">
        <v>11578</v>
      </c>
      <c r="C4885" s="4"/>
      <c r="D4885" s="4" t="s">
        <v>12404</v>
      </c>
      <c r="E4885" s="4" t="s">
        <v>12402</v>
      </c>
      <c r="F4885" s="4" t="s">
        <v>12403</v>
      </c>
      <c r="G4885" s="5" t="str">
        <f>IFERROR(__xludf.DUMMYFUNCTION("GOOGLETRANSLATE(D4885,""fr"",""es"")"),"batatas")</f>
        <v>batatas</v>
      </c>
    </row>
    <row r="4886">
      <c r="A4886" s="4">
        <v>288.0</v>
      </c>
      <c r="B4886" s="4" t="s">
        <v>11578</v>
      </c>
      <c r="C4886" s="4"/>
      <c r="D4886" s="4" t="s">
        <v>6341</v>
      </c>
      <c r="E4886" s="4" t="s">
        <v>9010</v>
      </c>
      <c r="F4886" s="4" t="s">
        <v>6341</v>
      </c>
      <c r="G4886" s="5" t="str">
        <f>IFERROR(__xludf.DUMMYFUNCTION("GOOGLETRANSLATE(D4886,""fr"",""es"")"),"Él")</f>
        <v>Él</v>
      </c>
      <c r="H4886" s="4" t="s">
        <v>6180</v>
      </c>
      <c r="I4886" s="4" t="s">
        <v>12405</v>
      </c>
      <c r="J4886" s="4" t="s">
        <v>12406</v>
      </c>
      <c r="K4886" s="4" t="s">
        <v>12407</v>
      </c>
      <c r="L4886" s="4" t="s">
        <v>12408</v>
      </c>
    </row>
    <row r="4887">
      <c r="A4887" s="4">
        <v>289.0</v>
      </c>
      <c r="B4887" s="4" t="s">
        <v>11578</v>
      </c>
      <c r="C4887" s="4"/>
      <c r="D4887" s="4" t="s">
        <v>12409</v>
      </c>
      <c r="E4887" s="4" t="s">
        <v>9010</v>
      </c>
      <c r="F4887" s="4" t="s">
        <v>6341</v>
      </c>
      <c r="G4887" s="5" t="str">
        <f>IFERROR(__xludf.DUMMYFUNCTION("GOOGLETRANSLATE(D4887,""fr"",""es"")"),"desaliñado")</f>
        <v>desaliñado</v>
      </c>
    </row>
    <row r="4888">
      <c r="A4888" s="4">
        <v>290.0</v>
      </c>
      <c r="B4888" s="4" t="s">
        <v>11578</v>
      </c>
      <c r="C4888" s="4"/>
      <c r="D4888" s="4" t="s">
        <v>12410</v>
      </c>
      <c r="E4888" s="4" t="s">
        <v>9010</v>
      </c>
      <c r="F4888" s="4" t="s">
        <v>6341</v>
      </c>
      <c r="G4888" s="5" t="str">
        <f>IFERROR(__xludf.DUMMYFUNCTION("GOOGLETRANSLATE(D4888,""fr"",""es"")"),"ellos")</f>
        <v>ellos</v>
      </c>
    </row>
    <row r="4889">
      <c r="A4889" s="4">
        <v>291.0</v>
      </c>
      <c r="B4889" s="4" t="s">
        <v>11578</v>
      </c>
      <c r="C4889" s="4"/>
      <c r="D4889" s="4" t="s">
        <v>310</v>
      </c>
      <c r="E4889" s="4" t="s">
        <v>309</v>
      </c>
      <c r="F4889" s="4" t="s">
        <v>310</v>
      </c>
      <c r="G4889" s="5" t="str">
        <f>IFERROR(__xludf.DUMMYFUNCTION("GOOGLETRANSLATE(D4889,""fr"",""es"")"),"imán")</f>
        <v>imán</v>
      </c>
      <c r="H4889" s="4" t="s">
        <v>310</v>
      </c>
      <c r="I4889" s="4" t="s">
        <v>1900</v>
      </c>
    </row>
    <row r="4890">
      <c r="A4890" s="4">
        <v>292.0</v>
      </c>
      <c r="B4890" s="4" t="s">
        <v>11578</v>
      </c>
      <c r="C4890" s="4"/>
      <c r="D4890" s="4" t="s">
        <v>12411</v>
      </c>
      <c r="E4890" s="4" t="s">
        <v>12412</v>
      </c>
      <c r="F4890" s="4" t="s">
        <v>12413</v>
      </c>
      <c r="G4890" s="5" t="str">
        <f>IFERROR(__xludf.DUMMYFUNCTION("GOOGLETRANSLATE(D4890,""fr"",""es"")"),"imamat")</f>
        <v>imamat</v>
      </c>
    </row>
    <row r="4891">
      <c r="A4891" s="4">
        <v>293.0</v>
      </c>
      <c r="B4891" s="4" t="s">
        <v>11578</v>
      </c>
      <c r="C4891" s="4"/>
      <c r="D4891" s="4" t="s">
        <v>12414</v>
      </c>
      <c r="E4891" s="4" t="s">
        <v>12412</v>
      </c>
      <c r="F4891" s="4" t="s">
        <v>12413</v>
      </c>
      <c r="G4891" s="5" t="str">
        <f>IFERROR(__xludf.DUMMYFUNCTION("GOOGLETRANSLATE(D4891,""fr"",""es"")"),"imamats")</f>
        <v>imamats</v>
      </c>
    </row>
    <row r="4892">
      <c r="A4892" s="4">
        <v>294.0</v>
      </c>
      <c r="B4892" s="4" t="s">
        <v>11578</v>
      </c>
      <c r="C4892" s="4"/>
      <c r="D4892" s="4" t="s">
        <v>12415</v>
      </c>
      <c r="E4892" s="4" t="s">
        <v>12416</v>
      </c>
      <c r="F4892" s="4" t="s">
        <v>12417</v>
      </c>
      <c r="G4892" s="5" t="str">
        <f>IFERROR(__xludf.DUMMYFUNCTION("GOOGLETRANSLATE(D4892,""fr"",""es"")"),"inmiscencia")</f>
        <v>inmiscencia</v>
      </c>
    </row>
    <row r="4893">
      <c r="A4893" s="4">
        <v>295.0</v>
      </c>
      <c r="B4893" s="4" t="s">
        <v>11578</v>
      </c>
      <c r="C4893" s="4"/>
      <c r="D4893" s="4" t="s">
        <v>12418</v>
      </c>
      <c r="E4893" s="4" t="s">
        <v>12416</v>
      </c>
      <c r="F4893" s="4" t="s">
        <v>12417</v>
      </c>
      <c r="G4893" s="5" t="str">
        <f>IFERROR(__xludf.DUMMYFUNCTION("GOOGLETRANSLATE(D4893,""fr"",""es"")"),"interferir")</f>
        <v>interferir</v>
      </c>
    </row>
    <row r="4894">
      <c r="A4894" s="4">
        <v>296.0</v>
      </c>
      <c r="B4894" s="4" t="s">
        <v>11578</v>
      </c>
      <c r="C4894" s="4"/>
      <c r="D4894" s="4" t="s">
        <v>12419</v>
      </c>
      <c r="E4894" s="4" t="s">
        <v>12416</v>
      </c>
      <c r="F4894" s="4" t="s">
        <v>12417</v>
      </c>
      <c r="G4894" s="5" t="str">
        <f>IFERROR(__xludf.DUMMYFUNCTION("GOOGLETRANSLATE(D4894,""fr"",""es"")"),"inmersión")</f>
        <v>inmersión</v>
      </c>
    </row>
    <row r="4895">
      <c r="A4895" s="4">
        <v>297.0</v>
      </c>
      <c r="B4895" s="4" t="s">
        <v>11578</v>
      </c>
      <c r="C4895" s="4"/>
      <c r="D4895" s="4" t="s">
        <v>12420</v>
      </c>
      <c r="E4895" s="4" t="s">
        <v>12421</v>
      </c>
      <c r="F4895" s="4" t="s">
        <v>9685</v>
      </c>
      <c r="G4895" s="5" t="str">
        <f>IFERROR(__xludf.DUMMYFUNCTION("GOOGLETRANSLATE(D4895,""fr"",""es"")"),"inmerso")</f>
        <v>inmerso</v>
      </c>
    </row>
    <row r="4896">
      <c r="A4896" s="4">
        <v>298.0</v>
      </c>
      <c r="B4896" s="4" t="s">
        <v>11578</v>
      </c>
      <c r="C4896" s="4"/>
      <c r="D4896" s="4" t="s">
        <v>12422</v>
      </c>
      <c r="E4896" s="4" t="s">
        <v>12423</v>
      </c>
      <c r="F4896" s="4" t="s">
        <v>9685</v>
      </c>
      <c r="G4896" s="5" t="str">
        <f>IFERROR(__xludf.DUMMYFUNCTION("GOOGLETRANSLATE(D4896,""fr"",""es"")"),"imbids")</f>
        <v>imbids</v>
      </c>
    </row>
    <row r="4897">
      <c r="A4897" s="4">
        <v>299.0</v>
      </c>
      <c r="B4897" s="4" t="s">
        <v>11578</v>
      </c>
      <c r="C4897" s="4"/>
      <c r="D4897" s="4" t="s">
        <v>12424</v>
      </c>
      <c r="E4897" s="4" t="s">
        <v>12425</v>
      </c>
      <c r="F4897" s="4" t="s">
        <v>12426</v>
      </c>
      <c r="G4897" s="5" t="str">
        <f>IFERROR(__xludf.DUMMYFUNCTION("GOOGLETRANSLATE(D4897,""fr"",""es"")"),"imbids")</f>
        <v>imbids</v>
      </c>
    </row>
    <row r="4898">
      <c r="A4898" s="4">
        <v>300.0</v>
      </c>
      <c r="B4898" s="4" t="s">
        <v>11578</v>
      </c>
      <c r="C4898" s="4"/>
      <c r="D4898" s="4" t="s">
        <v>12427</v>
      </c>
      <c r="E4898" s="4" t="s">
        <v>12425</v>
      </c>
      <c r="F4898" s="4" t="s">
        <v>12426</v>
      </c>
      <c r="G4898" s="5" t="str">
        <f>IFERROR(__xludf.DUMMYFUNCTION("GOOGLETRANSLATE(D4898,""fr"",""es"")"),"Inmiscasa")</f>
        <v>Inmiscasa</v>
      </c>
    </row>
    <row r="4899">
      <c r="A4899" s="4">
        <v>301.0</v>
      </c>
      <c r="B4899" s="4" t="s">
        <v>11578</v>
      </c>
      <c r="C4899" s="4"/>
      <c r="D4899" s="4" t="s">
        <v>12428</v>
      </c>
      <c r="E4899" s="4" t="s">
        <v>12425</v>
      </c>
      <c r="F4899" s="4" t="s">
        <v>12426</v>
      </c>
      <c r="G4899" s="5" t="str">
        <f>IFERROR(__xludf.DUMMYFUNCTION("GOOGLETRANSLATE(D4899,""fr"",""es"")"),"inmisigencia")</f>
        <v>inmisigencia</v>
      </c>
    </row>
    <row r="4900">
      <c r="A4900" s="4">
        <v>302.0</v>
      </c>
      <c r="B4900" s="4" t="s">
        <v>11578</v>
      </c>
      <c r="C4900" s="4"/>
      <c r="D4900" s="4" t="s">
        <v>12429</v>
      </c>
      <c r="E4900" s="4" t="s">
        <v>12430</v>
      </c>
      <c r="F4900" s="4" t="s">
        <v>12431</v>
      </c>
      <c r="G4900" s="5" t="str">
        <f>IFERROR(__xludf.DUMMYFUNCTION("GOOGLETRANSLATE(D4900,""fr"",""es"")"),"inmerso")</f>
        <v>inmerso</v>
      </c>
    </row>
    <row r="4901">
      <c r="A4901" s="4">
        <v>303.0</v>
      </c>
      <c r="B4901" s="4" t="s">
        <v>11578</v>
      </c>
      <c r="C4901" s="4"/>
      <c r="D4901" s="4" t="s">
        <v>12432</v>
      </c>
      <c r="E4901" s="4" t="s">
        <v>12423</v>
      </c>
      <c r="F4901" s="4" t="s">
        <v>9685</v>
      </c>
      <c r="G4901" s="5" t="str">
        <f>IFERROR(__xludf.DUMMYFUNCTION("GOOGLETRANSLATE(D4901,""fr"",""es"")"),"inmerso")</f>
        <v>inmerso</v>
      </c>
    </row>
    <row r="4902">
      <c r="A4902" s="4">
        <v>304.0</v>
      </c>
      <c r="B4902" s="4" t="s">
        <v>11578</v>
      </c>
      <c r="C4902" s="4"/>
      <c r="D4902" s="4" t="s">
        <v>12433</v>
      </c>
      <c r="E4902" s="4" t="s">
        <v>12434</v>
      </c>
      <c r="F4902" s="4" t="s">
        <v>12435</v>
      </c>
      <c r="G4902" s="5" t="str">
        <f>IFERROR(__xludf.DUMMYFUNCTION("GOOGLETRANSLATE(D4902,""fr"",""es"")"),"inicuo")</f>
        <v>inicuo</v>
      </c>
      <c r="H4902" s="4" t="s">
        <v>12436</v>
      </c>
      <c r="I4902" s="4" t="s">
        <v>10832</v>
      </c>
      <c r="J4902" s="4" t="s">
        <v>12437</v>
      </c>
    </row>
    <row r="4903">
      <c r="A4903" s="4">
        <v>305.0</v>
      </c>
      <c r="B4903" s="4" t="s">
        <v>11578</v>
      </c>
      <c r="C4903" s="4"/>
      <c r="D4903" s="4" t="s">
        <v>12438</v>
      </c>
      <c r="E4903" s="4" t="s">
        <v>1797</v>
      </c>
      <c r="F4903" s="4" t="s">
        <v>1798</v>
      </c>
      <c r="G4903" s="5" t="str">
        <f>IFERROR(__xludf.DUMMYFUNCTION("GOOGLETRANSLATE(D4903,""fr"",""es"")"),"ISSA")</f>
        <v>ISSA</v>
      </c>
    </row>
    <row r="4904">
      <c r="A4904" s="4">
        <v>306.0</v>
      </c>
      <c r="B4904" s="4" t="s">
        <v>11578</v>
      </c>
      <c r="C4904" s="4"/>
      <c r="D4904" s="4" t="s">
        <v>12439</v>
      </c>
      <c r="E4904" s="4" t="s">
        <v>12440</v>
      </c>
      <c r="F4904" s="4" t="s">
        <v>12441</v>
      </c>
      <c r="G4904" s="5" t="str">
        <f>IFERROR(__xludf.DUMMYFUNCTION("GOOGLETRANSLATE(D4904,""fr"",""es"")"),"Italia")</f>
        <v>Italia</v>
      </c>
      <c r="H4904" s="4" t="s">
        <v>12442</v>
      </c>
      <c r="I4904" s="4" t="s">
        <v>12443</v>
      </c>
      <c r="J4904" s="4" t="s">
        <v>12444</v>
      </c>
    </row>
    <row r="4905">
      <c r="A4905" s="4">
        <v>307.0</v>
      </c>
      <c r="B4905" s="4" t="s">
        <v>11578</v>
      </c>
      <c r="C4905" s="4"/>
      <c r="D4905" s="4" t="s">
        <v>12445</v>
      </c>
      <c r="E4905" s="4" t="s">
        <v>9732</v>
      </c>
      <c r="F4905" s="4" t="s">
        <v>9731</v>
      </c>
      <c r="G4905" s="5" t="str">
        <f>IFERROR(__xludf.DUMMYFUNCTION("GOOGLETRANSLATE(D4905,""fr"",""es"")"),"itou")</f>
        <v>itou</v>
      </c>
      <c r="H4905" s="4" t="s">
        <v>8855</v>
      </c>
      <c r="I4905" s="4" t="s">
        <v>8851</v>
      </c>
      <c r="J4905" s="4" t="s">
        <v>8856</v>
      </c>
      <c r="K4905" s="4" t="s">
        <v>8857</v>
      </c>
      <c r="L4905" s="4" t="s">
        <v>8858</v>
      </c>
    </row>
    <row r="4906">
      <c r="A4906" s="4">
        <v>308.0</v>
      </c>
      <c r="B4906" s="4" t="s">
        <v>11578</v>
      </c>
      <c r="C4906" s="4"/>
      <c r="D4906" s="4" t="s">
        <v>12446</v>
      </c>
      <c r="E4906" s="4" t="s">
        <v>9705</v>
      </c>
      <c r="F4906" s="4" t="s">
        <v>9704</v>
      </c>
      <c r="G4906" s="5" t="str">
        <f>IFERROR(__xludf.DUMMYFUNCTION("GOOGLETRANSLATE(D4906,""fr"",""es"")"),"aquí")</f>
        <v>aquí</v>
      </c>
    </row>
    <row r="4907">
      <c r="A4907" s="4">
        <v>309.0</v>
      </c>
      <c r="B4907" s="4" t="s">
        <v>11578</v>
      </c>
      <c r="C4907" s="4"/>
      <c r="D4907" s="4" t="s">
        <v>2627</v>
      </c>
      <c r="E4907" s="4" t="s">
        <v>961</v>
      </c>
      <c r="F4907" s="4" t="s">
        <v>962</v>
      </c>
      <c r="G4907" s="5" t="str">
        <f>IFERROR(__xludf.DUMMYFUNCTION("GOOGLETRANSLATE(D4907,""fr"",""es"")"),"k")</f>
        <v>k</v>
      </c>
      <c r="H4907" s="4" t="s">
        <v>3809</v>
      </c>
      <c r="I4907" s="4" t="s">
        <v>3810</v>
      </c>
      <c r="J4907" s="4" t="s">
        <v>3811</v>
      </c>
      <c r="K4907" s="4" t="s">
        <v>3668</v>
      </c>
      <c r="L4907" s="4" t="s">
        <v>2629</v>
      </c>
      <c r="M4907" s="4" t="s">
        <v>3669</v>
      </c>
      <c r="N4907" s="4" t="s">
        <v>3668</v>
      </c>
      <c r="O4907" s="4" t="s">
        <v>2629</v>
      </c>
      <c r="P4907" s="4" t="s">
        <v>3669</v>
      </c>
    </row>
    <row r="4908">
      <c r="A4908" s="4">
        <v>310.0</v>
      </c>
      <c r="B4908" s="4" t="s">
        <v>11578</v>
      </c>
      <c r="C4908" s="4"/>
      <c r="D4908" s="4" t="s">
        <v>962</v>
      </c>
      <c r="E4908" s="4" t="s">
        <v>9868</v>
      </c>
      <c r="F4908" s="4" t="s">
        <v>962</v>
      </c>
      <c r="G4908" s="5" t="str">
        <f>IFERROR(__xludf.DUMMYFUNCTION("GOOGLETRANSLATE(D4908,""fr"",""es"")"),"ka")</f>
        <v>ka</v>
      </c>
      <c r="H4908" s="4" t="s">
        <v>9869</v>
      </c>
    </row>
    <row r="4909">
      <c r="A4909" s="4">
        <v>311.0</v>
      </c>
      <c r="B4909" s="4" t="s">
        <v>11578</v>
      </c>
      <c r="C4909" s="4"/>
      <c r="D4909" s="4" t="s">
        <v>1297</v>
      </c>
      <c r="E4909" s="4" t="s">
        <v>1296</v>
      </c>
      <c r="F4909" s="4" t="s">
        <v>1297</v>
      </c>
      <c r="G4909" s="5" t="str">
        <f>IFERROR(__xludf.DUMMYFUNCTION("GOOGLETRANSLATE(D4909,""fr"",""es"")"),"caqui")</f>
        <v>caqui</v>
      </c>
      <c r="H4909" s="4" t="s">
        <v>1298</v>
      </c>
      <c r="I4909" s="4" t="s">
        <v>1298</v>
      </c>
      <c r="J4909" s="4" t="s">
        <v>1299</v>
      </c>
      <c r="K4909" s="4" t="s">
        <v>1299</v>
      </c>
      <c r="L4909" s="4" t="s">
        <v>1300</v>
      </c>
    </row>
    <row r="4910">
      <c r="A4910" s="4">
        <v>312.0</v>
      </c>
      <c r="B4910" s="4" t="s">
        <v>11578</v>
      </c>
      <c r="C4910" s="4"/>
      <c r="D4910" s="4" t="s">
        <v>11870</v>
      </c>
      <c r="E4910" s="4" t="s">
        <v>11869</v>
      </c>
      <c r="F4910" s="4" t="s">
        <v>11870</v>
      </c>
      <c r="G4910" s="5" t="str">
        <f>IFERROR(__xludf.DUMMYFUNCTION("GOOGLETRANSLATE(D4910,""fr"",""es"")"),"kanak")</f>
        <v>kanak</v>
      </c>
    </row>
    <row r="4911">
      <c r="A4911" s="4">
        <v>313.0</v>
      </c>
      <c r="B4911" s="4" t="s">
        <v>11578</v>
      </c>
      <c r="C4911" s="4"/>
      <c r="D4911" s="4" t="s">
        <v>12447</v>
      </c>
      <c r="E4911" s="4" t="s">
        <v>11869</v>
      </c>
      <c r="F4911" s="4" t="s">
        <v>11870</v>
      </c>
      <c r="G4911" s="5" t="str">
        <f>IFERROR(__xludf.DUMMYFUNCTION("GOOGLETRANSLATE(D4911,""fr"",""es"")"),"kanake")</f>
        <v>kanake</v>
      </c>
    </row>
    <row r="4912">
      <c r="A4912" s="4">
        <v>314.0</v>
      </c>
      <c r="B4912" s="4" t="s">
        <v>11578</v>
      </c>
      <c r="C4912" s="4"/>
      <c r="D4912" s="4" t="s">
        <v>12448</v>
      </c>
      <c r="E4912" s="4" t="s">
        <v>1232</v>
      </c>
      <c r="F4912" s="4" t="s">
        <v>1233</v>
      </c>
      <c r="G4912" s="5" t="str">
        <f>IFERROR(__xludf.DUMMYFUNCTION("GOOGLETRANSLATE(D4912,""fr"",""es"")"),"kappa")</f>
        <v>kappa</v>
      </c>
      <c r="H4912" s="4" t="s">
        <v>12448</v>
      </c>
    </row>
    <row r="4913">
      <c r="A4913" s="4">
        <v>315.0</v>
      </c>
      <c r="B4913" s="4" t="s">
        <v>11578</v>
      </c>
      <c r="C4913" s="4"/>
      <c r="D4913" s="4" t="s">
        <v>12449</v>
      </c>
      <c r="E4913" s="4" t="s">
        <v>12450</v>
      </c>
      <c r="F4913" s="4" t="s">
        <v>12449</v>
      </c>
      <c r="G4913" s="5" t="str">
        <f>IFERROR(__xludf.DUMMYFUNCTION("GOOGLETRANSLATE(D4913,""fr"",""es"")"),"kasumi")</f>
        <v>kasumi</v>
      </c>
    </row>
    <row r="4914">
      <c r="A4914" s="4">
        <v>316.0</v>
      </c>
      <c r="B4914" s="4" t="s">
        <v>11578</v>
      </c>
      <c r="C4914" s="4"/>
      <c r="D4914" s="4" t="s">
        <v>12451</v>
      </c>
      <c r="E4914" s="4" t="s">
        <v>12452</v>
      </c>
      <c r="F4914" s="4" t="s">
        <v>12451</v>
      </c>
      <c r="G4914" s="5" t="str">
        <f>IFERROR(__xludf.DUMMYFUNCTION("GOOGLETRANSLATE(D4914,""fr"",""es"")"),"Katana")</f>
        <v>Katana</v>
      </c>
    </row>
    <row r="4915">
      <c r="A4915" s="4">
        <v>317.0</v>
      </c>
      <c r="B4915" s="4" t="s">
        <v>11578</v>
      </c>
      <c r="C4915" s="4"/>
      <c r="D4915" s="4" t="s">
        <v>968</v>
      </c>
      <c r="E4915" s="4" t="s">
        <v>967</v>
      </c>
      <c r="F4915" s="4" t="s">
        <v>968</v>
      </c>
      <c r="G4915" s="5" t="str">
        <f>IFERROR(__xludf.DUMMYFUNCTION("GOOGLETRANSLATE(D4915,""fr"",""es"")"),"kayac")</f>
        <v>kayac</v>
      </c>
      <c r="H4915" s="4" t="s">
        <v>968</v>
      </c>
      <c r="I4915" s="4" t="s">
        <v>969</v>
      </c>
      <c r="J4915" s="4" t="s">
        <v>968</v>
      </c>
    </row>
    <row r="4916">
      <c r="A4916" s="4">
        <v>318.0</v>
      </c>
      <c r="B4916" s="4" t="s">
        <v>11578</v>
      </c>
      <c r="C4916" s="4"/>
      <c r="D4916" s="4" t="s">
        <v>12453</v>
      </c>
      <c r="E4916" s="4" t="s">
        <v>12454</v>
      </c>
      <c r="F4916" s="4" t="s">
        <v>12453</v>
      </c>
      <c r="G4916" s="5" t="str">
        <f>IFERROR(__xludf.DUMMYFUNCTION("GOOGLETRANSLATE(D4916,""fr"",""es"")"),"kayaka")</f>
        <v>kayaka</v>
      </c>
    </row>
    <row r="4917">
      <c r="A4917" s="4">
        <v>319.0</v>
      </c>
      <c r="B4917" s="4" t="s">
        <v>11578</v>
      </c>
      <c r="C4917" s="4"/>
      <c r="D4917" s="4" t="s">
        <v>12455</v>
      </c>
      <c r="E4917" s="4" t="s">
        <v>12456</v>
      </c>
      <c r="F4917" s="4" t="s">
        <v>12453</v>
      </c>
      <c r="G4917" s="5" t="str">
        <f>IFERROR(__xludf.DUMMYFUNCTION("GOOGLETRANSLATE(D4917,""fr"",""es"")"),"kayakas")</f>
        <v>kayakas</v>
      </c>
    </row>
    <row r="4918">
      <c r="A4918" s="4">
        <v>320.0</v>
      </c>
      <c r="B4918" s="4" t="s">
        <v>11578</v>
      </c>
      <c r="C4918" s="4"/>
      <c r="D4918" s="4" t="s">
        <v>12457</v>
      </c>
      <c r="E4918" s="4" t="s">
        <v>12458</v>
      </c>
      <c r="F4918" s="4" t="s">
        <v>12455</v>
      </c>
      <c r="G4918" s="5" t="str">
        <f>IFERROR(__xludf.DUMMYFUNCTION("GOOGLETRANSLATE(D4918,""fr"",""es"")"),"kayakasse")</f>
        <v>kayakasse</v>
      </c>
    </row>
    <row r="4919">
      <c r="A4919" s="4">
        <v>321.0</v>
      </c>
      <c r="B4919" s="4" t="s">
        <v>11578</v>
      </c>
      <c r="C4919" s="4"/>
      <c r="D4919" s="4" t="s">
        <v>12459</v>
      </c>
      <c r="E4919" s="4" t="s">
        <v>12458</v>
      </c>
      <c r="F4919" s="4" t="s">
        <v>12455</v>
      </c>
      <c r="G4919" s="5" t="str">
        <f>IFERROR(__xludf.DUMMYFUNCTION("GOOGLETRANSLATE(D4919,""fr"",""es"")"),"kayakassent")</f>
        <v>kayakassent</v>
      </c>
    </row>
    <row r="4920">
      <c r="A4920" s="4">
        <v>322.0</v>
      </c>
      <c r="B4920" s="4" t="s">
        <v>11578</v>
      </c>
      <c r="C4920" s="4"/>
      <c r="D4920" s="4" t="s">
        <v>12460</v>
      </c>
      <c r="E4920" s="4" t="s">
        <v>12458</v>
      </c>
      <c r="F4920" s="4" t="s">
        <v>12455</v>
      </c>
      <c r="G4920" s="5" t="str">
        <f>IFERROR(__xludf.DUMMYFUNCTION("GOOGLETRANSLATE(D4920,""fr"",""es"")"),"kayakasses")</f>
        <v>kayakasses</v>
      </c>
    </row>
    <row r="4921">
      <c r="A4921" s="4">
        <v>323.0</v>
      </c>
      <c r="B4921" s="4" t="s">
        <v>11578</v>
      </c>
      <c r="C4921" s="4"/>
      <c r="D4921" s="4" t="s">
        <v>12461</v>
      </c>
      <c r="E4921" s="4" t="s">
        <v>967</v>
      </c>
      <c r="F4921" s="4" t="s">
        <v>968</v>
      </c>
      <c r="G4921" s="5" t="str">
        <f>IFERROR(__xludf.DUMMYFUNCTION("GOOGLETRANSLATE(D4921,""fr"",""es"")"),"kayake")</f>
        <v>kayake</v>
      </c>
    </row>
    <row r="4922">
      <c r="A4922" s="4">
        <v>324.0</v>
      </c>
      <c r="B4922" s="4" t="s">
        <v>11578</v>
      </c>
      <c r="C4922" s="4"/>
      <c r="D4922" s="4" t="s">
        <v>12462</v>
      </c>
      <c r="E4922" s="4" t="s">
        <v>967</v>
      </c>
      <c r="F4922" s="4" t="s">
        <v>968</v>
      </c>
      <c r="G4922" s="5" t="str">
        <f>IFERROR(__xludf.DUMMYFUNCTION("GOOGLETRANSLATE(D4922,""fr"",""es"")"),"kayac")</f>
        <v>kayac</v>
      </c>
    </row>
    <row r="4923">
      <c r="A4923" s="4">
        <v>325.0</v>
      </c>
      <c r="B4923" s="4" t="s">
        <v>11578</v>
      </c>
      <c r="C4923" s="4"/>
      <c r="D4923" s="4" t="s">
        <v>12463</v>
      </c>
      <c r="E4923" s="4" t="s">
        <v>967</v>
      </c>
      <c r="F4923" s="4" t="s">
        <v>968</v>
      </c>
      <c r="G4923" s="5" t="str">
        <f>IFERROR(__xludf.DUMMYFUNCTION("GOOGLETRANSLATE(D4923,""fr"",""es"")"),"kayakes")</f>
        <v>kayakes</v>
      </c>
    </row>
    <row r="4924">
      <c r="A4924" s="4">
        <v>326.0</v>
      </c>
      <c r="B4924" s="4" t="s">
        <v>11578</v>
      </c>
      <c r="C4924" s="4"/>
      <c r="D4924" s="4" t="s">
        <v>12464</v>
      </c>
      <c r="E4924" s="4" t="s">
        <v>967</v>
      </c>
      <c r="F4924" s="4" t="s">
        <v>968</v>
      </c>
      <c r="G4924" s="5" t="str">
        <f>IFERROR(__xludf.DUMMYFUNCTION("GOOGLETRANSLATE(D4924,""fr"",""es"")"),"kayaks")</f>
        <v>kayaks</v>
      </c>
    </row>
    <row r="4925">
      <c r="A4925" s="4">
        <v>327.0</v>
      </c>
      <c r="B4925" s="4" t="s">
        <v>11578</v>
      </c>
      <c r="C4925" s="4"/>
      <c r="D4925" s="4" t="s">
        <v>12465</v>
      </c>
      <c r="E4925" s="4" t="s">
        <v>12466</v>
      </c>
      <c r="F4925" s="4" t="s">
        <v>12467</v>
      </c>
      <c r="G4925" s="5" t="str">
        <f>IFERROR(__xludf.DUMMYFUNCTION("GOOGLETRANSLATE(D4925,""fr"",""es"")"),"kayakâme")</f>
        <v>kayakâme</v>
      </c>
    </row>
    <row r="4926">
      <c r="A4926" s="4">
        <v>328.0</v>
      </c>
      <c r="B4926" s="4" t="s">
        <v>11578</v>
      </c>
      <c r="C4926" s="4"/>
      <c r="D4926" s="4" t="s">
        <v>12468</v>
      </c>
      <c r="E4926" s="4" t="s">
        <v>12456</v>
      </c>
      <c r="F4926" s="4" t="s">
        <v>12453</v>
      </c>
      <c r="G4926" s="5" t="str">
        <f>IFERROR(__xludf.DUMMYFUNCTION("GOOGLETRANSLATE(D4926,""fr"",""es"")"),"kayakât")</f>
        <v>kayakât</v>
      </c>
    </row>
    <row r="4927">
      <c r="A4927" s="4">
        <v>329.0</v>
      </c>
      <c r="B4927" s="4" t="s">
        <v>11578</v>
      </c>
      <c r="C4927" s="4"/>
      <c r="D4927" s="4" t="s">
        <v>1298</v>
      </c>
      <c r="E4927" s="4" t="s">
        <v>1296</v>
      </c>
      <c r="F4927" s="4" t="s">
        <v>1297</v>
      </c>
      <c r="G4927" s="5" t="str">
        <f>IFERROR(__xludf.DUMMYFUNCTION("GOOGLETRANSLATE(D4927,""fr"",""es"")"),"caqui")</f>
        <v>caqui</v>
      </c>
    </row>
    <row r="4928">
      <c r="A4928" s="4">
        <v>330.0</v>
      </c>
      <c r="B4928" s="4" t="s">
        <v>11578</v>
      </c>
      <c r="C4928" s="4"/>
      <c r="D4928" s="4" t="s">
        <v>2012</v>
      </c>
      <c r="E4928" s="4" t="s">
        <v>2013</v>
      </c>
      <c r="F4928" s="4" t="s">
        <v>2014</v>
      </c>
      <c r="G4928" s="5" t="str">
        <f>IFERROR(__xludf.DUMMYFUNCTION("GOOGLETRANSLATE(D4928,""fr"",""es"")"),"khi")</f>
        <v>khi</v>
      </c>
      <c r="H4928" s="4" t="s">
        <v>12469</v>
      </c>
      <c r="I4928" s="4" t="s">
        <v>2012</v>
      </c>
    </row>
    <row r="4929">
      <c r="A4929" s="4">
        <v>331.0</v>
      </c>
      <c r="B4929" s="4" t="s">
        <v>11578</v>
      </c>
      <c r="C4929" s="4"/>
      <c r="D4929" s="4" t="s">
        <v>12470</v>
      </c>
      <c r="E4929" s="4" t="s">
        <v>12471</v>
      </c>
      <c r="F4929" s="4" t="s">
        <v>12472</v>
      </c>
      <c r="G4929" s="5" t="str">
        <f>IFERROR(__xludf.DUMMYFUNCTION("GOOGLETRANSLATE(D4929,""fr"",""es"")"),"khâgne")</f>
        <v>khâgne</v>
      </c>
    </row>
    <row r="4930">
      <c r="A4930" s="4">
        <v>332.0</v>
      </c>
      <c r="B4930" s="4" t="s">
        <v>11578</v>
      </c>
      <c r="C4930" s="4"/>
      <c r="D4930" s="4" t="s">
        <v>12473</v>
      </c>
      <c r="E4930" s="4" t="s">
        <v>12474</v>
      </c>
      <c r="F4930" s="4" t="s">
        <v>12473</v>
      </c>
      <c r="G4930" s="5" t="str">
        <f>IFERROR(__xludf.DUMMYFUNCTION("GOOGLETRANSLATE(D4930,""fr"",""es"")"),"kiki")</f>
        <v>kiki</v>
      </c>
    </row>
    <row r="4931">
      <c r="A4931" s="4">
        <v>333.0</v>
      </c>
      <c r="B4931" s="4" t="s">
        <v>11578</v>
      </c>
      <c r="C4931" s="4"/>
      <c r="D4931" s="4" t="s">
        <v>10033</v>
      </c>
      <c r="E4931" s="4" t="s">
        <v>10032</v>
      </c>
      <c r="F4931" s="4" t="s">
        <v>10033</v>
      </c>
      <c r="G4931" s="5" t="str">
        <f>IFERROR(__xludf.DUMMYFUNCTION("GOOGLETRANSLATE(D4931,""fr"",""es"")"),"kikuyu")</f>
        <v>kikuyu</v>
      </c>
    </row>
    <row r="4932">
      <c r="A4932" s="4">
        <v>334.0</v>
      </c>
      <c r="B4932" s="4" t="s">
        <v>11578</v>
      </c>
      <c r="C4932" s="4"/>
      <c r="D4932" s="4" t="s">
        <v>12475</v>
      </c>
      <c r="E4932" s="4" t="s">
        <v>12476</v>
      </c>
      <c r="F4932" s="4" t="s">
        <v>12477</v>
      </c>
      <c r="G4932" s="5" t="str">
        <f>IFERROR(__xludf.DUMMYFUNCTION("GOOGLETRANSLATE(D4932,""fr"",""es"")"),"kippa")</f>
        <v>kippa</v>
      </c>
      <c r="H4932" s="4" t="s">
        <v>12478</v>
      </c>
      <c r="I4932" s="4" t="s">
        <v>12479</v>
      </c>
      <c r="J4932" s="4" t="s">
        <v>12480</v>
      </c>
      <c r="K4932" s="4" t="s">
        <v>12481</v>
      </c>
    </row>
    <row r="4933">
      <c r="A4933" s="4">
        <v>335.0</v>
      </c>
      <c r="B4933" s="4" t="s">
        <v>11578</v>
      </c>
      <c r="C4933" s="4"/>
      <c r="D4933" s="4" t="s">
        <v>12482</v>
      </c>
      <c r="E4933" s="4" t="s">
        <v>12483</v>
      </c>
      <c r="F4933" s="4" t="s">
        <v>8425</v>
      </c>
      <c r="G4933" s="5" t="str">
        <f>IFERROR(__xludf.DUMMYFUNCTION("GOOGLETRANSLATE(D4933,""fr"",""es"")"),"kulak")</f>
        <v>kulak</v>
      </c>
    </row>
    <row r="4934">
      <c r="A4934" s="4">
        <v>336.0</v>
      </c>
      <c r="B4934" s="4" t="s">
        <v>11578</v>
      </c>
      <c r="C4934" s="4"/>
      <c r="D4934" s="4" t="s">
        <v>12484</v>
      </c>
      <c r="E4934" s="4" t="s">
        <v>12485</v>
      </c>
      <c r="F4934" s="4" t="s">
        <v>12486</v>
      </c>
      <c r="G4934" s="5" t="str">
        <f>IFERROR(__xludf.DUMMYFUNCTION("GOOGLETRANSLATE(D4934,""fr"",""es"")"),"kumis")</f>
        <v>kumis</v>
      </c>
    </row>
    <row r="4935">
      <c r="A4935" s="4">
        <v>337.0</v>
      </c>
      <c r="B4935" s="4" t="s">
        <v>11578</v>
      </c>
      <c r="C4935" s="4"/>
      <c r="D4935" s="4" t="s">
        <v>2015</v>
      </c>
      <c r="E4935" s="4" t="s">
        <v>2016</v>
      </c>
      <c r="F4935" s="4" t="s">
        <v>2015</v>
      </c>
      <c r="G4935" s="5" t="str">
        <f>IFERROR(__xludf.DUMMYFUNCTION("GOOGLETRANSLATE(D4935,""fr"",""es"")"),"la")</f>
        <v>la</v>
      </c>
      <c r="H4935" s="4" t="s">
        <v>12487</v>
      </c>
      <c r="I4935" s="4" t="s">
        <v>12487</v>
      </c>
      <c r="J4935" s="4" t="s">
        <v>12488</v>
      </c>
      <c r="K4935" s="4" t="s">
        <v>2015</v>
      </c>
      <c r="L4935" s="4" t="s">
        <v>2017</v>
      </c>
      <c r="M4935" s="4" t="s">
        <v>2015</v>
      </c>
      <c r="N4935" s="4" t="s">
        <v>2017</v>
      </c>
      <c r="O4935" s="4" t="s">
        <v>12489</v>
      </c>
      <c r="P4935" s="4" t="s">
        <v>12490</v>
      </c>
      <c r="Q4935" s="4" t="s">
        <v>12491</v>
      </c>
      <c r="R4935" s="4" t="s">
        <v>12492</v>
      </c>
      <c r="S4935" s="4" t="s">
        <v>12493</v>
      </c>
      <c r="T4935" s="4" t="s">
        <v>12494</v>
      </c>
      <c r="U4935" s="4" t="s">
        <v>12492</v>
      </c>
      <c r="V4935" s="4" t="s">
        <v>12493</v>
      </c>
      <c r="W4935" s="4" t="s">
        <v>12494</v>
      </c>
      <c r="X4935" s="4" t="s">
        <v>12492</v>
      </c>
      <c r="Y4935" s="4" t="s">
        <v>12493</v>
      </c>
      <c r="Z4935" s="4" t="s">
        <v>12494</v>
      </c>
    </row>
    <row r="4936">
      <c r="A4936" s="4">
        <v>338.0</v>
      </c>
      <c r="B4936" s="4" t="s">
        <v>11578</v>
      </c>
      <c r="C4936" s="4"/>
      <c r="D4936" s="4" t="s">
        <v>6514</v>
      </c>
      <c r="E4936" s="4" t="s">
        <v>4832</v>
      </c>
      <c r="F4936" s="4" t="s">
        <v>4831</v>
      </c>
      <c r="G4936" s="5" t="str">
        <f>IFERROR(__xludf.DUMMYFUNCTION("GOOGLETRANSLATE(D4936,""fr"",""es"")"),"lago")</f>
        <v>lago</v>
      </c>
      <c r="H4936" s="4" t="s">
        <v>2091</v>
      </c>
      <c r="I4936" s="4" t="s">
        <v>8442</v>
      </c>
      <c r="J4936" s="4" t="s">
        <v>2098</v>
      </c>
      <c r="K4936" s="4" t="s">
        <v>6514</v>
      </c>
      <c r="L4936" s="4" t="s">
        <v>2091</v>
      </c>
      <c r="M4936" s="4" t="s">
        <v>2091</v>
      </c>
    </row>
    <row r="4937">
      <c r="A4937" s="4">
        <v>339.0</v>
      </c>
      <c r="B4937" s="4" t="s">
        <v>11578</v>
      </c>
      <c r="C4937" s="4"/>
      <c r="D4937" s="4" t="s">
        <v>6525</v>
      </c>
      <c r="E4937" s="4" t="s">
        <v>2019</v>
      </c>
      <c r="F4937" s="4" t="s">
        <v>2020</v>
      </c>
      <c r="G4937" s="5" t="str">
        <f>IFERROR(__xludf.DUMMYFUNCTION("GOOGLETRANSLATE(D4937,""fr"",""es"")"),"lacis")</f>
        <v>lacis</v>
      </c>
    </row>
    <row r="4938">
      <c r="A4938" s="4">
        <v>340.0</v>
      </c>
      <c r="B4938" s="4" t="s">
        <v>11578</v>
      </c>
      <c r="C4938" s="4"/>
      <c r="D4938" s="4" t="s">
        <v>12495</v>
      </c>
      <c r="E4938" s="4" t="s">
        <v>2016</v>
      </c>
      <c r="F4938" s="4" t="s">
        <v>2015</v>
      </c>
      <c r="G4938" s="5" t="str">
        <f>IFERROR(__xludf.DUMMYFUNCTION("GOOGLETRANSLATE(D4938,""fr"",""es"")"),"lagos")</f>
        <v>lagos</v>
      </c>
    </row>
    <row r="4939">
      <c r="A4939" s="4">
        <v>341.0</v>
      </c>
      <c r="B4939" s="4" t="s">
        <v>11578</v>
      </c>
      <c r="C4939" s="4"/>
      <c r="D4939" s="4" t="s">
        <v>12495</v>
      </c>
      <c r="E4939" s="4" t="s">
        <v>4832</v>
      </c>
      <c r="F4939" s="4" t="s">
        <v>4831</v>
      </c>
      <c r="G4939" s="5" t="str">
        <f>IFERROR(__xludf.DUMMYFUNCTION("GOOGLETRANSLATE(D4939,""fr"",""es"")"),"lagos")</f>
        <v>lagos</v>
      </c>
    </row>
    <row r="4940">
      <c r="A4940" s="4">
        <v>342.0</v>
      </c>
      <c r="B4940" s="4" t="s">
        <v>11578</v>
      </c>
      <c r="C4940" s="4"/>
      <c r="D4940" s="4" t="s">
        <v>12496</v>
      </c>
      <c r="E4940" s="4" t="s">
        <v>12497</v>
      </c>
      <c r="F4940" s="4" t="s">
        <v>12498</v>
      </c>
      <c r="G4940" s="5" t="str">
        <f>IFERROR(__xludf.DUMMYFUNCTION("GOOGLETRANSLATE(D4940,""fr"",""es"")"),"Lagniappe")</f>
        <v>Lagniappe</v>
      </c>
    </row>
    <row r="4941">
      <c r="A4941" s="4">
        <v>343.0</v>
      </c>
      <c r="B4941" s="4" t="s">
        <v>11578</v>
      </c>
      <c r="C4941" s="4"/>
      <c r="D4941" s="4" t="s">
        <v>8427</v>
      </c>
      <c r="E4941" s="4" t="s">
        <v>4832</v>
      </c>
      <c r="F4941" s="4" t="s">
        <v>4831</v>
      </c>
      <c r="G4941" s="5" t="str">
        <f>IFERROR(__xludf.DUMMYFUNCTION("GOOGLETRANSLATE(D4941,""fr"",""es"")"),"lakh")</f>
        <v>lakh</v>
      </c>
      <c r="H4941" s="4" t="s">
        <v>8428</v>
      </c>
      <c r="I4941" s="4">
        <v>100000.0</v>
      </c>
      <c r="J4941" s="4" t="s">
        <v>8427</v>
      </c>
    </row>
    <row r="4942">
      <c r="A4942" s="4">
        <v>344.0</v>
      </c>
      <c r="B4942" s="4" t="s">
        <v>11578</v>
      </c>
      <c r="C4942" s="4"/>
      <c r="D4942" s="4" t="s">
        <v>10244</v>
      </c>
      <c r="E4942" s="4" t="s">
        <v>12499</v>
      </c>
      <c r="F4942" s="4" t="s">
        <v>10244</v>
      </c>
      <c r="G4942" s="5" t="str">
        <f>IFERROR(__xludf.DUMMYFUNCTION("GOOGLETRANSLATE(D4942,""fr"",""es"")"),"lama")</f>
        <v>lama</v>
      </c>
      <c r="H4942" s="4" t="s">
        <v>2099</v>
      </c>
      <c r="I4942" s="4" t="s">
        <v>10246</v>
      </c>
      <c r="J4942" s="4" t="s">
        <v>10247</v>
      </c>
      <c r="K4942" s="4" t="s">
        <v>10246</v>
      </c>
      <c r="L4942" s="4" t="s">
        <v>10247</v>
      </c>
      <c r="M4942" s="4" t="s">
        <v>10244</v>
      </c>
    </row>
    <row r="4943">
      <c r="A4943" s="4">
        <v>345.0</v>
      </c>
      <c r="B4943" s="4" t="s">
        <v>11578</v>
      </c>
      <c r="C4943" s="4"/>
      <c r="D4943" s="4" t="s">
        <v>12500</v>
      </c>
      <c r="E4943" s="4" t="s">
        <v>4837</v>
      </c>
      <c r="F4943" s="4" t="s">
        <v>4836</v>
      </c>
      <c r="G4943" s="5" t="str">
        <f>IFERROR(__xludf.DUMMYFUNCTION("GOOGLETRANSLATE(D4943,""fr"",""es"")"),"espada")</f>
        <v>espada</v>
      </c>
      <c r="H4943" s="4" t="s">
        <v>10259</v>
      </c>
      <c r="I4943" s="4" t="s">
        <v>12501</v>
      </c>
      <c r="J4943" s="4" t="s">
        <v>12502</v>
      </c>
      <c r="K4943" s="4" t="s">
        <v>10259</v>
      </c>
      <c r="L4943" s="4" t="s">
        <v>2260</v>
      </c>
    </row>
    <row r="4944">
      <c r="A4944" s="4">
        <v>346.0</v>
      </c>
      <c r="B4944" s="4" t="s">
        <v>11578</v>
      </c>
      <c r="C4944" s="4"/>
      <c r="D4944" s="4" t="s">
        <v>12503</v>
      </c>
      <c r="E4944" s="4" t="s">
        <v>12504</v>
      </c>
      <c r="F4944" s="4" t="s">
        <v>12505</v>
      </c>
      <c r="G4944" s="5" t="str">
        <f>IFERROR(__xludf.DUMMYFUNCTION("GOOGLETRANSLATE(D4944,""fr"",""es"")"),"golpe")</f>
        <v>golpe</v>
      </c>
    </row>
    <row r="4945">
      <c r="A4945" s="4">
        <v>347.0</v>
      </c>
      <c r="B4945" s="4" t="s">
        <v>11578</v>
      </c>
      <c r="C4945" s="4"/>
      <c r="D4945" s="4" t="s">
        <v>10257</v>
      </c>
      <c r="E4945" s="4" t="s">
        <v>12506</v>
      </c>
      <c r="F4945" s="4" t="s">
        <v>10257</v>
      </c>
      <c r="G4945" s="5" t="str">
        <f>IFERROR(__xludf.DUMMYFUNCTION("GOOGLETRANSLATE(D4945,""fr"",""es"")"),"lapa")</f>
        <v>lapa</v>
      </c>
    </row>
    <row r="4946">
      <c r="A4946" s="4">
        <v>348.0</v>
      </c>
      <c r="B4946" s="4" t="s">
        <v>11578</v>
      </c>
      <c r="C4946" s="4"/>
      <c r="D4946" s="4" t="s">
        <v>12507</v>
      </c>
      <c r="E4946" s="4" t="s">
        <v>12508</v>
      </c>
      <c r="F4946" s="4" t="s">
        <v>10257</v>
      </c>
      <c r="G4946" s="5" t="str">
        <f>IFERROR(__xludf.DUMMYFUNCTION("GOOGLETRANSLATE(D4946,""fr"",""es"")"),"el paso")</f>
        <v>el paso</v>
      </c>
    </row>
    <row r="4947">
      <c r="A4947" s="4">
        <v>349.0</v>
      </c>
      <c r="B4947" s="4" t="s">
        <v>11578</v>
      </c>
      <c r="C4947" s="4"/>
      <c r="D4947" s="4" t="s">
        <v>12509</v>
      </c>
      <c r="E4947" s="4" t="s">
        <v>12510</v>
      </c>
      <c r="F4947" s="4" t="s">
        <v>12507</v>
      </c>
      <c r="G4947" s="5" t="str">
        <f>IFERROR(__xludf.DUMMYFUNCTION("GOOGLETRANSLATE(D4947,""fr"",""es"")"),"El permiso")</f>
        <v>El permiso</v>
      </c>
    </row>
    <row r="4948">
      <c r="A4948" s="4">
        <v>350.0</v>
      </c>
      <c r="B4948" s="4" t="s">
        <v>11578</v>
      </c>
      <c r="C4948" s="4"/>
      <c r="D4948" s="4" t="s">
        <v>12511</v>
      </c>
      <c r="E4948" s="4" t="s">
        <v>12510</v>
      </c>
      <c r="F4948" s="4" t="s">
        <v>12507</v>
      </c>
      <c r="G4948" s="5" t="str">
        <f>IFERROR(__xludf.DUMMYFUNCTION("GOOGLETRANSLATE(D4948,""fr"",""es"")"),"lapasé")</f>
        <v>lapasé</v>
      </c>
    </row>
    <row r="4949">
      <c r="A4949" s="4">
        <v>351.0</v>
      </c>
      <c r="B4949" s="4" t="s">
        <v>11578</v>
      </c>
      <c r="C4949" s="4"/>
      <c r="D4949" s="4" t="s">
        <v>12512</v>
      </c>
      <c r="E4949" s="4" t="s">
        <v>12510</v>
      </c>
      <c r="F4949" s="4" t="s">
        <v>12507</v>
      </c>
      <c r="G4949" s="5" t="str">
        <f>IFERROR(__xludf.DUMMYFUNCTION("GOOGLETRANSLATE(D4949,""fr"",""es"")"),"lapasses")</f>
        <v>lapasses</v>
      </c>
    </row>
    <row r="4950">
      <c r="A4950" s="4">
        <v>352.0</v>
      </c>
      <c r="B4950" s="4" t="s">
        <v>11578</v>
      </c>
      <c r="C4950" s="4"/>
      <c r="D4950" s="4" t="s">
        <v>12513</v>
      </c>
      <c r="E4950" s="4" t="s">
        <v>12514</v>
      </c>
      <c r="F4950" s="4" t="s">
        <v>4724</v>
      </c>
      <c r="G4950" s="5" t="str">
        <f>IFERROR(__xludf.DUMMYFUNCTION("GOOGLETRANSLATE(D4950,""fr"",""es"")"),"atar")</f>
        <v>atar</v>
      </c>
    </row>
    <row r="4951">
      <c r="A4951" s="4">
        <v>353.0</v>
      </c>
      <c r="B4951" s="4" t="s">
        <v>11578</v>
      </c>
      <c r="C4951" s="4"/>
      <c r="D4951" s="4" t="s">
        <v>12515</v>
      </c>
      <c r="E4951" s="4" t="s">
        <v>12514</v>
      </c>
      <c r="F4951" s="4" t="s">
        <v>4724</v>
      </c>
      <c r="G4951" s="5" t="str">
        <f>IFERROR(__xludf.DUMMYFUNCTION("GOOGLETRANSLATE(D4951,""fr"",""es"")"),"lapent")</f>
        <v>lapent</v>
      </c>
    </row>
    <row r="4952">
      <c r="A4952" s="4">
        <v>354.0</v>
      </c>
      <c r="B4952" s="4" t="s">
        <v>11578</v>
      </c>
      <c r="C4952" s="4"/>
      <c r="D4952" s="4" t="s">
        <v>12516</v>
      </c>
      <c r="E4952" s="4" t="s">
        <v>12514</v>
      </c>
      <c r="F4952" s="4" t="s">
        <v>4724</v>
      </c>
      <c r="G4952" s="5" t="str">
        <f>IFERROR(__xludf.DUMMYFUNCTION("GOOGLETRANSLATE(D4952,""fr"",""es"")"),"lapas")</f>
        <v>lapas</v>
      </c>
    </row>
    <row r="4953">
      <c r="A4953" s="4">
        <v>355.0</v>
      </c>
      <c r="B4953" s="4" t="s">
        <v>11578</v>
      </c>
      <c r="C4953" s="4"/>
      <c r="D4953" s="4" t="s">
        <v>12517</v>
      </c>
      <c r="E4953" s="4" t="s">
        <v>12518</v>
      </c>
      <c r="F4953" s="4" t="s">
        <v>9976</v>
      </c>
      <c r="G4953" s="5" t="str">
        <f>IFERROR(__xludf.DUMMYFUNCTION("GOOGLETRANSLATE(D4953,""fr"",""es"")"),"Conejo")</f>
        <v>Conejo</v>
      </c>
      <c r="H4953" s="4" t="s">
        <v>12519</v>
      </c>
    </row>
    <row r="4954">
      <c r="A4954" s="4">
        <v>356.0</v>
      </c>
      <c r="B4954" s="4" t="s">
        <v>11578</v>
      </c>
      <c r="C4954" s="4"/>
      <c r="D4954" s="4" t="s">
        <v>12520</v>
      </c>
      <c r="E4954" s="4" t="s">
        <v>12518</v>
      </c>
      <c r="F4954" s="4" t="s">
        <v>9976</v>
      </c>
      <c r="G4954" s="5" t="str">
        <f>IFERROR(__xludf.DUMMYFUNCTION("GOOGLETRANSLATE(D4954,""fr"",""es"")"),"conejos")</f>
        <v>conejos</v>
      </c>
    </row>
    <row r="4955">
      <c r="A4955" s="4">
        <v>357.0</v>
      </c>
      <c r="B4955" s="4" t="s">
        <v>11578</v>
      </c>
      <c r="C4955" s="4"/>
      <c r="D4955" s="4" t="s">
        <v>12521</v>
      </c>
      <c r="E4955" s="4" t="s">
        <v>12522</v>
      </c>
      <c r="F4955" s="4" t="s">
        <v>12523</v>
      </c>
      <c r="G4955" s="5" t="str">
        <f>IFERROR(__xludf.DUMMYFUNCTION("GOOGLETRANSLATE(D4955,""fr"",""es"")"),"lóbulo")</f>
        <v>lóbulo</v>
      </c>
    </row>
    <row r="4956">
      <c r="A4956" s="4">
        <v>358.0</v>
      </c>
      <c r="B4956" s="4" t="s">
        <v>11578</v>
      </c>
      <c r="C4956" s="4"/>
      <c r="D4956" s="4" t="s">
        <v>12524</v>
      </c>
      <c r="E4956" s="4" t="s">
        <v>12508</v>
      </c>
      <c r="F4956" s="4" t="s">
        <v>10257</v>
      </c>
      <c r="G4956" s="5" t="str">
        <f>IFERROR(__xludf.DUMMYFUNCTION("GOOGLETRANSLATE(D4956,""fr"",""es"")"),"estatón")</f>
        <v>estatón</v>
      </c>
    </row>
    <row r="4957">
      <c r="A4957" s="4">
        <v>359.0</v>
      </c>
      <c r="B4957" s="4" t="s">
        <v>11578</v>
      </c>
      <c r="C4957" s="4"/>
      <c r="D4957" s="4" t="s">
        <v>12525</v>
      </c>
      <c r="E4957" s="4" t="s">
        <v>4832</v>
      </c>
      <c r="F4957" s="4" t="s">
        <v>4831</v>
      </c>
      <c r="G4957" s="5" t="str">
        <f>IFERROR(__xludf.DUMMYFUNCTION("GOOGLETRANSLATE(D4957,""fr"",""es"")"),"barniz")</f>
        <v>barniz</v>
      </c>
      <c r="H4957" s="4" t="s">
        <v>10273</v>
      </c>
      <c r="I4957" s="4" t="s">
        <v>12526</v>
      </c>
      <c r="J4957" s="4" t="s">
        <v>12527</v>
      </c>
      <c r="K4957" s="4" t="s">
        <v>2091</v>
      </c>
      <c r="L4957" s="4" t="s">
        <v>6514</v>
      </c>
      <c r="M4957" s="4" t="s">
        <v>12528</v>
      </c>
    </row>
    <row r="4958">
      <c r="A4958" s="4">
        <v>360.0</v>
      </c>
      <c r="B4958" s="4" t="s">
        <v>11578</v>
      </c>
      <c r="C4958" s="4"/>
      <c r="D4958" s="4" t="s">
        <v>6517</v>
      </c>
      <c r="E4958" s="4" t="s">
        <v>12529</v>
      </c>
      <c r="F4958" s="4" t="s">
        <v>6517</v>
      </c>
      <c r="G4958" s="5" t="str">
        <f>IFERROR(__xludf.DUMMYFUNCTION("GOOGLETRANSLATE(D4958,""fr"",""es"")"),"el as")</f>
        <v>el as</v>
      </c>
    </row>
    <row r="4959">
      <c r="A4959" s="4">
        <v>361.0</v>
      </c>
      <c r="B4959" s="4" t="s">
        <v>11578</v>
      </c>
      <c r="C4959" s="4"/>
      <c r="D4959" s="4" t="s">
        <v>6517</v>
      </c>
      <c r="E4959" s="4" t="s">
        <v>4888</v>
      </c>
      <c r="F4959" s="4" t="s">
        <v>2015</v>
      </c>
      <c r="G4959" s="5" t="str">
        <f>IFERROR(__xludf.DUMMYFUNCTION("GOOGLETRANSLATE(D4959,""fr"",""es"")"),"el as")</f>
        <v>el as</v>
      </c>
    </row>
    <row r="4960">
      <c r="A4960" s="4">
        <v>362.0</v>
      </c>
      <c r="B4960" s="4" t="s">
        <v>11578</v>
      </c>
      <c r="C4960" s="4"/>
      <c r="D4960" s="4" t="s">
        <v>2028</v>
      </c>
      <c r="E4960" s="4" t="s">
        <v>2029</v>
      </c>
      <c r="F4960" s="4" t="s">
        <v>2030</v>
      </c>
      <c r="G4960" s="5" t="str">
        <f>IFERROR(__xludf.DUMMYFUNCTION("GOOGLETRANSLATE(D4960,""fr"",""es"")"),"lassa")</f>
        <v>lassa</v>
      </c>
    </row>
    <row r="4961">
      <c r="A4961" s="4">
        <v>363.0</v>
      </c>
      <c r="B4961" s="4" t="s">
        <v>11578</v>
      </c>
      <c r="C4961" s="4"/>
      <c r="D4961" s="4" t="s">
        <v>12530</v>
      </c>
      <c r="E4961" s="4" t="s">
        <v>12531</v>
      </c>
      <c r="F4961" s="4" t="s">
        <v>6589</v>
      </c>
      <c r="G4961" s="5" t="str">
        <f>IFERROR(__xludf.DUMMYFUNCTION("GOOGLETRANSLATE(D4961,""fr"",""es"")"),"latín")</f>
        <v>latín</v>
      </c>
    </row>
    <row r="4962">
      <c r="A4962" s="4">
        <v>364.0</v>
      </c>
      <c r="B4962" s="4" t="s">
        <v>11578</v>
      </c>
      <c r="C4962" s="4"/>
      <c r="D4962" s="4" t="s">
        <v>12532</v>
      </c>
      <c r="E4962" s="4" t="s">
        <v>12531</v>
      </c>
      <c r="F4962" s="4" t="s">
        <v>6589</v>
      </c>
      <c r="G4962" s="5" t="str">
        <f>IFERROR(__xludf.DUMMYFUNCTION("GOOGLETRANSLATE(D4962,""fr"",""es"")"),"latín")</f>
        <v>latín</v>
      </c>
    </row>
    <row r="4963">
      <c r="A4963" s="4">
        <v>365.0</v>
      </c>
      <c r="B4963" s="4" t="s">
        <v>11578</v>
      </c>
      <c r="C4963" s="4"/>
      <c r="D4963" s="4" t="s">
        <v>12533</v>
      </c>
      <c r="E4963" s="4" t="s">
        <v>12534</v>
      </c>
      <c r="F4963" s="4" t="s">
        <v>12535</v>
      </c>
      <c r="G4963" s="5" t="str">
        <f>IFERROR(__xludf.DUMMYFUNCTION("GOOGLETRANSLATE(D4963,""fr"",""es"")"),"lattis")</f>
        <v>lattis</v>
      </c>
    </row>
    <row r="4964">
      <c r="A4964" s="4">
        <v>366.0</v>
      </c>
      <c r="B4964" s="4" t="s">
        <v>11578</v>
      </c>
      <c r="C4964" s="4"/>
      <c r="D4964" s="4" t="s">
        <v>2037</v>
      </c>
      <c r="E4964" s="4" t="s">
        <v>2038</v>
      </c>
      <c r="F4964" s="4" t="s">
        <v>2037</v>
      </c>
      <c r="G4964" s="5" t="str">
        <f>IFERROR(__xludf.DUMMYFUNCTION("GOOGLETRANSLATE(D4964,""fr"",""es"")"),"li")</f>
        <v>li</v>
      </c>
      <c r="H4964" s="4" t="s">
        <v>2037</v>
      </c>
      <c r="I4964" s="4" t="s">
        <v>2085</v>
      </c>
      <c r="J4964" s="4" t="s">
        <v>2086</v>
      </c>
      <c r="K4964" s="4" t="s">
        <v>2087</v>
      </c>
    </row>
    <row r="4965">
      <c r="A4965" s="4">
        <v>367.0</v>
      </c>
      <c r="B4965" s="4" t="s">
        <v>11578</v>
      </c>
      <c r="C4965" s="4"/>
      <c r="D4965" s="4" t="s">
        <v>12536</v>
      </c>
      <c r="E4965" s="4" t="s">
        <v>12537</v>
      </c>
      <c r="F4965" s="4" t="s">
        <v>12538</v>
      </c>
      <c r="G4965" s="5" t="str">
        <f>IFERROR(__xludf.DUMMYFUNCTION("GOOGLETRANSLATE(D4965,""fr"",""es"")"),"pérdida")</f>
        <v>pérdida</v>
      </c>
    </row>
    <row r="4966">
      <c r="A4966" s="4">
        <v>368.0</v>
      </c>
      <c r="B4966" s="4" t="s">
        <v>11578</v>
      </c>
      <c r="C4966" s="4"/>
      <c r="D4966" s="4" t="s">
        <v>12539</v>
      </c>
      <c r="E4966" s="4" t="s">
        <v>12540</v>
      </c>
      <c r="F4966" s="4" t="s">
        <v>12541</v>
      </c>
      <c r="G4966" s="5" t="str">
        <f>IFERROR(__xludf.DUMMYFUNCTION("GOOGLETRANSLATE(D4966,""fr"",""es"")"),"cabestro")</f>
        <v>cabestro</v>
      </c>
    </row>
    <row r="4967">
      <c r="A4967" s="4">
        <v>369.0</v>
      </c>
      <c r="B4967" s="4" t="s">
        <v>11578</v>
      </c>
      <c r="C4967" s="4"/>
      <c r="D4967" s="4" t="s">
        <v>12542</v>
      </c>
      <c r="E4967" s="4" t="s">
        <v>12543</v>
      </c>
      <c r="F4967" s="4" t="s">
        <v>12544</v>
      </c>
      <c r="G4967" s="5" t="str">
        <f>IFERROR(__xludf.DUMMYFUNCTION("GOOGLETRANSLATE(D4967,""fr"",""es"")"),"ligna")</f>
        <v>ligna</v>
      </c>
    </row>
    <row r="4968">
      <c r="A4968" s="4">
        <v>370.0</v>
      </c>
      <c r="B4968" s="4" t="s">
        <v>11578</v>
      </c>
      <c r="C4968" s="4"/>
      <c r="D4968" s="4" t="s">
        <v>12545</v>
      </c>
      <c r="E4968" s="4" t="s">
        <v>12546</v>
      </c>
      <c r="F4968" s="4" t="s">
        <v>12544</v>
      </c>
      <c r="G4968" s="5" t="str">
        <f>IFERROR(__xludf.DUMMYFUNCTION("GOOGLETRANSLATE(D4968,""fr"",""es"")"),"lignas")</f>
        <v>lignas</v>
      </c>
    </row>
    <row r="4969">
      <c r="A4969" s="4">
        <v>371.0</v>
      </c>
      <c r="B4969" s="4" t="s">
        <v>11578</v>
      </c>
      <c r="C4969" s="4"/>
      <c r="D4969" s="4" t="s">
        <v>12547</v>
      </c>
      <c r="E4969" s="4" t="s">
        <v>12548</v>
      </c>
      <c r="F4969" s="4" t="s">
        <v>12549</v>
      </c>
      <c r="G4969" s="5" t="str">
        <f>IFERROR(__xludf.DUMMYFUNCTION("GOOGLETRANSLATE(D4969,""fr"",""es"")"),"linaje")</f>
        <v>linaje</v>
      </c>
    </row>
    <row r="4970">
      <c r="A4970" s="4">
        <v>372.0</v>
      </c>
      <c r="B4970" s="4" t="s">
        <v>11578</v>
      </c>
      <c r="C4970" s="4"/>
      <c r="D4970" s="4" t="s">
        <v>12550</v>
      </c>
      <c r="E4970" s="4" t="s">
        <v>12548</v>
      </c>
      <c r="F4970" s="4" t="s">
        <v>12549</v>
      </c>
      <c r="G4970" s="5" t="str">
        <f>IFERROR(__xludf.DUMMYFUNCTION("GOOGLETRANSLATE(D4970,""fr"",""es"")"),"línea")</f>
        <v>línea</v>
      </c>
    </row>
    <row r="4971">
      <c r="A4971" s="4">
        <v>373.0</v>
      </c>
      <c r="B4971" s="4" t="s">
        <v>11578</v>
      </c>
      <c r="C4971" s="4"/>
      <c r="D4971" s="4" t="s">
        <v>12551</v>
      </c>
      <c r="E4971" s="4" t="s">
        <v>12548</v>
      </c>
      <c r="F4971" s="4" t="s">
        <v>12549</v>
      </c>
      <c r="G4971" s="5" t="str">
        <f>IFERROR(__xludf.DUMMYFUNCTION("GOOGLETRANSLATE(D4971,""fr"",""es"")"),"linaje")</f>
        <v>linaje</v>
      </c>
    </row>
    <row r="4972">
      <c r="A4972" s="4">
        <v>374.0</v>
      </c>
      <c r="B4972" s="4" t="s">
        <v>11578</v>
      </c>
      <c r="C4972" s="4"/>
      <c r="D4972" s="4" t="s">
        <v>12552</v>
      </c>
      <c r="E4972" s="4" t="s">
        <v>12553</v>
      </c>
      <c r="F4972" s="4" t="s">
        <v>12554</v>
      </c>
      <c r="G4972" s="5" t="str">
        <f>IFERROR(__xludf.DUMMYFUNCTION("GOOGLETRANSLATE(D4972,""fr"",""es"")"),"línea")</f>
        <v>línea</v>
      </c>
      <c r="H4972" s="4" t="s">
        <v>1681</v>
      </c>
      <c r="I4972" s="4" t="s">
        <v>1681</v>
      </c>
      <c r="J4972" s="4" t="s">
        <v>1681</v>
      </c>
      <c r="K4972" s="4" t="s">
        <v>12555</v>
      </c>
      <c r="L4972" s="4" t="s">
        <v>12556</v>
      </c>
      <c r="M4972" s="4" t="s">
        <v>12557</v>
      </c>
      <c r="N4972" s="4" t="s">
        <v>12558</v>
      </c>
      <c r="O4972" s="4" t="s">
        <v>9226</v>
      </c>
      <c r="P4972" s="4" t="s">
        <v>12559</v>
      </c>
      <c r="Q4972" s="4" t="s">
        <v>12560</v>
      </c>
      <c r="R4972" s="4" t="s">
        <v>12561</v>
      </c>
      <c r="S4972" s="4" t="s">
        <v>12562</v>
      </c>
      <c r="T4972" s="4" t="s">
        <v>1681</v>
      </c>
      <c r="U4972" s="4" t="s">
        <v>10059</v>
      </c>
      <c r="V4972" s="4" t="s">
        <v>1681</v>
      </c>
      <c r="W4972" s="4" t="s">
        <v>12563</v>
      </c>
      <c r="X4972" s="4" t="s">
        <v>12564</v>
      </c>
      <c r="Y4972" s="4" t="s">
        <v>12565</v>
      </c>
      <c r="Z4972" s="4" t="s">
        <v>1136</v>
      </c>
      <c r="AA4972" s="4" t="s">
        <v>12566</v>
      </c>
      <c r="AB4972" s="4" t="s">
        <v>1681</v>
      </c>
      <c r="AC4972" s="4" t="s">
        <v>9186</v>
      </c>
      <c r="AD4972" s="4" t="s">
        <v>9187</v>
      </c>
      <c r="AE4972" s="4" t="s">
        <v>1209</v>
      </c>
      <c r="AF4972" s="4" t="s">
        <v>1681</v>
      </c>
      <c r="AG4972" s="4" t="s">
        <v>1681</v>
      </c>
      <c r="AH4972" s="4" t="s">
        <v>1681</v>
      </c>
      <c r="AI4972" s="4" t="s">
        <v>1681</v>
      </c>
      <c r="AJ4972" s="4" t="s">
        <v>10059</v>
      </c>
      <c r="AK4972" s="4" t="s">
        <v>10059</v>
      </c>
      <c r="AL4972" s="4" t="s">
        <v>12567</v>
      </c>
      <c r="AM4972" s="4" t="s">
        <v>1681</v>
      </c>
      <c r="AN4972" s="4" t="s">
        <v>1681</v>
      </c>
      <c r="AO4972" s="4" t="s">
        <v>1681</v>
      </c>
      <c r="AP4972" s="4" t="s">
        <v>3618</v>
      </c>
      <c r="AQ4972" s="4" t="s">
        <v>10059</v>
      </c>
      <c r="AR4972" s="4" t="s">
        <v>12568</v>
      </c>
      <c r="AS4972" s="4" t="s">
        <v>12569</v>
      </c>
      <c r="AT4972" s="4" t="s">
        <v>12570</v>
      </c>
      <c r="AU4972" s="4" t="s">
        <v>1681</v>
      </c>
      <c r="AV4972" s="4" t="s">
        <v>12571</v>
      </c>
      <c r="AW4972" s="4" t="s">
        <v>12572</v>
      </c>
      <c r="AX4972" s="4" t="s">
        <v>12552</v>
      </c>
      <c r="AY4972" s="4" t="s">
        <v>12573</v>
      </c>
      <c r="AZ4972" s="4" t="s">
        <v>1681</v>
      </c>
      <c r="BA4972" s="4" t="s">
        <v>1681</v>
      </c>
      <c r="BB4972" s="4" t="s">
        <v>12574</v>
      </c>
      <c r="BC4972" s="4" t="s">
        <v>12575</v>
      </c>
      <c r="BD4972" s="4" t="s">
        <v>12576</v>
      </c>
      <c r="BE4972" s="4" t="s">
        <v>12577</v>
      </c>
      <c r="BF4972" s="4" t="s">
        <v>12578</v>
      </c>
      <c r="BG4972" s="4" t="s">
        <v>12579</v>
      </c>
      <c r="BH4972" s="4" t="s">
        <v>1681</v>
      </c>
      <c r="BI4972" s="4" t="s">
        <v>1209</v>
      </c>
    </row>
    <row r="4973">
      <c r="A4973" s="4">
        <v>375.0</v>
      </c>
      <c r="B4973" s="4" t="s">
        <v>11578</v>
      </c>
      <c r="C4973" s="4"/>
      <c r="D4973" s="4" t="s">
        <v>12580</v>
      </c>
      <c r="E4973" s="4" t="s">
        <v>12553</v>
      </c>
      <c r="F4973" s="4" t="s">
        <v>12554</v>
      </c>
      <c r="G4973" s="5" t="str">
        <f>IFERROR(__xludf.DUMMYFUNCTION("GOOGLETRANSLATE(D4973,""fr"",""es"")"),"línea")</f>
        <v>línea</v>
      </c>
    </row>
    <row r="4974">
      <c r="A4974" s="4">
        <v>376.0</v>
      </c>
      <c r="B4974" s="4" t="s">
        <v>11578</v>
      </c>
      <c r="C4974" s="4"/>
      <c r="D4974" s="4" t="s">
        <v>12581</v>
      </c>
      <c r="E4974" s="4" t="s">
        <v>12582</v>
      </c>
      <c r="F4974" s="4" t="s">
        <v>12583</v>
      </c>
      <c r="G4974" s="5" t="str">
        <f>IFERROR(__xludf.DUMMYFUNCTION("GOOGLETRANSLATE(D4974,""fr"",""es"")"),"lignante")</f>
        <v>lignante</v>
      </c>
    </row>
    <row r="4975">
      <c r="A4975" s="4">
        <v>377.0</v>
      </c>
      <c r="B4975" s="4" t="s">
        <v>11578</v>
      </c>
      <c r="C4975" s="4"/>
      <c r="D4975" s="4" t="s">
        <v>12584</v>
      </c>
      <c r="E4975" s="4" t="s">
        <v>12546</v>
      </c>
      <c r="F4975" s="4" t="s">
        <v>12544</v>
      </c>
      <c r="G4975" s="5" t="str">
        <f>IFERROR(__xludf.DUMMYFUNCTION("GOOGLETRANSLATE(D4975,""fr"",""es"")"),"lign")</f>
        <v>lign</v>
      </c>
    </row>
    <row r="4976">
      <c r="A4976" s="4">
        <v>378.0</v>
      </c>
      <c r="B4976" s="4" t="s">
        <v>11578</v>
      </c>
      <c r="C4976" s="4"/>
      <c r="D4976" s="4" t="s">
        <v>2048</v>
      </c>
      <c r="E4976" s="4" t="s">
        <v>12585</v>
      </c>
      <c r="F4976" s="4" t="s">
        <v>12586</v>
      </c>
      <c r="G4976" s="5" t="str">
        <f>IFERROR(__xludf.DUMMYFUNCTION("GOOGLETRANSLATE(D4976,""fr"",""es"")"),"lila")</f>
        <v>lila</v>
      </c>
    </row>
    <row r="4977">
      <c r="A4977" s="4">
        <v>379.0</v>
      </c>
      <c r="B4977" s="4" t="s">
        <v>11578</v>
      </c>
      <c r="C4977" s="4"/>
      <c r="D4977" s="4" t="s">
        <v>12587</v>
      </c>
      <c r="E4977" s="4" t="s">
        <v>2046</v>
      </c>
      <c r="F4977" s="4" t="s">
        <v>2045</v>
      </c>
      <c r="G4977" s="5" t="str">
        <f>IFERROR(__xludf.DUMMYFUNCTION("GOOGLETRANSLATE(D4977,""fr"",""es"")"),"lila")</f>
        <v>lila</v>
      </c>
      <c r="H4977" s="4" t="s">
        <v>2047</v>
      </c>
      <c r="I4977" s="4" t="s">
        <v>2048</v>
      </c>
      <c r="J4977" s="4" t="s">
        <v>2049</v>
      </c>
      <c r="K4977" s="4" t="s">
        <v>2048</v>
      </c>
    </row>
    <row r="4978">
      <c r="A4978" s="4">
        <v>380.0</v>
      </c>
      <c r="B4978" s="4" t="s">
        <v>11578</v>
      </c>
      <c r="C4978" s="4"/>
      <c r="D4978" s="4" t="s">
        <v>12587</v>
      </c>
      <c r="E4978" s="4" t="s">
        <v>12588</v>
      </c>
      <c r="F4978" s="4" t="s">
        <v>2045</v>
      </c>
      <c r="G4978" s="5" t="str">
        <f>IFERROR(__xludf.DUMMYFUNCTION("GOOGLETRANSLATE(D4978,""fr"",""es"")"),"lila")</f>
        <v>lila</v>
      </c>
      <c r="H4978" s="4" t="s">
        <v>2047</v>
      </c>
      <c r="I4978" s="4" t="s">
        <v>2048</v>
      </c>
      <c r="J4978" s="4" t="s">
        <v>2049</v>
      </c>
      <c r="K4978" s="4" t="s">
        <v>2048</v>
      </c>
    </row>
    <row r="4979">
      <c r="A4979" s="4">
        <v>381.0</v>
      </c>
      <c r="B4979" s="4" t="s">
        <v>11578</v>
      </c>
      <c r="C4979" s="4"/>
      <c r="D4979" s="4" t="s">
        <v>8439</v>
      </c>
      <c r="E4979" s="4" t="s">
        <v>8440</v>
      </c>
      <c r="F4979" s="4" t="s">
        <v>6615</v>
      </c>
      <c r="G4979" s="5" t="str">
        <f>IFERROR(__xludf.DUMMYFUNCTION("GOOGLETRANSLATE(D4979,""fr"",""es"")"),"Lille")</f>
        <v>Lille</v>
      </c>
      <c r="H4979" s="4" t="s">
        <v>8441</v>
      </c>
    </row>
    <row r="4980">
      <c r="A4980" s="4">
        <v>382.0</v>
      </c>
      <c r="B4980" s="4" t="s">
        <v>11578</v>
      </c>
      <c r="C4980" s="4"/>
      <c r="D4980" s="4" t="s">
        <v>10313</v>
      </c>
      <c r="E4980" s="4" t="s">
        <v>12589</v>
      </c>
      <c r="F4980" s="4" t="s">
        <v>10313</v>
      </c>
      <c r="G4980" s="5" t="str">
        <f>IFERROR(__xludf.DUMMYFUNCTION("GOOGLETRANSLATE(D4980,""fr"",""es"")"),"lima")</f>
        <v>lima</v>
      </c>
      <c r="H4980" s="4" t="s">
        <v>10319</v>
      </c>
      <c r="I4980" s="4" t="s">
        <v>10320</v>
      </c>
    </row>
    <row r="4981">
      <c r="A4981" s="4">
        <v>383.0</v>
      </c>
      <c r="B4981" s="4" t="s">
        <v>11578</v>
      </c>
      <c r="C4981" s="4"/>
      <c r="D4981" s="4" t="s">
        <v>12590</v>
      </c>
      <c r="E4981" s="4" t="s">
        <v>12591</v>
      </c>
      <c r="F4981" s="4" t="s">
        <v>12592</v>
      </c>
      <c r="G4981" s="5" t="str">
        <f>IFERROR(__xludf.DUMMYFUNCTION("GOOGLETRANSLATE(D4981,""fr"",""es"")"),"babosa")</f>
        <v>babosa</v>
      </c>
      <c r="H4981" s="4" t="s">
        <v>2170</v>
      </c>
      <c r="I4981" s="4" t="s">
        <v>12593</v>
      </c>
      <c r="J4981" s="4" t="s">
        <v>12594</v>
      </c>
      <c r="K4981" s="4" t="s">
        <v>12595</v>
      </c>
      <c r="L4981" s="4" t="s">
        <v>12596</v>
      </c>
      <c r="M4981" s="4" t="s">
        <v>2170</v>
      </c>
      <c r="N4981" s="4" t="s">
        <v>12597</v>
      </c>
      <c r="O4981" s="4" t="s">
        <v>12598</v>
      </c>
      <c r="P4981" s="4" t="s">
        <v>2170</v>
      </c>
      <c r="Q4981" s="4" t="s">
        <v>2170</v>
      </c>
    </row>
    <row r="4982">
      <c r="A4982" s="4">
        <v>384.0</v>
      </c>
      <c r="B4982" s="4" t="s">
        <v>11578</v>
      </c>
      <c r="C4982" s="4"/>
      <c r="D4982" s="4" t="s">
        <v>12599</v>
      </c>
      <c r="E4982" s="4" t="s">
        <v>12600</v>
      </c>
      <c r="F4982" s="4" t="s">
        <v>12601</v>
      </c>
      <c r="G4982" s="5" t="str">
        <f>IFERROR(__xludf.DUMMYFUNCTION("GOOGLETRANSLATE(D4982,""fr"",""es"")"),"presentación")</f>
        <v>presentación</v>
      </c>
    </row>
    <row r="4983">
      <c r="A4983" s="4">
        <v>385.0</v>
      </c>
      <c r="B4983" s="4" t="s">
        <v>11578</v>
      </c>
      <c r="C4983" s="4"/>
      <c r="D4983" s="4" t="s">
        <v>2166</v>
      </c>
      <c r="E4983" s="4" t="s">
        <v>12602</v>
      </c>
      <c r="F4983" s="4" t="s">
        <v>6623</v>
      </c>
      <c r="G4983" s="5" t="str">
        <f>IFERROR(__xludf.DUMMYFUNCTION("GOOGLETRANSLATE(D4983,""fr"",""es"")"),"Lima")</f>
        <v>Lima</v>
      </c>
    </row>
    <row r="4984">
      <c r="A4984" s="4">
        <v>386.0</v>
      </c>
      <c r="B4984" s="4" t="s">
        <v>11578</v>
      </c>
      <c r="C4984" s="4"/>
      <c r="D4984" s="4" t="s">
        <v>12603</v>
      </c>
      <c r="E4984" s="4" t="s">
        <v>12602</v>
      </c>
      <c r="F4984" s="4" t="s">
        <v>6623</v>
      </c>
      <c r="G4984" s="5" t="str">
        <f>IFERROR(__xludf.DUMMYFUNCTION("GOOGLETRANSLATE(D4984,""fr"",""es"")"),"limas")</f>
        <v>limas</v>
      </c>
    </row>
    <row r="4985">
      <c r="A4985" s="4">
        <v>387.0</v>
      </c>
      <c r="B4985" s="4" t="s">
        <v>11578</v>
      </c>
      <c r="C4985" s="4"/>
      <c r="D4985" s="4" t="s">
        <v>12604</v>
      </c>
      <c r="E4985" s="4" t="s">
        <v>12605</v>
      </c>
      <c r="F4985" s="4" t="s">
        <v>6650</v>
      </c>
      <c r="G4985" s="5" t="str">
        <f>IFERROR(__xludf.DUMMYFUNCTION("GOOGLETRANSLATE(D4985,""fr"",""es"")"),"lippe")</f>
        <v>lippe</v>
      </c>
    </row>
    <row r="4986">
      <c r="A4986" s="4">
        <v>388.0</v>
      </c>
      <c r="B4986" s="4" t="s">
        <v>11578</v>
      </c>
      <c r="C4986" s="4"/>
      <c r="D4986" s="4" t="s">
        <v>12538</v>
      </c>
      <c r="E4986" s="4" t="s">
        <v>2038</v>
      </c>
      <c r="F4986" s="4" t="s">
        <v>2037</v>
      </c>
      <c r="G4986" s="5" t="str">
        <f>IFERROR(__xludf.DUMMYFUNCTION("GOOGLETRANSLATE(D4986,""fr"",""es"")"),"Lirio")</f>
        <v>Lirio</v>
      </c>
      <c r="H4986" s="4" t="s">
        <v>12606</v>
      </c>
      <c r="I4986" s="4" t="s">
        <v>12607</v>
      </c>
      <c r="J4986" s="4" t="s">
        <v>6618</v>
      </c>
    </row>
    <row r="4987">
      <c r="A4987" s="4">
        <v>389.0</v>
      </c>
      <c r="B4987" s="4" t="s">
        <v>11578</v>
      </c>
      <c r="C4987" s="4"/>
      <c r="D4987" s="4" t="s">
        <v>12538</v>
      </c>
      <c r="E4987" s="4" t="s">
        <v>12537</v>
      </c>
      <c r="F4987" s="4" t="s">
        <v>12538</v>
      </c>
      <c r="G4987" s="5" t="str">
        <f>IFERROR(__xludf.DUMMYFUNCTION("GOOGLETRANSLATE(D4987,""fr"",""es"")"),"Lirio")</f>
        <v>Lirio</v>
      </c>
      <c r="H4987" s="4" t="s">
        <v>12606</v>
      </c>
      <c r="I4987" s="4" t="s">
        <v>12607</v>
      </c>
      <c r="J4987" s="4" t="s">
        <v>6618</v>
      </c>
    </row>
    <row r="4988">
      <c r="A4988" s="4">
        <v>390.0</v>
      </c>
      <c r="B4988" s="4" t="s">
        <v>11578</v>
      </c>
      <c r="C4988" s="4"/>
      <c r="D4988" s="4" t="s">
        <v>12608</v>
      </c>
      <c r="E4988" s="4" t="s">
        <v>12537</v>
      </c>
      <c r="F4988" s="4" t="s">
        <v>12538</v>
      </c>
      <c r="G4988" s="5" t="str">
        <f>IFERROR(__xludf.DUMMYFUNCTION("GOOGLETRANSLATE(D4988,""fr"",""es"")"),"suave")</f>
        <v>suave</v>
      </c>
      <c r="H4988" s="4" t="s">
        <v>2185</v>
      </c>
      <c r="I4988" s="4" t="s">
        <v>3625</v>
      </c>
      <c r="J4988" s="4" t="s">
        <v>12609</v>
      </c>
      <c r="K4988" s="4" t="s">
        <v>3625</v>
      </c>
      <c r="L4988" s="4" t="s">
        <v>12610</v>
      </c>
      <c r="M4988" s="4" t="s">
        <v>12611</v>
      </c>
      <c r="N4988" s="4" t="s">
        <v>12612</v>
      </c>
      <c r="O4988" s="4" t="s">
        <v>12613</v>
      </c>
      <c r="P4988" s="4" t="s">
        <v>12614</v>
      </c>
      <c r="Q4988" s="4" t="s">
        <v>3625</v>
      </c>
      <c r="R4988" s="4" t="s">
        <v>3625</v>
      </c>
      <c r="S4988" s="4" t="s">
        <v>3625</v>
      </c>
      <c r="T4988" s="4" t="s">
        <v>3625</v>
      </c>
      <c r="U4988" s="4" t="s">
        <v>3625</v>
      </c>
      <c r="V4988" s="4" t="s">
        <v>3625</v>
      </c>
      <c r="W4988" s="4" t="s">
        <v>12615</v>
      </c>
    </row>
    <row r="4989">
      <c r="A4989" s="4">
        <v>391.0</v>
      </c>
      <c r="B4989" s="4" t="s">
        <v>11578</v>
      </c>
      <c r="C4989" s="4"/>
      <c r="D4989" s="4" t="s">
        <v>12616</v>
      </c>
      <c r="E4989" s="4" t="s">
        <v>12537</v>
      </c>
      <c r="F4989" s="4" t="s">
        <v>12538</v>
      </c>
      <c r="G4989" s="5" t="str">
        <f>IFERROR(__xludf.DUMMYFUNCTION("GOOGLETRANSLATE(D4989,""fr"",""es"")"),"suave")</f>
        <v>suave</v>
      </c>
    </row>
    <row r="4990">
      <c r="A4990" s="4">
        <v>392.0</v>
      </c>
      <c r="B4990" s="4" t="s">
        <v>11578</v>
      </c>
      <c r="C4990" s="4"/>
      <c r="D4990" s="4" t="s">
        <v>12617</v>
      </c>
      <c r="E4990" s="4" t="s">
        <v>2038</v>
      </c>
      <c r="F4990" s="4" t="s">
        <v>2037</v>
      </c>
      <c r="G4990" s="5" t="str">
        <f>IFERROR(__xludf.DUMMYFUNCTION("GOOGLETRANSLATE(D4990,""fr"",""es"")"),"cama")</f>
        <v>cama</v>
      </c>
      <c r="H4990" s="4" t="s">
        <v>12618</v>
      </c>
      <c r="I4990" s="4" t="s">
        <v>12619</v>
      </c>
      <c r="J4990" s="4" t="s">
        <v>1241</v>
      </c>
      <c r="K4990" s="4" t="s">
        <v>12620</v>
      </c>
      <c r="L4990" s="4" t="s">
        <v>12621</v>
      </c>
      <c r="M4990" s="4" t="s">
        <v>12622</v>
      </c>
      <c r="N4990" s="4" t="s">
        <v>12623</v>
      </c>
      <c r="O4990" s="4" t="s">
        <v>12624</v>
      </c>
      <c r="P4990" s="4" t="s">
        <v>12625</v>
      </c>
      <c r="Q4990" s="4" t="s">
        <v>12626</v>
      </c>
      <c r="R4990" s="4" t="s">
        <v>1241</v>
      </c>
      <c r="S4990" s="4" t="s">
        <v>1241</v>
      </c>
      <c r="T4990" s="4" t="s">
        <v>1241</v>
      </c>
      <c r="U4990" s="4" t="s">
        <v>1241</v>
      </c>
      <c r="V4990" s="4" t="s">
        <v>1241</v>
      </c>
      <c r="W4990" s="4" t="s">
        <v>1241</v>
      </c>
      <c r="X4990" s="4" t="s">
        <v>1241</v>
      </c>
      <c r="Y4990" s="4" t="s">
        <v>1061</v>
      </c>
      <c r="Z4990" s="4" t="s">
        <v>10059</v>
      </c>
      <c r="AA4990" s="4" t="s">
        <v>1237</v>
      </c>
      <c r="AB4990" s="4" t="s">
        <v>1241</v>
      </c>
      <c r="AC4990" s="4" t="s">
        <v>12579</v>
      </c>
      <c r="AD4990" s="4" t="s">
        <v>1241</v>
      </c>
      <c r="AE4990" s="4" t="s">
        <v>1241</v>
      </c>
      <c r="AF4990" s="4" t="s">
        <v>1623</v>
      </c>
      <c r="AG4990" s="4" t="s">
        <v>1241</v>
      </c>
    </row>
    <row r="4991">
      <c r="A4991" s="4">
        <v>393.0</v>
      </c>
      <c r="B4991" s="4" t="s">
        <v>11578</v>
      </c>
      <c r="C4991" s="4"/>
      <c r="D4991" s="4" t="s">
        <v>12627</v>
      </c>
      <c r="E4991" s="4" t="s">
        <v>12628</v>
      </c>
      <c r="F4991" s="4" t="s">
        <v>12629</v>
      </c>
      <c r="G4991" s="5" t="str">
        <f>IFERROR(__xludf.DUMMYFUNCTION("GOOGLETRANSLATE(D4991,""fr"",""es"")"),"letanía")</f>
        <v>letanía</v>
      </c>
      <c r="H4991" s="4" t="s">
        <v>12630</v>
      </c>
      <c r="I4991" s="4" t="s">
        <v>12631</v>
      </c>
    </row>
    <row r="4992">
      <c r="A4992" s="4">
        <v>394.0</v>
      </c>
      <c r="B4992" s="4" t="s">
        <v>11578</v>
      </c>
      <c r="C4992" s="4"/>
      <c r="D4992" s="4" t="s">
        <v>12632</v>
      </c>
      <c r="E4992" s="4" t="s">
        <v>12633</v>
      </c>
      <c r="F4992" s="4" t="s">
        <v>6671</v>
      </c>
      <c r="G4992" s="5" t="str">
        <f>IFERROR(__xludf.DUMMYFUNCTION("GOOGLETRANSLATE(D4992,""fr"",""es"")"),"bocina")</f>
        <v>bocina</v>
      </c>
    </row>
    <row r="4993">
      <c r="A4993" s="4">
        <v>395.0</v>
      </c>
      <c r="B4993" s="4" t="s">
        <v>11578</v>
      </c>
      <c r="C4993" s="4"/>
      <c r="D4993" s="4" t="s">
        <v>6669</v>
      </c>
      <c r="E4993" s="4" t="s">
        <v>12633</v>
      </c>
      <c r="F4993" s="4" t="s">
        <v>6671</v>
      </c>
      <c r="G4993" s="5" t="str">
        <f>IFERROR(__xludf.DUMMYFUNCTION("GOOGLETRANSLATE(D4993,""fr"",""es"")"),"Mira")</f>
        <v>Mira</v>
      </c>
    </row>
    <row r="4994">
      <c r="A4994" s="4">
        <v>396.0</v>
      </c>
      <c r="B4994" s="4" t="s">
        <v>11578</v>
      </c>
      <c r="C4994" s="4"/>
      <c r="D4994" s="4" t="s">
        <v>12634</v>
      </c>
      <c r="E4994" s="4" t="s">
        <v>2240</v>
      </c>
      <c r="F4994" s="4" t="s">
        <v>2241</v>
      </c>
      <c r="G4994" s="5" t="str">
        <f>IFERROR(__xludf.DUMMYFUNCTION("GOOGLETRANSLATE(D4994,""fr"",""es"")"),"Lou")</f>
        <v>Lou</v>
      </c>
    </row>
    <row r="4995">
      <c r="A4995" s="4">
        <v>397.0</v>
      </c>
      <c r="B4995" s="4" t="s">
        <v>11578</v>
      </c>
      <c r="C4995" s="4"/>
      <c r="D4995" s="4" t="s">
        <v>8495</v>
      </c>
      <c r="E4995" s="4" t="s">
        <v>8496</v>
      </c>
      <c r="F4995" s="4" t="s">
        <v>8497</v>
      </c>
      <c r="G4995" s="5" t="str">
        <f>IFERROR(__xludf.DUMMYFUNCTION("GOOGLETRANSLATE(D4995,""fr"",""es"")"),"sospechoso")</f>
        <v>sospechoso</v>
      </c>
      <c r="H4995" s="4" t="s">
        <v>5205</v>
      </c>
      <c r="I4995" s="4" t="s">
        <v>4886</v>
      </c>
      <c r="J4995" s="4" t="s">
        <v>12635</v>
      </c>
      <c r="K4995" s="4" t="s">
        <v>5205</v>
      </c>
      <c r="L4995" s="4" t="s">
        <v>12636</v>
      </c>
      <c r="M4995" s="4" t="s">
        <v>8181</v>
      </c>
      <c r="N4995" s="4" t="s">
        <v>8498</v>
      </c>
      <c r="O4995" s="4" t="s">
        <v>12637</v>
      </c>
      <c r="P4995" s="4" t="s">
        <v>12638</v>
      </c>
      <c r="Q4995" s="4" t="s">
        <v>12639</v>
      </c>
      <c r="R4995" s="4" t="s">
        <v>12640</v>
      </c>
      <c r="S4995" s="4" t="s">
        <v>7877</v>
      </c>
      <c r="T4995" s="4" t="s">
        <v>12641</v>
      </c>
      <c r="U4995" s="4" t="s">
        <v>12642</v>
      </c>
      <c r="V4995" s="4" t="s">
        <v>5205</v>
      </c>
    </row>
    <row r="4996">
      <c r="A4996" s="4">
        <v>398.0</v>
      </c>
      <c r="B4996" s="4" t="s">
        <v>11578</v>
      </c>
      <c r="C4996" s="4"/>
      <c r="D4996" s="4" t="s">
        <v>12643</v>
      </c>
      <c r="E4996" s="4" t="s">
        <v>2240</v>
      </c>
      <c r="F4996" s="4" t="s">
        <v>2241</v>
      </c>
      <c r="G4996" s="5" t="str">
        <f>IFERROR(__xludf.DUMMYFUNCTION("GOOGLETRANSLATE(D4996,""fr"",""es"")"),"alquilado")</f>
        <v>alquilado</v>
      </c>
    </row>
    <row r="4997">
      <c r="A4997" s="4">
        <v>399.0</v>
      </c>
      <c r="B4997" s="4" t="s">
        <v>11578</v>
      </c>
      <c r="C4997" s="4"/>
      <c r="D4997" s="4" t="s">
        <v>12644</v>
      </c>
      <c r="E4997" s="4" t="s">
        <v>12645</v>
      </c>
      <c r="F4997" s="4" t="s">
        <v>12646</v>
      </c>
      <c r="G4997" s="5" t="str">
        <f>IFERROR(__xludf.DUMMYFUNCTION("GOOGLETRANSLATE(D4997,""fr"",""es"")"),"Loukoum")</f>
        <v>Loukoum</v>
      </c>
      <c r="H4997" s="4" t="s">
        <v>12647</v>
      </c>
    </row>
    <row r="4998">
      <c r="A4998" s="4">
        <v>400.0</v>
      </c>
      <c r="B4998" s="4" t="s">
        <v>11578</v>
      </c>
      <c r="C4998" s="4"/>
      <c r="D4998" s="4" t="s">
        <v>12648</v>
      </c>
      <c r="E4998" s="4" t="s">
        <v>2240</v>
      </c>
      <c r="F4998" s="4" t="s">
        <v>2241</v>
      </c>
      <c r="G4998" s="5" t="str">
        <f>IFERROR(__xludf.DUMMYFUNCTION("GOOGLETRANSLATE(D4998,""fr"",""es"")"),"lobo")</f>
        <v>lobo</v>
      </c>
      <c r="H4998" s="4" t="s">
        <v>664</v>
      </c>
      <c r="I4998" s="4" t="s">
        <v>12649</v>
      </c>
      <c r="J4998" s="4" t="s">
        <v>664</v>
      </c>
      <c r="K4998" s="4" t="s">
        <v>12650</v>
      </c>
      <c r="L4998" s="4" t="s">
        <v>12651</v>
      </c>
      <c r="M4998" s="4" t="s">
        <v>12652</v>
      </c>
      <c r="N4998" s="4" t="s">
        <v>12653</v>
      </c>
      <c r="O4998" s="4" t="s">
        <v>11296</v>
      </c>
      <c r="P4998" s="4" t="s">
        <v>657</v>
      </c>
      <c r="Q4998" s="4" t="s">
        <v>664</v>
      </c>
      <c r="R4998" s="4" t="s">
        <v>665</v>
      </c>
      <c r="S4998" s="4" t="s">
        <v>658</v>
      </c>
      <c r="T4998" s="4" t="s">
        <v>666</v>
      </c>
      <c r="U4998" s="4" t="s">
        <v>664</v>
      </c>
      <c r="V4998" s="4" t="s">
        <v>12654</v>
      </c>
      <c r="W4998" s="4" t="s">
        <v>12655</v>
      </c>
      <c r="X4998" s="4" t="s">
        <v>12656</v>
      </c>
      <c r="Y4998" s="4" t="s">
        <v>2256</v>
      </c>
    </row>
    <row r="4999">
      <c r="A4999" s="4">
        <v>401.0</v>
      </c>
      <c r="B4999" s="4" t="s">
        <v>11578</v>
      </c>
      <c r="C4999" s="4"/>
      <c r="D4999" s="4" t="s">
        <v>12657</v>
      </c>
      <c r="E4999" s="4" t="s">
        <v>12658</v>
      </c>
      <c r="F4999" s="4" t="s">
        <v>12659</v>
      </c>
      <c r="G4999" s="5" t="str">
        <f>IFERROR(__xludf.DUMMYFUNCTION("GOOGLETRANSLATE(D4999,""fr"",""es"")"),"lupa")</f>
        <v>lupa</v>
      </c>
      <c r="H4999" s="4" t="s">
        <v>2253</v>
      </c>
      <c r="I4999" s="4" t="s">
        <v>2254</v>
      </c>
      <c r="J4999" s="4" t="s">
        <v>2255</v>
      </c>
      <c r="K4999" s="4" t="s">
        <v>12657</v>
      </c>
      <c r="L4999" s="4" t="s">
        <v>12660</v>
      </c>
      <c r="M4999" s="4" t="s">
        <v>12661</v>
      </c>
      <c r="N4999" s="4" t="s">
        <v>12662</v>
      </c>
      <c r="O4999" s="4" t="s">
        <v>12663</v>
      </c>
      <c r="P4999" s="4" t="s">
        <v>12664</v>
      </c>
    </row>
    <row r="5000">
      <c r="A5000" s="4">
        <v>402.0</v>
      </c>
      <c r="B5000" s="4" t="s">
        <v>11578</v>
      </c>
      <c r="C5000" s="4"/>
      <c r="D5000" s="4" t="s">
        <v>12665</v>
      </c>
      <c r="E5000" s="4" t="s">
        <v>12537</v>
      </c>
      <c r="F5000" s="4" t="s">
        <v>12538</v>
      </c>
      <c r="G5000" s="5" t="str">
        <f>IFERROR(__xludf.DUMMYFUNCTION("GOOGLETRANSLATE(D5000,""fr"",""es"")"),"lirio")</f>
        <v>lirio</v>
      </c>
      <c r="H5000" s="4" t="s">
        <v>12606</v>
      </c>
      <c r="I5000" s="4" t="s">
        <v>12607</v>
      </c>
      <c r="J5000" s="4" t="s">
        <v>6618</v>
      </c>
    </row>
    <row r="5001">
      <c r="A5001" s="4">
        <v>403.0</v>
      </c>
      <c r="B5001" s="4" t="s">
        <v>11578</v>
      </c>
      <c r="C5001" s="4"/>
      <c r="D5001" s="4" t="s">
        <v>12666</v>
      </c>
      <c r="E5001" s="4" t="s">
        <v>2016</v>
      </c>
      <c r="F5001" s="4" t="s">
        <v>2015</v>
      </c>
      <c r="G5001" s="5" t="str">
        <f>IFERROR(__xludf.DUMMYFUNCTION("GOOGLETRANSLATE(D5001,""fr"",""es"")"),"la")</f>
        <v>la</v>
      </c>
      <c r="H5001" s="4" t="s">
        <v>12667</v>
      </c>
      <c r="I5001" s="4" t="s">
        <v>12668</v>
      </c>
      <c r="J5001" s="4" t="s">
        <v>12669</v>
      </c>
      <c r="K5001" s="4" t="s">
        <v>12670</v>
      </c>
      <c r="L5001" s="4" t="s">
        <v>12671</v>
      </c>
      <c r="M5001" s="4" t="s">
        <v>12672</v>
      </c>
      <c r="N5001" s="4" t="s">
        <v>12670</v>
      </c>
      <c r="O5001" s="4" t="s">
        <v>12673</v>
      </c>
      <c r="P5001" s="4" t="s">
        <v>12670</v>
      </c>
      <c r="Q5001" s="4" t="s">
        <v>12674</v>
      </c>
      <c r="R5001" s="4" t="s">
        <v>12675</v>
      </c>
      <c r="S5001" s="4" t="s">
        <v>12670</v>
      </c>
    </row>
    <row r="5002">
      <c r="A5002" s="4">
        <v>404.0</v>
      </c>
      <c r="B5002" s="4" t="s">
        <v>11578</v>
      </c>
      <c r="C5002" s="4"/>
      <c r="D5002" s="4" t="s">
        <v>12666</v>
      </c>
      <c r="E5002" s="4" t="s">
        <v>4888</v>
      </c>
      <c r="F5002" s="4" t="s">
        <v>2015</v>
      </c>
      <c r="G5002" s="5" t="str">
        <f>IFERROR(__xludf.DUMMYFUNCTION("GOOGLETRANSLATE(D5002,""fr"",""es"")"),"la")</f>
        <v>la</v>
      </c>
      <c r="H5002" s="4" t="s">
        <v>12667</v>
      </c>
      <c r="I5002" s="4" t="s">
        <v>12668</v>
      </c>
      <c r="J5002" s="4" t="s">
        <v>12669</v>
      </c>
      <c r="K5002" s="4" t="s">
        <v>12670</v>
      </c>
      <c r="L5002" s="4" t="s">
        <v>12671</v>
      </c>
      <c r="M5002" s="4" t="s">
        <v>12672</v>
      </c>
      <c r="N5002" s="4" t="s">
        <v>12670</v>
      </c>
      <c r="O5002" s="4" t="s">
        <v>12673</v>
      </c>
      <c r="P5002" s="4" t="s">
        <v>12670</v>
      </c>
      <c r="Q5002" s="4" t="s">
        <v>12674</v>
      </c>
      <c r="R5002" s="4" t="s">
        <v>12675</v>
      </c>
      <c r="S5002" s="4" t="s">
        <v>12670</v>
      </c>
    </row>
    <row r="5003">
      <c r="A5003" s="4">
        <v>405.0</v>
      </c>
      <c r="B5003" s="4" t="s">
        <v>11578</v>
      </c>
      <c r="C5003" s="4"/>
      <c r="D5003" s="4" t="s">
        <v>12676</v>
      </c>
      <c r="E5003" s="4" t="s">
        <v>12677</v>
      </c>
      <c r="F5003" s="4" t="s">
        <v>6520</v>
      </c>
      <c r="G5003" s="5" t="str">
        <f>IFERROR(__xludf.DUMMYFUNCTION("GOOGLETRANSLATE(D5003,""fr"",""es"")"),"cobardemente")</f>
        <v>cobardemente</v>
      </c>
      <c r="H5003" s="4" t="s">
        <v>12678</v>
      </c>
      <c r="I5003" s="4" t="s">
        <v>12679</v>
      </c>
      <c r="J5003" s="4" t="s">
        <v>12680</v>
      </c>
      <c r="K5003" s="4" t="s">
        <v>3654</v>
      </c>
      <c r="L5003" s="4" t="s">
        <v>3653</v>
      </c>
      <c r="M5003" s="4" t="s">
        <v>12681</v>
      </c>
      <c r="N5003" s="4" t="s">
        <v>1839</v>
      </c>
      <c r="O5003" s="4" t="s">
        <v>12682</v>
      </c>
      <c r="P5003" s="4" t="s">
        <v>12683</v>
      </c>
      <c r="Q5003" s="4" t="s">
        <v>12684</v>
      </c>
      <c r="R5003" s="4" t="s">
        <v>12685</v>
      </c>
      <c r="S5003" s="4" t="s">
        <v>12686</v>
      </c>
      <c r="T5003" s="4" t="s">
        <v>12687</v>
      </c>
      <c r="U5003" s="4" t="s">
        <v>12688</v>
      </c>
      <c r="V5003" s="4" t="s">
        <v>12689</v>
      </c>
      <c r="W5003" s="4" t="s">
        <v>12690</v>
      </c>
      <c r="X5003" s="4" t="s">
        <v>12691</v>
      </c>
      <c r="Y5003" s="4" t="s">
        <v>12692</v>
      </c>
    </row>
    <row r="5004">
      <c r="A5004" s="4">
        <v>406.0</v>
      </c>
      <c r="B5004" s="4" t="s">
        <v>11578</v>
      </c>
      <c r="C5004" s="4"/>
      <c r="D5004" s="4" t="s">
        <v>12693</v>
      </c>
      <c r="E5004" s="4" t="s">
        <v>12677</v>
      </c>
      <c r="F5004" s="4" t="s">
        <v>6520</v>
      </c>
      <c r="G5004" s="5" t="str">
        <f>IFERROR(__xludf.DUMMYFUNCTION("GOOGLETRANSLATE(D5004,""fr"",""es"")"),"cobardemente")</f>
        <v>cobardemente</v>
      </c>
    </row>
    <row r="5005">
      <c r="A5005" s="4">
        <v>407.0</v>
      </c>
      <c r="B5005" s="4" t="s">
        <v>11578</v>
      </c>
      <c r="C5005" s="4"/>
      <c r="D5005" s="4" t="s">
        <v>12694</v>
      </c>
      <c r="E5005" s="4" t="s">
        <v>10466</v>
      </c>
      <c r="F5005" s="4" t="s">
        <v>2278</v>
      </c>
      <c r="G5005" s="5" t="str">
        <f>IFERROR(__xludf.DUMMYFUNCTION("GOOGLETRANSLATE(D5005,""fr"",""es"")"),"Me tengo")</f>
        <v>Me tengo</v>
      </c>
    </row>
    <row r="5006">
      <c r="A5006" s="4">
        <v>408.0</v>
      </c>
      <c r="B5006" s="4" t="s">
        <v>11578</v>
      </c>
      <c r="C5006" s="4"/>
      <c r="D5006" s="4" t="s">
        <v>2278</v>
      </c>
      <c r="E5006" s="4" t="s">
        <v>2279</v>
      </c>
      <c r="F5006" s="4" t="s">
        <v>2278</v>
      </c>
      <c r="G5006" s="5" t="str">
        <f>IFERROR(__xludf.DUMMYFUNCTION("GOOGLETRANSLATE(D5006,""fr"",""es"")"),"mi")</f>
        <v>mi</v>
      </c>
      <c r="H5006" s="4" t="s">
        <v>10470</v>
      </c>
      <c r="I5006" s="4" t="s">
        <v>10471</v>
      </c>
    </row>
    <row r="5007">
      <c r="A5007" s="4">
        <v>409.0</v>
      </c>
      <c r="B5007" s="4" t="s">
        <v>11578</v>
      </c>
      <c r="C5007" s="4"/>
      <c r="D5007" s="4" t="s">
        <v>12695</v>
      </c>
      <c r="E5007" s="4" t="s">
        <v>12696</v>
      </c>
      <c r="F5007" s="4" t="s">
        <v>6701</v>
      </c>
      <c r="G5007" s="5" t="str">
        <f>IFERROR(__xludf.DUMMYFUNCTION("GOOGLETRANSLATE(D5007,""fr"",""es"")"),"ma'ame")</f>
        <v>ma'ame</v>
      </c>
    </row>
    <row r="5008">
      <c r="A5008" s="4">
        <v>410.0</v>
      </c>
      <c r="B5008" s="4" t="s">
        <v>11578</v>
      </c>
      <c r="C5008" s="4"/>
      <c r="D5008" s="4" t="s">
        <v>6706</v>
      </c>
      <c r="E5008" s="4" t="s">
        <v>2300</v>
      </c>
      <c r="F5008" s="4" t="s">
        <v>2301</v>
      </c>
      <c r="G5008" s="5" t="str">
        <f>IFERROR(__xludf.DUMMYFUNCTION("GOOGLETRANSLATE(D5008,""fr"",""es"")"),"Mac")</f>
        <v>Mac</v>
      </c>
    </row>
    <row r="5009">
      <c r="A5009" s="4">
        <v>411.0</v>
      </c>
      <c r="B5009" s="4" t="s">
        <v>11578</v>
      </c>
      <c r="C5009" s="4"/>
      <c r="D5009" s="4" t="s">
        <v>12697</v>
      </c>
      <c r="E5009" s="4" t="s">
        <v>12698</v>
      </c>
      <c r="F5009" s="4" t="s">
        <v>12699</v>
      </c>
      <c r="G5009" s="5" t="str">
        <f>IFERROR(__xludf.DUMMYFUNCTION("GOOGLETRANSLATE(D5009,""fr"",""es"")"),"macaco")</f>
        <v>macaco</v>
      </c>
      <c r="H5009" s="4" t="s">
        <v>12697</v>
      </c>
    </row>
    <row r="5010">
      <c r="A5010" s="4">
        <v>412.0</v>
      </c>
      <c r="B5010" s="4" t="s">
        <v>11578</v>
      </c>
      <c r="C5010" s="4"/>
      <c r="D5010" s="4" t="s">
        <v>12700</v>
      </c>
      <c r="E5010" s="4" t="s">
        <v>12701</v>
      </c>
      <c r="F5010" s="4" t="s">
        <v>12702</v>
      </c>
      <c r="G5010" s="5" t="str">
        <f>IFERROR(__xludf.DUMMYFUNCTION("GOOGLETRANSLATE(D5010,""fr"",""es"")"),"machina")</f>
        <v>machina</v>
      </c>
    </row>
    <row r="5011">
      <c r="A5011" s="4">
        <v>413.0</v>
      </c>
      <c r="B5011" s="4" t="s">
        <v>11578</v>
      </c>
      <c r="C5011" s="4"/>
      <c r="D5011" s="4" t="s">
        <v>12703</v>
      </c>
      <c r="E5011" s="4" t="s">
        <v>12704</v>
      </c>
      <c r="F5011" s="4" t="s">
        <v>12702</v>
      </c>
      <c r="G5011" s="5" t="str">
        <f>IFERROR(__xludf.DUMMYFUNCTION("GOOGLETRANSLATE(D5011,""fr"",""es"")"),"machinas")</f>
        <v>machinas</v>
      </c>
    </row>
    <row r="5012">
      <c r="A5012" s="4">
        <v>414.0</v>
      </c>
      <c r="B5012" s="4" t="s">
        <v>11578</v>
      </c>
      <c r="C5012" s="4"/>
      <c r="D5012" s="4" t="s">
        <v>12705</v>
      </c>
      <c r="E5012" s="4" t="s">
        <v>12706</v>
      </c>
      <c r="F5012" s="4" t="s">
        <v>12707</v>
      </c>
      <c r="G5012" s="5" t="str">
        <f>IFERROR(__xludf.DUMMYFUNCTION("GOOGLETRANSLATE(D5012,""fr"",""es"")"),"machinasse")</f>
        <v>machinasse</v>
      </c>
    </row>
    <row r="5013">
      <c r="A5013" s="4">
        <v>415.0</v>
      </c>
      <c r="B5013" s="4" t="s">
        <v>11578</v>
      </c>
      <c r="C5013" s="4"/>
      <c r="D5013" s="4" t="s">
        <v>12708</v>
      </c>
      <c r="E5013" s="4" t="s">
        <v>12706</v>
      </c>
      <c r="F5013" s="4" t="s">
        <v>12707</v>
      </c>
      <c r="G5013" s="5" t="str">
        <f>IFERROR(__xludf.DUMMYFUNCTION("GOOGLETRANSLATE(D5013,""fr"",""es"")"),"machinasse")</f>
        <v>machinasse</v>
      </c>
    </row>
    <row r="5014">
      <c r="A5014" s="4">
        <v>416.0</v>
      </c>
      <c r="B5014" s="4" t="s">
        <v>11578</v>
      </c>
      <c r="C5014" s="4"/>
      <c r="D5014" s="4" t="s">
        <v>12709</v>
      </c>
      <c r="E5014" s="4" t="s">
        <v>12706</v>
      </c>
      <c r="F5014" s="4" t="s">
        <v>12707</v>
      </c>
      <c r="G5014" s="5" t="str">
        <f>IFERROR(__xludf.DUMMYFUNCTION("GOOGLETRANSLATE(D5014,""fr"",""es"")"),"machinasas")</f>
        <v>machinasas</v>
      </c>
    </row>
    <row r="5015">
      <c r="A5015" s="4">
        <v>417.0</v>
      </c>
      <c r="B5015" s="4" t="s">
        <v>11578</v>
      </c>
      <c r="C5015" s="4"/>
      <c r="D5015" s="4" t="s">
        <v>2874</v>
      </c>
      <c r="E5015" s="4" t="s">
        <v>12710</v>
      </c>
      <c r="F5015" s="4" t="s">
        <v>12711</v>
      </c>
      <c r="G5015" s="5" t="str">
        <f>IFERROR(__xludf.DUMMYFUNCTION("GOOGLETRANSLATE(D5015,""fr"",""es"")"),"máquina")</f>
        <v>máquina</v>
      </c>
      <c r="H5015" s="4" t="s">
        <v>2874</v>
      </c>
      <c r="I5015" s="4" t="s">
        <v>2874</v>
      </c>
      <c r="J5015" s="4" t="s">
        <v>2874</v>
      </c>
      <c r="K5015" s="4" t="s">
        <v>2874</v>
      </c>
      <c r="L5015" s="4" t="s">
        <v>2875</v>
      </c>
      <c r="M5015" s="4" t="s">
        <v>12712</v>
      </c>
      <c r="N5015" s="4" t="s">
        <v>2874</v>
      </c>
      <c r="O5015" s="4" t="s">
        <v>12713</v>
      </c>
      <c r="P5015" s="4" t="s">
        <v>2874</v>
      </c>
      <c r="Q5015" s="4" t="s">
        <v>12712</v>
      </c>
      <c r="R5015" s="4" t="s">
        <v>12714</v>
      </c>
      <c r="S5015" s="4" t="s">
        <v>2874</v>
      </c>
    </row>
    <row r="5016">
      <c r="A5016" s="4">
        <v>418.0</v>
      </c>
      <c r="B5016" s="4" t="s">
        <v>11578</v>
      </c>
      <c r="C5016" s="4"/>
      <c r="D5016" s="4" t="s">
        <v>12715</v>
      </c>
      <c r="E5016" s="4" t="s">
        <v>12710</v>
      </c>
      <c r="F5016" s="4" t="s">
        <v>12711</v>
      </c>
      <c r="G5016" s="5" t="str">
        <f>IFERROR(__xludf.DUMMYFUNCTION("GOOGLETRANSLATE(D5016,""fr"",""es"")"),"máquina")</f>
        <v>máquina</v>
      </c>
    </row>
    <row r="5017">
      <c r="A5017" s="4">
        <v>419.0</v>
      </c>
      <c r="B5017" s="4" t="s">
        <v>11578</v>
      </c>
      <c r="C5017" s="4"/>
      <c r="D5017" s="4" t="s">
        <v>12716</v>
      </c>
      <c r="E5017" s="4" t="s">
        <v>12717</v>
      </c>
      <c r="F5017" s="4" t="s">
        <v>12718</v>
      </c>
      <c r="G5017" s="5" t="str">
        <f>IFERROR(__xludf.DUMMYFUNCTION("GOOGLETRANSLATE(D5017,""fr"",""es"")"),"cosa")</f>
        <v>cosa</v>
      </c>
    </row>
    <row r="5018">
      <c r="A5018" s="4">
        <v>420.0</v>
      </c>
      <c r="B5018" s="4" t="s">
        <v>11578</v>
      </c>
      <c r="C5018" s="4"/>
      <c r="D5018" s="4" t="s">
        <v>12719</v>
      </c>
      <c r="E5018" s="4" t="s">
        <v>12704</v>
      </c>
      <c r="F5018" s="4" t="s">
        <v>12702</v>
      </c>
      <c r="G5018" s="5" t="str">
        <f>IFERROR(__xludf.DUMMYFUNCTION("GOOGLETRANSLATE(D5018,""fr"",""es"")"),"cosa")</f>
        <v>cosa</v>
      </c>
    </row>
    <row r="5019">
      <c r="A5019" s="4">
        <v>421.0</v>
      </c>
      <c r="B5019" s="4" t="s">
        <v>11578</v>
      </c>
      <c r="C5019" s="4"/>
      <c r="D5019" s="4" t="s">
        <v>12720</v>
      </c>
      <c r="E5019" s="4" t="s">
        <v>12721</v>
      </c>
      <c r="F5019" s="4" t="s">
        <v>8508</v>
      </c>
      <c r="G5019" s="5" t="str">
        <f>IFERROR(__xludf.DUMMYFUNCTION("GOOGLETRANSLATE(D5019,""fr"",""es"")"),"Mazo")</f>
        <v>Mazo</v>
      </c>
      <c r="H5019" s="4" t="s">
        <v>2598</v>
      </c>
      <c r="I5019" s="4" t="s">
        <v>2598</v>
      </c>
      <c r="J5019" s="4" t="s">
        <v>12722</v>
      </c>
      <c r="K5019" s="4" t="s">
        <v>2598</v>
      </c>
      <c r="L5019" s="4" t="s">
        <v>12723</v>
      </c>
      <c r="M5019" s="4" t="s">
        <v>12724</v>
      </c>
      <c r="N5019" s="4" t="s">
        <v>12725</v>
      </c>
    </row>
    <row r="5020">
      <c r="A5020" s="4">
        <v>422.0</v>
      </c>
      <c r="B5020" s="4" t="s">
        <v>11578</v>
      </c>
      <c r="C5020" s="4"/>
      <c r="D5020" s="4" t="s">
        <v>12726</v>
      </c>
      <c r="E5020" s="4" t="s">
        <v>12727</v>
      </c>
      <c r="F5020" s="4" t="s">
        <v>12728</v>
      </c>
      <c r="G5020" s="5" t="str">
        <f>IFERROR(__xludf.DUMMYFUNCTION("GOOGLETRANSLATE(D5020,""fr"",""es"")"),"magnánimo")</f>
        <v>magnánimo</v>
      </c>
      <c r="H5020" s="4" t="s">
        <v>10830</v>
      </c>
      <c r="I5020" s="4" t="s">
        <v>12729</v>
      </c>
      <c r="J5020" s="4" t="s">
        <v>12730</v>
      </c>
      <c r="K5020" s="4" t="s">
        <v>12731</v>
      </c>
      <c r="L5020" s="4" t="s">
        <v>12730</v>
      </c>
    </row>
    <row r="5021">
      <c r="A5021" s="4">
        <v>423.0</v>
      </c>
      <c r="B5021" s="4" t="s">
        <v>11578</v>
      </c>
      <c r="C5021" s="4"/>
      <c r="D5021" s="4" t="s">
        <v>12732</v>
      </c>
      <c r="E5021" s="4" t="s">
        <v>2444</v>
      </c>
      <c r="F5021" s="4" t="s">
        <v>2445</v>
      </c>
      <c r="G5021" s="5" t="str">
        <f>IFERROR(__xludf.DUMMYFUNCTION("GOOGLETRANSLATE(D5021,""fr"",""es"")"),"magnate")</f>
        <v>magnate</v>
      </c>
      <c r="H5021" s="4" t="s">
        <v>12733</v>
      </c>
      <c r="I5021" s="4" t="s">
        <v>12734</v>
      </c>
      <c r="J5021" s="4" t="s">
        <v>12735</v>
      </c>
      <c r="K5021" s="4" t="s">
        <v>12736</v>
      </c>
      <c r="L5021" s="4" t="s">
        <v>12737</v>
      </c>
      <c r="M5021" s="4" t="s">
        <v>12738</v>
      </c>
      <c r="N5021" s="4" t="s">
        <v>8934</v>
      </c>
      <c r="O5021" s="4" t="s">
        <v>12739</v>
      </c>
      <c r="P5021" s="4" t="s">
        <v>12740</v>
      </c>
      <c r="Q5021" s="4" t="s">
        <v>12733</v>
      </c>
      <c r="R5021" s="4" t="s">
        <v>12734</v>
      </c>
      <c r="S5021" s="4" t="s">
        <v>12735</v>
      </c>
      <c r="T5021" s="4" t="s">
        <v>12736</v>
      </c>
      <c r="U5021" s="4" t="s">
        <v>12737</v>
      </c>
      <c r="V5021" s="4" t="s">
        <v>12738</v>
      </c>
      <c r="W5021" s="4" t="s">
        <v>8934</v>
      </c>
      <c r="X5021" s="4" t="s">
        <v>12739</v>
      </c>
      <c r="Y5021" s="4" t="s">
        <v>12740</v>
      </c>
      <c r="Z5021" s="4" t="s">
        <v>12741</v>
      </c>
      <c r="AA5021" s="4" t="s">
        <v>12742</v>
      </c>
    </row>
    <row r="5022">
      <c r="A5022" s="4">
        <v>424.0</v>
      </c>
      <c r="B5022" s="4" t="s">
        <v>11578</v>
      </c>
      <c r="C5022" s="4"/>
      <c r="D5022" s="4" t="s">
        <v>12743</v>
      </c>
      <c r="E5022" s="4" t="s">
        <v>12744</v>
      </c>
      <c r="F5022" s="4" t="s">
        <v>12745</v>
      </c>
      <c r="G5022" s="5" t="str">
        <f>IFERROR(__xludf.DUMMYFUNCTION("GOOGLETRANSLATE(D5022,""fr"",""es"")"),"magia")</f>
        <v>magia</v>
      </c>
    </row>
    <row r="5023">
      <c r="A5023" s="4">
        <v>425.0</v>
      </c>
      <c r="B5023" s="4" t="s">
        <v>11578</v>
      </c>
      <c r="C5023" s="4"/>
      <c r="D5023" s="4" t="s">
        <v>4428</v>
      </c>
      <c r="E5023" s="4" t="s">
        <v>332</v>
      </c>
      <c r="F5023" s="4" t="s">
        <v>333</v>
      </c>
      <c r="G5023" s="5" t="str">
        <f>IFERROR(__xludf.DUMMYFUNCTION("GOOGLETRANSLATE(D5023,""fr"",""es"")"),"Email")</f>
        <v>Email</v>
      </c>
    </row>
    <row r="5024">
      <c r="A5024" s="4">
        <v>426.0</v>
      </c>
      <c r="B5024" s="4" t="s">
        <v>11578</v>
      </c>
      <c r="C5024" s="4"/>
      <c r="D5024" s="4" t="s">
        <v>12746</v>
      </c>
      <c r="E5024" s="4" t="s">
        <v>332</v>
      </c>
      <c r="F5024" s="4" t="s">
        <v>333</v>
      </c>
      <c r="G5024" s="5" t="str">
        <f>IFERROR(__xludf.DUMMYFUNCTION("GOOGLETRANSLATE(D5024,""fr"",""es"")"),"tejer")</f>
        <v>tejer</v>
      </c>
      <c r="H5024" s="4" t="s">
        <v>7376</v>
      </c>
      <c r="I5024" s="4" t="s">
        <v>3704</v>
      </c>
      <c r="J5024" s="4" t="s">
        <v>12747</v>
      </c>
      <c r="K5024" s="4" t="s">
        <v>12748</v>
      </c>
      <c r="L5024" s="4" t="s">
        <v>4648</v>
      </c>
      <c r="M5024" s="4" t="s">
        <v>3704</v>
      </c>
    </row>
    <row r="5025">
      <c r="A5025" s="4">
        <v>427.0</v>
      </c>
      <c r="B5025" s="4" t="s">
        <v>11578</v>
      </c>
      <c r="C5025" s="4"/>
      <c r="D5025" s="4" t="s">
        <v>2322</v>
      </c>
      <c r="E5025" s="4" t="s">
        <v>2323</v>
      </c>
      <c r="F5025" s="4" t="s">
        <v>2322</v>
      </c>
      <c r="G5025" s="5" t="str">
        <f>IFERROR(__xludf.DUMMYFUNCTION("GOOGLETRANSLATE(D5025,""fr"",""es"")"),"mal")</f>
        <v>mal</v>
      </c>
      <c r="H5025" s="4" t="s">
        <v>2345</v>
      </c>
      <c r="I5025" s="4" t="s">
        <v>6344</v>
      </c>
      <c r="J5025" s="4" t="s">
        <v>6345</v>
      </c>
      <c r="K5025" s="4" t="s">
        <v>6344</v>
      </c>
      <c r="L5025" s="4" t="s">
        <v>2345</v>
      </c>
      <c r="M5025" s="4" t="s">
        <v>6344</v>
      </c>
      <c r="N5025" s="4" t="s">
        <v>6344</v>
      </c>
      <c r="O5025" s="4" t="s">
        <v>12749</v>
      </c>
      <c r="P5025" s="4" t="s">
        <v>6344</v>
      </c>
      <c r="Q5025" s="4" t="s">
        <v>6344</v>
      </c>
      <c r="R5025" s="4" t="s">
        <v>12750</v>
      </c>
      <c r="S5025" s="4" t="s">
        <v>12751</v>
      </c>
      <c r="T5025" s="4" t="s">
        <v>12752</v>
      </c>
      <c r="U5025" s="4" t="s">
        <v>6344</v>
      </c>
      <c r="V5025" s="4" t="s">
        <v>2328</v>
      </c>
      <c r="W5025" s="4" t="s">
        <v>6344</v>
      </c>
      <c r="X5025" s="4" t="s">
        <v>2328</v>
      </c>
      <c r="Y5025" s="4" t="s">
        <v>6344</v>
      </c>
      <c r="Z5025" s="4" t="s">
        <v>12753</v>
      </c>
      <c r="AA5025" s="4" t="s">
        <v>12754</v>
      </c>
      <c r="AB5025" s="4" t="s">
        <v>6344</v>
      </c>
      <c r="AC5025" s="4" t="s">
        <v>12755</v>
      </c>
      <c r="AD5025" s="4" t="s">
        <v>12756</v>
      </c>
      <c r="AE5025" s="4" t="s">
        <v>12757</v>
      </c>
      <c r="AF5025" s="4" t="s">
        <v>10811</v>
      </c>
      <c r="AG5025" s="4" t="s">
        <v>10812</v>
      </c>
      <c r="AH5025" s="4" t="s">
        <v>10813</v>
      </c>
      <c r="AI5025" s="4" t="s">
        <v>2332</v>
      </c>
      <c r="AJ5025" s="4" t="s">
        <v>2328</v>
      </c>
      <c r="AK5025" s="4" t="s">
        <v>10814</v>
      </c>
      <c r="AL5025" s="4" t="s">
        <v>12758</v>
      </c>
      <c r="AM5025" s="4" t="s">
        <v>2332</v>
      </c>
      <c r="AN5025" s="4" t="s">
        <v>12759</v>
      </c>
      <c r="AO5025" s="4" t="s">
        <v>7611</v>
      </c>
      <c r="AP5025" s="4" t="s">
        <v>12760</v>
      </c>
      <c r="AQ5025" s="4" t="s">
        <v>2328</v>
      </c>
      <c r="AR5025" s="4" t="s">
        <v>2329</v>
      </c>
      <c r="AS5025" s="4" t="s">
        <v>2330</v>
      </c>
      <c r="AT5025" s="4" t="s">
        <v>2328</v>
      </c>
      <c r="AU5025" s="4" t="s">
        <v>2331</v>
      </c>
      <c r="AV5025" s="4" t="s">
        <v>2328</v>
      </c>
      <c r="AW5025" s="4" t="s">
        <v>12761</v>
      </c>
      <c r="AX5025" s="4" t="s">
        <v>2328</v>
      </c>
      <c r="AY5025" s="4" t="s">
        <v>2328</v>
      </c>
      <c r="AZ5025" s="4" t="s">
        <v>12762</v>
      </c>
      <c r="BA5025" s="4" t="s">
        <v>12763</v>
      </c>
      <c r="BB5025" s="4" t="s">
        <v>2328</v>
      </c>
      <c r="BC5025" s="4" t="s">
        <v>2328</v>
      </c>
      <c r="BD5025" s="4" t="s">
        <v>2328</v>
      </c>
      <c r="BE5025" s="4" t="s">
        <v>2333</v>
      </c>
      <c r="BF5025" s="4" t="s">
        <v>2334</v>
      </c>
      <c r="BG5025" s="4" t="s">
        <v>2328</v>
      </c>
      <c r="BH5025" s="4" t="s">
        <v>2328</v>
      </c>
      <c r="BI5025" s="4" t="s">
        <v>12764</v>
      </c>
      <c r="BJ5025" s="4" t="s">
        <v>2332</v>
      </c>
      <c r="BK5025" s="4" t="s">
        <v>10834</v>
      </c>
      <c r="BL5025" s="4" t="s">
        <v>12765</v>
      </c>
      <c r="BM5025" s="4" t="s">
        <v>12766</v>
      </c>
      <c r="BN5025" s="4" t="s">
        <v>2332</v>
      </c>
      <c r="BO5025" s="4" t="s">
        <v>10835</v>
      </c>
      <c r="BP5025" s="4" t="s">
        <v>2328</v>
      </c>
      <c r="BQ5025" s="4" t="s">
        <v>10836</v>
      </c>
      <c r="BR5025" s="4" t="s">
        <v>2332</v>
      </c>
      <c r="BS5025" s="4" t="s">
        <v>9618</v>
      </c>
      <c r="BT5025" s="4" t="s">
        <v>12767</v>
      </c>
      <c r="BU5025" s="4" t="s">
        <v>12768</v>
      </c>
      <c r="BV5025" s="4" t="s">
        <v>12769</v>
      </c>
      <c r="BW5025" s="4" t="s">
        <v>2343</v>
      </c>
      <c r="BX5025" s="4" t="s">
        <v>2344</v>
      </c>
      <c r="BY5025" s="4" t="s">
        <v>2345</v>
      </c>
      <c r="BZ5025" s="4" t="s">
        <v>12770</v>
      </c>
      <c r="CA5025" s="4" t="s">
        <v>3501</v>
      </c>
      <c r="CB5025" s="4" t="s">
        <v>2346</v>
      </c>
      <c r="CC5025" s="4" t="s">
        <v>2326</v>
      </c>
      <c r="CD5025" s="4" t="s">
        <v>2325</v>
      </c>
      <c r="CE5025" s="4" t="s">
        <v>2347</v>
      </c>
      <c r="CF5025" s="4" t="s">
        <v>12765</v>
      </c>
    </row>
    <row r="5026">
      <c r="A5026" s="4">
        <v>428.0</v>
      </c>
      <c r="B5026" s="4" t="s">
        <v>11578</v>
      </c>
      <c r="C5026" s="4"/>
      <c r="D5026" s="4" t="s">
        <v>12771</v>
      </c>
      <c r="E5026" s="4" t="s">
        <v>12772</v>
      </c>
      <c r="F5026" s="4" t="s">
        <v>12773</v>
      </c>
      <c r="G5026" s="5" t="str">
        <f>IFERROR(__xludf.DUMMYFUNCTION("GOOGLETRANSLATE(D5026,""fr"",""es"")"),"malaz")</f>
        <v>malaz</v>
      </c>
    </row>
    <row r="5027">
      <c r="A5027" s="4">
        <v>429.0</v>
      </c>
      <c r="B5027" s="4" t="s">
        <v>11578</v>
      </c>
      <c r="C5027" s="4"/>
      <c r="D5027" s="4" t="s">
        <v>12774</v>
      </c>
      <c r="E5027" s="4" t="s">
        <v>12775</v>
      </c>
      <c r="F5027" s="4" t="s">
        <v>12774</v>
      </c>
      <c r="G5027" s="5" t="str">
        <f>IFERROR(__xludf.DUMMYFUNCTION("GOOGLETRANSLATE(D5027,""fr"",""es"")"),"malayalam")</f>
        <v>malayalam</v>
      </c>
      <c r="H5027" s="4" t="s">
        <v>12776</v>
      </c>
      <c r="I5027" s="4" t="s">
        <v>12776</v>
      </c>
    </row>
    <row r="5028">
      <c r="A5028" s="4">
        <v>430.0</v>
      </c>
      <c r="B5028" s="4" t="s">
        <v>11578</v>
      </c>
      <c r="C5028" s="4"/>
      <c r="D5028" s="4" t="s">
        <v>5314</v>
      </c>
      <c r="E5028" s="4" t="s">
        <v>5313</v>
      </c>
      <c r="F5028" s="4" t="s">
        <v>5314</v>
      </c>
      <c r="G5028" s="5" t="str">
        <f>IFERROR(__xludf.DUMMYFUNCTION("GOOGLETRANSLATE(D5028,""fr"",""es"")"),"Malí")</f>
        <v>Malí</v>
      </c>
      <c r="H5028" s="4" t="s">
        <v>5347</v>
      </c>
      <c r="I5028" s="4" t="s">
        <v>5348</v>
      </c>
      <c r="J5028" s="4" t="s">
        <v>5349</v>
      </c>
    </row>
    <row r="5029">
      <c r="A5029" s="4">
        <v>431.0</v>
      </c>
      <c r="B5029" s="4" t="s">
        <v>11578</v>
      </c>
      <c r="C5029" s="4"/>
      <c r="D5029" s="4" t="s">
        <v>6725</v>
      </c>
      <c r="E5029" s="4" t="s">
        <v>12777</v>
      </c>
      <c r="F5029" s="4" t="s">
        <v>6727</v>
      </c>
      <c r="G5029" s="5" t="str">
        <f>IFERROR(__xludf.DUMMYFUNCTION("GOOGLETRANSLATE(D5029,""fr"",""es"")"),"malicia")</f>
        <v>malicia</v>
      </c>
    </row>
    <row r="5030">
      <c r="A5030" s="4">
        <v>432.0</v>
      </c>
      <c r="B5030" s="4" t="s">
        <v>11578</v>
      </c>
      <c r="C5030" s="4"/>
      <c r="D5030" s="4" t="s">
        <v>12778</v>
      </c>
      <c r="E5030" s="4" t="s">
        <v>12779</v>
      </c>
      <c r="F5030" s="4" t="s">
        <v>12780</v>
      </c>
      <c r="G5030" s="5" t="str">
        <f>IFERROR(__xludf.DUMMYFUNCTION("GOOGLETRANSLATE(D5030,""fr"",""es"")"),"inteligente")</f>
        <v>inteligente</v>
      </c>
    </row>
    <row r="5031">
      <c r="A5031" s="4">
        <v>433.0</v>
      </c>
      <c r="B5031" s="4" t="s">
        <v>11578</v>
      </c>
      <c r="C5031" s="4"/>
      <c r="D5031" s="4" t="s">
        <v>12781</v>
      </c>
      <c r="E5031" s="4" t="s">
        <v>9128</v>
      </c>
      <c r="F5031" s="4" t="s">
        <v>9127</v>
      </c>
      <c r="G5031" s="5" t="str">
        <f>IFERROR(__xludf.DUMMYFUNCTION("GOOGLETRANSLATE(D5031,""fr"",""es"")"),"travieso")</f>
        <v>travieso</v>
      </c>
    </row>
    <row r="5032">
      <c r="A5032" s="4">
        <v>434.0</v>
      </c>
      <c r="B5032" s="4" t="s">
        <v>11578</v>
      </c>
      <c r="C5032" s="4"/>
      <c r="D5032" s="4" t="s">
        <v>12782</v>
      </c>
      <c r="E5032" s="4" t="s">
        <v>2323</v>
      </c>
      <c r="F5032" s="4" t="s">
        <v>2322</v>
      </c>
      <c r="G5032" s="5" t="str">
        <f>IFERROR(__xludf.DUMMYFUNCTION("GOOGLETRANSLATE(D5032,""fr"",""es"")"),"tronco")</f>
        <v>tronco</v>
      </c>
    </row>
    <row r="5033">
      <c r="A5033" s="4">
        <v>435.0</v>
      </c>
      <c r="B5033" s="4" t="s">
        <v>11578</v>
      </c>
      <c r="C5033" s="4"/>
      <c r="D5033" s="4" t="s">
        <v>12783</v>
      </c>
      <c r="E5033" s="4" t="s">
        <v>2323</v>
      </c>
      <c r="F5033" s="4" t="s">
        <v>2322</v>
      </c>
      <c r="G5033" s="5" t="str">
        <f>IFERROR(__xludf.DUMMYFUNCTION("GOOGLETRANSLATE(D5033,""fr"",""es"")"),"bañador")</f>
        <v>bañador</v>
      </c>
    </row>
    <row r="5034">
      <c r="A5034" s="4">
        <v>436.0</v>
      </c>
      <c r="B5034" s="4" t="s">
        <v>11578</v>
      </c>
      <c r="C5034" s="4"/>
      <c r="D5034" s="4" t="s">
        <v>12784</v>
      </c>
      <c r="E5034" s="4" t="s">
        <v>12785</v>
      </c>
      <c r="F5034" s="4" t="s">
        <v>12786</v>
      </c>
      <c r="G5034" s="5" t="str">
        <f>IFERROR(__xludf.DUMMYFUNCTION("GOOGLETRANSLATE(D5034,""fr"",""es"")"),"Malu")</f>
        <v>Malu</v>
      </c>
    </row>
    <row r="5035">
      <c r="A5035" s="4">
        <v>437.0</v>
      </c>
      <c r="B5035" s="4" t="s">
        <v>11578</v>
      </c>
      <c r="C5035" s="4"/>
      <c r="D5035" s="4" t="s">
        <v>12787</v>
      </c>
      <c r="E5035" s="4" t="s">
        <v>12788</v>
      </c>
      <c r="F5035" s="4" t="s">
        <v>12789</v>
      </c>
      <c r="G5035" s="5" t="str">
        <f>IFERROR(__xludf.DUMMYFUNCTION("GOOGLETRANSLATE(D5035,""fr"",""es"")"),"abuelita")</f>
        <v>abuelita</v>
      </c>
      <c r="H5035" s="4" t="s">
        <v>12790</v>
      </c>
      <c r="I5035" s="4" t="s">
        <v>1880</v>
      </c>
      <c r="J5035" s="4" t="s">
        <v>1878</v>
      </c>
      <c r="K5035" s="4" t="s">
        <v>1879</v>
      </c>
      <c r="L5035" s="4" t="s">
        <v>1880</v>
      </c>
      <c r="M5035" s="4" t="s">
        <v>1881</v>
      </c>
      <c r="N5035" s="4" t="s">
        <v>1882</v>
      </c>
      <c r="P5035" s="4" t="s">
        <v>1883</v>
      </c>
      <c r="Q5035" s="4" t="s">
        <v>1880</v>
      </c>
    </row>
    <row r="5036">
      <c r="A5036" s="4">
        <v>438.0</v>
      </c>
      <c r="B5036" s="4" t="s">
        <v>11578</v>
      </c>
      <c r="C5036" s="4"/>
      <c r="D5036" s="4" t="s">
        <v>12791</v>
      </c>
      <c r="E5036" s="4" t="s">
        <v>12788</v>
      </c>
      <c r="F5036" s="4" t="s">
        <v>12789</v>
      </c>
      <c r="G5036" s="5" t="str">
        <f>IFERROR(__xludf.DUMMYFUNCTION("GOOGLETRANSLATE(D5036,""fr"",""es"")"),"abuelas")</f>
        <v>abuelas</v>
      </c>
    </row>
    <row r="5037">
      <c r="A5037" s="4">
        <v>439.0</v>
      </c>
      <c r="B5037" s="4" t="s">
        <v>11578</v>
      </c>
      <c r="C5037" s="4"/>
      <c r="D5037" s="4" t="s">
        <v>12792</v>
      </c>
      <c r="E5037" s="4" t="s">
        <v>12793</v>
      </c>
      <c r="F5037" s="4" t="s">
        <v>12794</v>
      </c>
      <c r="G5037" s="5" t="str">
        <f>IFERROR(__xludf.DUMMYFUNCTION("GOOGLETRANSLATE(D5037,""fr"",""es"")"),"Manico")</f>
        <v>Manico</v>
      </c>
      <c r="H5037" s="4" t="s">
        <v>12795</v>
      </c>
      <c r="I5037" s="4" t="s">
        <v>12796</v>
      </c>
      <c r="J5037" s="4" t="s">
        <v>12797</v>
      </c>
    </row>
    <row r="5038">
      <c r="A5038" s="4">
        <v>440.0</v>
      </c>
      <c r="B5038" s="4" t="s">
        <v>11578</v>
      </c>
      <c r="C5038" s="4"/>
      <c r="D5038" s="4" t="s">
        <v>12798</v>
      </c>
      <c r="E5038" s="4" t="s">
        <v>2415</v>
      </c>
      <c r="F5038" s="4" t="s">
        <v>2414</v>
      </c>
      <c r="G5038" s="5" t="str">
        <f>IFERROR(__xludf.DUMMYFUNCTION("GOOGLETRANSLATE(D5038,""fr"",""es"")"),"manía")</f>
        <v>manía</v>
      </c>
      <c r="H5038" s="4" t="s">
        <v>12799</v>
      </c>
      <c r="I5038" s="4" t="s">
        <v>5679</v>
      </c>
      <c r="J5038" s="4" t="s">
        <v>12800</v>
      </c>
      <c r="K5038" s="4" t="s">
        <v>12799</v>
      </c>
      <c r="L5038" s="4" t="s">
        <v>12801</v>
      </c>
    </row>
    <row r="5039">
      <c r="A5039" s="4">
        <v>441.0</v>
      </c>
      <c r="B5039" s="4" t="s">
        <v>11578</v>
      </c>
      <c r="C5039" s="4"/>
      <c r="D5039" s="4" t="s">
        <v>12802</v>
      </c>
      <c r="E5039" s="4" t="s">
        <v>12803</v>
      </c>
      <c r="F5039" s="4" t="s">
        <v>12804</v>
      </c>
      <c r="G5039" s="5" t="str">
        <f>IFERROR(__xludf.DUMMYFUNCTION("GOOGLETRANSLATE(D5039,""fr"",""es"")"),"Manila")</f>
        <v>Manila</v>
      </c>
      <c r="H5039" s="4" t="s">
        <v>12805</v>
      </c>
      <c r="I5039" s="4" t="s">
        <v>12806</v>
      </c>
      <c r="J5039" s="4" t="s">
        <v>12807</v>
      </c>
      <c r="K5039" s="4" t="s">
        <v>12806</v>
      </c>
      <c r="L5039" s="4" t="s">
        <v>12806</v>
      </c>
      <c r="M5039" s="4" t="s">
        <v>9189</v>
      </c>
      <c r="N5039" s="4" t="s">
        <v>12808</v>
      </c>
      <c r="O5039" s="4" t="s">
        <v>2057</v>
      </c>
      <c r="P5039" s="4" t="s">
        <v>12806</v>
      </c>
      <c r="Q5039" s="4" t="s">
        <v>12809</v>
      </c>
      <c r="R5039" s="4" t="s">
        <v>12810</v>
      </c>
      <c r="S5039" s="4" t="s">
        <v>12811</v>
      </c>
      <c r="T5039" s="4" t="s">
        <v>12812</v>
      </c>
      <c r="U5039" s="4" t="s">
        <v>2416</v>
      </c>
      <c r="V5039" s="4" t="s">
        <v>12813</v>
      </c>
    </row>
    <row r="5040">
      <c r="A5040" s="4">
        <v>442.0</v>
      </c>
      <c r="B5040" s="4" t="s">
        <v>11578</v>
      </c>
      <c r="C5040" s="4"/>
      <c r="D5040" s="4" t="s">
        <v>12814</v>
      </c>
      <c r="E5040" s="4" t="s">
        <v>12815</v>
      </c>
      <c r="F5040" s="4" t="s">
        <v>12814</v>
      </c>
      <c r="G5040" s="5" t="str">
        <f>IFERROR(__xludf.DUMMYFUNCTION("GOOGLETRANSLATE(D5040,""fr"",""es"")"),"manipulación")</f>
        <v>manipulación</v>
      </c>
    </row>
    <row r="5041">
      <c r="A5041" s="4">
        <v>443.0</v>
      </c>
      <c r="B5041" s="4" t="s">
        <v>11578</v>
      </c>
      <c r="C5041" s="4"/>
      <c r="D5041" s="4" t="s">
        <v>12816</v>
      </c>
      <c r="E5041" s="4" t="s">
        <v>12817</v>
      </c>
      <c r="F5041" s="4" t="s">
        <v>12818</v>
      </c>
      <c r="G5041" s="5" t="str">
        <f>IFERROR(__xludf.DUMMYFUNCTION("GOOGLETRANSLATE(D5041,""fr"",""es"")"),"manitou")</f>
        <v>manitou</v>
      </c>
    </row>
    <row r="5042">
      <c r="A5042" s="4">
        <v>444.0</v>
      </c>
      <c r="B5042" s="4" t="s">
        <v>11578</v>
      </c>
      <c r="C5042" s="4"/>
      <c r="D5042" s="4" t="s">
        <v>12819</v>
      </c>
      <c r="E5042" s="4" t="s">
        <v>4841</v>
      </c>
      <c r="F5042" s="4" t="s">
        <v>1856</v>
      </c>
      <c r="G5042" s="5" t="str">
        <f>IFERROR(__xludf.DUMMYFUNCTION("GOOGLETRANSLATE(D5042,""fr"",""es"")"),"maná")</f>
        <v>maná</v>
      </c>
      <c r="H5042" s="4" t="s">
        <v>12820</v>
      </c>
      <c r="I5042" s="4" t="s">
        <v>12821</v>
      </c>
      <c r="J5042" s="4" t="s">
        <v>11310</v>
      </c>
      <c r="K5042" s="4" t="s">
        <v>12821</v>
      </c>
    </row>
    <row r="5043">
      <c r="A5043" s="4">
        <v>445.0</v>
      </c>
      <c r="B5043" s="4" t="s">
        <v>11578</v>
      </c>
      <c r="C5043" s="4"/>
      <c r="D5043" s="4" t="s">
        <v>12822</v>
      </c>
      <c r="E5043" s="4" t="s">
        <v>12823</v>
      </c>
      <c r="F5043" s="4" t="s">
        <v>12824</v>
      </c>
      <c r="G5043" s="5" t="str">
        <f>IFERROR(__xludf.DUMMYFUNCTION("GOOGLETRANSLATE(D5043,""fr"",""es"")"),"gitano")</f>
        <v>gitano</v>
      </c>
    </row>
    <row r="5044">
      <c r="A5044" s="4">
        <v>446.0</v>
      </c>
      <c r="B5044" s="4" t="s">
        <v>11578</v>
      </c>
      <c r="C5044" s="4"/>
      <c r="D5044" s="4" t="s">
        <v>12825</v>
      </c>
      <c r="E5044" s="4" t="s">
        <v>2462</v>
      </c>
      <c r="F5044" s="4" t="s">
        <v>2463</v>
      </c>
      <c r="G5044" s="5" t="str">
        <f>IFERROR(__xludf.DUMMYFUNCTION("GOOGLETRANSLATE(D5044,""fr"",""es"")"),"maquios")</f>
        <v>maquios</v>
      </c>
      <c r="H5044" s="4" t="s">
        <v>11298</v>
      </c>
      <c r="I5044" s="4" t="s">
        <v>12826</v>
      </c>
      <c r="J5044" s="4" t="s">
        <v>12827</v>
      </c>
      <c r="K5044" s="4" t="s">
        <v>12828</v>
      </c>
      <c r="L5044" s="4" t="s">
        <v>12829</v>
      </c>
      <c r="M5044" s="4" t="s">
        <v>12830</v>
      </c>
      <c r="N5044" s="4" t="s">
        <v>12831</v>
      </c>
      <c r="O5044" s="4" t="s">
        <v>2556</v>
      </c>
      <c r="P5044" s="4" t="s">
        <v>12832</v>
      </c>
      <c r="Q5044" s="4" t="s">
        <v>12833</v>
      </c>
      <c r="R5044" s="4" t="s">
        <v>12834</v>
      </c>
      <c r="S5044" s="4" t="s">
        <v>2555</v>
      </c>
      <c r="T5044" s="4" t="s">
        <v>2556</v>
      </c>
    </row>
    <row r="5045">
      <c r="A5045" s="4">
        <v>447.0</v>
      </c>
      <c r="B5045" s="4" t="s">
        <v>11578</v>
      </c>
      <c r="C5045" s="4"/>
      <c r="D5045" s="4" t="s">
        <v>339</v>
      </c>
      <c r="E5045" s="4" t="s">
        <v>10466</v>
      </c>
      <c r="F5045" s="4" t="s">
        <v>2278</v>
      </c>
      <c r="G5045" s="5" t="str">
        <f>IFERROR(__xludf.DUMMYFUNCTION("GOOGLETRANSLATE(D5045,""fr"",""es"")"),"masa")</f>
        <v>masa</v>
      </c>
    </row>
    <row r="5046">
      <c r="A5046" s="4">
        <v>448.0</v>
      </c>
      <c r="B5046" s="4" t="s">
        <v>11578</v>
      </c>
      <c r="C5046" s="4"/>
      <c r="D5046" s="4" t="s">
        <v>339</v>
      </c>
      <c r="E5046" s="4" t="s">
        <v>12835</v>
      </c>
      <c r="F5046" s="4" t="s">
        <v>339</v>
      </c>
      <c r="G5046" s="5" t="str">
        <f>IFERROR(__xludf.DUMMYFUNCTION("GOOGLETRANSLATE(D5046,""fr"",""es"")"),"masa")</f>
        <v>masa</v>
      </c>
    </row>
    <row r="5047">
      <c r="A5047" s="4">
        <v>449.0</v>
      </c>
      <c r="B5047" s="4" t="s">
        <v>11578</v>
      </c>
      <c r="C5047" s="4"/>
      <c r="D5047" s="4" t="s">
        <v>12836</v>
      </c>
      <c r="E5047" s="4" t="s">
        <v>2524</v>
      </c>
      <c r="F5047" s="4" t="s">
        <v>2525</v>
      </c>
      <c r="G5047" s="5" t="str">
        <f>IFERROR(__xludf.DUMMYFUNCTION("GOOGLETRANSLATE(D5047,""fr"",""es"")"),"masatrar")</f>
        <v>masatrar</v>
      </c>
    </row>
    <row r="5048">
      <c r="A5048" s="4">
        <v>450.0</v>
      </c>
      <c r="B5048" s="4" t="s">
        <v>11578</v>
      </c>
      <c r="C5048" s="4"/>
      <c r="D5048" s="4" t="s">
        <v>12837</v>
      </c>
      <c r="E5048" s="4" t="s">
        <v>338</v>
      </c>
      <c r="F5048" s="4" t="s">
        <v>339</v>
      </c>
      <c r="G5048" s="5" t="str">
        <f>IFERROR(__xludf.DUMMYFUNCTION("GOOGLETRANSLATE(D5048,""fr"",""es"")"),"masa")</f>
        <v>masa</v>
      </c>
      <c r="H5048" s="4" t="s">
        <v>2367</v>
      </c>
      <c r="I5048" s="4" t="s">
        <v>2368</v>
      </c>
      <c r="J5048" s="4" t="s">
        <v>2369</v>
      </c>
      <c r="K5048" s="4" t="s">
        <v>12838</v>
      </c>
      <c r="L5048" s="4" t="s">
        <v>12839</v>
      </c>
      <c r="M5048" s="4" t="s">
        <v>1743</v>
      </c>
      <c r="N5048" s="4" t="s">
        <v>2526</v>
      </c>
      <c r="O5048" s="4" t="s">
        <v>12840</v>
      </c>
      <c r="P5048" s="4" t="s">
        <v>12838</v>
      </c>
      <c r="Q5048" s="4" t="s">
        <v>12839</v>
      </c>
      <c r="R5048" s="4" t="s">
        <v>12841</v>
      </c>
      <c r="S5048" s="4" t="s">
        <v>12842</v>
      </c>
      <c r="T5048" s="4" t="s">
        <v>2526</v>
      </c>
      <c r="U5048" s="4" t="s">
        <v>1743</v>
      </c>
      <c r="V5048" s="4" t="s">
        <v>2527</v>
      </c>
      <c r="W5048" s="4" t="s">
        <v>483</v>
      </c>
      <c r="X5048" s="4" t="s">
        <v>484</v>
      </c>
      <c r="Y5048" s="4" t="s">
        <v>2824</v>
      </c>
      <c r="Z5048" s="4" t="s">
        <v>2825</v>
      </c>
      <c r="AA5048" s="4" t="s">
        <v>2826</v>
      </c>
      <c r="AB5048" s="4" t="s">
        <v>1734</v>
      </c>
      <c r="AC5048" s="4" t="s">
        <v>1743</v>
      </c>
      <c r="AD5048" s="4" t="s">
        <v>2532</v>
      </c>
      <c r="AE5048" s="4" t="s">
        <v>2533</v>
      </c>
      <c r="AF5048" s="4" t="s">
        <v>1743</v>
      </c>
      <c r="AG5048" s="4" t="s">
        <v>2534</v>
      </c>
      <c r="AH5048" s="4" t="s">
        <v>2535</v>
      </c>
      <c r="AI5048" s="4" t="s">
        <v>2536</v>
      </c>
      <c r="AJ5048" s="4" t="s">
        <v>1743</v>
      </c>
      <c r="AK5048" s="4" t="s">
        <v>12843</v>
      </c>
      <c r="AL5048" s="4" t="s">
        <v>1736</v>
      </c>
      <c r="AM5048" s="4" t="s">
        <v>1737</v>
      </c>
      <c r="AN5048" s="4" t="s">
        <v>1738</v>
      </c>
      <c r="AO5048" s="4" t="s">
        <v>1739</v>
      </c>
      <c r="AP5048" s="4" t="s">
        <v>1740</v>
      </c>
      <c r="AQ5048" s="4" t="s">
        <v>1741</v>
      </c>
      <c r="AR5048" s="4" t="s">
        <v>484</v>
      </c>
      <c r="AS5048" s="4" t="s">
        <v>1742</v>
      </c>
      <c r="AT5048" s="4" t="s">
        <v>1743</v>
      </c>
      <c r="AU5048" s="4" t="s">
        <v>1744</v>
      </c>
      <c r="AV5048" s="4" t="s">
        <v>1745</v>
      </c>
      <c r="AW5048" s="4" t="s">
        <v>1746</v>
      </c>
      <c r="AX5048" s="4" t="s">
        <v>1747</v>
      </c>
      <c r="AY5048" s="4" t="s">
        <v>1748</v>
      </c>
      <c r="AZ5048" s="4" t="s">
        <v>1749</v>
      </c>
      <c r="BA5048" s="4" t="s">
        <v>1750</v>
      </c>
      <c r="BB5048" s="4" t="s">
        <v>483</v>
      </c>
      <c r="BC5048" s="4" t="s">
        <v>1751</v>
      </c>
      <c r="BD5048" s="4" t="s">
        <v>1752</v>
      </c>
      <c r="BE5048" s="4" t="s">
        <v>1753</v>
      </c>
      <c r="BF5048" s="4" t="s">
        <v>1754</v>
      </c>
      <c r="BG5048" s="4" t="s">
        <v>1755</v>
      </c>
      <c r="BH5048" s="4" t="s">
        <v>1756</v>
      </c>
      <c r="BI5048" s="4" t="s">
        <v>1757</v>
      </c>
      <c r="BJ5048" s="4" t="s">
        <v>482</v>
      </c>
      <c r="BK5048" s="4" t="s">
        <v>1758</v>
      </c>
      <c r="BL5048" s="4" t="s">
        <v>780</v>
      </c>
      <c r="BM5048" s="4" t="s">
        <v>12724</v>
      </c>
      <c r="BN5048" s="4" t="s">
        <v>12725</v>
      </c>
    </row>
    <row r="5049">
      <c r="A5049" s="4">
        <v>451.0</v>
      </c>
      <c r="B5049" s="4" t="s">
        <v>11578</v>
      </c>
      <c r="C5049" s="4"/>
      <c r="D5049" s="4" t="s">
        <v>2533</v>
      </c>
      <c r="E5049" s="4" t="s">
        <v>338</v>
      </c>
      <c r="F5049" s="4" t="s">
        <v>339</v>
      </c>
      <c r="G5049" s="5" t="str">
        <f>IFERROR(__xludf.DUMMYFUNCTION("GOOGLETRANSLATE(D5049,""fr"",""es"")"),"masas")</f>
        <v>masas</v>
      </c>
    </row>
    <row r="5050">
      <c r="A5050" s="4">
        <v>452.0</v>
      </c>
      <c r="B5050" s="4" t="s">
        <v>11578</v>
      </c>
      <c r="C5050" s="4"/>
      <c r="D5050" s="4" t="s">
        <v>12844</v>
      </c>
      <c r="E5050" s="4" t="s">
        <v>2279</v>
      </c>
      <c r="F5050" s="4" t="s">
        <v>2278</v>
      </c>
      <c r="G5050" s="5" t="str">
        <f>IFERROR(__xludf.DUMMYFUNCTION("GOOGLETRANSLATE(D5050,""fr"",""es"")"),"mástil")</f>
        <v>mástil</v>
      </c>
      <c r="H5050" s="4" t="s">
        <v>2186</v>
      </c>
      <c r="I5050" s="4" t="s">
        <v>12844</v>
      </c>
      <c r="J5050" s="4" t="s">
        <v>12845</v>
      </c>
      <c r="K5050" s="4" t="s">
        <v>12846</v>
      </c>
      <c r="L5050" s="4" t="s">
        <v>12847</v>
      </c>
      <c r="M5050" s="4" t="s">
        <v>12848</v>
      </c>
      <c r="N5050" s="4" t="s">
        <v>12849</v>
      </c>
      <c r="O5050" s="4" t="s">
        <v>473</v>
      </c>
      <c r="P5050" s="4" t="s">
        <v>12850</v>
      </c>
      <c r="Q5050" s="4" t="s">
        <v>12851</v>
      </c>
      <c r="R5050" s="4" t="s">
        <v>12852</v>
      </c>
      <c r="S5050" s="4" t="s">
        <v>8582</v>
      </c>
      <c r="T5050" s="4" t="s">
        <v>8583</v>
      </c>
      <c r="U5050" s="4" t="s">
        <v>8584</v>
      </c>
      <c r="V5050" s="4" t="s">
        <v>12853</v>
      </c>
      <c r="W5050" s="4" t="s">
        <v>12854</v>
      </c>
    </row>
    <row r="5051">
      <c r="A5051" s="4">
        <v>453.0</v>
      </c>
      <c r="B5051" s="4" t="s">
        <v>11578</v>
      </c>
      <c r="C5051" s="4"/>
      <c r="D5051" s="4" t="s">
        <v>12855</v>
      </c>
      <c r="E5051" s="4" t="s">
        <v>2581</v>
      </c>
      <c r="F5051" s="4" t="s">
        <v>2582</v>
      </c>
      <c r="G5051" s="5" t="str">
        <f>IFERROR(__xludf.DUMMYFUNCTION("GOOGLETRANSLATE(D5051,""fr"",""es"")"),"Mathis")</f>
        <v>Mathis</v>
      </c>
    </row>
    <row r="5052">
      <c r="A5052" s="4">
        <v>454.0</v>
      </c>
      <c r="B5052" s="4" t="s">
        <v>11578</v>
      </c>
      <c r="C5052" s="4"/>
      <c r="D5052" s="4" t="s">
        <v>12856</v>
      </c>
      <c r="E5052" s="4" t="s">
        <v>12857</v>
      </c>
      <c r="F5052" s="4" t="s">
        <v>12856</v>
      </c>
      <c r="G5052" s="5" t="str">
        <f>IFERROR(__xludf.DUMMYFUNCTION("GOOGLETRANSLATE(D5052,""fr"",""es"")"),"Matina")</f>
        <v>Matina</v>
      </c>
    </row>
    <row r="5053">
      <c r="A5053" s="4">
        <v>455.0</v>
      </c>
      <c r="B5053" s="4" t="s">
        <v>11578</v>
      </c>
      <c r="C5053" s="4"/>
      <c r="D5053" s="4" t="s">
        <v>12858</v>
      </c>
      <c r="E5053" s="4" t="s">
        <v>12859</v>
      </c>
      <c r="F5053" s="4" t="s">
        <v>12858</v>
      </c>
      <c r="G5053" s="5" t="str">
        <f>IFERROR(__xludf.DUMMYFUNCTION("GOOGLETRANSLATE(D5053,""fr"",""es"")"),"Mañana")</f>
        <v>Mañana</v>
      </c>
    </row>
    <row r="5054">
      <c r="A5054" s="4">
        <v>456.0</v>
      </c>
      <c r="B5054" s="4" t="s">
        <v>11578</v>
      </c>
      <c r="C5054" s="4"/>
      <c r="D5054" s="4" t="s">
        <v>12860</v>
      </c>
      <c r="E5054" s="4" t="s">
        <v>12861</v>
      </c>
      <c r="F5054" s="4" t="s">
        <v>12862</v>
      </c>
      <c r="G5054" s="5" t="str">
        <f>IFERROR(__xludf.DUMMYFUNCTION("GOOGLETRANSLATE(D5054,""fr"",""es"")"),"maitines")</f>
        <v>maitines</v>
      </c>
      <c r="H5054" s="4" t="s">
        <v>12863</v>
      </c>
      <c r="I5054" s="4" t="s">
        <v>12864</v>
      </c>
    </row>
    <row r="5055">
      <c r="A5055" s="4">
        <v>457.0</v>
      </c>
      <c r="B5055" s="4" t="s">
        <v>11578</v>
      </c>
      <c r="C5055" s="4"/>
      <c r="D5055" s="4" t="s">
        <v>12865</v>
      </c>
      <c r="E5055" s="4" t="s">
        <v>12866</v>
      </c>
      <c r="F5055" s="4" t="s">
        <v>12867</v>
      </c>
      <c r="G5055" s="5" t="str">
        <f>IFERROR(__xludf.DUMMYFUNCTION("GOOGLETRANSLATE(D5055,""fr"",""es"")"),"Matou")</f>
        <v>Matou</v>
      </c>
      <c r="H5055" s="4" t="s">
        <v>8842</v>
      </c>
      <c r="I5055" s="4" t="s">
        <v>8843</v>
      </c>
      <c r="J5055" s="4" t="s">
        <v>8837</v>
      </c>
      <c r="K5055" s="4" t="s">
        <v>8844</v>
      </c>
      <c r="L5055" s="4" t="s">
        <v>8837</v>
      </c>
      <c r="M5055" s="4" t="s">
        <v>8841</v>
      </c>
    </row>
    <row r="5056">
      <c r="A5056" s="4">
        <v>458.0</v>
      </c>
      <c r="B5056" s="4" t="s">
        <v>11578</v>
      </c>
      <c r="C5056" s="4"/>
      <c r="D5056" s="4" t="s">
        <v>2315</v>
      </c>
      <c r="E5056" s="4" t="s">
        <v>2314</v>
      </c>
      <c r="F5056" s="4" t="s">
        <v>2315</v>
      </c>
      <c r="G5056" s="5" t="str">
        <f>IFERROR(__xludf.DUMMYFUNCTION("GOOGLETRANSLATE(D5056,""fr"",""es"")"),"maya")</f>
        <v>maya</v>
      </c>
    </row>
    <row r="5057">
      <c r="A5057" s="4">
        <v>459.0</v>
      </c>
      <c r="B5057" s="4" t="s">
        <v>11578</v>
      </c>
      <c r="C5057" s="4"/>
      <c r="D5057" s="4" t="s">
        <v>342</v>
      </c>
      <c r="E5057" s="4" t="s">
        <v>341</v>
      </c>
      <c r="F5057" s="4" t="s">
        <v>342</v>
      </c>
      <c r="G5057" s="5" t="str">
        <f>IFERROR(__xludf.DUMMYFUNCTION("GOOGLETRANSLATE(D5057,""fr"",""es"")"),"medio")</f>
        <v>medio</v>
      </c>
      <c r="H5057" s="4" t="s">
        <v>342</v>
      </c>
      <c r="I5057" s="4" t="s">
        <v>2653</v>
      </c>
      <c r="J5057" s="4" t="s">
        <v>2654</v>
      </c>
      <c r="K5057" s="4" t="s">
        <v>2655</v>
      </c>
      <c r="L5057" s="4" t="s">
        <v>2656</v>
      </c>
      <c r="M5057" s="4" t="s">
        <v>2657</v>
      </c>
      <c r="N5057" s="4" t="s">
        <v>342</v>
      </c>
      <c r="O5057" s="4" t="s">
        <v>2660</v>
      </c>
      <c r="P5057" s="4" t="s">
        <v>2661</v>
      </c>
      <c r="Q5057" s="4" t="s">
        <v>2653</v>
      </c>
      <c r="R5057" s="4" t="s">
        <v>342</v>
      </c>
      <c r="S5057" s="4" t="s">
        <v>2664</v>
      </c>
      <c r="T5057" s="4" t="s">
        <v>2665</v>
      </c>
    </row>
    <row r="5058">
      <c r="A5058" s="4">
        <v>460.0</v>
      </c>
      <c r="B5058" s="4" t="s">
        <v>11578</v>
      </c>
      <c r="C5058" s="4"/>
      <c r="D5058" s="4" t="s">
        <v>12868</v>
      </c>
      <c r="E5058" s="4" t="s">
        <v>12869</v>
      </c>
      <c r="F5058" s="4" t="s">
        <v>12870</v>
      </c>
      <c r="G5058" s="5" t="str">
        <f>IFERROR(__xludf.DUMMYFUNCTION("GOOGLETRANSLATE(D5058,""fr"",""es"")"),"Miami")</f>
        <v>Miami</v>
      </c>
    </row>
    <row r="5059">
      <c r="A5059" s="4">
        <v>461.0</v>
      </c>
      <c r="B5059" s="4" t="s">
        <v>11578</v>
      </c>
      <c r="C5059" s="4"/>
      <c r="D5059" s="4" t="s">
        <v>12868</v>
      </c>
      <c r="E5059" s="4" t="s">
        <v>12871</v>
      </c>
      <c r="F5059" s="4" t="s">
        <v>12872</v>
      </c>
      <c r="G5059" s="5" t="str">
        <f>IFERROR(__xludf.DUMMYFUNCTION("GOOGLETRANSLATE(D5059,""fr"",""es"")"),"Miami")</f>
        <v>Miami</v>
      </c>
    </row>
    <row r="5060">
      <c r="A5060" s="4">
        <v>462.0</v>
      </c>
      <c r="B5060" s="4" t="s">
        <v>11578</v>
      </c>
      <c r="C5060" s="4"/>
      <c r="D5060" s="4" t="s">
        <v>12873</v>
      </c>
      <c r="E5060" s="4" t="s">
        <v>2720</v>
      </c>
      <c r="F5060" s="4" t="s">
        <v>2721</v>
      </c>
      <c r="G5060" s="5" t="str">
        <f>IFERROR(__xludf.DUMMYFUNCTION("GOOGLETRANSLATE(D5060,""fr"",""es"")"),"Micé")</f>
        <v>Micé</v>
      </c>
      <c r="H5060" s="4" t="s">
        <v>12874</v>
      </c>
      <c r="I5060" s="4" t="s">
        <v>8469</v>
      </c>
    </row>
    <row r="5061">
      <c r="A5061" s="4">
        <v>463.0</v>
      </c>
      <c r="B5061" s="4" t="s">
        <v>11578</v>
      </c>
      <c r="C5061" s="4"/>
      <c r="D5061" s="4" t="s">
        <v>12875</v>
      </c>
      <c r="E5061" s="4" t="s">
        <v>341</v>
      </c>
      <c r="F5061" s="4" t="s">
        <v>342</v>
      </c>
      <c r="G5061" s="5" t="str">
        <f>IFERROR(__xludf.DUMMYFUNCTION("GOOGLETRANSLATE(D5061,""fr"",""es"")"),"miga")</f>
        <v>miga</v>
      </c>
      <c r="H5061" s="4" t="s">
        <v>1149</v>
      </c>
      <c r="I5061" s="4" t="s">
        <v>1149</v>
      </c>
      <c r="J5061" s="4" t="s">
        <v>1149</v>
      </c>
      <c r="K5061" s="4" t="s">
        <v>1149</v>
      </c>
      <c r="L5061" s="4" t="s">
        <v>1149</v>
      </c>
    </row>
    <row r="5062">
      <c r="A5062" s="4">
        <v>464.0</v>
      </c>
      <c r="B5062" s="4" t="s">
        <v>11578</v>
      </c>
      <c r="C5062" s="4"/>
      <c r="D5062" s="4" t="s">
        <v>12876</v>
      </c>
      <c r="E5062" s="4" t="s">
        <v>341</v>
      </c>
      <c r="F5062" s="4" t="s">
        <v>342</v>
      </c>
      <c r="G5062" s="5" t="str">
        <f>IFERROR(__xludf.DUMMYFUNCTION("GOOGLETRANSLATE(D5062,""fr"",""es"")"),"mies")</f>
        <v>mies</v>
      </c>
    </row>
    <row r="5063">
      <c r="A5063" s="4">
        <v>465.0</v>
      </c>
      <c r="B5063" s="4" t="s">
        <v>11578</v>
      </c>
      <c r="C5063" s="4"/>
      <c r="D5063" s="4" t="s">
        <v>2601</v>
      </c>
      <c r="E5063" s="4" t="s">
        <v>2600</v>
      </c>
      <c r="F5063" s="4" t="s">
        <v>2601</v>
      </c>
      <c r="G5063" s="5" t="str">
        <f>IFERROR(__xludf.DUMMYFUNCTION("GOOGLETRANSLATE(D5063,""fr"",""es"")"),"mika")</f>
        <v>mika</v>
      </c>
    </row>
    <row r="5064">
      <c r="A5064" s="4">
        <v>466.0</v>
      </c>
      <c r="B5064" s="4" t="s">
        <v>11578</v>
      </c>
      <c r="C5064" s="4"/>
      <c r="D5064" s="4" t="s">
        <v>2622</v>
      </c>
      <c r="E5064" s="4" t="s">
        <v>12877</v>
      </c>
      <c r="F5064" s="4" t="s">
        <v>12878</v>
      </c>
      <c r="G5064" s="5" t="str">
        <f>IFERROR(__xludf.DUMMYFUNCTION("GOOGLETRANSLATE(D5064,""fr"",""es"")"),"mijo")</f>
        <v>mijo</v>
      </c>
    </row>
    <row r="5065">
      <c r="A5065" s="4">
        <v>467.0</v>
      </c>
      <c r="B5065" s="4" t="s">
        <v>11578</v>
      </c>
      <c r="C5065" s="4"/>
      <c r="D5065" s="4" t="s">
        <v>2622</v>
      </c>
      <c r="E5065" s="4" t="s">
        <v>2623</v>
      </c>
      <c r="F5065" s="4" t="s">
        <v>2622</v>
      </c>
      <c r="G5065" s="5" t="str">
        <f>IFERROR(__xludf.DUMMYFUNCTION("GOOGLETRANSLATE(D5065,""fr"",""es"")"),"mijo")</f>
        <v>mijo</v>
      </c>
    </row>
    <row r="5066">
      <c r="A5066" s="4">
        <v>468.0</v>
      </c>
      <c r="B5066" s="4" t="s">
        <v>11578</v>
      </c>
      <c r="C5066" s="4"/>
      <c r="D5066" s="4" t="s">
        <v>2653</v>
      </c>
      <c r="E5066" s="4" t="s">
        <v>2623</v>
      </c>
      <c r="F5066" s="4" t="s">
        <v>2622</v>
      </c>
      <c r="G5066" s="5" t="str">
        <f>IFERROR(__xludf.DUMMYFUNCTION("GOOGLETRANSLATE(D5066,""fr"",""es"")"),"milla")</f>
        <v>milla</v>
      </c>
      <c r="H5066" s="4" t="s">
        <v>2653</v>
      </c>
      <c r="I5066" s="4" t="s">
        <v>2653</v>
      </c>
      <c r="J5066" s="4" t="s">
        <v>2654</v>
      </c>
      <c r="K5066" s="4" t="s">
        <v>2655</v>
      </c>
      <c r="L5066" s="4" t="s">
        <v>2656</v>
      </c>
      <c r="M5066" s="4" t="s">
        <v>2657</v>
      </c>
      <c r="N5066" s="4" t="s">
        <v>342</v>
      </c>
    </row>
    <row r="5067">
      <c r="A5067" s="4">
        <v>469.0</v>
      </c>
      <c r="B5067" s="4" t="s">
        <v>11578</v>
      </c>
      <c r="C5067" s="4"/>
      <c r="D5067" s="4" t="s">
        <v>12879</v>
      </c>
      <c r="E5067" s="4" t="s">
        <v>12880</v>
      </c>
      <c r="F5067" s="4" t="s">
        <v>12881</v>
      </c>
      <c r="G5067" s="5" t="str">
        <f>IFERROR(__xludf.DUMMYFUNCTION("GOOGLETRANSLATE(D5067,""fr"",""es"")"),"milicia")</f>
        <v>milicia</v>
      </c>
      <c r="H5067" s="4" t="s">
        <v>12882</v>
      </c>
      <c r="I5067" s="4" t="s">
        <v>12883</v>
      </c>
      <c r="J5067" s="4" t="s">
        <v>12882</v>
      </c>
    </row>
    <row r="5068">
      <c r="A5068" s="4">
        <v>470.0</v>
      </c>
      <c r="B5068" s="4" t="s">
        <v>11578</v>
      </c>
      <c r="C5068" s="4"/>
      <c r="D5068" s="4" t="s">
        <v>12884</v>
      </c>
      <c r="E5068" s="4" t="s">
        <v>2623</v>
      </c>
      <c r="F5068" s="4" t="s">
        <v>2622</v>
      </c>
      <c r="G5068" s="5" t="str">
        <f>IFERROR(__xludf.DUMMYFUNCTION("GOOGLETRANSLATE(D5068,""fr"",""es"")"),"mil")</f>
        <v>mil</v>
      </c>
      <c r="H5068" s="4" t="s">
        <v>2624</v>
      </c>
      <c r="I5068" s="4" t="s">
        <v>2625</v>
      </c>
      <c r="J5068" s="4">
        <v>1000.0</v>
      </c>
      <c r="K5068" s="4" t="s">
        <v>2626</v>
      </c>
      <c r="L5068" s="4" t="s">
        <v>2627</v>
      </c>
      <c r="M5068" s="4" t="s">
        <v>2653</v>
      </c>
      <c r="N5068" s="4" t="s">
        <v>2653</v>
      </c>
      <c r="O5068" s="4" t="s">
        <v>2654</v>
      </c>
      <c r="P5068" s="4" t="s">
        <v>2655</v>
      </c>
      <c r="Q5068" s="4" t="s">
        <v>2656</v>
      </c>
      <c r="R5068" s="4" t="s">
        <v>2657</v>
      </c>
      <c r="S5068" s="4" t="s">
        <v>342</v>
      </c>
      <c r="T5068" s="4" t="s">
        <v>2653</v>
      </c>
      <c r="U5068" s="4" t="s">
        <v>2622</v>
      </c>
      <c r="V5068" s="4" t="s">
        <v>2658</v>
      </c>
      <c r="W5068" s="4" t="s">
        <v>2653</v>
      </c>
      <c r="X5068" s="4" t="s">
        <v>2659</v>
      </c>
      <c r="Y5068" s="4" t="s">
        <v>2660</v>
      </c>
      <c r="Z5068" s="4" t="s">
        <v>2653</v>
      </c>
      <c r="AA5068" s="4" t="s">
        <v>342</v>
      </c>
      <c r="AB5068" s="4" t="s">
        <v>2661</v>
      </c>
      <c r="AC5068" s="4" t="s">
        <v>2145</v>
      </c>
      <c r="AD5068" s="4" t="s">
        <v>2662</v>
      </c>
      <c r="AE5068" s="4" t="s">
        <v>2663</v>
      </c>
      <c r="AF5068" s="4" t="s">
        <v>2660</v>
      </c>
      <c r="AG5068" s="4" t="s">
        <v>2661</v>
      </c>
      <c r="AH5068" s="4" t="s">
        <v>2653</v>
      </c>
      <c r="AI5068" s="4" t="s">
        <v>342</v>
      </c>
      <c r="AJ5068" s="4" t="s">
        <v>2664</v>
      </c>
      <c r="AK5068" s="4" t="s">
        <v>2665</v>
      </c>
      <c r="AL5068" s="4" t="s">
        <v>2666</v>
      </c>
      <c r="AM5068" s="4" t="s">
        <v>2653</v>
      </c>
      <c r="AN5068" s="4" t="s">
        <v>2624</v>
      </c>
      <c r="AO5068" s="4" t="s">
        <v>2625</v>
      </c>
      <c r="AP5068" s="4">
        <v>1000.0</v>
      </c>
      <c r="AQ5068" s="4" t="s">
        <v>2628</v>
      </c>
      <c r="AR5068" s="4" t="s">
        <v>2629</v>
      </c>
      <c r="AS5068" s="4" t="s">
        <v>2630</v>
      </c>
      <c r="AT5068" s="4" t="s">
        <v>2631</v>
      </c>
      <c r="AU5068" s="4" t="s">
        <v>2632</v>
      </c>
      <c r="AV5068" s="4" t="s">
        <v>2633</v>
      </c>
      <c r="AW5068" s="4" t="s">
        <v>2634</v>
      </c>
      <c r="AX5068" s="4" t="s">
        <v>2653</v>
      </c>
    </row>
    <row r="5069">
      <c r="A5069" s="4">
        <v>471.0</v>
      </c>
      <c r="B5069" s="4" t="s">
        <v>11578</v>
      </c>
      <c r="C5069" s="4"/>
      <c r="D5069" s="4" t="s">
        <v>12885</v>
      </c>
      <c r="E5069" s="4" t="s">
        <v>12886</v>
      </c>
      <c r="F5069" s="4" t="s">
        <v>12887</v>
      </c>
      <c r="G5069" s="5" t="str">
        <f>IFERROR(__xludf.DUMMYFUNCTION("GOOGLETRANSLATE(D5069,""fr"",""es"")"),"milikatal")</f>
        <v>milikatal</v>
      </c>
    </row>
    <row r="5070">
      <c r="A5070" s="4">
        <v>472.0</v>
      </c>
      <c r="B5070" s="4" t="s">
        <v>11578</v>
      </c>
      <c r="C5070" s="4"/>
      <c r="D5070" s="4" t="s">
        <v>12888</v>
      </c>
      <c r="E5070" s="4" t="s">
        <v>12889</v>
      </c>
      <c r="F5070" s="4" t="s">
        <v>12890</v>
      </c>
      <c r="G5070" s="5" t="str">
        <f>IFERROR(__xludf.DUMMYFUNCTION("GOOGLETRANSLATE(D5070,""fr"",""es"")"),"miltil")</f>
        <v>miltil</v>
      </c>
    </row>
    <row r="5071">
      <c r="A5071" s="4">
        <v>473.0</v>
      </c>
      <c r="B5071" s="4" t="s">
        <v>11578</v>
      </c>
      <c r="C5071" s="4"/>
      <c r="D5071" s="4" t="s">
        <v>2690</v>
      </c>
      <c r="E5071" s="4" t="s">
        <v>2689</v>
      </c>
      <c r="F5071" s="4" t="s">
        <v>2688</v>
      </c>
      <c r="G5071" s="5" t="str">
        <f>IFERROR(__xludf.DUMMYFUNCTION("GOOGLETRANSLATE(D5071,""fr"",""es"")"),"mímica")</f>
        <v>mímica</v>
      </c>
      <c r="H5071" s="4" t="s">
        <v>2690</v>
      </c>
      <c r="I5071" s="4" t="s">
        <v>2882</v>
      </c>
      <c r="J5071" s="4" t="s">
        <v>2883</v>
      </c>
      <c r="K5071" s="4" t="s">
        <v>2690</v>
      </c>
      <c r="L5071" s="4" t="s">
        <v>2882</v>
      </c>
      <c r="M5071" s="4" t="s">
        <v>6838</v>
      </c>
      <c r="N5071" s="4" t="s">
        <v>2690</v>
      </c>
      <c r="O5071" s="4" t="s">
        <v>2690</v>
      </c>
      <c r="P5071" s="4" t="s">
        <v>2691</v>
      </c>
      <c r="Q5071" s="4" t="s">
        <v>2692</v>
      </c>
      <c r="R5071" s="4" t="s">
        <v>2693</v>
      </c>
      <c r="S5071" s="4" t="s">
        <v>2694</v>
      </c>
    </row>
    <row r="5072">
      <c r="A5072" s="4">
        <v>474.0</v>
      </c>
      <c r="B5072" s="4" t="s">
        <v>11578</v>
      </c>
      <c r="C5072" s="4"/>
      <c r="D5072" s="4" t="s">
        <v>2695</v>
      </c>
      <c r="E5072" s="4" t="s">
        <v>2696</v>
      </c>
      <c r="F5072" s="4" t="s">
        <v>2695</v>
      </c>
      <c r="G5072" s="5" t="str">
        <f>IFERROR(__xludf.DUMMYFUNCTION("GOOGLETRANSLATE(D5072,""fr"",""es"")"),"mina")</f>
        <v>mina</v>
      </c>
    </row>
    <row r="5073">
      <c r="A5073" s="4">
        <v>475.0</v>
      </c>
      <c r="B5073" s="4" t="s">
        <v>11578</v>
      </c>
      <c r="C5073" s="4"/>
      <c r="D5073" s="4" t="s">
        <v>12891</v>
      </c>
      <c r="E5073" s="4" t="s">
        <v>10564</v>
      </c>
      <c r="F5073" s="4" t="s">
        <v>2695</v>
      </c>
      <c r="G5073" s="5" t="str">
        <f>IFERROR(__xludf.DUMMYFUNCTION("GOOGLETRANSLATE(D5073,""fr"",""es"")"),"minas")</f>
        <v>minas</v>
      </c>
    </row>
    <row r="5074">
      <c r="A5074" s="4">
        <v>476.0</v>
      </c>
      <c r="B5074" s="4" t="s">
        <v>11578</v>
      </c>
      <c r="C5074" s="4"/>
      <c r="D5074" s="4" t="s">
        <v>12892</v>
      </c>
      <c r="E5074" s="4" t="s">
        <v>12893</v>
      </c>
      <c r="F5074" s="4" t="s">
        <v>12891</v>
      </c>
      <c r="G5074" s="5" t="str">
        <f>IFERROR(__xludf.DUMMYFUNCTION("GOOGLETRANSLATE(D5074,""fr"",""es"")"),"Minassus")</f>
        <v>Minassus</v>
      </c>
    </row>
    <row r="5075">
      <c r="A5075" s="4">
        <v>477.0</v>
      </c>
      <c r="B5075" s="4" t="s">
        <v>11578</v>
      </c>
      <c r="C5075" s="4"/>
      <c r="D5075" s="4" t="s">
        <v>12894</v>
      </c>
      <c r="E5075" s="4" t="s">
        <v>12893</v>
      </c>
      <c r="F5075" s="4" t="s">
        <v>12891</v>
      </c>
      <c r="G5075" s="5" t="str">
        <f>IFERROR(__xludf.DUMMYFUNCTION("GOOGLETRANSLATE(D5075,""fr"",""es"")"),"minuto")</f>
        <v>minuto</v>
      </c>
    </row>
    <row r="5076">
      <c r="A5076" s="4">
        <v>478.0</v>
      </c>
      <c r="B5076" s="4" t="s">
        <v>11578</v>
      </c>
      <c r="C5076" s="4"/>
      <c r="D5076" s="4" t="s">
        <v>12895</v>
      </c>
      <c r="E5076" s="4" t="s">
        <v>12893</v>
      </c>
      <c r="F5076" s="4" t="s">
        <v>12891</v>
      </c>
      <c r="G5076" s="5" t="str">
        <f>IFERROR(__xludf.DUMMYFUNCTION("GOOGLETRANSLATE(D5076,""fr"",""es"")"),"Minassus")</f>
        <v>Minassus</v>
      </c>
    </row>
    <row r="5077">
      <c r="A5077" s="4">
        <v>479.0</v>
      </c>
      <c r="B5077" s="4" t="s">
        <v>11578</v>
      </c>
      <c r="C5077" s="4"/>
      <c r="D5077" s="4" t="s">
        <v>2698</v>
      </c>
      <c r="E5077" s="4" t="s">
        <v>9129</v>
      </c>
      <c r="F5077" s="4" t="s">
        <v>6841</v>
      </c>
      <c r="G5077" s="5" t="str">
        <f>IFERROR(__xludf.DUMMYFUNCTION("GOOGLETRANSLATE(D5077,""fr"",""es"")"),"mía")</f>
        <v>mía</v>
      </c>
      <c r="H5077" s="4" t="s">
        <v>12896</v>
      </c>
      <c r="I5077" s="4" t="s">
        <v>12897</v>
      </c>
      <c r="J5077" s="4" t="s">
        <v>12896</v>
      </c>
      <c r="K5077" s="4" t="s">
        <v>12898</v>
      </c>
      <c r="L5077" s="4" t="s">
        <v>2698</v>
      </c>
      <c r="M5077" s="4" t="s">
        <v>2698</v>
      </c>
      <c r="N5077" s="4" t="s">
        <v>12899</v>
      </c>
      <c r="O5077" s="4" t="s">
        <v>12900</v>
      </c>
      <c r="P5077" s="4" t="s">
        <v>12901</v>
      </c>
      <c r="Q5077" s="4" t="s">
        <v>12902</v>
      </c>
      <c r="R5077" s="4" t="s">
        <v>12903</v>
      </c>
      <c r="S5077" s="4" t="s">
        <v>12904</v>
      </c>
    </row>
    <row r="5078">
      <c r="A5078" s="4">
        <v>480.0</v>
      </c>
      <c r="B5078" s="4" t="s">
        <v>11578</v>
      </c>
      <c r="C5078" s="4"/>
      <c r="D5078" s="4" t="s">
        <v>12905</v>
      </c>
      <c r="E5078" s="4" t="s">
        <v>9129</v>
      </c>
      <c r="F5078" s="4" t="s">
        <v>6841</v>
      </c>
      <c r="G5078" s="5" t="str">
        <f>IFERROR(__xludf.DUMMYFUNCTION("GOOGLETRANSLATE(D5078,""fr"",""es"")"),"mía")</f>
        <v>mía</v>
      </c>
    </row>
    <row r="5079">
      <c r="A5079" s="4">
        <v>481.0</v>
      </c>
      <c r="B5079" s="4" t="s">
        <v>11578</v>
      </c>
      <c r="C5079" s="4"/>
      <c r="D5079" s="4" t="s">
        <v>12906</v>
      </c>
      <c r="E5079" s="4" t="s">
        <v>9129</v>
      </c>
      <c r="F5079" s="4" t="s">
        <v>6841</v>
      </c>
      <c r="G5079" s="5" t="str">
        <f>IFERROR(__xludf.DUMMYFUNCTION("GOOGLETRANSLATE(D5079,""fr"",""es"")"),"minas")</f>
        <v>minas</v>
      </c>
    </row>
    <row r="5080">
      <c r="A5080" s="4">
        <v>482.0</v>
      </c>
      <c r="B5080" s="4" t="s">
        <v>11578</v>
      </c>
      <c r="C5080" s="4"/>
      <c r="D5080" s="4" t="s">
        <v>6851</v>
      </c>
      <c r="E5080" s="4" t="s">
        <v>12907</v>
      </c>
      <c r="F5080" s="4" t="s">
        <v>6851</v>
      </c>
      <c r="G5080" s="5" t="str">
        <f>IFERROR(__xludf.DUMMYFUNCTION("GOOGLETRANSLATE(D5080,""fr"",""es"")"),"mini")</f>
        <v>mini</v>
      </c>
    </row>
    <row r="5081">
      <c r="A5081" s="4">
        <v>483.0</v>
      </c>
      <c r="B5081" s="4" t="s">
        <v>11578</v>
      </c>
      <c r="C5081" s="4"/>
      <c r="D5081" s="4" t="s">
        <v>2896</v>
      </c>
      <c r="E5081" s="4" t="s">
        <v>12908</v>
      </c>
      <c r="F5081" s="4" t="s">
        <v>2896</v>
      </c>
      <c r="G5081" s="5" t="str">
        <f>IFERROR(__xludf.DUMMYFUNCTION("GOOGLETRANSLATE(D5081,""fr"",""es"")"),"mínimo")</f>
        <v>mínimo</v>
      </c>
      <c r="H5081" s="4" t="s">
        <v>2896</v>
      </c>
      <c r="I5081" s="4" t="s">
        <v>2897</v>
      </c>
    </row>
    <row r="5082">
      <c r="A5082" s="4">
        <v>484.0</v>
      </c>
      <c r="B5082" s="4" t="s">
        <v>11578</v>
      </c>
      <c r="C5082" s="4"/>
      <c r="D5082" s="4" t="s">
        <v>12909</v>
      </c>
      <c r="E5082" s="4" t="s">
        <v>12910</v>
      </c>
      <c r="F5082" s="4" t="s">
        <v>12911</v>
      </c>
      <c r="G5082" s="5" t="str">
        <f>IFERROR(__xludf.DUMMYFUNCTION("GOOGLETRANSLATE(D5082,""fr"",""es"")"),"gatito")</f>
        <v>gatito</v>
      </c>
      <c r="H5082" s="4" t="s">
        <v>2722</v>
      </c>
      <c r="I5082" s="4" t="s">
        <v>2723</v>
      </c>
      <c r="J5082" s="4" t="s">
        <v>2724</v>
      </c>
      <c r="K5082" s="4" t="s">
        <v>2725</v>
      </c>
      <c r="L5082" s="4" t="s">
        <v>2726</v>
      </c>
      <c r="M5082" s="4" t="s">
        <v>6481</v>
      </c>
      <c r="N5082" s="4" t="s">
        <v>2722</v>
      </c>
      <c r="O5082" s="4" t="s">
        <v>3432</v>
      </c>
      <c r="P5082" s="4" t="s">
        <v>2724</v>
      </c>
      <c r="Q5082" s="4" t="s">
        <v>2725</v>
      </c>
      <c r="R5082" s="4" t="s">
        <v>3433</v>
      </c>
      <c r="S5082" s="4" t="s">
        <v>3434</v>
      </c>
      <c r="T5082" s="4" t="s">
        <v>3435</v>
      </c>
      <c r="U5082" s="4" t="s">
        <v>10719</v>
      </c>
      <c r="V5082" s="4" t="s">
        <v>12912</v>
      </c>
      <c r="W5082" s="4" t="s">
        <v>8108</v>
      </c>
      <c r="X5082" s="4" t="s">
        <v>12913</v>
      </c>
    </row>
    <row r="5083">
      <c r="A5083" s="4">
        <v>485.0</v>
      </c>
      <c r="B5083" s="4" t="s">
        <v>11578</v>
      </c>
      <c r="C5083" s="4"/>
      <c r="D5083" s="4" t="s">
        <v>12914</v>
      </c>
      <c r="E5083" s="4" t="s">
        <v>10566</v>
      </c>
      <c r="F5083" s="4" t="s">
        <v>10565</v>
      </c>
      <c r="G5083" s="5" t="str">
        <f>IFERROR(__xludf.DUMMYFUNCTION("GOOGLETRANSLATE(D5083,""fr"",""es"")"),"gatito")</f>
        <v>gatito</v>
      </c>
    </row>
    <row r="5084">
      <c r="A5084" s="4">
        <v>486.0</v>
      </c>
      <c r="B5084" s="4" t="s">
        <v>11578</v>
      </c>
      <c r="C5084" s="4"/>
      <c r="D5084" s="4" t="s">
        <v>12915</v>
      </c>
      <c r="E5084" s="4" t="s">
        <v>12916</v>
      </c>
      <c r="F5084" s="4" t="s">
        <v>12917</v>
      </c>
      <c r="G5084" s="5" t="str">
        <f>IFERROR(__xludf.DUMMYFUNCTION("GOOGLETRANSLATE(D5084,""fr"",""es"")"),"mi nombre")</f>
        <v>mi nombre</v>
      </c>
    </row>
    <row r="5085">
      <c r="A5085" s="4">
        <v>487.0</v>
      </c>
      <c r="B5085" s="4" t="s">
        <v>11578</v>
      </c>
      <c r="C5085" s="4"/>
      <c r="D5085" s="4" t="s">
        <v>12918</v>
      </c>
      <c r="E5085" s="4" t="s">
        <v>10564</v>
      </c>
      <c r="F5085" s="4" t="s">
        <v>2695</v>
      </c>
      <c r="G5085" s="5" t="str">
        <f>IFERROR(__xludf.DUMMYFUNCTION("GOOGLETRANSLATE(D5085,""fr"",""es"")"),"minatista")</f>
        <v>minatista</v>
      </c>
    </row>
    <row r="5086">
      <c r="A5086" s="4">
        <v>488.0</v>
      </c>
      <c r="B5086" s="4" t="s">
        <v>11578</v>
      </c>
      <c r="C5086" s="4"/>
      <c r="D5086" s="4" t="s">
        <v>2711</v>
      </c>
      <c r="E5086" s="4" t="s">
        <v>341</v>
      </c>
      <c r="F5086" s="4" t="s">
        <v>342</v>
      </c>
      <c r="G5086" s="5" t="str">
        <f>IFERROR(__xludf.DUMMYFUNCTION("GOOGLETRANSLATE(D5086,""fr"",""es"")"),"poner")</f>
        <v>poner</v>
      </c>
    </row>
    <row r="5087">
      <c r="A5087" s="4">
        <v>489.0</v>
      </c>
      <c r="B5087" s="4" t="s">
        <v>11578</v>
      </c>
      <c r="C5087" s="4"/>
      <c r="D5087" s="4" t="s">
        <v>12919</v>
      </c>
      <c r="E5087" s="4" t="s">
        <v>12920</v>
      </c>
      <c r="F5087" s="4" t="s">
        <v>12921</v>
      </c>
      <c r="G5087" s="5" t="str">
        <f>IFERROR(__xludf.DUMMYFUNCTION("GOOGLETRANSLATE(D5087,""fr"",""es"")"),"misil")</f>
        <v>misil</v>
      </c>
      <c r="H5087" s="4" t="s">
        <v>12919</v>
      </c>
      <c r="I5087" s="4" t="s">
        <v>12922</v>
      </c>
      <c r="J5087" s="4" t="s">
        <v>12923</v>
      </c>
    </row>
    <row r="5088">
      <c r="A5088" s="4">
        <v>490.0</v>
      </c>
      <c r="B5088" s="4" t="s">
        <v>11578</v>
      </c>
      <c r="C5088" s="4"/>
      <c r="D5088" s="4" t="s">
        <v>12924</v>
      </c>
      <c r="E5088" s="4" t="s">
        <v>341</v>
      </c>
      <c r="F5088" s="4" t="s">
        <v>342</v>
      </c>
      <c r="G5088" s="5" t="str">
        <f>IFERROR(__xludf.DUMMYFUNCTION("GOOGLETRANSLATE(D5088,""fr"",""es"")"),"poner")</f>
        <v>poner</v>
      </c>
      <c r="H5088" s="4" t="s">
        <v>12925</v>
      </c>
      <c r="I5088" s="4" t="s">
        <v>12926</v>
      </c>
    </row>
    <row r="5089">
      <c r="A5089" s="4">
        <v>491.0</v>
      </c>
      <c r="B5089" s="4" t="s">
        <v>11578</v>
      </c>
      <c r="C5089" s="4"/>
      <c r="D5089" s="4" t="s">
        <v>12927</v>
      </c>
      <c r="E5089" s="4" t="s">
        <v>12928</v>
      </c>
      <c r="F5089" s="4" t="s">
        <v>12927</v>
      </c>
      <c r="G5089" s="5" t="str">
        <f>IFERROR(__xludf.DUMMYFUNCTION("GOOGLETRANSLATE(D5089,""fr"",""es"")"),"mita")</f>
        <v>mita</v>
      </c>
    </row>
    <row r="5090">
      <c r="A5090" s="4">
        <v>492.0</v>
      </c>
      <c r="B5090" s="4" t="s">
        <v>11578</v>
      </c>
      <c r="C5090" s="4"/>
      <c r="D5090" s="4" t="s">
        <v>10583</v>
      </c>
      <c r="E5090" s="4" t="s">
        <v>12929</v>
      </c>
      <c r="F5090" s="4" t="s">
        <v>12927</v>
      </c>
      <c r="G5090" s="5" t="str">
        <f>IFERROR(__xludf.DUMMYFUNCTION("GOOGLETRANSLATE(D5090,""fr"",""es"")"),"mitas")</f>
        <v>mitas</v>
      </c>
    </row>
    <row r="5091">
      <c r="A5091" s="4">
        <v>493.0</v>
      </c>
      <c r="B5091" s="4" t="s">
        <v>11578</v>
      </c>
      <c r="C5091" s="4"/>
      <c r="D5091" s="4" t="s">
        <v>12930</v>
      </c>
      <c r="E5091" s="4" t="s">
        <v>12931</v>
      </c>
      <c r="F5091" s="4" t="s">
        <v>10583</v>
      </c>
      <c r="G5091" s="5" t="str">
        <f>IFERROR(__xludf.DUMMYFUNCTION("GOOGLETRANSLATE(D5091,""fr"",""es"")"),"mitasse")</f>
        <v>mitasse</v>
      </c>
    </row>
    <row r="5092">
      <c r="A5092" s="4">
        <v>494.0</v>
      </c>
      <c r="B5092" s="4" t="s">
        <v>11578</v>
      </c>
      <c r="C5092" s="4"/>
      <c r="D5092" s="4" t="s">
        <v>12932</v>
      </c>
      <c r="E5092" s="4" t="s">
        <v>12931</v>
      </c>
      <c r="F5092" s="4" t="s">
        <v>10583</v>
      </c>
      <c r="G5092" s="5" t="str">
        <f>IFERROR(__xludf.DUMMYFUNCTION("GOOGLETRANSLATE(D5092,""fr"",""es"")"),"mitassent")</f>
        <v>mitassent</v>
      </c>
    </row>
    <row r="5093">
      <c r="A5093" s="4">
        <v>495.0</v>
      </c>
      <c r="B5093" s="4" t="s">
        <v>11578</v>
      </c>
      <c r="C5093" s="4"/>
      <c r="D5093" s="4" t="s">
        <v>12933</v>
      </c>
      <c r="E5093" s="4" t="s">
        <v>12931</v>
      </c>
      <c r="F5093" s="4" t="s">
        <v>10583</v>
      </c>
      <c r="G5093" s="5" t="str">
        <f>IFERROR(__xludf.DUMMYFUNCTION("GOOGLETRANSLATE(D5093,""fr"",""es"")"),"mitasse")</f>
        <v>mitasse</v>
      </c>
    </row>
    <row r="5094">
      <c r="A5094" s="4">
        <v>496.0</v>
      </c>
      <c r="B5094" s="4" t="s">
        <v>11578</v>
      </c>
      <c r="C5094" s="4"/>
      <c r="D5094" s="4" t="s">
        <v>12934</v>
      </c>
      <c r="E5094" s="4" t="s">
        <v>12935</v>
      </c>
      <c r="F5094" s="4" t="s">
        <v>12936</v>
      </c>
      <c r="G5094" s="5" t="str">
        <f>IFERROR(__xludf.DUMMYFUNCTION("GOOGLETRANSLATE(D5094,""fr"",""es"")"),"mitées")</f>
        <v>mitées</v>
      </c>
    </row>
    <row r="5095">
      <c r="A5095" s="4">
        <v>497.0</v>
      </c>
      <c r="B5095" s="4" t="s">
        <v>11578</v>
      </c>
      <c r="C5095" s="4"/>
      <c r="D5095" s="4" t="s">
        <v>12937</v>
      </c>
      <c r="E5095" s="4" t="s">
        <v>12929</v>
      </c>
      <c r="F5095" s="4" t="s">
        <v>12927</v>
      </c>
      <c r="G5095" s="5" t="str">
        <f>IFERROR(__xludf.DUMMYFUNCTION("GOOGLETRANSLATE(D5095,""fr"",""es"")"),"mitât")</f>
        <v>mitât</v>
      </c>
    </row>
    <row r="5096">
      <c r="A5096" s="4">
        <v>498.0</v>
      </c>
      <c r="B5096" s="4" t="s">
        <v>11578</v>
      </c>
      <c r="C5096" s="4"/>
      <c r="D5096" s="4" t="s">
        <v>12938</v>
      </c>
      <c r="E5096" s="4" t="s">
        <v>12939</v>
      </c>
      <c r="F5096" s="4" t="s">
        <v>12938</v>
      </c>
      <c r="G5096" s="5" t="str">
        <f>IFERROR(__xludf.DUMMYFUNCTION("GOOGLETRANSLATE(D5096,""fr"",""es"")"),"miyu")</f>
        <v>miyu</v>
      </c>
    </row>
    <row r="5097">
      <c r="A5097" s="4">
        <v>499.0</v>
      </c>
      <c r="B5097" s="4" t="s">
        <v>11578</v>
      </c>
      <c r="C5097" s="4"/>
      <c r="D5097" s="4" t="s">
        <v>12940</v>
      </c>
      <c r="E5097" s="4" t="s">
        <v>12941</v>
      </c>
      <c r="F5097" s="4" t="s">
        <v>12940</v>
      </c>
      <c r="G5097" s="5" t="str">
        <f>IFERROR(__xludf.DUMMYFUNCTION("GOOGLETRANSLATE(D5097,""fr"",""es"")"),"miyuki")</f>
        <v>miyuki</v>
      </c>
    </row>
    <row r="5098">
      <c r="A5098" s="4">
        <v>500.0</v>
      </c>
      <c r="B5098" s="4" t="s">
        <v>11578</v>
      </c>
      <c r="C5098" s="4"/>
      <c r="D5098" s="4" t="s">
        <v>12942</v>
      </c>
      <c r="E5098" s="4" t="s">
        <v>366</v>
      </c>
      <c r="F5098" s="4" t="s">
        <v>367</v>
      </c>
      <c r="G5098" s="5" t="str">
        <f>IFERROR(__xludf.DUMMYFUNCTION("GOOGLETRANSLATE(D5098,""fr"",""es"")"),"suave")</f>
        <v>suave</v>
      </c>
      <c r="H5098" s="4" t="s">
        <v>12943</v>
      </c>
      <c r="I5098" s="4" t="s">
        <v>6102</v>
      </c>
      <c r="J5098" s="4" t="s">
        <v>6100</v>
      </c>
      <c r="K5098" s="4" t="s">
        <v>6102</v>
      </c>
      <c r="L5098" s="4" t="s">
        <v>6103</v>
      </c>
      <c r="M5098" s="4" t="s">
        <v>6102</v>
      </c>
      <c r="N5098" s="4" t="s">
        <v>6102</v>
      </c>
      <c r="O5098" s="4" t="s">
        <v>12944</v>
      </c>
      <c r="P5098" s="4" t="s">
        <v>12943</v>
      </c>
      <c r="Q5098" s="4" t="s">
        <v>12945</v>
      </c>
      <c r="R5098" s="4" t="s">
        <v>6102</v>
      </c>
      <c r="S5098" s="4" t="s">
        <v>6102</v>
      </c>
      <c r="T5098" s="4" t="s">
        <v>12946</v>
      </c>
      <c r="U5098" s="4" t="s">
        <v>6102</v>
      </c>
      <c r="V5098" s="4" t="s">
        <v>12947</v>
      </c>
      <c r="W5098" s="4" t="s">
        <v>7702</v>
      </c>
      <c r="X5098" s="4" t="s">
        <v>6102</v>
      </c>
      <c r="Y5098" s="4" t="s">
        <v>12948</v>
      </c>
      <c r="Z5098" s="4" t="s">
        <v>12949</v>
      </c>
      <c r="AA5098" s="4" t="s">
        <v>6102</v>
      </c>
      <c r="AB5098" s="4" t="s">
        <v>12950</v>
      </c>
      <c r="AC5098" s="4" t="s">
        <v>6102</v>
      </c>
      <c r="AD5098" s="4" t="s">
        <v>804</v>
      </c>
      <c r="AE5098" s="4" t="s">
        <v>803</v>
      </c>
    </row>
    <row r="5099">
      <c r="A5099" s="4">
        <v>501.0</v>
      </c>
      <c r="B5099" s="4" t="s">
        <v>11578</v>
      </c>
      <c r="C5099" s="4"/>
      <c r="D5099" s="4" t="s">
        <v>12951</v>
      </c>
      <c r="E5099" s="4" t="s">
        <v>12952</v>
      </c>
      <c r="F5099" s="4" t="s">
        <v>6895</v>
      </c>
      <c r="G5099" s="5" t="str">
        <f>IFERROR(__xludf.DUMMYFUNCTION("GOOGLETRANSLATE(D5099,""fr"",""es"")"),"mosca")</f>
        <v>mosca</v>
      </c>
      <c r="H5099" s="4" t="s">
        <v>371</v>
      </c>
      <c r="I5099" s="4" t="s">
        <v>371</v>
      </c>
      <c r="J5099" s="4" t="s">
        <v>12953</v>
      </c>
      <c r="K5099" s="4" t="s">
        <v>12954</v>
      </c>
      <c r="L5099" s="4" t="s">
        <v>371</v>
      </c>
      <c r="M5099" s="4" t="s">
        <v>12955</v>
      </c>
      <c r="N5099" s="4" t="s">
        <v>371</v>
      </c>
      <c r="O5099" s="4" t="s">
        <v>371</v>
      </c>
      <c r="P5099" s="4" t="s">
        <v>371</v>
      </c>
      <c r="Q5099" s="4" t="s">
        <v>371</v>
      </c>
      <c r="R5099" s="4" t="s">
        <v>371</v>
      </c>
      <c r="S5099" s="4" t="s">
        <v>371</v>
      </c>
      <c r="T5099" s="4" t="s">
        <v>371</v>
      </c>
      <c r="U5099" s="4" t="s">
        <v>371</v>
      </c>
      <c r="V5099" s="4" t="s">
        <v>12956</v>
      </c>
      <c r="W5099" s="4" t="s">
        <v>12954</v>
      </c>
      <c r="X5099" s="4" t="s">
        <v>12957</v>
      </c>
      <c r="Y5099" s="4" t="s">
        <v>371</v>
      </c>
      <c r="Z5099" s="4" t="s">
        <v>12958</v>
      </c>
      <c r="AA5099" s="4" t="s">
        <v>371</v>
      </c>
      <c r="AB5099" s="4" t="s">
        <v>371</v>
      </c>
      <c r="AC5099" s="4" t="s">
        <v>12959</v>
      </c>
      <c r="AD5099" s="4" t="s">
        <v>12960</v>
      </c>
      <c r="AE5099" s="4" t="s">
        <v>371</v>
      </c>
      <c r="AF5099" s="4" t="s">
        <v>12961</v>
      </c>
      <c r="AG5099" s="4" t="s">
        <v>371</v>
      </c>
      <c r="AH5099" s="4" t="s">
        <v>12962</v>
      </c>
      <c r="AI5099" s="4" t="s">
        <v>12963</v>
      </c>
      <c r="AJ5099" s="4" t="s">
        <v>12964</v>
      </c>
      <c r="AK5099" s="4" t="s">
        <v>371</v>
      </c>
      <c r="AL5099" s="4" t="s">
        <v>12965</v>
      </c>
      <c r="AM5099" s="4" t="s">
        <v>12959</v>
      </c>
    </row>
    <row r="5100">
      <c r="A5100" s="4">
        <v>502.0</v>
      </c>
      <c r="B5100" s="4" t="s">
        <v>11578</v>
      </c>
      <c r="C5100" s="4"/>
      <c r="D5100" s="4" t="s">
        <v>12966</v>
      </c>
      <c r="E5100" s="4" t="s">
        <v>12952</v>
      </c>
      <c r="F5100" s="4" t="s">
        <v>6895</v>
      </c>
      <c r="G5100" s="5" t="str">
        <f>IFERROR(__xludf.DUMMYFUNCTION("GOOGLETRANSLATE(D5100,""fr"",""es"")"),"moscas")</f>
        <v>moscas</v>
      </c>
    </row>
    <row r="5101">
      <c r="A5101" s="4">
        <v>503.0</v>
      </c>
      <c r="B5101" s="4" t="s">
        <v>11578</v>
      </c>
      <c r="C5101" s="4"/>
      <c r="D5101" s="4" t="s">
        <v>12967</v>
      </c>
      <c r="E5101" s="4" t="s">
        <v>366</v>
      </c>
      <c r="F5101" s="4" t="s">
        <v>367</v>
      </c>
      <c r="G5101" s="5" t="str">
        <f>IFERROR(__xludf.DUMMYFUNCTION("GOOGLETRANSLATE(D5101,""fr"",""es"")"),"abadejo")</f>
        <v>abadejo</v>
      </c>
      <c r="H5101" s="4" t="s">
        <v>8544</v>
      </c>
      <c r="I5101" s="4" t="s">
        <v>12967</v>
      </c>
      <c r="J5101" s="4" t="s">
        <v>12968</v>
      </c>
    </row>
    <row r="5102">
      <c r="A5102" s="4">
        <v>504.0</v>
      </c>
      <c r="B5102" s="4" t="s">
        <v>11578</v>
      </c>
      <c r="C5102" s="4"/>
      <c r="D5102" s="4" t="s">
        <v>12969</v>
      </c>
      <c r="E5102" s="4" t="s">
        <v>12970</v>
      </c>
      <c r="F5102" s="4" t="s">
        <v>12971</v>
      </c>
      <c r="G5102" s="5" t="str">
        <f>IFERROR(__xludf.DUMMYFUNCTION("GOOGLETRANSLATE(D5102,""fr"",""es"")"),"mojado")</f>
        <v>mojado</v>
      </c>
    </row>
    <row r="5103">
      <c r="A5103" s="4">
        <v>505.0</v>
      </c>
      <c r="B5103" s="4" t="s">
        <v>11578</v>
      </c>
      <c r="C5103" s="4"/>
      <c r="D5103" s="4" t="s">
        <v>12972</v>
      </c>
      <c r="E5103" s="4" t="s">
        <v>2787</v>
      </c>
      <c r="F5103" s="4" t="s">
        <v>2786</v>
      </c>
      <c r="G5103" s="5" t="str">
        <f>IFERROR(__xludf.DUMMYFUNCTION("GOOGLETRANSLATE(D5103,""fr"",""es"")"),"moula")</f>
        <v>moula</v>
      </c>
    </row>
    <row r="5104">
      <c r="A5104" s="4">
        <v>506.0</v>
      </c>
      <c r="B5104" s="4" t="s">
        <v>11578</v>
      </c>
      <c r="C5104" s="4"/>
      <c r="D5104" s="4" t="s">
        <v>12973</v>
      </c>
      <c r="E5104" s="4" t="s">
        <v>12974</v>
      </c>
      <c r="F5104" s="4" t="s">
        <v>2786</v>
      </c>
      <c r="G5104" s="5" t="str">
        <f>IFERROR(__xludf.DUMMYFUNCTION("GOOGLETRANSLATE(D5104,""fr"",""es"")"),"Moulas")</f>
        <v>Moulas</v>
      </c>
    </row>
    <row r="5105">
      <c r="A5105" s="4">
        <v>507.0</v>
      </c>
      <c r="B5105" s="4" t="s">
        <v>11578</v>
      </c>
      <c r="C5105" s="4"/>
      <c r="D5105" s="4" t="s">
        <v>12975</v>
      </c>
      <c r="E5105" s="4" t="s">
        <v>12976</v>
      </c>
      <c r="F5105" s="4" t="s">
        <v>12977</v>
      </c>
      <c r="G5105" s="5" t="str">
        <f>IFERROR(__xludf.DUMMYFUNCTION("GOOGLETRANSLATE(D5105,""fr"",""es"")"),"moldura")</f>
        <v>moldura</v>
      </c>
    </row>
    <row r="5106">
      <c r="A5106" s="4">
        <v>508.0</v>
      </c>
      <c r="B5106" s="4" t="s">
        <v>11578</v>
      </c>
      <c r="C5106" s="4"/>
      <c r="D5106" s="4" t="s">
        <v>12978</v>
      </c>
      <c r="E5106" s="4" t="s">
        <v>12976</v>
      </c>
      <c r="F5106" s="4" t="s">
        <v>12977</v>
      </c>
      <c r="G5106" s="5" t="str">
        <f>IFERROR(__xludf.DUMMYFUNCTION("GOOGLETRANSLATE(D5106,""fr"",""es"")"),"moho")</f>
        <v>moho</v>
      </c>
    </row>
    <row r="5107">
      <c r="A5107" s="4">
        <v>509.0</v>
      </c>
      <c r="B5107" s="4" t="s">
        <v>11578</v>
      </c>
      <c r="C5107" s="4"/>
      <c r="D5107" s="4" t="s">
        <v>12979</v>
      </c>
      <c r="E5107" s="4" t="s">
        <v>12976</v>
      </c>
      <c r="F5107" s="4" t="s">
        <v>12977</v>
      </c>
      <c r="G5107" s="5" t="str">
        <f>IFERROR(__xludf.DUMMYFUNCTION("GOOGLETRANSLATE(D5107,""fr"",""es"")"),"muda")</f>
        <v>muda</v>
      </c>
    </row>
    <row r="5108">
      <c r="A5108" s="4">
        <v>510.0</v>
      </c>
      <c r="B5108" s="4" t="s">
        <v>11578</v>
      </c>
      <c r="C5108" s="4"/>
      <c r="D5108" s="4" t="s">
        <v>12980</v>
      </c>
      <c r="E5108" s="4" t="s">
        <v>2784</v>
      </c>
      <c r="F5108" s="4" t="s">
        <v>2783</v>
      </c>
      <c r="G5108" s="5" t="str">
        <f>IFERROR(__xludf.DUMMYFUNCTION("GOOGLETRANSLATE(D5108,""fr"",""es"")"),"mejillón")</f>
        <v>mejillón</v>
      </c>
      <c r="H5108" s="4" t="s">
        <v>12981</v>
      </c>
      <c r="I5108" s="4" t="s">
        <v>5156</v>
      </c>
      <c r="J5108" s="4" t="s">
        <v>5157</v>
      </c>
      <c r="K5108" s="4" t="s">
        <v>5158</v>
      </c>
      <c r="L5108" s="4" t="s">
        <v>5156</v>
      </c>
      <c r="M5108" s="4" t="s">
        <v>5157</v>
      </c>
      <c r="N5108" s="4" t="s">
        <v>12982</v>
      </c>
      <c r="O5108" s="4" t="s">
        <v>12983</v>
      </c>
      <c r="P5108" s="4" t="s">
        <v>12984</v>
      </c>
      <c r="Q5108" s="4" t="s">
        <v>12985</v>
      </c>
      <c r="R5108" s="4" t="s">
        <v>3973</v>
      </c>
      <c r="S5108" s="4" t="s">
        <v>3974</v>
      </c>
      <c r="T5108" s="4" t="s">
        <v>12981</v>
      </c>
    </row>
    <row r="5109">
      <c r="A5109" s="4">
        <v>511.0</v>
      </c>
      <c r="B5109" s="4" t="s">
        <v>11578</v>
      </c>
      <c r="C5109" s="4"/>
      <c r="D5109" s="4" t="s">
        <v>12986</v>
      </c>
      <c r="E5109" s="4" t="s">
        <v>366</v>
      </c>
      <c r="F5109" s="4" t="s">
        <v>367</v>
      </c>
      <c r="G5109" s="5" t="str">
        <f>IFERROR(__xludf.DUMMYFUNCTION("GOOGLETRANSLATE(D5109,""fr"",""es"")"),"muda")</f>
        <v>muda</v>
      </c>
      <c r="H5109" s="4" t="s">
        <v>8505</v>
      </c>
    </row>
    <row r="5110">
      <c r="A5110" s="4">
        <v>512.0</v>
      </c>
      <c r="B5110" s="4" t="s">
        <v>11578</v>
      </c>
      <c r="C5110" s="4"/>
      <c r="D5110" s="4" t="s">
        <v>12986</v>
      </c>
      <c r="E5110" s="4" t="s">
        <v>2784</v>
      </c>
      <c r="F5110" s="4" t="s">
        <v>2783</v>
      </c>
      <c r="G5110" s="5" t="str">
        <f>IFERROR(__xludf.DUMMYFUNCTION("GOOGLETRANSLATE(D5110,""fr"",""es"")"),"muda")</f>
        <v>muda</v>
      </c>
      <c r="H5110" s="4" t="s">
        <v>8505</v>
      </c>
    </row>
    <row r="5111">
      <c r="A5111" s="4">
        <v>513.0</v>
      </c>
      <c r="B5111" s="4" t="s">
        <v>11578</v>
      </c>
      <c r="C5111" s="4"/>
      <c r="D5111" s="4" t="s">
        <v>12987</v>
      </c>
      <c r="E5111" s="4" t="s">
        <v>12988</v>
      </c>
      <c r="F5111" s="4" t="s">
        <v>12989</v>
      </c>
      <c r="G5111" s="5" t="str">
        <f>IFERROR(__xludf.DUMMYFUNCTION("GOOGLETRANSLATE(D5111,""fr"",""es"")"),"apretado")</f>
        <v>apretado</v>
      </c>
    </row>
    <row r="5112">
      <c r="A5112" s="4">
        <v>514.0</v>
      </c>
      <c r="B5112" s="4" t="s">
        <v>11578</v>
      </c>
      <c r="C5112" s="4"/>
      <c r="D5112" s="4" t="s">
        <v>12990</v>
      </c>
      <c r="E5112" s="4" t="s">
        <v>12974</v>
      </c>
      <c r="F5112" s="4" t="s">
        <v>2786</v>
      </c>
      <c r="G5112" s="5" t="str">
        <f>IFERROR(__xludf.DUMMYFUNCTION("GOOGLETRANSLATE(D5112,""fr"",""es"")"),"apretado")</f>
        <v>apretado</v>
      </c>
    </row>
    <row r="5113">
      <c r="A5113" s="4">
        <v>515.0</v>
      </c>
      <c r="B5113" s="4" t="s">
        <v>11578</v>
      </c>
      <c r="C5113" s="4"/>
      <c r="D5113" s="4" t="s">
        <v>12991</v>
      </c>
      <c r="E5113" s="4" t="s">
        <v>12992</v>
      </c>
      <c r="F5113" s="4" t="s">
        <v>12993</v>
      </c>
      <c r="G5113" s="5" t="str">
        <f>IFERROR(__xludf.DUMMYFUNCTION("GOOGLETRANSLATE(D5113,""fr"",""es"")"),"moumoune")</f>
        <v>moumoune</v>
      </c>
    </row>
    <row r="5114">
      <c r="A5114" s="4">
        <v>516.0</v>
      </c>
      <c r="B5114" s="4" t="s">
        <v>11578</v>
      </c>
      <c r="C5114" s="4"/>
      <c r="D5114" s="4" t="s">
        <v>12994</v>
      </c>
      <c r="E5114" s="4" t="s">
        <v>2846</v>
      </c>
      <c r="F5114" s="4" t="s">
        <v>2847</v>
      </c>
      <c r="G5114" s="5" t="str">
        <f>IFERROR(__xludf.DUMMYFUNCTION("GOOGLETRANSLATE(D5114,""fr"",""es"")"),"moussa")</f>
        <v>moussa</v>
      </c>
    </row>
    <row r="5115">
      <c r="A5115" s="4">
        <v>517.0</v>
      </c>
      <c r="B5115" s="4" t="s">
        <v>11578</v>
      </c>
      <c r="C5115" s="4"/>
      <c r="D5115" s="4" t="s">
        <v>12995</v>
      </c>
      <c r="E5115" s="4" t="s">
        <v>10615</v>
      </c>
      <c r="F5115" s="4" t="s">
        <v>2847</v>
      </c>
      <c r="G5115" s="5" t="str">
        <f>IFERROR(__xludf.DUMMYFUNCTION("GOOGLETRANSLATE(D5115,""fr"",""es"")"),"Moussas")</f>
        <v>Moussas</v>
      </c>
    </row>
    <row r="5116">
      <c r="A5116" s="4">
        <v>518.0</v>
      </c>
      <c r="B5116" s="4" t="s">
        <v>11578</v>
      </c>
      <c r="C5116" s="4"/>
      <c r="D5116" s="4" t="s">
        <v>12996</v>
      </c>
      <c r="E5116" s="4" t="s">
        <v>12997</v>
      </c>
      <c r="F5116" s="4" t="s">
        <v>12998</v>
      </c>
      <c r="G5116" s="5" t="str">
        <f>IFERROR(__xludf.DUMMYFUNCTION("GOOGLETRANSLATE(D5116,""fr"",""es"")"),"musgo")</f>
        <v>musgo</v>
      </c>
    </row>
    <row r="5117">
      <c r="A5117" s="4">
        <v>519.0</v>
      </c>
      <c r="B5117" s="4" t="s">
        <v>11578</v>
      </c>
      <c r="C5117" s="4"/>
      <c r="D5117" s="4" t="s">
        <v>12999</v>
      </c>
      <c r="E5117" s="4" t="s">
        <v>12997</v>
      </c>
      <c r="F5117" s="4" t="s">
        <v>12998</v>
      </c>
      <c r="G5117" s="5" t="str">
        <f>IFERROR(__xludf.DUMMYFUNCTION("GOOGLETRANSLATE(D5117,""fr"",""es"")"),"Mossasse")</f>
        <v>Mossasse</v>
      </c>
    </row>
    <row r="5118">
      <c r="A5118" s="4">
        <v>520.0</v>
      </c>
      <c r="B5118" s="4" t="s">
        <v>11578</v>
      </c>
      <c r="C5118" s="4"/>
      <c r="D5118" s="4" t="s">
        <v>13000</v>
      </c>
      <c r="E5118" s="4" t="s">
        <v>12997</v>
      </c>
      <c r="F5118" s="4" t="s">
        <v>12998</v>
      </c>
      <c r="G5118" s="5" t="str">
        <f>IFERROR(__xludf.DUMMYFUNCTION("GOOGLETRANSLATE(D5118,""fr"",""es"")"),"musgo")</f>
        <v>musgo</v>
      </c>
    </row>
    <row r="5119">
      <c r="A5119" s="4">
        <v>521.0</v>
      </c>
      <c r="B5119" s="4" t="s">
        <v>11578</v>
      </c>
      <c r="C5119" s="4"/>
      <c r="D5119" s="4" t="s">
        <v>13001</v>
      </c>
      <c r="E5119" s="4" t="s">
        <v>13002</v>
      </c>
      <c r="F5119" s="4" t="s">
        <v>13003</v>
      </c>
      <c r="G5119" s="5" t="str">
        <f>IFERROR(__xludf.DUMMYFUNCTION("GOOGLETRANSLATE(D5119,""fr"",""es"")"),"espuma")</f>
        <v>espuma</v>
      </c>
      <c r="H5119" s="4" t="s">
        <v>13004</v>
      </c>
      <c r="I5119" s="4" t="s">
        <v>13005</v>
      </c>
      <c r="J5119" s="4" t="s">
        <v>13006</v>
      </c>
      <c r="K5119" s="4" t="s">
        <v>13007</v>
      </c>
      <c r="L5119" s="4" t="s">
        <v>13004</v>
      </c>
      <c r="M5119" s="4" t="s">
        <v>13008</v>
      </c>
      <c r="N5119" s="4" t="s">
        <v>13009</v>
      </c>
      <c r="O5119" s="4" t="s">
        <v>692</v>
      </c>
      <c r="P5119" s="4" t="s">
        <v>13010</v>
      </c>
      <c r="Q5119" s="4" t="s">
        <v>13007</v>
      </c>
      <c r="R5119" s="4" t="s">
        <v>13004</v>
      </c>
      <c r="S5119" s="4" t="s">
        <v>13011</v>
      </c>
      <c r="T5119" s="4" t="s">
        <v>13006</v>
      </c>
      <c r="U5119" s="4" t="s">
        <v>6578</v>
      </c>
      <c r="V5119" s="4" t="s">
        <v>13012</v>
      </c>
      <c r="W5119" s="4" t="s">
        <v>13013</v>
      </c>
      <c r="X5119" s="4" t="s">
        <v>13014</v>
      </c>
      <c r="Y5119" s="4" t="s">
        <v>13015</v>
      </c>
      <c r="Z5119" s="4" t="s">
        <v>13007</v>
      </c>
    </row>
    <row r="5120">
      <c r="A5120" s="4">
        <v>522.0</v>
      </c>
      <c r="B5120" s="4" t="s">
        <v>11578</v>
      </c>
      <c r="C5120" s="4"/>
      <c r="D5120" s="4" t="s">
        <v>13016</v>
      </c>
      <c r="E5120" s="4" t="s">
        <v>13002</v>
      </c>
      <c r="F5120" s="4" t="s">
        <v>13003</v>
      </c>
      <c r="G5120" s="5" t="str">
        <f>IFERROR(__xludf.DUMMYFUNCTION("GOOGLETRANSLATE(D5120,""fr"",""es"")"),"látigo")</f>
        <v>látigo</v>
      </c>
    </row>
    <row r="5121">
      <c r="A5121" s="4">
        <v>523.0</v>
      </c>
      <c r="B5121" s="4" t="s">
        <v>11578</v>
      </c>
      <c r="C5121" s="4"/>
      <c r="D5121" s="4" t="s">
        <v>13017</v>
      </c>
      <c r="E5121" s="4" t="s">
        <v>13002</v>
      </c>
      <c r="F5121" s="4" t="s">
        <v>13003</v>
      </c>
      <c r="G5121" s="5" t="str">
        <f>IFERROR(__xludf.DUMMYFUNCTION("GOOGLETRANSLATE(D5121,""fr"",""es"")"),"musgo")</f>
        <v>musgo</v>
      </c>
    </row>
    <row r="5122">
      <c r="A5122" s="4">
        <v>524.0</v>
      </c>
      <c r="B5122" s="4" t="s">
        <v>11578</v>
      </c>
      <c r="C5122" s="4"/>
      <c r="D5122" s="4" t="s">
        <v>13018</v>
      </c>
      <c r="E5122" s="4" t="s">
        <v>13019</v>
      </c>
      <c r="F5122" s="4" t="s">
        <v>13020</v>
      </c>
      <c r="G5122" s="5" t="str">
        <f>IFERROR(__xludf.DUMMYFUNCTION("GOOGLETRANSLATE(D5122,""fr"",""es"")"),"moussâme")</f>
        <v>moussâme</v>
      </c>
    </row>
    <row r="5123">
      <c r="A5123" s="4">
        <v>525.0</v>
      </c>
      <c r="B5123" s="4" t="s">
        <v>11578</v>
      </c>
      <c r="C5123" s="4"/>
      <c r="D5123" s="4" t="s">
        <v>13021</v>
      </c>
      <c r="E5123" s="4" t="s">
        <v>10615</v>
      </c>
      <c r="F5123" s="4" t="s">
        <v>2847</v>
      </c>
      <c r="G5123" s="5" t="str">
        <f>IFERROR(__xludf.DUMMYFUNCTION("GOOGLETRANSLATE(D5123,""fr"",""es"")"),"moussât")</f>
        <v>moussât</v>
      </c>
    </row>
    <row r="5124">
      <c r="A5124" s="4">
        <v>526.0</v>
      </c>
      <c r="B5124" s="4" t="s">
        <v>11578</v>
      </c>
      <c r="C5124" s="4"/>
      <c r="D5124" s="4" t="s">
        <v>13022</v>
      </c>
      <c r="E5124" s="4" t="s">
        <v>366</v>
      </c>
      <c r="F5124" s="4" t="s">
        <v>367</v>
      </c>
      <c r="G5124" s="5" t="str">
        <f>IFERROR(__xludf.DUMMYFUNCTION("GOOGLETRANSLATE(D5124,""fr"",""es"")"),"deber")</f>
        <v>deber</v>
      </c>
      <c r="H5124" s="4" t="s">
        <v>13023</v>
      </c>
      <c r="I5124" s="4" t="s">
        <v>13024</v>
      </c>
      <c r="J5124" s="4" t="s">
        <v>13023</v>
      </c>
      <c r="K5124" s="4" t="s">
        <v>13025</v>
      </c>
      <c r="L5124" s="4" t="s">
        <v>13023</v>
      </c>
      <c r="M5124" s="4" t="s">
        <v>13023</v>
      </c>
    </row>
    <row r="5125">
      <c r="A5125" s="4">
        <v>527.0</v>
      </c>
      <c r="B5125" s="4" t="s">
        <v>11578</v>
      </c>
      <c r="C5125" s="4"/>
      <c r="D5125" s="4" t="s">
        <v>13026</v>
      </c>
      <c r="E5125" s="4" t="s">
        <v>2906</v>
      </c>
      <c r="F5125" s="4" t="s">
        <v>2907</v>
      </c>
      <c r="G5125" s="5" t="str">
        <f>IFERROR(__xludf.DUMMYFUNCTION("GOOGLETRANSLATE(D5125,""fr"",""es"")"),"mítico")</f>
        <v>mítico</v>
      </c>
      <c r="H5125" s="4" t="s">
        <v>6923</v>
      </c>
      <c r="I5125" s="4" t="s">
        <v>6920</v>
      </c>
      <c r="J5125" s="4" t="s">
        <v>6924</v>
      </c>
      <c r="K5125" s="4" t="s">
        <v>6925</v>
      </c>
      <c r="L5125" s="4" t="s">
        <v>6926</v>
      </c>
    </row>
    <row r="5126">
      <c r="A5126" s="4">
        <v>528.0</v>
      </c>
      <c r="B5126" s="4" t="s">
        <v>11578</v>
      </c>
      <c r="C5126" s="4"/>
      <c r="D5126" s="4" t="s">
        <v>13027</v>
      </c>
      <c r="E5126" s="4" t="s">
        <v>13028</v>
      </c>
      <c r="F5126" s="4" t="s">
        <v>13029</v>
      </c>
      <c r="G5126" s="5" t="str">
        <f>IFERROR(__xludf.DUMMYFUNCTION("GOOGLETRANSLATE(D5126,""fr"",""es"")"),"mandíbula")</f>
        <v>mandíbula</v>
      </c>
      <c r="H5126" s="4" t="s">
        <v>13030</v>
      </c>
    </row>
    <row r="5127">
      <c r="A5127" s="4">
        <v>529.0</v>
      </c>
      <c r="B5127" s="4" t="s">
        <v>11578</v>
      </c>
      <c r="C5127" s="4"/>
      <c r="D5127" s="4" t="s">
        <v>13031</v>
      </c>
      <c r="E5127" s="4" t="s">
        <v>13032</v>
      </c>
      <c r="F5127" s="4" t="s">
        <v>2322</v>
      </c>
      <c r="G5127" s="5" t="str">
        <f>IFERROR(__xludf.DUMMYFUNCTION("GOOGLETRANSLATE(D5127,""fr"",""es"")"),"masculino")</f>
        <v>masculino</v>
      </c>
      <c r="H5127" s="4" t="s">
        <v>1856</v>
      </c>
      <c r="I5127" s="4" t="s">
        <v>13033</v>
      </c>
      <c r="J5127" s="4" t="s">
        <v>13033</v>
      </c>
      <c r="K5127" s="4" t="s">
        <v>13033</v>
      </c>
      <c r="L5127" s="4" t="s">
        <v>13034</v>
      </c>
      <c r="M5127" s="4" t="s">
        <v>13035</v>
      </c>
      <c r="N5127" s="4" t="s">
        <v>13036</v>
      </c>
      <c r="O5127" s="4" t="s">
        <v>13037</v>
      </c>
      <c r="P5127" s="4" t="s">
        <v>13038</v>
      </c>
      <c r="Q5127" s="4" t="s">
        <v>1856</v>
      </c>
      <c r="R5127" s="4" t="s">
        <v>1856</v>
      </c>
      <c r="S5127" s="4" t="s">
        <v>3486</v>
      </c>
      <c r="T5127" s="4" t="s">
        <v>13039</v>
      </c>
      <c r="U5127" s="4" t="s">
        <v>13033</v>
      </c>
      <c r="V5127" s="4" t="s">
        <v>13040</v>
      </c>
      <c r="W5127" s="4" t="s">
        <v>8839</v>
      </c>
      <c r="X5127" s="4" t="s">
        <v>8840</v>
      </c>
      <c r="Y5127" s="4" t="s">
        <v>13041</v>
      </c>
      <c r="Z5127" s="4" t="s">
        <v>1856</v>
      </c>
      <c r="AA5127" s="4" t="s">
        <v>6743</v>
      </c>
      <c r="AB5127" s="4" t="s">
        <v>6744</v>
      </c>
      <c r="AC5127" s="4" t="s">
        <v>6745</v>
      </c>
      <c r="AD5127" s="4" t="s">
        <v>6746</v>
      </c>
      <c r="AE5127" s="4" t="s">
        <v>1856</v>
      </c>
    </row>
    <row r="5128">
      <c r="A5128" s="4">
        <v>530.0</v>
      </c>
      <c r="B5128" s="4" t="s">
        <v>11578</v>
      </c>
      <c r="C5128" s="4"/>
      <c r="D5128" s="4" t="s">
        <v>13042</v>
      </c>
      <c r="E5128" s="4" t="s">
        <v>8529</v>
      </c>
      <c r="F5128" s="4" t="s">
        <v>1856</v>
      </c>
      <c r="G5128" s="5" t="str">
        <f>IFERROR(__xludf.DUMMYFUNCTION("GOOGLETRANSLATE(D5128,""fr"",""es"")"),"cremanes")</f>
        <v>cremanes</v>
      </c>
      <c r="H5128" s="4" t="s">
        <v>13043</v>
      </c>
    </row>
    <row r="5129">
      <c r="A5129" s="4">
        <v>531.0</v>
      </c>
      <c r="B5129" s="4" t="s">
        <v>11578</v>
      </c>
      <c r="C5129" s="4"/>
      <c r="D5129" s="4" t="s">
        <v>13044</v>
      </c>
      <c r="E5129" s="4" t="s">
        <v>10466</v>
      </c>
      <c r="F5129" s="4" t="s">
        <v>2278</v>
      </c>
      <c r="G5129" s="5" t="str">
        <f>IFERROR(__xludf.DUMMYFUNCTION("GOOGLETRANSLATE(D5129,""fr"",""es"")"),"mástil")</f>
        <v>mástil</v>
      </c>
      <c r="H5129" s="4" t="s">
        <v>13045</v>
      </c>
      <c r="I5129" s="4" t="s">
        <v>13046</v>
      </c>
      <c r="J5129" s="4" t="s">
        <v>13047</v>
      </c>
      <c r="K5129" s="4" t="s">
        <v>13047</v>
      </c>
      <c r="L5129" s="4" t="s">
        <v>13047</v>
      </c>
      <c r="M5129" s="4" t="s">
        <v>13048</v>
      </c>
      <c r="N5129" s="4" t="s">
        <v>13047</v>
      </c>
    </row>
    <row r="5130">
      <c r="A5130" s="4">
        <v>532.0</v>
      </c>
      <c r="B5130" s="4" t="s">
        <v>11578</v>
      </c>
      <c r="C5130" s="4"/>
      <c r="D5130" s="4" t="s">
        <v>2923</v>
      </c>
      <c r="E5130" s="4" t="s">
        <v>2924</v>
      </c>
      <c r="F5130" s="4" t="s">
        <v>2923</v>
      </c>
      <c r="G5130" s="5" t="str">
        <f>IFERROR(__xludf.DUMMYFUNCTION("GOOGLETRANSLATE(D5130,""fr"",""es"")"),"chica")</f>
        <v>chica</v>
      </c>
      <c r="H5130" s="4" t="s">
        <v>11435</v>
      </c>
      <c r="I5130" s="4" t="s">
        <v>9966</v>
      </c>
      <c r="J5130" s="4" t="s">
        <v>6702</v>
      </c>
      <c r="K5130" s="4" t="s">
        <v>2984</v>
      </c>
      <c r="L5130" s="4" t="s">
        <v>11436</v>
      </c>
      <c r="M5130" s="4" t="s">
        <v>11437</v>
      </c>
      <c r="N5130" s="4" t="s">
        <v>11435</v>
      </c>
      <c r="O5130" s="4" t="s">
        <v>5515</v>
      </c>
    </row>
    <row r="5131">
      <c r="A5131" s="4">
        <v>533.0</v>
      </c>
      <c r="B5131" s="4" t="s">
        <v>11578</v>
      </c>
      <c r="C5131" s="4"/>
      <c r="D5131" s="4" t="s">
        <v>13049</v>
      </c>
      <c r="E5131" s="4" t="s">
        <v>13050</v>
      </c>
      <c r="F5131" s="4" t="s">
        <v>13049</v>
      </c>
      <c r="G5131" s="5" t="str">
        <f>IFERROR(__xludf.DUMMYFUNCTION("GOOGLETRANSLATE(D5131,""fr"",""es"")"),"nanami")</f>
        <v>nanami</v>
      </c>
    </row>
    <row r="5132">
      <c r="A5132" s="4">
        <v>534.0</v>
      </c>
      <c r="B5132" s="4" t="s">
        <v>11578</v>
      </c>
      <c r="C5132" s="4"/>
      <c r="D5132" s="4" t="s">
        <v>13051</v>
      </c>
      <c r="E5132" s="4" t="s">
        <v>13052</v>
      </c>
      <c r="F5132" s="4" t="s">
        <v>2923</v>
      </c>
      <c r="G5132" s="5" t="str">
        <f>IFERROR(__xludf.DUMMYFUNCTION("GOOGLETRANSLATE(D5132,""fr"",""es"")"),"nanas")</f>
        <v>nanas</v>
      </c>
    </row>
    <row r="5133">
      <c r="A5133" s="4">
        <v>535.0</v>
      </c>
      <c r="B5133" s="4" t="s">
        <v>11578</v>
      </c>
      <c r="C5133" s="4"/>
      <c r="D5133" s="4" t="s">
        <v>6946</v>
      </c>
      <c r="E5133" s="4" t="s">
        <v>2929</v>
      </c>
      <c r="F5133" s="4" t="s">
        <v>2928</v>
      </c>
      <c r="G5133" s="5" t="str">
        <f>IFERROR(__xludf.DUMMYFUNCTION("GOOGLETRANSLATE(D5133,""fr"",""es"")"),"capa")</f>
        <v>capa</v>
      </c>
      <c r="H5133" s="4" t="s">
        <v>13053</v>
      </c>
      <c r="I5133" s="4" t="s">
        <v>13054</v>
      </c>
      <c r="J5133" s="4" t="s">
        <v>907</v>
      </c>
      <c r="K5133" s="4" t="s">
        <v>7245</v>
      </c>
    </row>
    <row r="5134">
      <c r="A5134" s="4">
        <v>536.0</v>
      </c>
      <c r="B5134" s="4" t="s">
        <v>11578</v>
      </c>
      <c r="C5134" s="4"/>
      <c r="D5134" s="4" t="s">
        <v>13055</v>
      </c>
      <c r="E5134" s="4" t="s">
        <v>13056</v>
      </c>
      <c r="F5134" s="4" t="s">
        <v>13057</v>
      </c>
      <c r="G5134" s="5" t="str">
        <f>IFERROR(__xludf.DUMMYFUNCTION("GOOGLETRANSLATE(D5134,""fr"",""es"")"),"noches")</f>
        <v>noches</v>
      </c>
    </row>
    <row r="5135">
      <c r="A5135" s="4">
        <v>537.0</v>
      </c>
      <c r="B5135" s="4" t="s">
        <v>11578</v>
      </c>
      <c r="C5135" s="4"/>
      <c r="D5135" s="4" t="s">
        <v>13058</v>
      </c>
      <c r="E5135" s="4" t="s">
        <v>13059</v>
      </c>
      <c r="F5135" s="4" t="s">
        <v>13060</v>
      </c>
      <c r="G5135" s="5" t="str">
        <f>IFERROR(__xludf.DUMMYFUNCTION("GOOGLETRANSLATE(D5135,""fr"",""es"")"),"naufisse")</f>
        <v>naufisse</v>
      </c>
    </row>
    <row r="5136">
      <c r="A5136" s="4">
        <v>538.0</v>
      </c>
      <c r="B5136" s="4" t="s">
        <v>11578</v>
      </c>
      <c r="C5136" s="4"/>
      <c r="D5136" s="4" t="s">
        <v>13061</v>
      </c>
      <c r="E5136" s="4" t="s">
        <v>13056</v>
      </c>
      <c r="F5136" s="4" t="s">
        <v>13057</v>
      </c>
      <c r="G5136" s="5" t="str">
        <f>IFERROR(__xludf.DUMMYFUNCTION("GOOGLETRANSLATE(D5136,""fr"",""es"")"),"nacimiento")</f>
        <v>nacimiento</v>
      </c>
    </row>
    <row r="5137">
      <c r="A5137" s="4">
        <v>539.0</v>
      </c>
      <c r="B5137" s="4" t="s">
        <v>11578</v>
      </c>
      <c r="C5137" s="4"/>
      <c r="D5137" s="4" t="s">
        <v>13062</v>
      </c>
      <c r="E5137" s="4" t="s">
        <v>13056</v>
      </c>
      <c r="F5137" s="4" t="s">
        <v>13057</v>
      </c>
      <c r="G5137" s="5" t="str">
        <f>IFERROR(__xludf.DUMMYFUNCTION("GOOGLETRANSLATE(D5137,""fr"",""es"")"),"nacido")</f>
        <v>nacido</v>
      </c>
    </row>
    <row r="5138">
      <c r="A5138" s="4">
        <v>540.0</v>
      </c>
      <c r="B5138" s="4" t="s">
        <v>11578</v>
      </c>
      <c r="C5138" s="4"/>
      <c r="D5138" s="4" t="s">
        <v>13063</v>
      </c>
      <c r="E5138" s="4" t="s">
        <v>379</v>
      </c>
      <c r="F5138" s="4" t="s">
        <v>380</v>
      </c>
      <c r="G5138" s="5" t="str">
        <f>IFERROR(__xludf.DUMMYFUNCTION("GOOGLETRANSLATE(D5138,""fr"",""es"")"),"siesta")</f>
        <v>siesta</v>
      </c>
    </row>
    <row r="5139">
      <c r="A5139" s="4">
        <v>541.0</v>
      </c>
      <c r="B5139" s="4" t="s">
        <v>11578</v>
      </c>
      <c r="C5139" s="4"/>
      <c r="D5139" s="4" t="s">
        <v>13064</v>
      </c>
      <c r="E5139" s="4" t="s">
        <v>13065</v>
      </c>
      <c r="F5139" s="4" t="s">
        <v>13066</v>
      </c>
      <c r="G5139" s="5" t="str">
        <f>IFERROR(__xludf.DUMMYFUNCTION("GOOGLETRANSLATE(D5139,""fr"",""es"")"),"Natacha")</f>
        <v>Natacha</v>
      </c>
    </row>
    <row r="5140">
      <c r="A5140" s="4">
        <v>542.0</v>
      </c>
      <c r="B5140" s="4" t="s">
        <v>11578</v>
      </c>
      <c r="C5140" s="4"/>
      <c r="D5140" s="4" t="s">
        <v>2938</v>
      </c>
      <c r="E5140" s="4" t="s">
        <v>2939</v>
      </c>
      <c r="F5140" s="4" t="s">
        <v>2938</v>
      </c>
      <c r="G5140" s="5" t="str">
        <f>IFERROR(__xludf.DUMMYFUNCTION("GOOGLETRANSLATE(D5140,""fr"",""es"")"),"nativo")</f>
        <v>nativo</v>
      </c>
    </row>
    <row r="5141">
      <c r="A5141" s="4">
        <v>543.0</v>
      </c>
      <c r="B5141" s="4" t="s">
        <v>11578</v>
      </c>
      <c r="C5141" s="4"/>
      <c r="D5141" s="4" t="s">
        <v>13067</v>
      </c>
      <c r="E5141" s="4" t="s">
        <v>2939</v>
      </c>
      <c r="F5141" s="4" t="s">
        <v>2938</v>
      </c>
      <c r="G5141" s="5" t="str">
        <f>IFERROR(__xludf.DUMMYFUNCTION("GOOGLETRANSLATE(D5141,""fr"",""es"")"),"nativo")</f>
        <v>nativo</v>
      </c>
    </row>
    <row r="5142">
      <c r="A5142" s="4">
        <v>544.0</v>
      </c>
      <c r="B5142" s="4" t="s">
        <v>11578</v>
      </c>
      <c r="C5142" s="4"/>
      <c r="D5142" s="4" t="s">
        <v>13068</v>
      </c>
      <c r="E5142" s="4" t="s">
        <v>2939</v>
      </c>
      <c r="F5142" s="4" t="s">
        <v>2938</v>
      </c>
      <c r="G5142" s="5" t="str">
        <f>IFERROR(__xludf.DUMMYFUNCTION("GOOGLETRANSLATE(D5142,""fr"",""es"")"),"nativo")</f>
        <v>nativo</v>
      </c>
    </row>
    <row r="5143">
      <c r="A5143" s="4">
        <v>545.0</v>
      </c>
      <c r="B5143" s="4" t="s">
        <v>11578</v>
      </c>
      <c r="C5143" s="4"/>
      <c r="D5143" s="4" t="s">
        <v>13069</v>
      </c>
      <c r="E5143" s="4" t="s">
        <v>13070</v>
      </c>
      <c r="F5143" s="4" t="s">
        <v>13071</v>
      </c>
      <c r="G5143" s="5" t="str">
        <f>IFERROR(__xludf.DUMMYFUNCTION("GOOGLETRANSLATE(D5143,""fr"",""es"")"),"Nathalie")</f>
        <v>Nathalie</v>
      </c>
    </row>
    <row r="5144">
      <c r="A5144" s="4">
        <v>546.0</v>
      </c>
      <c r="B5144" s="4" t="s">
        <v>11578</v>
      </c>
      <c r="C5144" s="4"/>
      <c r="D5144" s="4" t="s">
        <v>13072</v>
      </c>
      <c r="E5144" s="4" t="s">
        <v>13073</v>
      </c>
      <c r="F5144" s="4" t="s">
        <v>6934</v>
      </c>
      <c r="G5144" s="5" t="str">
        <f>IFERROR(__xludf.DUMMYFUNCTION("GOOGLETRANSLATE(D5144,""fr"",""es"")"),"Nenni")</f>
        <v>Nenni</v>
      </c>
    </row>
    <row r="5145">
      <c r="A5145" s="4">
        <v>547.0</v>
      </c>
      <c r="B5145" s="4" t="s">
        <v>11578</v>
      </c>
      <c r="C5145" s="4"/>
      <c r="D5145" s="4" t="s">
        <v>389</v>
      </c>
      <c r="E5145" s="4" t="s">
        <v>388</v>
      </c>
      <c r="F5145" s="4" t="s">
        <v>389</v>
      </c>
      <c r="G5145" s="5" t="str">
        <f>IFERROR(__xludf.DUMMYFUNCTION("GOOGLETRANSLATE(D5145,""fr"",""es"")"),"ninguno de los dos")</f>
        <v>ninguno de los dos</v>
      </c>
      <c r="H5145" s="4" t="s">
        <v>13074</v>
      </c>
      <c r="I5145" s="4" t="s">
        <v>13075</v>
      </c>
      <c r="J5145" s="4" t="s">
        <v>13076</v>
      </c>
    </row>
    <row r="5146">
      <c r="A5146" s="4">
        <v>548.0</v>
      </c>
      <c r="B5146" s="4" t="s">
        <v>11578</v>
      </c>
      <c r="C5146" s="4"/>
      <c r="D5146" s="4" t="s">
        <v>2289</v>
      </c>
      <c r="E5146" s="4" t="s">
        <v>8563</v>
      </c>
      <c r="F5146" s="4" t="s">
        <v>8564</v>
      </c>
      <c r="G5146" s="5" t="str">
        <f>IFERROR(__xludf.DUMMYFUNCTION("GOOGLETRANSLATE(D5146,""fr"",""es"")"),"agradable")</f>
        <v>agradable</v>
      </c>
      <c r="H5146" s="4" t="s">
        <v>13077</v>
      </c>
    </row>
    <row r="5147">
      <c r="A5147" s="4">
        <v>549.0</v>
      </c>
      <c r="B5147" s="4" t="s">
        <v>11578</v>
      </c>
      <c r="C5147" s="4"/>
      <c r="D5147" s="4" t="s">
        <v>8556</v>
      </c>
      <c r="E5147" s="4" t="s">
        <v>8557</v>
      </c>
      <c r="F5147" s="4" t="s">
        <v>8558</v>
      </c>
      <c r="G5147" s="5" t="str">
        <f>IFERROR(__xludf.DUMMYFUNCTION("GOOGLETRANSLATE(D5147,""fr"",""es"")"),"nicho")</f>
        <v>nicho</v>
      </c>
      <c r="H5147" s="4" t="s">
        <v>13078</v>
      </c>
      <c r="I5147" s="4" t="s">
        <v>13079</v>
      </c>
      <c r="J5147" s="4" t="s">
        <v>13080</v>
      </c>
      <c r="K5147" s="4" t="s">
        <v>983</v>
      </c>
      <c r="L5147" s="4" t="s">
        <v>8556</v>
      </c>
      <c r="M5147" s="4" t="s">
        <v>13079</v>
      </c>
      <c r="N5147" s="4" t="s">
        <v>983</v>
      </c>
      <c r="O5147" s="4" t="s">
        <v>8559</v>
      </c>
      <c r="P5147" s="4" t="s">
        <v>8556</v>
      </c>
      <c r="Q5147" s="4" t="s">
        <v>7029</v>
      </c>
    </row>
    <row r="5148">
      <c r="A5148" s="4">
        <v>550.0</v>
      </c>
      <c r="B5148" s="4" t="s">
        <v>11578</v>
      </c>
      <c r="C5148" s="4"/>
      <c r="D5148" s="4" t="s">
        <v>13081</v>
      </c>
      <c r="E5148" s="4" t="s">
        <v>388</v>
      </c>
      <c r="F5148" s="4" t="s">
        <v>389</v>
      </c>
      <c r="G5148" s="5" t="str">
        <f>IFERROR(__xludf.DUMMYFUNCTION("GOOGLETRANSLATE(D5148,""fr"",""es"")"),"nido")</f>
        <v>nido</v>
      </c>
      <c r="H5148" s="4" t="s">
        <v>13082</v>
      </c>
      <c r="I5148" s="4" t="s">
        <v>13083</v>
      </c>
      <c r="J5148" s="4" t="s">
        <v>13084</v>
      </c>
      <c r="K5148" s="4" t="s">
        <v>13085</v>
      </c>
      <c r="L5148" s="4" t="s">
        <v>13082</v>
      </c>
      <c r="M5148" s="4" t="s">
        <v>13086</v>
      </c>
      <c r="N5148" s="4" t="s">
        <v>13087</v>
      </c>
      <c r="O5148" s="4" t="s">
        <v>13082</v>
      </c>
      <c r="P5148" s="4" t="s">
        <v>13082</v>
      </c>
      <c r="Q5148" s="4" t="s">
        <v>13082</v>
      </c>
      <c r="R5148" s="4" t="s">
        <v>13082</v>
      </c>
      <c r="S5148" s="4" t="s">
        <v>13082</v>
      </c>
      <c r="T5148" s="4" t="s">
        <v>13088</v>
      </c>
      <c r="U5148" s="4" t="s">
        <v>11803</v>
      </c>
      <c r="V5148" s="4" t="s">
        <v>13082</v>
      </c>
      <c r="W5148" s="4" t="s">
        <v>13082</v>
      </c>
    </row>
    <row r="5149">
      <c r="A5149" s="4">
        <v>551.0</v>
      </c>
      <c r="B5149" s="4" t="s">
        <v>11578</v>
      </c>
      <c r="C5149" s="4"/>
      <c r="D5149" s="4" t="s">
        <v>13089</v>
      </c>
      <c r="E5149" s="4" t="s">
        <v>388</v>
      </c>
      <c r="F5149" s="4" t="s">
        <v>389</v>
      </c>
      <c r="G5149" s="5" t="str">
        <f>IFERROR(__xludf.DUMMYFUNCTION("GOOGLETRANSLATE(D5149,""fr"",""es"")"),"nie")</f>
        <v>nie</v>
      </c>
    </row>
    <row r="5150">
      <c r="A5150" s="4">
        <v>552.0</v>
      </c>
      <c r="B5150" s="4" t="s">
        <v>11578</v>
      </c>
      <c r="C5150" s="4"/>
      <c r="D5150" s="4" t="s">
        <v>13090</v>
      </c>
      <c r="E5150" s="4" t="s">
        <v>13091</v>
      </c>
      <c r="F5150" s="4" t="s">
        <v>13090</v>
      </c>
      <c r="G5150" s="5" t="str">
        <f>IFERROR(__xludf.DUMMYFUNCTION("GOOGLETRANSLATE(D5150,""fr"",""es"")"),"Nikita")</f>
        <v>Nikita</v>
      </c>
    </row>
    <row r="5151">
      <c r="A5151" s="4">
        <v>553.0</v>
      </c>
      <c r="B5151" s="4" t="s">
        <v>11578</v>
      </c>
      <c r="C5151" s="4"/>
      <c r="D5151" s="4" t="s">
        <v>2976</v>
      </c>
      <c r="E5151" s="4" t="s">
        <v>2977</v>
      </c>
      <c r="F5151" s="4" t="s">
        <v>2976</v>
      </c>
      <c r="G5151" s="5" t="str">
        <f>IFERROR(__xludf.DUMMYFUNCTION("GOOGLETRANSLATE(D5151,""fr"",""es"")"),"Nilo")</f>
        <v>Nilo</v>
      </c>
      <c r="H5151" s="4" t="s">
        <v>2978</v>
      </c>
      <c r="I5151" s="4" t="s">
        <v>2979</v>
      </c>
    </row>
    <row r="5152">
      <c r="A5152" s="4">
        <v>554.0</v>
      </c>
      <c r="B5152" s="4" t="s">
        <v>11578</v>
      </c>
      <c r="C5152" s="4"/>
      <c r="D5152" s="4" t="s">
        <v>2982</v>
      </c>
      <c r="E5152" s="4" t="s">
        <v>2983</v>
      </c>
      <c r="F5152" s="4" t="s">
        <v>2982</v>
      </c>
      <c r="G5152" s="5" t="str">
        <f>IFERROR(__xludf.DUMMYFUNCTION("GOOGLETRANSLATE(D5152,""fr"",""es"")"),"Nina")</f>
        <v>Nina</v>
      </c>
      <c r="H5152" s="4" t="s">
        <v>13092</v>
      </c>
    </row>
    <row r="5153">
      <c r="A5153" s="4">
        <v>555.0</v>
      </c>
      <c r="B5153" s="4" t="s">
        <v>11578</v>
      </c>
      <c r="C5153" s="4"/>
      <c r="D5153" s="4" t="s">
        <v>2008</v>
      </c>
      <c r="E5153" s="4" t="s">
        <v>2981</v>
      </c>
      <c r="F5153" s="4" t="s">
        <v>2980</v>
      </c>
      <c r="G5153" s="5" t="str">
        <f>IFERROR(__xludf.DUMMYFUNCTION("GOOGLETRANSLATE(D5153,""fr"",""es"")"),"nueve")</f>
        <v>nueve</v>
      </c>
    </row>
    <row r="5154">
      <c r="A5154" s="4">
        <v>556.0</v>
      </c>
      <c r="B5154" s="4" t="s">
        <v>11578</v>
      </c>
      <c r="C5154" s="4"/>
      <c r="D5154" s="4" t="s">
        <v>6994</v>
      </c>
      <c r="E5154" s="4" t="s">
        <v>13093</v>
      </c>
      <c r="F5154" s="4" t="s">
        <v>6994</v>
      </c>
      <c r="G5154" s="5" t="str">
        <f>IFERROR(__xludf.DUMMYFUNCTION("GOOGLETRANSLATE(D5154,""fr"",""es"")"),"ni ni")</f>
        <v>ni ni</v>
      </c>
    </row>
    <row r="5155">
      <c r="A5155" s="4">
        <v>557.0</v>
      </c>
      <c r="B5155" s="4" t="s">
        <v>11578</v>
      </c>
      <c r="C5155" s="4"/>
      <c r="D5155" s="4" t="s">
        <v>13094</v>
      </c>
      <c r="E5155" s="4" t="s">
        <v>9162</v>
      </c>
      <c r="F5155" s="4" t="s">
        <v>6970</v>
      </c>
      <c r="G5155" s="5" t="str">
        <f>IFERROR(__xludf.DUMMYFUNCTION("GOOGLETRANSLATE(D5155,""fr"",""es"")"),"niñera")</f>
        <v>niñera</v>
      </c>
    </row>
    <row r="5156">
      <c r="A5156" s="4">
        <v>558.0</v>
      </c>
      <c r="B5156" s="4" t="s">
        <v>11578</v>
      </c>
      <c r="C5156" s="4"/>
      <c r="D5156" s="4" t="s">
        <v>13095</v>
      </c>
      <c r="E5156" s="4" t="s">
        <v>3018</v>
      </c>
      <c r="F5156" s="4" t="s">
        <v>2972</v>
      </c>
      <c r="G5156" s="5" t="str">
        <f>IFERROR(__xludf.DUMMYFUNCTION("GOOGLETRANSLATE(D5156,""fr"",""es"")"),"noue")</f>
        <v>noue</v>
      </c>
    </row>
    <row r="5157">
      <c r="A5157" s="4">
        <v>559.0</v>
      </c>
      <c r="B5157" s="4" t="s">
        <v>11578</v>
      </c>
      <c r="C5157" s="4"/>
      <c r="D5157" s="4" t="s">
        <v>13096</v>
      </c>
      <c r="E5157" s="4" t="s">
        <v>3018</v>
      </c>
      <c r="F5157" s="4" t="s">
        <v>2972</v>
      </c>
      <c r="G5157" s="5" t="str">
        <f>IFERROR(__xludf.DUMMYFUNCTION("GOOGLETRANSLATE(D5157,""fr"",""es"")"),"toques")</f>
        <v>toques</v>
      </c>
    </row>
    <row r="5158">
      <c r="A5158" s="4">
        <v>560.0</v>
      </c>
      <c r="B5158" s="4" t="s">
        <v>11578</v>
      </c>
      <c r="C5158" s="4"/>
      <c r="D5158" s="4" t="s">
        <v>13097</v>
      </c>
      <c r="E5158" s="4" t="s">
        <v>13098</v>
      </c>
      <c r="F5158" s="4" t="s">
        <v>13099</v>
      </c>
      <c r="G5158" s="5" t="str">
        <f>IFERROR(__xludf.DUMMYFUNCTION("GOOGLETRANSLATE(D5158,""fr"",""es"")"),"fideos")</f>
        <v>fideos</v>
      </c>
      <c r="H5158" s="4" t="s">
        <v>13100</v>
      </c>
      <c r="I5158" s="4" t="s">
        <v>5913</v>
      </c>
      <c r="J5158" s="4" t="s">
        <v>5916</v>
      </c>
      <c r="K5158" s="4" t="s">
        <v>5917</v>
      </c>
      <c r="L5158" s="4" t="s">
        <v>5918</v>
      </c>
      <c r="M5158" s="4" t="s">
        <v>5919</v>
      </c>
      <c r="N5158" s="4" t="s">
        <v>5920</v>
      </c>
      <c r="O5158" s="4" t="s">
        <v>5918</v>
      </c>
    </row>
    <row r="5159">
      <c r="A5159" s="4">
        <v>561.0</v>
      </c>
      <c r="B5159" s="4" t="s">
        <v>11578</v>
      </c>
      <c r="C5159" s="4"/>
      <c r="D5159" s="4" t="s">
        <v>13101</v>
      </c>
      <c r="E5159" s="4" t="s">
        <v>13102</v>
      </c>
      <c r="F5159" s="4" t="s">
        <v>7032</v>
      </c>
      <c r="G5159" s="5" t="str">
        <f>IFERROR(__xludf.DUMMYFUNCTION("GOOGLETRANSLATE(D5159,""fr"",""es"")"),"sustantivo")</f>
        <v>sustantivo</v>
      </c>
    </row>
    <row r="5160">
      <c r="A5160" s="4">
        <v>562.0</v>
      </c>
      <c r="B5160" s="4" t="s">
        <v>11578</v>
      </c>
      <c r="C5160" s="4"/>
      <c r="D5160" s="4" t="s">
        <v>13103</v>
      </c>
      <c r="E5160" s="4" t="s">
        <v>13104</v>
      </c>
      <c r="F5160" s="4" t="s">
        <v>13105</v>
      </c>
      <c r="G5160" s="5" t="str">
        <f>IFERROR(__xludf.DUMMYFUNCTION("GOOGLETRANSLATE(D5160,""fr"",""es"")"),"niñera")</f>
        <v>niñera</v>
      </c>
      <c r="H5160" s="4" t="s">
        <v>6932</v>
      </c>
      <c r="I5160" s="4" t="s">
        <v>6937</v>
      </c>
      <c r="J5160" s="4" t="s">
        <v>6938</v>
      </c>
      <c r="K5160" s="4" t="s">
        <v>6932</v>
      </c>
      <c r="L5160" s="4" t="s">
        <v>6935</v>
      </c>
      <c r="M5160" s="4" t="s">
        <v>6936</v>
      </c>
    </row>
    <row r="5161">
      <c r="A5161" s="4">
        <v>563.0</v>
      </c>
      <c r="B5161" s="4" t="s">
        <v>11578</v>
      </c>
      <c r="C5161" s="4"/>
      <c r="D5161" s="4" t="s">
        <v>1215</v>
      </c>
      <c r="E5161" s="4" t="s">
        <v>3018</v>
      </c>
      <c r="F5161" s="4" t="s">
        <v>2972</v>
      </c>
      <c r="G5161" s="5" t="str">
        <f>IFERROR(__xludf.DUMMYFUNCTION("GOOGLETRANSLATE(D5161,""fr"",""es"")"),"nosotros")</f>
        <v>nosotros</v>
      </c>
    </row>
    <row r="5162">
      <c r="A5162" s="4">
        <v>564.0</v>
      </c>
      <c r="B5162" s="4" t="s">
        <v>11578</v>
      </c>
      <c r="C5162" s="4"/>
      <c r="D5162" s="4" t="s">
        <v>13106</v>
      </c>
      <c r="E5162" s="4" t="s">
        <v>13107</v>
      </c>
      <c r="F5162" s="4" t="s">
        <v>7028</v>
      </c>
      <c r="G5162" s="5" t="str">
        <f>IFERROR(__xludf.DUMMYFUNCTION("GOOGLETRANSLATE(D5162,""fr"",""es"")"),"desnudo")</f>
        <v>desnudo</v>
      </c>
    </row>
    <row r="5163">
      <c r="A5163" s="4">
        <v>565.0</v>
      </c>
      <c r="B5163" s="4" t="s">
        <v>11578</v>
      </c>
      <c r="C5163" s="4"/>
      <c r="D5163" s="4" t="s">
        <v>13108</v>
      </c>
      <c r="E5163" s="4" t="s">
        <v>10758</v>
      </c>
      <c r="F5163" s="4" t="s">
        <v>6988</v>
      </c>
      <c r="G5163" s="5" t="str">
        <f>IFERROR(__xludf.DUMMYFUNCTION("GOOGLETRANSLATE(D5163,""fr"",""es"")"),"nîmes")</f>
        <v>nîmes</v>
      </c>
    </row>
    <row r="5164">
      <c r="A5164" s="4">
        <v>566.0</v>
      </c>
      <c r="B5164" s="4" t="s">
        <v>11578</v>
      </c>
      <c r="C5164" s="4"/>
      <c r="D5164" s="4" t="s">
        <v>13109</v>
      </c>
      <c r="E5164" s="4" t="s">
        <v>13110</v>
      </c>
      <c r="F5164" s="4" t="s">
        <v>13111</v>
      </c>
      <c r="G5164" s="5" t="str">
        <f>IFERROR(__xludf.DUMMYFUNCTION("GOOGLETRANSLATE(D5164,""fr"",""es"")"),"Ay")</f>
        <v>Ay</v>
      </c>
    </row>
    <row r="5165">
      <c r="A5165" s="4">
        <v>567.0</v>
      </c>
      <c r="B5165" s="4" t="s">
        <v>11578</v>
      </c>
      <c r="C5165" s="4"/>
      <c r="D5165" s="4" t="s">
        <v>13112</v>
      </c>
      <c r="E5165" s="4" t="s">
        <v>13113</v>
      </c>
      <c r="F5165" s="4" t="s">
        <v>13114</v>
      </c>
      <c r="G5165" s="5" t="str">
        <f>IFERROR(__xludf.DUMMYFUNCTION("GOOGLETRANSLATE(D5165,""fr"",""es"")"),"ouilla")</f>
        <v>ouilla</v>
      </c>
    </row>
    <row r="5166">
      <c r="A5166" s="4">
        <v>568.0</v>
      </c>
      <c r="B5166" s="4" t="s">
        <v>11578</v>
      </c>
      <c r="C5166" s="4"/>
      <c r="D5166" s="4" t="s">
        <v>13115</v>
      </c>
      <c r="E5166" s="4" t="s">
        <v>13116</v>
      </c>
      <c r="F5166" s="4" t="s">
        <v>13114</v>
      </c>
      <c r="G5166" s="5" t="str">
        <f>IFERROR(__xludf.DUMMYFUNCTION("GOOGLETRANSLATE(D5166,""fr"",""es"")"),"ouillas")</f>
        <v>ouillas</v>
      </c>
    </row>
    <row r="5167">
      <c r="A5167" s="4">
        <v>569.0</v>
      </c>
      <c r="B5167" s="4" t="s">
        <v>11578</v>
      </c>
      <c r="C5167" s="4"/>
      <c r="D5167" s="4" t="s">
        <v>13117</v>
      </c>
      <c r="E5167" s="4" t="s">
        <v>13118</v>
      </c>
      <c r="F5167" s="4" t="s">
        <v>13119</v>
      </c>
      <c r="G5167" s="5" t="str">
        <f>IFERROR(__xludf.DUMMYFUNCTION("GOOGLETRANSLATE(D5167,""fr"",""es"")"),"ouillasse")</f>
        <v>ouillasse</v>
      </c>
    </row>
    <row r="5168">
      <c r="A5168" s="4">
        <v>570.0</v>
      </c>
      <c r="B5168" s="4" t="s">
        <v>11578</v>
      </c>
      <c r="C5168" s="4"/>
      <c r="D5168" s="4" t="s">
        <v>13120</v>
      </c>
      <c r="E5168" s="4" t="s">
        <v>13118</v>
      </c>
      <c r="F5168" s="4" t="s">
        <v>13119</v>
      </c>
      <c r="G5168" s="5" t="str">
        <f>IFERROR(__xludf.DUMMYFUNCTION("GOOGLETRANSLATE(D5168,""fr"",""es"")"),"naufragio")</f>
        <v>naufragio</v>
      </c>
    </row>
    <row r="5169">
      <c r="A5169" s="4">
        <v>571.0</v>
      </c>
      <c r="B5169" s="4" t="s">
        <v>11578</v>
      </c>
      <c r="C5169" s="4"/>
      <c r="D5169" s="4" t="s">
        <v>13121</v>
      </c>
      <c r="E5169" s="4" t="s">
        <v>13118</v>
      </c>
      <c r="F5169" s="4" t="s">
        <v>13119</v>
      </c>
      <c r="G5169" s="5" t="str">
        <f>IFERROR(__xludf.DUMMYFUNCTION("GOOGLETRANSLATE(D5169,""fr"",""es"")"),"OULLASSES")</f>
        <v>OULLASSES</v>
      </c>
    </row>
    <row r="5170">
      <c r="A5170" s="4">
        <v>572.0</v>
      </c>
      <c r="B5170" s="4" t="s">
        <v>11578</v>
      </c>
      <c r="C5170" s="4"/>
      <c r="D5170" s="4" t="s">
        <v>13122</v>
      </c>
      <c r="E5170" s="4" t="s">
        <v>12343</v>
      </c>
      <c r="F5170" s="4" t="s">
        <v>12344</v>
      </c>
      <c r="G5170" s="5" t="str">
        <f>IFERROR(__xludf.DUMMYFUNCTION("GOOGLETRANSLATE(D5170,""fr"",""es"")"),"tibio")</f>
        <v>tibio</v>
      </c>
    </row>
    <row r="5171">
      <c r="A5171" s="4">
        <v>573.0</v>
      </c>
      <c r="B5171" s="4" t="s">
        <v>11578</v>
      </c>
      <c r="C5171" s="4"/>
      <c r="D5171" s="4" t="s">
        <v>13123</v>
      </c>
      <c r="E5171" s="4" t="s">
        <v>12343</v>
      </c>
      <c r="F5171" s="4" t="s">
        <v>12344</v>
      </c>
      <c r="G5171" s="5" t="str">
        <f>IFERROR(__xludf.DUMMYFUNCTION("GOOGLETRANSLATE(D5171,""fr"",""es"")"),"exterior")</f>
        <v>exterior</v>
      </c>
    </row>
    <row r="5172">
      <c r="A5172" s="4">
        <v>574.0</v>
      </c>
      <c r="B5172" s="4" t="s">
        <v>11578</v>
      </c>
      <c r="C5172" s="4"/>
      <c r="D5172" s="4" t="s">
        <v>13124</v>
      </c>
      <c r="E5172" s="4" t="s">
        <v>12343</v>
      </c>
      <c r="F5172" s="4" t="s">
        <v>12344</v>
      </c>
      <c r="G5172" s="5" t="str">
        <f>IFERROR(__xludf.DUMMYFUNCTION("GOOGLETRANSLATE(D5172,""fr"",""es"")"),"Ouilles")</f>
        <v>Ouilles</v>
      </c>
    </row>
    <row r="5173">
      <c r="A5173" s="4">
        <v>575.0</v>
      </c>
      <c r="B5173" s="4" t="s">
        <v>11578</v>
      </c>
      <c r="C5173" s="4"/>
      <c r="D5173" s="4" t="s">
        <v>13125</v>
      </c>
      <c r="E5173" s="4" t="s">
        <v>13126</v>
      </c>
      <c r="F5173" s="4" t="s">
        <v>13127</v>
      </c>
      <c r="G5173" s="5" t="str">
        <f>IFERROR(__xludf.DUMMYFUNCTION("GOOGLETRANSLATE(D5173,""fr"",""es"")"),"ouillâme")</f>
        <v>ouillâme</v>
      </c>
    </row>
    <row r="5174">
      <c r="A5174" s="4">
        <v>576.0</v>
      </c>
      <c r="B5174" s="4" t="s">
        <v>11578</v>
      </c>
      <c r="C5174" s="4"/>
      <c r="D5174" s="4" t="s">
        <v>13128</v>
      </c>
      <c r="E5174" s="4" t="s">
        <v>13116</v>
      </c>
      <c r="F5174" s="4" t="s">
        <v>13114</v>
      </c>
      <c r="G5174" s="5" t="str">
        <f>IFERROR(__xludf.DUMMYFUNCTION("GOOGLETRANSLATE(D5174,""fr"",""es"")"),"ouillât")</f>
        <v>ouillât</v>
      </c>
    </row>
    <row r="5175">
      <c r="A5175" s="4">
        <v>577.0</v>
      </c>
      <c r="B5175" s="4" t="s">
        <v>11578</v>
      </c>
      <c r="C5175" s="4"/>
      <c r="D5175" s="4" t="s">
        <v>13129</v>
      </c>
      <c r="E5175" s="4" t="s">
        <v>12385</v>
      </c>
      <c r="F5175" s="4" t="s">
        <v>12386</v>
      </c>
      <c r="G5175" s="5" t="str">
        <f>IFERROR(__xludf.DUMMYFUNCTION("GOOGLETRANSLATE(D5175,""fr"",""es"")"),"herramienta")</f>
        <v>herramienta</v>
      </c>
      <c r="H5175" s="4" t="s">
        <v>13130</v>
      </c>
      <c r="I5175" s="4" t="s">
        <v>3601</v>
      </c>
      <c r="J5175" s="4" t="s">
        <v>13130</v>
      </c>
      <c r="K5175" s="4" t="s">
        <v>3601</v>
      </c>
      <c r="L5175" s="4" t="s">
        <v>13130</v>
      </c>
      <c r="M5175" s="4" t="s">
        <v>13131</v>
      </c>
      <c r="N5175" s="4" t="s">
        <v>13132</v>
      </c>
      <c r="O5175" s="4" t="s">
        <v>3601</v>
      </c>
      <c r="P5175" s="4" t="s">
        <v>13133</v>
      </c>
      <c r="Q5175" s="4" t="s">
        <v>3601</v>
      </c>
      <c r="R5175" s="4" t="s">
        <v>3601</v>
      </c>
      <c r="S5175" s="4" t="s">
        <v>13130</v>
      </c>
      <c r="T5175" s="4" t="s">
        <v>13134</v>
      </c>
      <c r="U5175" s="4" t="s">
        <v>13135</v>
      </c>
      <c r="V5175" s="4" t="s">
        <v>13136</v>
      </c>
      <c r="W5175" s="4" t="s">
        <v>13137</v>
      </c>
      <c r="X5175" s="4" t="s">
        <v>13138</v>
      </c>
      <c r="Y5175" s="4" t="s">
        <v>9918</v>
      </c>
      <c r="Z5175" s="4" t="s">
        <v>9919</v>
      </c>
      <c r="AA5175" s="4" t="s">
        <v>9931</v>
      </c>
      <c r="AB5175" s="4" t="s">
        <v>1268</v>
      </c>
      <c r="AC5175" s="4" t="s">
        <v>13139</v>
      </c>
      <c r="AD5175" s="4" t="s">
        <v>13130</v>
      </c>
      <c r="AE5175" s="4" t="s">
        <v>3601</v>
      </c>
      <c r="AF5175" s="4" t="s">
        <v>13140</v>
      </c>
      <c r="AG5175" s="4" t="s">
        <v>3596</v>
      </c>
      <c r="AH5175" s="4" t="s">
        <v>3497</v>
      </c>
      <c r="AI5175" s="4" t="s">
        <v>3597</v>
      </c>
      <c r="AJ5175" s="4" t="s">
        <v>3598</v>
      </c>
      <c r="AK5175" s="4" t="s">
        <v>3599</v>
      </c>
      <c r="AL5175" s="4" t="s">
        <v>3600</v>
      </c>
      <c r="AM5175" s="4" t="s">
        <v>3601</v>
      </c>
      <c r="AN5175" s="4" t="s">
        <v>3602</v>
      </c>
      <c r="AO5175" s="4" t="s">
        <v>13141</v>
      </c>
      <c r="AP5175" s="4" t="s">
        <v>13130</v>
      </c>
      <c r="AQ5175" s="4" t="s">
        <v>659</v>
      </c>
      <c r="AR5175" s="4" t="s">
        <v>3601</v>
      </c>
      <c r="AS5175" s="4" t="s">
        <v>13142</v>
      </c>
      <c r="AT5175" s="4" t="s">
        <v>13130</v>
      </c>
      <c r="AU5175" s="4" t="s">
        <v>8320</v>
      </c>
      <c r="AV5175" s="4" t="s">
        <v>13143</v>
      </c>
    </row>
    <row r="5176">
      <c r="A5176" s="4">
        <v>578.0</v>
      </c>
      <c r="B5176" s="4" t="s">
        <v>11578</v>
      </c>
      <c r="C5176" s="4"/>
      <c r="D5176" s="4" t="s">
        <v>13144</v>
      </c>
      <c r="E5176" s="4" t="s">
        <v>13145</v>
      </c>
      <c r="F5176" s="4" t="s">
        <v>11055</v>
      </c>
      <c r="G5176" s="5" t="str">
        <f>IFERROR(__xludf.DUMMYFUNCTION("GOOGLETRANSLATE(D5176,""fr"",""es"")"),"paca")</f>
        <v>paca</v>
      </c>
      <c r="H5176" s="4" t="s">
        <v>13144</v>
      </c>
      <c r="I5176" s="4" t="s">
        <v>13146</v>
      </c>
    </row>
    <row r="5177">
      <c r="A5177" s="4">
        <v>579.0</v>
      </c>
      <c r="B5177" s="4" t="s">
        <v>11578</v>
      </c>
      <c r="C5177" s="4"/>
      <c r="D5177" s="4" t="s">
        <v>13147</v>
      </c>
      <c r="E5177" s="4" t="s">
        <v>13148</v>
      </c>
      <c r="F5177" s="4" t="s">
        <v>13149</v>
      </c>
      <c r="G5177" s="5" t="str">
        <f>IFERROR(__xludf.DUMMYFUNCTION("GOOGLETRANSLATE(D5177,""fr"",""es"")"),"pacana")</f>
        <v>pacana</v>
      </c>
    </row>
    <row r="5178">
      <c r="A5178" s="4">
        <v>580.0</v>
      </c>
      <c r="B5178" s="4" t="s">
        <v>11578</v>
      </c>
      <c r="C5178" s="4"/>
      <c r="D5178" s="4" t="s">
        <v>13150</v>
      </c>
      <c r="E5178" s="4" t="s">
        <v>13151</v>
      </c>
      <c r="F5178" s="4" t="s">
        <v>13152</v>
      </c>
      <c r="G5178" s="5" t="str">
        <f>IFERROR(__xludf.DUMMYFUNCTION("GOOGLETRANSLATE(D5178,""fr"",""es"")"),"pchalik")</f>
        <v>pchalik</v>
      </c>
    </row>
    <row r="5179">
      <c r="A5179" s="4">
        <v>581.0</v>
      </c>
      <c r="B5179" s="4" t="s">
        <v>11578</v>
      </c>
      <c r="C5179" s="4"/>
      <c r="D5179" s="4" t="s">
        <v>2543</v>
      </c>
      <c r="E5179" s="4" t="s">
        <v>391</v>
      </c>
      <c r="F5179" s="4" t="s">
        <v>392</v>
      </c>
      <c r="G5179" s="5" t="str">
        <f>IFERROR(__xludf.DUMMYFUNCTION("GOOGLETRANSLATE(D5179,""fr"",""es"")"),"paquete")</f>
        <v>paquete</v>
      </c>
      <c r="H5179" s="4" t="s">
        <v>2543</v>
      </c>
    </row>
    <row r="5180">
      <c r="A5180" s="4">
        <v>582.0</v>
      </c>
      <c r="B5180" s="4" t="s">
        <v>11578</v>
      </c>
      <c r="C5180" s="4"/>
      <c r="D5180" s="4" t="s">
        <v>13153</v>
      </c>
      <c r="E5180" s="4" t="s">
        <v>3280</v>
      </c>
      <c r="F5180" s="4" t="s">
        <v>3281</v>
      </c>
      <c r="G5180" s="5" t="str">
        <f>IFERROR(__xludf.DUMMYFUNCTION("GOOGLETRANSLATE(D5180,""fr"",""es"")"),"taparrabo")</f>
        <v>taparrabo</v>
      </c>
      <c r="H5180" s="4" t="s">
        <v>13154</v>
      </c>
      <c r="I5180" s="4" t="s">
        <v>13155</v>
      </c>
      <c r="J5180" s="4" t="s">
        <v>13156</v>
      </c>
      <c r="K5180" s="4" t="s">
        <v>13157</v>
      </c>
    </row>
    <row r="5181">
      <c r="A5181" s="4">
        <v>583.0</v>
      </c>
      <c r="B5181" s="4" t="s">
        <v>11578</v>
      </c>
      <c r="C5181" s="4"/>
      <c r="D5181" s="4" t="s">
        <v>13158</v>
      </c>
      <c r="E5181" s="4" t="s">
        <v>13159</v>
      </c>
      <c r="F5181" s="4" t="s">
        <v>13160</v>
      </c>
      <c r="G5181" s="5" t="str">
        <f>IFERROR(__xludf.DUMMYFUNCTION("GOOGLETRANSLATE(D5181,""fr"",""es"")"),"hipoteca")</f>
        <v>hipoteca</v>
      </c>
    </row>
    <row r="5182">
      <c r="A5182" s="4">
        <v>584.0</v>
      </c>
      <c r="B5182" s="4" t="s">
        <v>11578</v>
      </c>
      <c r="C5182" s="4"/>
      <c r="D5182" s="4" t="s">
        <v>13161</v>
      </c>
      <c r="E5182" s="4" t="s">
        <v>4850</v>
      </c>
      <c r="F5182" s="4" t="s">
        <v>3910</v>
      </c>
      <c r="G5182" s="5" t="str">
        <f>IFERROR(__xludf.DUMMYFUNCTION("GOOGLETRANSLATE(D5182,""fr"",""es"")"),"Sorbete")</f>
        <v>Sorbete</v>
      </c>
      <c r="H5182" s="4" t="s">
        <v>3196</v>
      </c>
      <c r="I5182" s="4" t="s">
        <v>13162</v>
      </c>
      <c r="J5182" s="4" t="s">
        <v>3196</v>
      </c>
      <c r="K5182" s="4" t="s">
        <v>3196</v>
      </c>
      <c r="L5182" s="4" t="s">
        <v>3196</v>
      </c>
      <c r="M5182" s="4" t="s">
        <v>13163</v>
      </c>
      <c r="N5182" s="4" t="s">
        <v>13164</v>
      </c>
      <c r="O5182" s="4" t="s">
        <v>3196</v>
      </c>
      <c r="P5182" s="4" t="s">
        <v>13165</v>
      </c>
      <c r="Q5182" s="4" t="s">
        <v>4821</v>
      </c>
      <c r="R5182" s="4" t="s">
        <v>13166</v>
      </c>
      <c r="S5182" s="4" t="s">
        <v>13167</v>
      </c>
      <c r="T5182" s="4" t="s">
        <v>13168</v>
      </c>
      <c r="U5182" s="4" t="s">
        <v>1190</v>
      </c>
      <c r="V5182" s="4" t="s">
        <v>3196</v>
      </c>
      <c r="W5182" s="4" t="s">
        <v>13169</v>
      </c>
      <c r="X5182" s="4" t="s">
        <v>3196</v>
      </c>
    </row>
    <row r="5183">
      <c r="A5183" s="4">
        <v>585.0</v>
      </c>
      <c r="B5183" s="4" t="s">
        <v>11578</v>
      </c>
      <c r="C5183" s="4"/>
      <c r="D5183" s="4" t="s">
        <v>13161</v>
      </c>
      <c r="E5183" s="4" t="s">
        <v>13170</v>
      </c>
      <c r="F5183" s="4" t="s">
        <v>3910</v>
      </c>
      <c r="G5183" s="5" t="str">
        <f>IFERROR(__xludf.DUMMYFUNCTION("GOOGLETRANSLATE(D5183,""fr"",""es"")"),"Sorbete")</f>
        <v>Sorbete</v>
      </c>
      <c r="H5183" s="4" t="s">
        <v>3196</v>
      </c>
      <c r="I5183" s="4" t="s">
        <v>13162</v>
      </c>
      <c r="J5183" s="4" t="s">
        <v>3196</v>
      </c>
      <c r="K5183" s="4" t="s">
        <v>3196</v>
      </c>
      <c r="L5183" s="4" t="s">
        <v>3196</v>
      </c>
      <c r="M5183" s="4" t="s">
        <v>13163</v>
      </c>
      <c r="N5183" s="4" t="s">
        <v>13164</v>
      </c>
      <c r="O5183" s="4" t="s">
        <v>3196</v>
      </c>
      <c r="P5183" s="4" t="s">
        <v>13165</v>
      </c>
      <c r="Q5183" s="4" t="s">
        <v>4821</v>
      </c>
      <c r="R5183" s="4" t="s">
        <v>13166</v>
      </c>
      <c r="S5183" s="4" t="s">
        <v>13167</v>
      </c>
      <c r="T5183" s="4" t="s">
        <v>13168</v>
      </c>
      <c r="U5183" s="4" t="s">
        <v>1190</v>
      </c>
      <c r="V5183" s="4" t="s">
        <v>3196</v>
      </c>
      <c r="W5183" s="4" t="s">
        <v>13169</v>
      </c>
      <c r="X5183" s="4" t="s">
        <v>3196</v>
      </c>
    </row>
    <row r="5184">
      <c r="A5184" s="4">
        <v>586.0</v>
      </c>
      <c r="B5184" s="4" t="s">
        <v>11578</v>
      </c>
      <c r="C5184" s="4"/>
      <c r="D5184" s="4" t="s">
        <v>7051</v>
      </c>
      <c r="E5184" s="4" t="s">
        <v>13171</v>
      </c>
      <c r="F5184" s="4" t="s">
        <v>7051</v>
      </c>
      <c r="G5184" s="5" t="str">
        <f>IFERROR(__xludf.DUMMYFUNCTION("GOOGLETRANSLATE(D5184,""fr"",""es"")"),"paka")</f>
        <v>paka</v>
      </c>
    </row>
    <row r="5185">
      <c r="A5185" s="4">
        <v>587.0</v>
      </c>
      <c r="B5185" s="4" t="s">
        <v>11578</v>
      </c>
      <c r="C5185" s="4"/>
      <c r="D5185" s="4" t="s">
        <v>3161</v>
      </c>
      <c r="E5185" s="4" t="s">
        <v>3162</v>
      </c>
      <c r="F5185" s="4" t="s">
        <v>3161</v>
      </c>
      <c r="G5185" s="5" t="str">
        <f>IFERROR(__xludf.DUMMYFUNCTION("GOOGLETRANSLATE(D5185,""fr"",""es"")"),"camarada")</f>
        <v>camarada</v>
      </c>
    </row>
    <row r="5186">
      <c r="A5186" s="4">
        <v>588.0</v>
      </c>
      <c r="B5186" s="4" t="s">
        <v>11578</v>
      </c>
      <c r="C5186" s="4"/>
      <c r="D5186" s="4" t="s">
        <v>7060</v>
      </c>
      <c r="E5186" s="4" t="s">
        <v>13172</v>
      </c>
      <c r="F5186" s="4" t="s">
        <v>11058</v>
      </c>
      <c r="G5186" s="5" t="str">
        <f>IFERROR(__xludf.DUMMYFUNCTION("GOOGLETRANSLATE(D5186,""fr"",""es"")"),"palacio")</f>
        <v>palacio</v>
      </c>
    </row>
    <row r="5187">
      <c r="A5187" s="4">
        <v>589.0</v>
      </c>
      <c r="B5187" s="4" t="s">
        <v>11578</v>
      </c>
      <c r="C5187" s="4"/>
      <c r="D5187" s="4" t="s">
        <v>3177</v>
      </c>
      <c r="E5187" s="4" t="s">
        <v>3178</v>
      </c>
      <c r="F5187" s="4" t="s">
        <v>3177</v>
      </c>
      <c r="G5187" s="5" t="str">
        <f>IFERROR(__xludf.DUMMYFUNCTION("GOOGLETRANSLATE(D5187,""fr"",""es"")"),"palatal")</f>
        <v>palatal</v>
      </c>
      <c r="H5187" s="4" t="s">
        <v>3177</v>
      </c>
      <c r="I5187" s="4" t="s">
        <v>13173</v>
      </c>
      <c r="J5187" s="4" t="s">
        <v>13174</v>
      </c>
      <c r="K5187" s="4" t="s">
        <v>3177</v>
      </c>
      <c r="L5187" s="4" t="s">
        <v>13175</v>
      </c>
      <c r="M5187" s="4" t="s">
        <v>3177</v>
      </c>
    </row>
    <row r="5188">
      <c r="A5188" s="4">
        <v>590.0</v>
      </c>
      <c r="B5188" s="4" t="s">
        <v>11578</v>
      </c>
      <c r="C5188" s="4"/>
      <c r="D5188" s="4" t="s">
        <v>13175</v>
      </c>
      <c r="E5188" s="4" t="s">
        <v>13176</v>
      </c>
      <c r="F5188" s="4" t="s">
        <v>13177</v>
      </c>
      <c r="G5188" s="5" t="str">
        <f>IFERROR(__xludf.DUMMYFUNCTION("GOOGLETRANSLATE(D5188,""fr"",""es"")"),"palatal")</f>
        <v>palatal</v>
      </c>
    </row>
    <row r="5189">
      <c r="A5189" s="4">
        <v>591.0</v>
      </c>
      <c r="B5189" s="4" t="s">
        <v>11578</v>
      </c>
      <c r="C5189" s="4"/>
      <c r="D5189" s="4" t="s">
        <v>7565</v>
      </c>
      <c r="E5189" s="4" t="s">
        <v>3162</v>
      </c>
      <c r="F5189" s="4" t="s">
        <v>3161</v>
      </c>
      <c r="G5189" s="5" t="str">
        <f>IFERROR(__xludf.DUMMYFUNCTION("GOOGLETRANSLATE(D5189,""fr"",""es"")"),"pálido")</f>
        <v>pálido</v>
      </c>
      <c r="H5189" s="4" t="s">
        <v>10259</v>
      </c>
      <c r="I5189" s="4" t="s">
        <v>10260</v>
      </c>
      <c r="J5189" s="4" t="s">
        <v>13178</v>
      </c>
    </row>
    <row r="5190">
      <c r="A5190" s="4">
        <v>592.0</v>
      </c>
      <c r="B5190" s="4" t="s">
        <v>11578</v>
      </c>
      <c r="C5190" s="4"/>
      <c r="D5190" s="4" t="s">
        <v>13179</v>
      </c>
      <c r="E5190" s="4" t="s">
        <v>13172</v>
      </c>
      <c r="F5190" s="4" t="s">
        <v>11058</v>
      </c>
      <c r="G5190" s="5" t="str">
        <f>IFERROR(__xludf.DUMMYFUNCTION("GOOGLETRANSLATE(D5190,""fr"",""es"")"),"Palas")</f>
        <v>Palas</v>
      </c>
      <c r="H5190" s="4" t="s">
        <v>13180</v>
      </c>
      <c r="I5190" s="4" t="s">
        <v>13181</v>
      </c>
      <c r="J5190" s="4" t="s">
        <v>13182</v>
      </c>
      <c r="K5190" s="4" t="s">
        <v>13180</v>
      </c>
      <c r="L5190" s="4" t="s">
        <v>13183</v>
      </c>
      <c r="M5190" s="4" t="s">
        <v>13184</v>
      </c>
    </row>
    <row r="5191">
      <c r="A5191" s="4">
        <v>593.0</v>
      </c>
      <c r="B5191" s="4" t="s">
        <v>11578</v>
      </c>
      <c r="C5191" s="4"/>
      <c r="D5191" s="4" t="s">
        <v>13185</v>
      </c>
      <c r="E5191" s="4" t="s">
        <v>13186</v>
      </c>
      <c r="F5191" s="4" t="s">
        <v>13187</v>
      </c>
      <c r="G5191" s="5" t="str">
        <f>IFERROR(__xludf.DUMMYFUNCTION("GOOGLETRANSLATE(D5191,""fr"",""es"")"),"penacho")</f>
        <v>penacho</v>
      </c>
      <c r="H5191" s="4" t="s">
        <v>8606</v>
      </c>
      <c r="I5191" s="4" t="s">
        <v>13188</v>
      </c>
      <c r="J5191" s="4" t="s">
        <v>13189</v>
      </c>
      <c r="K5191" s="4" t="s">
        <v>13185</v>
      </c>
      <c r="L5191" s="4" t="s">
        <v>11354</v>
      </c>
    </row>
    <row r="5192">
      <c r="A5192" s="4">
        <v>594.0</v>
      </c>
      <c r="B5192" s="4" t="s">
        <v>11578</v>
      </c>
      <c r="C5192" s="4"/>
      <c r="D5192" s="4" t="s">
        <v>13190</v>
      </c>
      <c r="E5192" s="4" t="s">
        <v>13191</v>
      </c>
      <c r="F5192" s="4" t="s">
        <v>13192</v>
      </c>
      <c r="G5192" s="5" t="str">
        <f>IFERROR(__xludf.DUMMYFUNCTION("GOOGLETRANSLATE(D5192,""fr"",""es"")"),"paname")</f>
        <v>paname</v>
      </c>
    </row>
    <row r="5193">
      <c r="A5193" s="4">
        <v>595.0</v>
      </c>
      <c r="B5193" s="4" t="s">
        <v>11578</v>
      </c>
      <c r="C5193" s="4"/>
      <c r="D5193" s="4" t="s">
        <v>13193</v>
      </c>
      <c r="E5193" s="4" t="s">
        <v>3264</v>
      </c>
      <c r="F5193" s="4" t="s">
        <v>3265</v>
      </c>
      <c r="G5193" s="5" t="str">
        <f>IFERROR(__xludf.DUMMYFUNCTION("GOOGLETRANSLATE(D5193,""fr"",""es"")"),"Panamá")</f>
        <v>Panamá</v>
      </c>
      <c r="H5193" s="4" t="s">
        <v>3266</v>
      </c>
      <c r="I5193" s="4" t="s">
        <v>3267</v>
      </c>
      <c r="J5193" s="4" t="s">
        <v>3268</v>
      </c>
      <c r="K5193" s="4" t="s">
        <v>3269</v>
      </c>
      <c r="L5193" s="4" t="s">
        <v>2505</v>
      </c>
      <c r="M5193" s="4" t="s">
        <v>3270</v>
      </c>
      <c r="N5193" s="4" t="s">
        <v>3271</v>
      </c>
      <c r="O5193" s="4" t="s">
        <v>3268</v>
      </c>
      <c r="P5193" s="4" t="s">
        <v>3272</v>
      </c>
      <c r="Q5193" s="4" t="s">
        <v>3273</v>
      </c>
      <c r="R5193" s="4" t="s">
        <v>3274</v>
      </c>
      <c r="S5193" s="4" t="s">
        <v>3275</v>
      </c>
      <c r="T5193" s="4" t="s">
        <v>3273</v>
      </c>
    </row>
    <row r="5194">
      <c r="A5194" s="4">
        <v>596.0</v>
      </c>
      <c r="B5194" s="4" t="s">
        <v>11578</v>
      </c>
      <c r="C5194" s="4"/>
      <c r="D5194" s="4" t="s">
        <v>13194</v>
      </c>
      <c r="E5194" s="4" t="s">
        <v>13195</v>
      </c>
      <c r="F5194" s="4" t="s">
        <v>7069</v>
      </c>
      <c r="G5194" s="5" t="str">
        <f>IFERROR(__xludf.DUMMYFUNCTION("GOOGLETRANSLATE(D5194,""fr"",""es"")"),"empanizado")</f>
        <v>empanizado</v>
      </c>
    </row>
    <row r="5195">
      <c r="A5195" s="4">
        <v>597.0</v>
      </c>
      <c r="B5195" s="4" t="s">
        <v>11578</v>
      </c>
      <c r="C5195" s="4"/>
      <c r="D5195" s="4" t="s">
        <v>3791</v>
      </c>
      <c r="E5195" s="4" t="s">
        <v>3789</v>
      </c>
      <c r="F5195" s="4" t="s">
        <v>3790</v>
      </c>
      <c r="G5195" s="5" t="str">
        <f>IFERROR(__xludf.DUMMYFUNCTION("GOOGLETRANSLATE(D5195,""fr"",""es"")"),"pánico")</f>
        <v>pánico</v>
      </c>
      <c r="H5195" s="4" t="s">
        <v>13196</v>
      </c>
      <c r="I5195" s="4" t="s">
        <v>13197</v>
      </c>
      <c r="J5195" s="4" t="s">
        <v>13196</v>
      </c>
      <c r="K5195" s="4" t="s">
        <v>13197</v>
      </c>
    </row>
    <row r="5196">
      <c r="A5196" s="4">
        <v>598.0</v>
      </c>
      <c r="B5196" s="4" t="s">
        <v>11578</v>
      </c>
      <c r="C5196" s="4"/>
      <c r="D5196" s="4" t="s">
        <v>10901</v>
      </c>
      <c r="E5196" s="4" t="s">
        <v>13198</v>
      </c>
      <c r="F5196" s="4" t="s">
        <v>10901</v>
      </c>
      <c r="G5196" s="5" t="str">
        <f>IFERROR(__xludf.DUMMYFUNCTION("GOOGLETRANSLATE(D5196,""fr"",""es"")"),"panin")</f>
        <v>panin</v>
      </c>
      <c r="H5196" s="4" t="s">
        <v>10903</v>
      </c>
    </row>
    <row r="5197">
      <c r="A5197" s="4">
        <v>599.0</v>
      </c>
      <c r="B5197" s="4" t="s">
        <v>11578</v>
      </c>
      <c r="C5197" s="4"/>
      <c r="D5197" s="4" t="s">
        <v>13199</v>
      </c>
      <c r="E5197" s="4" t="s">
        <v>3789</v>
      </c>
      <c r="F5197" s="4" t="s">
        <v>3790</v>
      </c>
      <c r="G5197" s="5" t="str">
        <f>IFERROR(__xludf.DUMMYFUNCTION("GOOGLETRANSLATE(D5197,""fr"",""es"")"),"pánico")</f>
        <v>pánico</v>
      </c>
      <c r="H5197" s="4" t="s">
        <v>7079</v>
      </c>
      <c r="I5197" s="4" t="s">
        <v>7082</v>
      </c>
      <c r="J5197" s="4" t="s">
        <v>7083</v>
      </c>
      <c r="K5197" s="4" t="s">
        <v>7084</v>
      </c>
      <c r="L5197" s="4" t="s">
        <v>7085</v>
      </c>
      <c r="M5197" s="4" t="s">
        <v>7086</v>
      </c>
      <c r="N5197" s="4" t="s">
        <v>3791</v>
      </c>
      <c r="O5197" s="4" t="s">
        <v>3791</v>
      </c>
      <c r="P5197" s="4" t="s">
        <v>3791</v>
      </c>
      <c r="Q5197" s="4" t="s">
        <v>3792</v>
      </c>
      <c r="R5197" s="4" t="s">
        <v>3793</v>
      </c>
      <c r="S5197" s="4" t="s">
        <v>3791</v>
      </c>
      <c r="T5197" s="4" t="s">
        <v>3794</v>
      </c>
    </row>
    <row r="5198">
      <c r="A5198" s="4">
        <v>600.0</v>
      </c>
      <c r="B5198" s="4" t="s">
        <v>11578</v>
      </c>
      <c r="C5198" s="4"/>
      <c r="D5198" s="4" t="s">
        <v>7087</v>
      </c>
      <c r="E5198" s="4" t="s">
        <v>13195</v>
      </c>
      <c r="F5198" s="4" t="s">
        <v>7069</v>
      </c>
      <c r="G5198" s="5" t="str">
        <f>IFERROR(__xludf.DUMMYFUNCTION("GOOGLETRANSLATE(D5198,""fr"",""es"")"),"desglose")</f>
        <v>desglose</v>
      </c>
      <c r="H5198" s="4" t="s">
        <v>13200</v>
      </c>
      <c r="I5198" s="4" t="s">
        <v>13201</v>
      </c>
      <c r="J5198" s="4" t="s">
        <v>13202</v>
      </c>
      <c r="K5198" s="4" t="s">
        <v>13203</v>
      </c>
    </row>
    <row r="5199">
      <c r="A5199" s="4">
        <v>601.0</v>
      </c>
      <c r="B5199" s="4" t="s">
        <v>11578</v>
      </c>
      <c r="C5199" s="4"/>
      <c r="D5199" s="4" t="s">
        <v>13204</v>
      </c>
      <c r="E5199" s="4" t="s">
        <v>13195</v>
      </c>
      <c r="F5199" s="4" t="s">
        <v>7069</v>
      </c>
      <c r="G5199" s="5" t="str">
        <f>IFERROR(__xludf.DUMMYFUNCTION("GOOGLETRANSLATE(D5199,""fr"",""es"")"),"pava real")</f>
        <v>pava real</v>
      </c>
      <c r="H5199" s="4" t="s">
        <v>13205</v>
      </c>
    </row>
    <row r="5200">
      <c r="A5200" s="4">
        <v>602.0</v>
      </c>
      <c r="B5200" s="4" t="s">
        <v>11578</v>
      </c>
      <c r="C5200" s="4"/>
      <c r="D5200" s="4" t="s">
        <v>3292</v>
      </c>
      <c r="E5200" s="4" t="s">
        <v>3293</v>
      </c>
      <c r="F5200" s="4" t="s">
        <v>3292</v>
      </c>
      <c r="G5200" s="5" t="str">
        <f>IFERROR(__xludf.DUMMYFUNCTION("GOOGLETRANSLATE(D5200,""fr"",""es"")"),"padre")</f>
        <v>padre</v>
      </c>
      <c r="H5200" s="4" t="s">
        <v>3294</v>
      </c>
      <c r="I5200" s="4" t="s">
        <v>3295</v>
      </c>
      <c r="J5200" s="4" t="s">
        <v>3296</v>
      </c>
      <c r="K5200" s="4" t="s">
        <v>3147</v>
      </c>
      <c r="L5200" s="4" t="s">
        <v>3292</v>
      </c>
      <c r="M5200" s="4" t="s">
        <v>3297</v>
      </c>
      <c r="N5200" s="4" t="s">
        <v>3298</v>
      </c>
    </row>
    <row r="5201">
      <c r="A5201" s="4">
        <v>603.0</v>
      </c>
      <c r="B5201" s="4" t="s">
        <v>11578</v>
      </c>
      <c r="C5201" s="4"/>
      <c r="D5201" s="4" t="s">
        <v>13206</v>
      </c>
      <c r="E5201" s="4" t="s">
        <v>13207</v>
      </c>
      <c r="F5201" s="4" t="s">
        <v>13208</v>
      </c>
      <c r="G5201" s="5" t="str">
        <f>IFERROR(__xludf.DUMMYFUNCTION("GOOGLETRANSLATE(D5201,""fr"",""es"")"),"papaya")</f>
        <v>papaya</v>
      </c>
      <c r="H5201" s="4" t="s">
        <v>3311</v>
      </c>
      <c r="I5201" s="4" t="s">
        <v>3311</v>
      </c>
      <c r="J5201" s="4" t="s">
        <v>3309</v>
      </c>
      <c r="K5201" s="4" t="s">
        <v>3313</v>
      </c>
      <c r="L5201" s="4" t="s">
        <v>13209</v>
      </c>
      <c r="M5201" s="4" t="s">
        <v>13210</v>
      </c>
      <c r="N5201" s="4" t="s">
        <v>13211</v>
      </c>
    </row>
    <row r="5202">
      <c r="A5202" s="4">
        <v>604.0</v>
      </c>
      <c r="B5202" s="4" t="s">
        <v>11578</v>
      </c>
      <c r="C5202" s="4"/>
      <c r="D5202" s="4" t="s">
        <v>13212</v>
      </c>
      <c r="E5202" s="4" t="s">
        <v>13213</v>
      </c>
      <c r="F5202" s="4" t="s">
        <v>7088</v>
      </c>
      <c r="G5202" s="5" t="str">
        <f>IFERROR(__xludf.DUMMYFUNCTION("GOOGLETRANSLATE(D5202,""fr"",""es"")"),"Papa")</f>
        <v>Papa</v>
      </c>
      <c r="H5202" s="4" t="s">
        <v>3302</v>
      </c>
      <c r="I5202" s="4" t="s">
        <v>3303</v>
      </c>
      <c r="J5202" s="4" t="s">
        <v>3304</v>
      </c>
      <c r="K5202" s="4" t="s">
        <v>3305</v>
      </c>
      <c r="L5202" s="4" t="s">
        <v>3306</v>
      </c>
      <c r="M5202" s="4" t="s">
        <v>3307</v>
      </c>
      <c r="N5202" s="4" t="s">
        <v>3308</v>
      </c>
      <c r="O5202" s="4" t="s">
        <v>3302</v>
      </c>
      <c r="P5202" s="4" t="s">
        <v>3303</v>
      </c>
      <c r="Q5202" s="4" t="s">
        <v>3304</v>
      </c>
      <c r="R5202" s="4" t="s">
        <v>3305</v>
      </c>
      <c r="S5202" s="4" t="s">
        <v>3306</v>
      </c>
      <c r="T5202" s="4" t="s">
        <v>3307</v>
      </c>
      <c r="U5202" s="4" t="s">
        <v>3308</v>
      </c>
      <c r="V5202" s="4" t="s">
        <v>13214</v>
      </c>
      <c r="W5202" s="4" t="s">
        <v>13215</v>
      </c>
    </row>
    <row r="5203">
      <c r="A5203" s="4">
        <v>605.0</v>
      </c>
      <c r="B5203" s="4" t="s">
        <v>11578</v>
      </c>
      <c r="C5203" s="4"/>
      <c r="D5203" s="4" t="s">
        <v>7100</v>
      </c>
      <c r="E5203" s="4" t="s">
        <v>13216</v>
      </c>
      <c r="F5203" s="4" t="s">
        <v>7100</v>
      </c>
      <c r="G5203" s="5" t="str">
        <f>IFERROR(__xludf.DUMMYFUNCTION("GOOGLETRANSLATE(D5203,""fr"",""es"")"),"Abuelo")</f>
        <v>Abuelo</v>
      </c>
      <c r="H5203" s="4" t="s">
        <v>1887</v>
      </c>
      <c r="I5203" s="4" t="s">
        <v>1888</v>
      </c>
      <c r="J5203" s="4" t="s">
        <v>1889</v>
      </c>
      <c r="K5203" s="4" t="s">
        <v>1890</v>
      </c>
      <c r="L5203" s="4" t="s">
        <v>1891</v>
      </c>
      <c r="M5203" s="4" t="s">
        <v>1892</v>
      </c>
    </row>
    <row r="5204">
      <c r="A5204" s="4">
        <v>606.0</v>
      </c>
      <c r="B5204" s="4" t="s">
        <v>11578</v>
      </c>
      <c r="C5204" s="4"/>
      <c r="D5204" s="4" t="s">
        <v>13217</v>
      </c>
      <c r="E5204" s="4" t="s">
        <v>13218</v>
      </c>
      <c r="F5204" s="4" t="s">
        <v>13219</v>
      </c>
      <c r="G5204" s="5" t="str">
        <f>IFERROR(__xludf.DUMMYFUNCTION("GOOGLETRANSLATE(D5204,""fr"",""es"")"),"papila")</f>
        <v>papila</v>
      </c>
      <c r="H5204" s="4" t="s">
        <v>13220</v>
      </c>
      <c r="I5204" s="4" t="s">
        <v>13221</v>
      </c>
      <c r="J5204" s="4" t="s">
        <v>13222</v>
      </c>
    </row>
    <row r="5205">
      <c r="A5205" s="4">
        <v>607.0</v>
      </c>
      <c r="B5205" s="4" t="s">
        <v>11578</v>
      </c>
      <c r="C5205" s="4"/>
      <c r="D5205" s="4" t="s">
        <v>13223</v>
      </c>
      <c r="E5205" s="4" t="s">
        <v>13216</v>
      </c>
      <c r="F5205" s="4" t="s">
        <v>7100</v>
      </c>
      <c r="G5205" s="5" t="str">
        <f>IFERROR(__xludf.DUMMYFUNCTION("GOOGLETRANSLATE(D5205,""fr"",""es"")"),"papis")</f>
        <v>papis</v>
      </c>
    </row>
    <row r="5206">
      <c r="A5206" s="4">
        <v>608.0</v>
      </c>
      <c r="B5206" s="4" t="s">
        <v>11578</v>
      </c>
      <c r="C5206" s="4"/>
      <c r="D5206" s="4" t="s">
        <v>13224</v>
      </c>
      <c r="E5206" s="4" t="s">
        <v>3322</v>
      </c>
      <c r="F5206" s="4" t="s">
        <v>3323</v>
      </c>
      <c r="G5206" s="5" t="str">
        <f>IFERROR(__xludf.DUMMYFUNCTION("GOOGLETRANSLATE(D5206,""fr"",""es"")"),"papú")</f>
        <v>papú</v>
      </c>
      <c r="H5206" s="4" t="s">
        <v>13225</v>
      </c>
      <c r="I5206" s="4" t="s">
        <v>13225</v>
      </c>
      <c r="J5206" s="4" t="s">
        <v>13226</v>
      </c>
    </row>
    <row r="5207">
      <c r="A5207" s="4">
        <v>609.0</v>
      </c>
      <c r="B5207" s="4" t="s">
        <v>11578</v>
      </c>
      <c r="C5207" s="4"/>
      <c r="D5207" s="4" t="s">
        <v>13227</v>
      </c>
      <c r="E5207" s="4" t="s">
        <v>13216</v>
      </c>
      <c r="F5207" s="4" t="s">
        <v>7100</v>
      </c>
      <c r="G5207" s="5" t="str">
        <f>IFERROR(__xludf.DUMMYFUNCTION("GOOGLETRANSLATE(D5207,""fr"",""es"")"),"Abuelo")</f>
        <v>Abuelo</v>
      </c>
      <c r="H5207" s="4" t="s">
        <v>1887</v>
      </c>
      <c r="I5207" s="4" t="s">
        <v>1888</v>
      </c>
      <c r="J5207" s="4" t="s">
        <v>1889</v>
      </c>
      <c r="K5207" s="4" t="s">
        <v>1890</v>
      </c>
      <c r="L5207" s="4" t="s">
        <v>1891</v>
      </c>
      <c r="M5207" s="4" t="s">
        <v>1892</v>
      </c>
    </row>
    <row r="5208">
      <c r="A5208" s="4">
        <v>610.0</v>
      </c>
      <c r="B5208" s="4" t="s">
        <v>11578</v>
      </c>
      <c r="C5208" s="4"/>
      <c r="D5208" s="4" t="s">
        <v>3361</v>
      </c>
      <c r="E5208" s="4" t="s">
        <v>3148</v>
      </c>
      <c r="F5208" s="4" t="s">
        <v>3147</v>
      </c>
      <c r="G5208" s="5" t="str">
        <f>IFERROR(__xludf.DUMMYFUNCTION("GOOGLETRANSLATE(D5208,""fr"",""es"")"),"no")</f>
        <v>no</v>
      </c>
      <c r="H5208" s="4" t="s">
        <v>13228</v>
      </c>
      <c r="I5208" s="4" t="s">
        <v>13229</v>
      </c>
      <c r="J5208" s="4" t="s">
        <v>13230</v>
      </c>
      <c r="K5208" s="4" t="s">
        <v>10974</v>
      </c>
      <c r="L5208" s="4" t="s">
        <v>10974</v>
      </c>
      <c r="M5208" s="4" t="s">
        <v>13231</v>
      </c>
      <c r="N5208" s="4" t="s">
        <v>639</v>
      </c>
      <c r="O5208" s="4" t="s">
        <v>13232</v>
      </c>
      <c r="P5208" s="4" t="s">
        <v>12757</v>
      </c>
      <c r="Q5208" s="4" t="s">
        <v>13233</v>
      </c>
      <c r="R5208" s="4" t="s">
        <v>3367</v>
      </c>
      <c r="S5208" s="4" t="s">
        <v>3365</v>
      </c>
      <c r="T5208" s="4" t="s">
        <v>3366</v>
      </c>
      <c r="U5208" s="4" t="s">
        <v>3367</v>
      </c>
      <c r="V5208" s="4" t="s">
        <v>3368</v>
      </c>
      <c r="W5208" s="4" t="s">
        <v>3361</v>
      </c>
      <c r="X5208" s="4" t="s">
        <v>3381</v>
      </c>
      <c r="Y5208" s="4" t="s">
        <v>897</v>
      </c>
      <c r="Z5208" s="4" t="s">
        <v>10974</v>
      </c>
      <c r="AA5208" s="4" t="s">
        <v>13234</v>
      </c>
      <c r="AB5208" s="4" t="s">
        <v>3366</v>
      </c>
      <c r="AC5208" s="4" t="s">
        <v>3365</v>
      </c>
      <c r="AD5208" s="4" t="s">
        <v>10974</v>
      </c>
      <c r="AE5208" s="4" t="s">
        <v>13235</v>
      </c>
      <c r="AF5208" s="4" t="s">
        <v>13236</v>
      </c>
      <c r="AG5208" s="4" t="s">
        <v>3365</v>
      </c>
      <c r="AH5208" s="4" t="s">
        <v>13237</v>
      </c>
      <c r="AI5208" s="4" t="s">
        <v>8975</v>
      </c>
      <c r="AJ5208" s="4" t="s">
        <v>3365</v>
      </c>
      <c r="AK5208" s="4" t="s">
        <v>13238</v>
      </c>
      <c r="AL5208" s="4" t="s">
        <v>10974</v>
      </c>
      <c r="AM5208" s="4" t="s">
        <v>3373</v>
      </c>
      <c r="AN5208" s="4" t="s">
        <v>3374</v>
      </c>
      <c r="AO5208" s="4" t="s">
        <v>3365</v>
      </c>
      <c r="AP5208" s="4" t="s">
        <v>13239</v>
      </c>
      <c r="AQ5208" s="4" t="s">
        <v>3380</v>
      </c>
      <c r="AR5208" s="4" t="s">
        <v>3381</v>
      </c>
      <c r="AS5208" s="4" t="s">
        <v>3365</v>
      </c>
      <c r="AT5208" s="4" t="s">
        <v>10974</v>
      </c>
      <c r="AU5208" s="4" t="s">
        <v>8623</v>
      </c>
      <c r="AV5208" s="4" t="s">
        <v>8975</v>
      </c>
      <c r="AW5208" s="4" t="s">
        <v>2634</v>
      </c>
      <c r="AX5208" s="4" t="s">
        <v>3366</v>
      </c>
      <c r="AY5208" s="4" t="s">
        <v>3381</v>
      </c>
      <c r="AZ5208" s="4" t="s">
        <v>3366</v>
      </c>
      <c r="BA5208" s="4" t="s">
        <v>3365</v>
      </c>
      <c r="BB5208" s="4" t="s">
        <v>3367</v>
      </c>
      <c r="BC5208" s="4" t="s">
        <v>3366</v>
      </c>
      <c r="BD5208" s="4" t="s">
        <v>3384</v>
      </c>
      <c r="BE5208" s="4" t="s">
        <v>13240</v>
      </c>
      <c r="BF5208" s="4" t="s">
        <v>3366</v>
      </c>
    </row>
    <row r="5209">
      <c r="A5209" s="4">
        <v>611.0</v>
      </c>
      <c r="B5209" s="4" t="s">
        <v>11578</v>
      </c>
      <c r="C5209" s="4"/>
      <c r="D5209" s="4" t="s">
        <v>3361</v>
      </c>
      <c r="E5209" s="4" t="s">
        <v>13241</v>
      </c>
      <c r="F5209" s="4" t="s">
        <v>3147</v>
      </c>
      <c r="G5209" s="5" t="str">
        <f>IFERROR(__xludf.DUMMYFUNCTION("GOOGLETRANSLATE(D5209,""fr"",""es"")"),"no")</f>
        <v>no</v>
      </c>
      <c r="H5209" s="4" t="s">
        <v>13228</v>
      </c>
      <c r="I5209" s="4" t="s">
        <v>13229</v>
      </c>
      <c r="J5209" s="4" t="s">
        <v>13230</v>
      </c>
      <c r="K5209" s="4" t="s">
        <v>10974</v>
      </c>
      <c r="L5209" s="4" t="s">
        <v>10974</v>
      </c>
      <c r="M5209" s="4" t="s">
        <v>13231</v>
      </c>
      <c r="N5209" s="4" t="s">
        <v>639</v>
      </c>
      <c r="O5209" s="4" t="s">
        <v>13232</v>
      </c>
      <c r="P5209" s="4" t="s">
        <v>12757</v>
      </c>
      <c r="Q5209" s="4" t="s">
        <v>13233</v>
      </c>
      <c r="R5209" s="4" t="s">
        <v>3367</v>
      </c>
      <c r="S5209" s="4" t="s">
        <v>3365</v>
      </c>
      <c r="T5209" s="4" t="s">
        <v>3366</v>
      </c>
      <c r="U5209" s="4" t="s">
        <v>3367</v>
      </c>
      <c r="V5209" s="4" t="s">
        <v>3368</v>
      </c>
      <c r="W5209" s="4" t="s">
        <v>3361</v>
      </c>
      <c r="X5209" s="4" t="s">
        <v>3381</v>
      </c>
      <c r="Y5209" s="4" t="s">
        <v>897</v>
      </c>
      <c r="Z5209" s="4" t="s">
        <v>10974</v>
      </c>
      <c r="AA5209" s="4" t="s">
        <v>13234</v>
      </c>
      <c r="AB5209" s="4" t="s">
        <v>3366</v>
      </c>
      <c r="AC5209" s="4" t="s">
        <v>3365</v>
      </c>
      <c r="AD5209" s="4" t="s">
        <v>10974</v>
      </c>
      <c r="AE5209" s="4" t="s">
        <v>13235</v>
      </c>
      <c r="AF5209" s="4" t="s">
        <v>13236</v>
      </c>
      <c r="AG5209" s="4" t="s">
        <v>3365</v>
      </c>
      <c r="AH5209" s="4" t="s">
        <v>13237</v>
      </c>
      <c r="AI5209" s="4" t="s">
        <v>8975</v>
      </c>
      <c r="AJ5209" s="4" t="s">
        <v>3365</v>
      </c>
      <c r="AK5209" s="4" t="s">
        <v>13238</v>
      </c>
      <c r="AL5209" s="4" t="s">
        <v>10974</v>
      </c>
      <c r="AM5209" s="4" t="s">
        <v>3373</v>
      </c>
      <c r="AN5209" s="4" t="s">
        <v>3374</v>
      </c>
      <c r="AO5209" s="4" t="s">
        <v>3365</v>
      </c>
      <c r="AP5209" s="4" t="s">
        <v>13239</v>
      </c>
      <c r="AQ5209" s="4" t="s">
        <v>3380</v>
      </c>
      <c r="AR5209" s="4" t="s">
        <v>3381</v>
      </c>
      <c r="AS5209" s="4" t="s">
        <v>3365</v>
      </c>
      <c r="AT5209" s="4" t="s">
        <v>10974</v>
      </c>
      <c r="AU5209" s="4" t="s">
        <v>8623</v>
      </c>
      <c r="AV5209" s="4" t="s">
        <v>8975</v>
      </c>
      <c r="AW5209" s="4" t="s">
        <v>2634</v>
      </c>
      <c r="AX5209" s="4" t="s">
        <v>3366</v>
      </c>
      <c r="AY5209" s="4" t="s">
        <v>3381</v>
      </c>
      <c r="AZ5209" s="4" t="s">
        <v>3366</v>
      </c>
      <c r="BA5209" s="4" t="s">
        <v>3365</v>
      </c>
      <c r="BB5209" s="4" t="s">
        <v>3367</v>
      </c>
      <c r="BC5209" s="4" t="s">
        <v>3366</v>
      </c>
      <c r="BD5209" s="4" t="s">
        <v>3384</v>
      </c>
      <c r="BE5209" s="4" t="s">
        <v>13240</v>
      </c>
      <c r="BF5209" s="4" t="s">
        <v>3366</v>
      </c>
    </row>
    <row r="5210">
      <c r="A5210" s="4">
        <v>612.0</v>
      </c>
      <c r="B5210" s="4" t="s">
        <v>11578</v>
      </c>
      <c r="C5210" s="4"/>
      <c r="D5210" s="4" t="s">
        <v>13242</v>
      </c>
      <c r="E5210" s="4" t="s">
        <v>13243</v>
      </c>
      <c r="F5210" s="4" t="s">
        <v>13244</v>
      </c>
      <c r="G5210" s="5" t="str">
        <f>IFERROR(__xludf.DUMMYFUNCTION("GOOGLETRANSLATE(D5210,""fr"",""es"")"),"passacaille")</f>
        <v>passacaille</v>
      </c>
    </row>
    <row r="5211">
      <c r="A5211" s="4">
        <v>613.0</v>
      </c>
      <c r="B5211" s="4" t="s">
        <v>11578</v>
      </c>
      <c r="C5211" s="4"/>
      <c r="D5211" s="4" t="s">
        <v>13245</v>
      </c>
      <c r="E5211" s="4" t="s">
        <v>3362</v>
      </c>
      <c r="F5211" s="4" t="s">
        <v>3361</v>
      </c>
      <c r="G5211" s="5" t="str">
        <f>IFERROR(__xludf.DUMMYFUNCTION("GOOGLETRANSLATE(D5211,""fr"",""es"")"),"pasar")</f>
        <v>pasar</v>
      </c>
      <c r="H5211" s="4" t="s">
        <v>13246</v>
      </c>
      <c r="I5211" s="4" t="s">
        <v>13247</v>
      </c>
      <c r="J5211" s="4" t="s">
        <v>13248</v>
      </c>
      <c r="K5211" s="4" t="s">
        <v>617</v>
      </c>
    </row>
    <row r="5212">
      <c r="A5212" s="4">
        <v>614.0</v>
      </c>
      <c r="B5212" s="4" t="s">
        <v>11578</v>
      </c>
      <c r="C5212" s="4"/>
      <c r="D5212" s="4" t="s">
        <v>13245</v>
      </c>
      <c r="E5212" s="4" t="s">
        <v>10940</v>
      </c>
      <c r="F5212" s="4" t="s">
        <v>3361</v>
      </c>
      <c r="G5212" s="5" t="str">
        <f>IFERROR(__xludf.DUMMYFUNCTION("GOOGLETRANSLATE(D5212,""fr"",""es"")"),"pasar")</f>
        <v>pasar</v>
      </c>
      <c r="H5212" s="4" t="s">
        <v>13246</v>
      </c>
      <c r="I5212" s="4" t="s">
        <v>13247</v>
      </c>
      <c r="J5212" s="4" t="s">
        <v>13248</v>
      </c>
      <c r="K5212" s="4" t="s">
        <v>617</v>
      </c>
    </row>
    <row r="5213">
      <c r="A5213" s="4">
        <v>615.0</v>
      </c>
      <c r="B5213" s="4" t="s">
        <v>11578</v>
      </c>
      <c r="C5213" s="4"/>
      <c r="D5213" s="4" t="s">
        <v>13249</v>
      </c>
      <c r="E5213" s="4" t="s">
        <v>3362</v>
      </c>
      <c r="F5213" s="4" t="s">
        <v>3361</v>
      </c>
      <c r="G5213" s="5" t="str">
        <f>IFERROR(__xludf.DUMMYFUNCTION("GOOGLETRANSLATE(D5213,""fr"",""es"")"),"pases")</f>
        <v>pases</v>
      </c>
    </row>
    <row r="5214">
      <c r="A5214" s="4">
        <v>616.0</v>
      </c>
      <c r="B5214" s="4" t="s">
        <v>11578</v>
      </c>
      <c r="C5214" s="4"/>
      <c r="D5214" s="4" t="s">
        <v>13250</v>
      </c>
      <c r="E5214" s="4" t="s">
        <v>13251</v>
      </c>
      <c r="F5214" s="4" t="s">
        <v>8699</v>
      </c>
      <c r="G5214" s="5" t="str">
        <f>IFERROR(__xludf.DUMMYFUNCTION("GOOGLETRANSLATE(D5214,""fr"",""es"")"),"pasajero")</f>
        <v>pasajero</v>
      </c>
    </row>
    <row r="5215">
      <c r="A5215" s="4">
        <v>617.0</v>
      </c>
      <c r="B5215" s="4" t="s">
        <v>11578</v>
      </c>
      <c r="C5215" s="4"/>
      <c r="D5215" s="4" t="s">
        <v>13252</v>
      </c>
      <c r="E5215" s="4" t="s">
        <v>13253</v>
      </c>
      <c r="F5215" s="4" t="s">
        <v>13254</v>
      </c>
      <c r="G5215" s="5" t="str">
        <f>IFERROR(__xludf.DUMMYFUNCTION("GOOGLETRANSLATE(D5215,""fr"",""es"")"),"patache")</f>
        <v>patache</v>
      </c>
    </row>
    <row r="5216">
      <c r="A5216" s="4">
        <v>618.0</v>
      </c>
      <c r="B5216" s="4" t="s">
        <v>11578</v>
      </c>
      <c r="C5216" s="4"/>
      <c r="D5216" s="4" t="s">
        <v>13255</v>
      </c>
      <c r="E5216" s="4" t="s">
        <v>13256</v>
      </c>
      <c r="F5216" s="4" t="s">
        <v>13255</v>
      </c>
      <c r="G5216" s="5" t="str">
        <f>IFERROR(__xludf.DUMMYFUNCTION("GOOGLETRANSLATE(D5216,""fr"",""es"")"),"patati")</f>
        <v>patati</v>
      </c>
    </row>
    <row r="5217">
      <c r="A5217" s="4">
        <v>619.0</v>
      </c>
      <c r="B5217" s="4" t="s">
        <v>11578</v>
      </c>
      <c r="C5217" s="4"/>
      <c r="D5217" s="4" t="s">
        <v>13257</v>
      </c>
      <c r="E5217" s="4" t="s">
        <v>13258</v>
      </c>
      <c r="F5217" s="4" t="s">
        <v>13259</v>
      </c>
      <c r="G5217" s="5" t="str">
        <f>IFERROR(__xludf.DUMMYFUNCTION("GOOGLETRANSLATE(D5217,""fr"",""es"")"),"pátina")</f>
        <v>pátina</v>
      </c>
      <c r="H5217" s="4" t="s">
        <v>13260</v>
      </c>
    </row>
    <row r="5218">
      <c r="A5218" s="4">
        <v>620.0</v>
      </c>
      <c r="B5218" s="4" t="s">
        <v>11578</v>
      </c>
      <c r="C5218" s="4"/>
      <c r="D5218" s="4" t="s">
        <v>13261</v>
      </c>
      <c r="E5218" s="4" t="s">
        <v>13262</v>
      </c>
      <c r="F5218" s="4" t="s">
        <v>13263</v>
      </c>
      <c r="G5218" s="5" t="str">
        <f>IFERROR(__xludf.DUMMYFUNCTION("GOOGLETRANSLATE(D5218,""fr"",""es"")"),"patouille")</f>
        <v>patouille</v>
      </c>
    </row>
    <row r="5219">
      <c r="A5219" s="4">
        <v>621.0</v>
      </c>
      <c r="B5219" s="4" t="s">
        <v>11578</v>
      </c>
      <c r="C5219" s="4"/>
      <c r="D5219" s="4" t="s">
        <v>13264</v>
      </c>
      <c r="E5219" s="4" t="s">
        <v>11005</v>
      </c>
      <c r="F5219" s="4" t="s">
        <v>7278</v>
      </c>
      <c r="G5219" s="5" t="str">
        <f>IFERROR(__xludf.DUMMYFUNCTION("GOOGLETRANSLATE(D5219,""fr"",""es"")"),"pequeño")</f>
        <v>pequeño</v>
      </c>
      <c r="H5219" s="4" t="s">
        <v>13265</v>
      </c>
      <c r="I5219" s="4" t="s">
        <v>1841</v>
      </c>
      <c r="J5219" s="4" t="s">
        <v>8555</v>
      </c>
      <c r="K5219" s="4" t="s">
        <v>8916</v>
      </c>
      <c r="L5219" s="4" t="s">
        <v>13265</v>
      </c>
      <c r="M5219" s="4" t="s">
        <v>13266</v>
      </c>
      <c r="N5219" s="4" t="s">
        <v>13267</v>
      </c>
      <c r="O5219" s="4" t="s">
        <v>1841</v>
      </c>
      <c r="P5219" s="4" t="s">
        <v>997</v>
      </c>
      <c r="Q5219" s="4" t="s">
        <v>13268</v>
      </c>
      <c r="R5219" s="4" t="s">
        <v>13269</v>
      </c>
      <c r="S5219" s="4" t="s">
        <v>2915</v>
      </c>
      <c r="T5219" s="4" t="s">
        <v>13265</v>
      </c>
      <c r="U5219" s="4" t="s">
        <v>13270</v>
      </c>
      <c r="V5219" s="4" t="s">
        <v>13271</v>
      </c>
      <c r="W5219" s="4" t="s">
        <v>13272</v>
      </c>
      <c r="X5219" s="4" t="s">
        <v>13273</v>
      </c>
      <c r="Y5219" s="4" t="s">
        <v>13274</v>
      </c>
      <c r="Z5219" s="4" t="s">
        <v>13275</v>
      </c>
      <c r="AA5219" s="4" t="s">
        <v>8916</v>
      </c>
      <c r="AB5219" s="4" t="s">
        <v>13276</v>
      </c>
      <c r="AC5219" s="4" t="s">
        <v>2283</v>
      </c>
      <c r="AD5219" s="4" t="s">
        <v>1841</v>
      </c>
      <c r="AE5219" s="4" t="s">
        <v>13265</v>
      </c>
      <c r="AF5219" s="4" t="s">
        <v>4688</v>
      </c>
      <c r="AG5219" s="4" t="s">
        <v>4689</v>
      </c>
      <c r="AH5219" s="4" t="s">
        <v>4690</v>
      </c>
      <c r="AI5219" s="4" t="s">
        <v>4691</v>
      </c>
      <c r="AJ5219" s="4" t="s">
        <v>4692</v>
      </c>
      <c r="AK5219" s="4" t="s">
        <v>4693</v>
      </c>
      <c r="AL5219" s="4" t="s">
        <v>4694</v>
      </c>
      <c r="AM5219" s="4" t="s">
        <v>4695</v>
      </c>
      <c r="AN5219" s="4" t="s">
        <v>4696</v>
      </c>
      <c r="AO5219" s="4" t="s">
        <v>4697</v>
      </c>
      <c r="AP5219" s="4" t="s">
        <v>4698</v>
      </c>
      <c r="AQ5219" s="4" t="s">
        <v>4699</v>
      </c>
      <c r="AR5219" s="4" t="s">
        <v>7829</v>
      </c>
      <c r="AS5219" s="4" t="s">
        <v>7825</v>
      </c>
      <c r="AT5219" s="4" t="s">
        <v>4704</v>
      </c>
      <c r="AU5219" s="4" t="s">
        <v>1840</v>
      </c>
      <c r="AV5219" s="4" t="s">
        <v>1841</v>
      </c>
      <c r="AW5219" s="4" t="s">
        <v>13277</v>
      </c>
      <c r="AX5219" s="4" t="s">
        <v>13278</v>
      </c>
      <c r="AY5219" s="4" t="s">
        <v>13279</v>
      </c>
      <c r="AZ5219" s="4" t="s">
        <v>13280</v>
      </c>
      <c r="BA5219" s="4" t="s">
        <v>13265</v>
      </c>
      <c r="BB5219" s="4" t="s">
        <v>1841</v>
      </c>
      <c r="BC5219" s="4" t="s">
        <v>13265</v>
      </c>
      <c r="BD5219" s="4" t="s">
        <v>13281</v>
      </c>
      <c r="BE5219" s="4" t="s">
        <v>1841</v>
      </c>
      <c r="BF5219" s="4" t="s">
        <v>4704</v>
      </c>
      <c r="BG5219" s="4" t="s">
        <v>1840</v>
      </c>
      <c r="BH5219" s="4" t="s">
        <v>1841</v>
      </c>
      <c r="BI5219" s="4" t="s">
        <v>13265</v>
      </c>
      <c r="BJ5219" s="4" t="s">
        <v>7833</v>
      </c>
      <c r="BK5219" s="4" t="s">
        <v>8916</v>
      </c>
      <c r="BL5219" s="4" t="s">
        <v>13282</v>
      </c>
      <c r="BM5219" s="4" t="s">
        <v>13283</v>
      </c>
      <c r="BN5219" s="4" t="s">
        <v>13284</v>
      </c>
      <c r="BO5219" s="4" t="s">
        <v>1841</v>
      </c>
      <c r="BP5219" s="4" t="s">
        <v>1837</v>
      </c>
      <c r="BQ5219" s="4" t="s">
        <v>1839</v>
      </c>
      <c r="BR5219" s="4" t="s">
        <v>1838</v>
      </c>
      <c r="BS5219" s="4" t="s">
        <v>1840</v>
      </c>
      <c r="BT5219" s="4" t="s">
        <v>1841</v>
      </c>
      <c r="BU5219" s="4" t="s">
        <v>933</v>
      </c>
      <c r="BV5219" s="4" t="s">
        <v>13265</v>
      </c>
      <c r="BW5219" s="4" t="s">
        <v>13285</v>
      </c>
      <c r="BX5219" s="4" t="s">
        <v>13286</v>
      </c>
      <c r="BY5219" s="4" t="s">
        <v>1841</v>
      </c>
      <c r="BZ5219" s="4" t="s">
        <v>1841</v>
      </c>
      <c r="CA5219" s="4" t="s">
        <v>8916</v>
      </c>
      <c r="CB5219" s="4" t="s">
        <v>8912</v>
      </c>
      <c r="CC5219" s="4" t="s">
        <v>4701</v>
      </c>
      <c r="CD5219" s="4" t="s">
        <v>2283</v>
      </c>
      <c r="CE5219" s="4" t="s">
        <v>13287</v>
      </c>
      <c r="CF5219" s="4" t="s">
        <v>13288</v>
      </c>
      <c r="CG5219" s="4" t="s">
        <v>13289</v>
      </c>
      <c r="CH5219" s="4" t="s">
        <v>13290</v>
      </c>
      <c r="CI5219" s="4" t="s">
        <v>13265</v>
      </c>
    </row>
    <row r="5220">
      <c r="A5220" s="4">
        <v>622.0</v>
      </c>
      <c r="B5220" s="4" t="s">
        <v>11578</v>
      </c>
      <c r="C5220" s="4"/>
      <c r="D5220" s="4" t="s">
        <v>13264</v>
      </c>
      <c r="E5220" s="4" t="s">
        <v>421</v>
      </c>
      <c r="F5220" s="4" t="s">
        <v>422</v>
      </c>
      <c r="G5220" s="5" t="str">
        <f>IFERROR(__xludf.DUMMYFUNCTION("GOOGLETRANSLATE(D5220,""fr"",""es"")"),"pequeño")</f>
        <v>pequeño</v>
      </c>
      <c r="H5220" s="4" t="s">
        <v>13265</v>
      </c>
      <c r="I5220" s="4" t="s">
        <v>1841</v>
      </c>
      <c r="J5220" s="4" t="s">
        <v>8555</v>
      </c>
      <c r="K5220" s="4" t="s">
        <v>8916</v>
      </c>
      <c r="L5220" s="4" t="s">
        <v>13265</v>
      </c>
      <c r="M5220" s="4" t="s">
        <v>13266</v>
      </c>
      <c r="N5220" s="4" t="s">
        <v>13267</v>
      </c>
      <c r="O5220" s="4" t="s">
        <v>1841</v>
      </c>
      <c r="P5220" s="4" t="s">
        <v>997</v>
      </c>
      <c r="Q5220" s="4" t="s">
        <v>13268</v>
      </c>
      <c r="R5220" s="4" t="s">
        <v>13269</v>
      </c>
      <c r="S5220" s="4" t="s">
        <v>2915</v>
      </c>
      <c r="T5220" s="4" t="s">
        <v>13265</v>
      </c>
      <c r="U5220" s="4" t="s">
        <v>13270</v>
      </c>
      <c r="V5220" s="4" t="s">
        <v>13271</v>
      </c>
      <c r="W5220" s="4" t="s">
        <v>13272</v>
      </c>
      <c r="X5220" s="4" t="s">
        <v>13273</v>
      </c>
      <c r="Y5220" s="4" t="s">
        <v>13274</v>
      </c>
      <c r="Z5220" s="4" t="s">
        <v>13275</v>
      </c>
      <c r="AA5220" s="4" t="s">
        <v>8916</v>
      </c>
      <c r="AB5220" s="4" t="s">
        <v>13276</v>
      </c>
      <c r="AC5220" s="4" t="s">
        <v>2283</v>
      </c>
      <c r="AD5220" s="4" t="s">
        <v>1841</v>
      </c>
      <c r="AE5220" s="4" t="s">
        <v>13265</v>
      </c>
      <c r="AF5220" s="4" t="s">
        <v>4688</v>
      </c>
      <c r="AG5220" s="4" t="s">
        <v>4689</v>
      </c>
      <c r="AH5220" s="4" t="s">
        <v>4690</v>
      </c>
      <c r="AI5220" s="4" t="s">
        <v>4691</v>
      </c>
      <c r="AJ5220" s="4" t="s">
        <v>4692</v>
      </c>
      <c r="AK5220" s="4" t="s">
        <v>4693</v>
      </c>
      <c r="AL5220" s="4" t="s">
        <v>4694</v>
      </c>
      <c r="AM5220" s="4" t="s">
        <v>4695</v>
      </c>
      <c r="AN5220" s="4" t="s">
        <v>4696</v>
      </c>
      <c r="AO5220" s="4" t="s">
        <v>4697</v>
      </c>
      <c r="AP5220" s="4" t="s">
        <v>4698</v>
      </c>
      <c r="AQ5220" s="4" t="s">
        <v>4699</v>
      </c>
      <c r="AR5220" s="4" t="s">
        <v>7829</v>
      </c>
      <c r="AS5220" s="4" t="s">
        <v>7825</v>
      </c>
      <c r="AT5220" s="4" t="s">
        <v>4704</v>
      </c>
      <c r="AU5220" s="4" t="s">
        <v>1840</v>
      </c>
      <c r="AV5220" s="4" t="s">
        <v>1841</v>
      </c>
      <c r="AW5220" s="4" t="s">
        <v>13277</v>
      </c>
      <c r="AX5220" s="4" t="s">
        <v>13278</v>
      </c>
      <c r="AY5220" s="4" t="s">
        <v>13279</v>
      </c>
      <c r="AZ5220" s="4" t="s">
        <v>13280</v>
      </c>
      <c r="BA5220" s="4" t="s">
        <v>13265</v>
      </c>
      <c r="BB5220" s="4" t="s">
        <v>1841</v>
      </c>
      <c r="BC5220" s="4" t="s">
        <v>13265</v>
      </c>
      <c r="BD5220" s="4" t="s">
        <v>13281</v>
      </c>
      <c r="BE5220" s="4" t="s">
        <v>1841</v>
      </c>
      <c r="BF5220" s="4" t="s">
        <v>4704</v>
      </c>
      <c r="BG5220" s="4" t="s">
        <v>1840</v>
      </c>
      <c r="BH5220" s="4" t="s">
        <v>1841</v>
      </c>
      <c r="BI5220" s="4" t="s">
        <v>13265</v>
      </c>
      <c r="BJ5220" s="4" t="s">
        <v>7833</v>
      </c>
      <c r="BK5220" s="4" t="s">
        <v>8916</v>
      </c>
      <c r="BL5220" s="4" t="s">
        <v>13282</v>
      </c>
      <c r="BM5220" s="4" t="s">
        <v>13283</v>
      </c>
      <c r="BN5220" s="4" t="s">
        <v>13284</v>
      </c>
      <c r="BO5220" s="4" t="s">
        <v>1841</v>
      </c>
      <c r="BP5220" s="4" t="s">
        <v>1837</v>
      </c>
      <c r="BQ5220" s="4" t="s">
        <v>1839</v>
      </c>
      <c r="BR5220" s="4" t="s">
        <v>1838</v>
      </c>
      <c r="BS5220" s="4" t="s">
        <v>1840</v>
      </c>
      <c r="BT5220" s="4" t="s">
        <v>1841</v>
      </c>
      <c r="BU5220" s="4" t="s">
        <v>933</v>
      </c>
      <c r="BV5220" s="4" t="s">
        <v>13265</v>
      </c>
      <c r="BW5220" s="4" t="s">
        <v>13285</v>
      </c>
      <c r="BX5220" s="4" t="s">
        <v>13286</v>
      </c>
      <c r="BY5220" s="4" t="s">
        <v>1841</v>
      </c>
      <c r="BZ5220" s="4" t="s">
        <v>1841</v>
      </c>
      <c r="CA5220" s="4" t="s">
        <v>8916</v>
      </c>
      <c r="CB5220" s="4" t="s">
        <v>8912</v>
      </c>
      <c r="CC5220" s="4" t="s">
        <v>4701</v>
      </c>
      <c r="CD5220" s="4" t="s">
        <v>2283</v>
      </c>
      <c r="CE5220" s="4" t="s">
        <v>13287</v>
      </c>
      <c r="CF5220" s="4" t="s">
        <v>13288</v>
      </c>
      <c r="CG5220" s="4" t="s">
        <v>13289</v>
      </c>
      <c r="CH5220" s="4" t="s">
        <v>13290</v>
      </c>
      <c r="CI5220" s="4" t="s">
        <v>13265</v>
      </c>
    </row>
    <row r="5221">
      <c r="A5221" s="4">
        <v>623.0</v>
      </c>
      <c r="B5221" s="4" t="s">
        <v>11578</v>
      </c>
      <c r="C5221" s="4"/>
      <c r="D5221" s="4" t="s">
        <v>230</v>
      </c>
      <c r="E5221" s="4" t="s">
        <v>229</v>
      </c>
      <c r="F5221" s="4" t="s">
        <v>230</v>
      </c>
      <c r="G5221" s="5" t="str">
        <f>IFERROR(__xludf.DUMMYFUNCTION("GOOGLETRANSLATE(D5221,""fr"",""es"")"),"Pi")</f>
        <v>Pi</v>
      </c>
      <c r="H5221" s="4" t="s">
        <v>230</v>
      </c>
      <c r="I5221" s="4" t="s">
        <v>230</v>
      </c>
    </row>
    <row r="5222">
      <c r="A5222" s="4">
        <v>624.0</v>
      </c>
      <c r="B5222" s="4" t="s">
        <v>11578</v>
      </c>
      <c r="C5222" s="4"/>
      <c r="D5222" s="4" t="s">
        <v>3457</v>
      </c>
      <c r="E5222" s="4" t="s">
        <v>3458</v>
      </c>
      <c r="F5222" s="4" t="s">
        <v>266</v>
      </c>
      <c r="G5222" s="5" t="str">
        <f>IFERROR(__xludf.DUMMYFUNCTION("GOOGLETRANSLATE(D5222,""fr"",""es"")"),"cima")</f>
        <v>cima</v>
      </c>
      <c r="H5222" s="4" t="s">
        <v>13291</v>
      </c>
      <c r="I5222" s="4" t="s">
        <v>13292</v>
      </c>
      <c r="J5222" s="4" t="s">
        <v>3599</v>
      </c>
      <c r="K5222" s="4" t="s">
        <v>13293</v>
      </c>
      <c r="L5222" s="4" t="s">
        <v>13294</v>
      </c>
      <c r="M5222" s="4" t="s">
        <v>1400</v>
      </c>
      <c r="N5222" s="4" t="s">
        <v>13295</v>
      </c>
      <c r="O5222" s="4" t="s">
        <v>11032</v>
      </c>
      <c r="P5222" s="4" t="s">
        <v>13296</v>
      </c>
      <c r="Q5222" s="4" t="s">
        <v>13297</v>
      </c>
      <c r="R5222" s="4" t="s">
        <v>6406</v>
      </c>
    </row>
    <row r="5223">
      <c r="A5223" s="4">
        <v>625.0</v>
      </c>
      <c r="B5223" s="4" t="s">
        <v>11578</v>
      </c>
      <c r="C5223" s="4"/>
      <c r="D5223" s="4" t="s">
        <v>13298</v>
      </c>
      <c r="E5223" s="4" t="s">
        <v>3458</v>
      </c>
      <c r="F5223" s="4" t="s">
        <v>266</v>
      </c>
      <c r="G5223" s="5" t="str">
        <f>IFERROR(__xludf.DUMMYFUNCTION("GOOGLETRANSLATE(D5223,""fr"",""es"")"),"picos")</f>
        <v>picos</v>
      </c>
      <c r="H5223" s="4" t="s">
        <v>13291</v>
      </c>
      <c r="I5223" s="4" t="s">
        <v>13292</v>
      </c>
      <c r="J5223" s="4" t="s">
        <v>3599</v>
      </c>
    </row>
    <row r="5224">
      <c r="A5224" s="4">
        <v>626.0</v>
      </c>
      <c r="B5224" s="4" t="s">
        <v>11578</v>
      </c>
      <c r="C5224" s="4"/>
      <c r="D5224" s="4" t="s">
        <v>5455</v>
      </c>
      <c r="E5224" s="4" t="s">
        <v>229</v>
      </c>
      <c r="F5224" s="4" t="s">
        <v>230</v>
      </c>
      <c r="G5224" s="5" t="str">
        <f>IFERROR(__xludf.DUMMYFUNCTION("GOOGLETRANSLATE(D5224,""fr"",""es"")"),"brillar")</f>
        <v>brillar</v>
      </c>
      <c r="H5224" s="4" t="s">
        <v>13299</v>
      </c>
      <c r="I5224" s="4" t="s">
        <v>13300</v>
      </c>
      <c r="J5224" s="4" t="s">
        <v>13301</v>
      </c>
      <c r="K5224" s="4" t="s">
        <v>13302</v>
      </c>
      <c r="L5224" s="4" t="s">
        <v>13303</v>
      </c>
      <c r="M5224" s="4" t="s">
        <v>13304</v>
      </c>
      <c r="N5224" s="4" t="s">
        <v>13305</v>
      </c>
      <c r="O5224" s="4" t="s">
        <v>13306</v>
      </c>
      <c r="P5224" s="4" t="s">
        <v>13307</v>
      </c>
      <c r="Q5224" s="4" t="s">
        <v>13308</v>
      </c>
      <c r="R5224" s="4" t="s">
        <v>13309</v>
      </c>
      <c r="S5224" s="4" t="s">
        <v>13310</v>
      </c>
      <c r="T5224" s="4" t="s">
        <v>13311</v>
      </c>
      <c r="U5224" s="4" t="s">
        <v>13312</v>
      </c>
      <c r="V5224" s="4" t="s">
        <v>13313</v>
      </c>
      <c r="W5224" s="4" t="s">
        <v>13314</v>
      </c>
      <c r="X5224" s="4" t="s">
        <v>13315</v>
      </c>
      <c r="Y5224" s="4" t="s">
        <v>13316</v>
      </c>
      <c r="Z5224" s="4" t="s">
        <v>13317</v>
      </c>
      <c r="AA5224" s="4" t="s">
        <v>13318</v>
      </c>
      <c r="AB5224" s="4" t="s">
        <v>13319</v>
      </c>
      <c r="AC5224" s="4" t="s">
        <v>13320</v>
      </c>
      <c r="AD5224" s="4" t="s">
        <v>1856</v>
      </c>
      <c r="AE5224" s="4" t="s">
        <v>3486</v>
      </c>
      <c r="AF5224" s="4" t="s">
        <v>13321</v>
      </c>
      <c r="AG5224" s="4" t="s">
        <v>13322</v>
      </c>
      <c r="AH5224" s="4" t="s">
        <v>13323</v>
      </c>
      <c r="AI5224" s="4" t="s">
        <v>13324</v>
      </c>
      <c r="AJ5224" s="4" t="s">
        <v>13325</v>
      </c>
      <c r="AK5224" s="4" t="s">
        <v>13326</v>
      </c>
      <c r="AL5224" s="4" t="s">
        <v>13327</v>
      </c>
      <c r="AM5224" s="4" t="s">
        <v>13328</v>
      </c>
      <c r="AN5224" s="4" t="s">
        <v>11420</v>
      </c>
      <c r="AO5224" s="4" t="s">
        <v>13329</v>
      </c>
      <c r="AP5224" s="4" t="s">
        <v>13330</v>
      </c>
      <c r="AQ5224" s="4" t="s">
        <v>13318</v>
      </c>
      <c r="AR5224" s="4" t="s">
        <v>13331</v>
      </c>
      <c r="AS5224" s="4" t="s">
        <v>13318</v>
      </c>
      <c r="AT5224" s="4" t="s">
        <v>13332</v>
      </c>
      <c r="AU5224" s="4" t="s">
        <v>13333</v>
      </c>
    </row>
    <row r="5225">
      <c r="A5225" s="4">
        <v>627.0</v>
      </c>
      <c r="B5225" s="4" t="s">
        <v>11578</v>
      </c>
      <c r="C5225" s="4"/>
      <c r="D5225" s="4" t="s">
        <v>13334</v>
      </c>
      <c r="E5225" s="4" t="s">
        <v>13335</v>
      </c>
      <c r="F5225" s="4" t="s">
        <v>13336</v>
      </c>
      <c r="G5225" s="5" t="str">
        <f>IFERROR(__xludf.DUMMYFUNCTION("GOOGLETRANSLATE(D5225,""fr"",""es"")"),"píkine")</f>
        <v>píkine</v>
      </c>
    </row>
    <row r="5226">
      <c r="A5226" s="4">
        <v>628.0</v>
      </c>
      <c r="B5226" s="4" t="s">
        <v>11578</v>
      </c>
      <c r="C5226" s="4"/>
      <c r="D5226" s="4" t="s">
        <v>3519</v>
      </c>
      <c r="E5226" s="4" t="s">
        <v>3520</v>
      </c>
      <c r="F5226" s="4" t="s">
        <v>3519</v>
      </c>
      <c r="G5226" s="5" t="str">
        <f>IFERROR(__xludf.DUMMYFUNCTION("GOOGLETRANSLATE(D5226,""fr"",""es"")"),"pila")</f>
        <v>pila</v>
      </c>
    </row>
    <row r="5227">
      <c r="A5227" s="4">
        <v>629.0</v>
      </c>
      <c r="B5227" s="4" t="s">
        <v>11578</v>
      </c>
      <c r="C5227" s="4"/>
      <c r="D5227" s="4" t="s">
        <v>483</v>
      </c>
      <c r="E5227" s="4" t="s">
        <v>13337</v>
      </c>
      <c r="F5227" s="4" t="s">
        <v>7199</v>
      </c>
      <c r="G5227" s="5" t="str">
        <f>IFERROR(__xludf.DUMMYFUNCTION("GOOGLETRANSLATE(D5227,""fr"",""es"")"),"montón")</f>
        <v>montón</v>
      </c>
      <c r="H5227" s="4" t="s">
        <v>9654</v>
      </c>
      <c r="I5227" s="4" t="s">
        <v>9655</v>
      </c>
      <c r="J5227" s="4" t="s">
        <v>13338</v>
      </c>
      <c r="K5227" s="4" t="s">
        <v>13339</v>
      </c>
      <c r="L5227" s="4" t="s">
        <v>13340</v>
      </c>
      <c r="M5227" s="4" t="s">
        <v>13341</v>
      </c>
      <c r="N5227" s="4" t="s">
        <v>13342</v>
      </c>
      <c r="O5227" s="4" t="s">
        <v>13341</v>
      </c>
      <c r="P5227" s="4" t="s">
        <v>13343</v>
      </c>
      <c r="Q5227" s="4" t="s">
        <v>3521</v>
      </c>
      <c r="R5227" s="4" t="s">
        <v>3522</v>
      </c>
      <c r="S5227" s="4" t="s">
        <v>3521</v>
      </c>
      <c r="T5227" s="4" t="s">
        <v>13344</v>
      </c>
      <c r="U5227" s="4" t="s">
        <v>13345</v>
      </c>
      <c r="V5227" s="4" t="s">
        <v>13346</v>
      </c>
      <c r="W5227" s="4" t="s">
        <v>13347</v>
      </c>
      <c r="X5227" s="4" t="s">
        <v>13348</v>
      </c>
      <c r="Y5227" s="4" t="s">
        <v>13349</v>
      </c>
      <c r="Z5227" s="4" t="s">
        <v>13350</v>
      </c>
      <c r="AA5227" s="4" t="s">
        <v>13351</v>
      </c>
      <c r="AB5227" s="4" t="s">
        <v>13352</v>
      </c>
      <c r="AC5227" s="4" t="s">
        <v>13353</v>
      </c>
      <c r="AD5227" s="4" t="s">
        <v>13354</v>
      </c>
      <c r="AE5227" s="4" t="s">
        <v>483</v>
      </c>
      <c r="AF5227" s="4" t="s">
        <v>13355</v>
      </c>
      <c r="AG5227" s="4" t="s">
        <v>13341</v>
      </c>
      <c r="AH5227" s="4" t="s">
        <v>13341</v>
      </c>
    </row>
    <row r="5228">
      <c r="A5228" s="4">
        <v>630.0</v>
      </c>
      <c r="B5228" s="4" t="s">
        <v>11578</v>
      </c>
      <c r="C5228" s="4"/>
      <c r="D5228" s="4" t="s">
        <v>1763</v>
      </c>
      <c r="E5228" s="4" t="s">
        <v>13337</v>
      </c>
      <c r="F5228" s="4" t="s">
        <v>7199</v>
      </c>
      <c r="G5228" s="5" t="str">
        <f>IFERROR(__xludf.DUMMYFUNCTION("GOOGLETRANSLATE(D5228,""fr"",""es"")"),"Batería")</f>
        <v>Batería</v>
      </c>
    </row>
    <row r="5229">
      <c r="A5229" s="4">
        <v>631.0</v>
      </c>
      <c r="B5229" s="4" t="s">
        <v>11578</v>
      </c>
      <c r="C5229" s="4"/>
      <c r="D5229" s="4" t="s">
        <v>13356</v>
      </c>
      <c r="E5229" s="4" t="s">
        <v>232</v>
      </c>
      <c r="F5229" s="4" t="s">
        <v>233</v>
      </c>
      <c r="G5229" s="5" t="str">
        <f>IFERROR(__xludf.DUMMYFUNCTION("GOOGLETRANSLATE(D5229,""fr"",""es"")"),"saqueado")</f>
        <v>saqueado</v>
      </c>
    </row>
    <row r="5230">
      <c r="A5230" s="4">
        <v>632.0</v>
      </c>
      <c r="B5230" s="4" t="s">
        <v>11578</v>
      </c>
      <c r="C5230" s="4"/>
      <c r="D5230" s="4" t="s">
        <v>13357</v>
      </c>
      <c r="E5230" s="4" t="s">
        <v>13358</v>
      </c>
      <c r="F5230" s="4" t="s">
        <v>13357</v>
      </c>
      <c r="G5230" s="5" t="str">
        <f>IFERROR(__xludf.DUMMYFUNCTION("GOOGLETRANSLATE(D5230,""fr"",""es"")"),"pina")</f>
        <v>pina</v>
      </c>
    </row>
    <row r="5231">
      <c r="A5231" s="4">
        <v>633.0</v>
      </c>
      <c r="B5231" s="4" t="s">
        <v>11578</v>
      </c>
      <c r="C5231" s="4"/>
      <c r="D5231" s="4" t="s">
        <v>13359</v>
      </c>
      <c r="E5231" s="4" t="s">
        <v>13360</v>
      </c>
      <c r="F5231" s="4" t="s">
        <v>13357</v>
      </c>
      <c r="G5231" s="5" t="str">
        <f>IFERROR(__xludf.DUMMYFUNCTION("GOOGLETRANSLATE(D5231,""fr"",""es"")"),"pinas")</f>
        <v>pinas</v>
      </c>
    </row>
    <row r="5232">
      <c r="A5232" s="4">
        <v>634.0</v>
      </c>
      <c r="B5232" s="4" t="s">
        <v>11578</v>
      </c>
      <c r="C5232" s="4"/>
      <c r="D5232" s="4" t="s">
        <v>13361</v>
      </c>
      <c r="E5232" s="4" t="s">
        <v>13362</v>
      </c>
      <c r="F5232" s="4" t="s">
        <v>13359</v>
      </c>
      <c r="G5232" s="5" t="str">
        <f>IFERROR(__xludf.DUMMYFUNCTION("GOOGLETRANSLATE(D5232,""fr"",""es"")"),"pinas")</f>
        <v>pinas</v>
      </c>
    </row>
    <row r="5233">
      <c r="A5233" s="4">
        <v>635.0</v>
      </c>
      <c r="B5233" s="4" t="s">
        <v>11578</v>
      </c>
      <c r="C5233" s="4"/>
      <c r="D5233" s="4" t="s">
        <v>13363</v>
      </c>
      <c r="E5233" s="4" t="s">
        <v>13362</v>
      </c>
      <c r="F5233" s="4" t="s">
        <v>13359</v>
      </c>
      <c r="G5233" s="5" t="str">
        <f>IFERROR(__xludf.DUMMYFUNCTION("GOOGLETRANSLATE(D5233,""fr"",""es"")"),"pinal")</f>
        <v>pinal</v>
      </c>
    </row>
    <row r="5234">
      <c r="A5234" s="4">
        <v>636.0</v>
      </c>
      <c r="B5234" s="4" t="s">
        <v>11578</v>
      </c>
      <c r="C5234" s="4"/>
      <c r="D5234" s="4" t="s">
        <v>13364</v>
      </c>
      <c r="E5234" s="4" t="s">
        <v>13362</v>
      </c>
      <c r="F5234" s="4" t="s">
        <v>13359</v>
      </c>
      <c r="G5234" s="5" t="str">
        <f>IFERROR(__xludf.DUMMYFUNCTION("GOOGLETRANSLATE(D5234,""fr"",""es"")"),"pinas")</f>
        <v>pinas</v>
      </c>
    </row>
    <row r="5235">
      <c r="A5235" s="4">
        <v>637.0</v>
      </c>
      <c r="B5235" s="4" t="s">
        <v>11578</v>
      </c>
      <c r="C5235" s="4"/>
      <c r="D5235" s="4" t="s">
        <v>3454</v>
      </c>
      <c r="E5235" s="4" t="s">
        <v>3539</v>
      </c>
      <c r="F5235" s="4" t="s">
        <v>3170</v>
      </c>
      <c r="G5235" s="5" t="str">
        <f>IFERROR(__xludf.DUMMYFUNCTION("GOOGLETRANSLATE(D5235,""fr"",""es"")"),"pino")</f>
        <v>pino</v>
      </c>
    </row>
    <row r="5236">
      <c r="A5236" s="4">
        <v>638.0</v>
      </c>
      <c r="B5236" s="4" t="s">
        <v>11578</v>
      </c>
      <c r="C5236" s="4"/>
      <c r="D5236" s="4" t="s">
        <v>13365</v>
      </c>
      <c r="E5236" s="4" t="s">
        <v>3539</v>
      </c>
      <c r="F5236" s="4" t="s">
        <v>3170</v>
      </c>
      <c r="G5236" s="5" t="str">
        <f>IFERROR(__xludf.DUMMYFUNCTION("GOOGLETRANSLATE(D5236,""fr"",""es"")"),"pinente")</f>
        <v>pinente</v>
      </c>
    </row>
    <row r="5237">
      <c r="A5237" s="4">
        <v>639.0</v>
      </c>
      <c r="B5237" s="4" t="s">
        <v>11578</v>
      </c>
      <c r="C5237" s="4"/>
      <c r="D5237" s="4" t="s">
        <v>13366</v>
      </c>
      <c r="E5237" s="4" t="s">
        <v>3539</v>
      </c>
      <c r="F5237" s="4" t="s">
        <v>3170</v>
      </c>
      <c r="G5237" s="5" t="str">
        <f>IFERROR(__xludf.DUMMYFUNCTION("GOOGLETRANSLATE(D5237,""fr"",""es"")"),"pino")</f>
        <v>pino</v>
      </c>
    </row>
    <row r="5238">
      <c r="A5238" s="4">
        <v>640.0</v>
      </c>
      <c r="B5238" s="4" t="s">
        <v>11578</v>
      </c>
      <c r="C5238" s="4"/>
      <c r="D5238" s="4" t="s">
        <v>13367</v>
      </c>
      <c r="E5238" s="4" t="s">
        <v>13368</v>
      </c>
      <c r="F5238" s="4" t="s">
        <v>13369</v>
      </c>
      <c r="G5238" s="5" t="str">
        <f>IFERROR(__xludf.DUMMYFUNCTION("GOOGLETRANSLATE(D5238,""fr"",""es"")"),"pino")</f>
        <v>pino</v>
      </c>
    </row>
    <row r="5239">
      <c r="A5239" s="4">
        <v>641.0</v>
      </c>
      <c r="B5239" s="4" t="s">
        <v>11578</v>
      </c>
      <c r="C5239" s="4"/>
      <c r="D5239" s="4" t="s">
        <v>13370</v>
      </c>
      <c r="E5239" s="4" t="s">
        <v>13360</v>
      </c>
      <c r="F5239" s="4" t="s">
        <v>13357</v>
      </c>
      <c r="G5239" s="5" t="str">
        <f>IFERROR(__xludf.DUMMYFUNCTION("GOOGLETRANSLATE(D5239,""fr"",""es"")"),"Pasador")</f>
        <v>Pasador</v>
      </c>
    </row>
    <row r="5240">
      <c r="A5240" s="4">
        <v>642.0</v>
      </c>
      <c r="B5240" s="4" t="s">
        <v>11578</v>
      </c>
      <c r="C5240" s="4"/>
      <c r="D5240" s="4" t="s">
        <v>3555</v>
      </c>
      <c r="E5240" s="4" t="s">
        <v>4852</v>
      </c>
      <c r="F5240" s="4" t="s">
        <v>4851</v>
      </c>
      <c r="G5240" s="5" t="str">
        <f>IFERROR(__xludf.DUMMYFUNCTION("GOOGLETRANSLATE(D5240,""fr"",""es"")"),"tubo")</f>
        <v>tubo</v>
      </c>
      <c r="H5240" s="4" t="s">
        <v>13371</v>
      </c>
      <c r="I5240" s="4" t="s">
        <v>13372</v>
      </c>
      <c r="J5240" s="4" t="s">
        <v>13373</v>
      </c>
      <c r="K5240" s="4" t="s">
        <v>13374</v>
      </c>
      <c r="L5240" s="4" t="s">
        <v>13375</v>
      </c>
      <c r="M5240" s="4" t="s">
        <v>3555</v>
      </c>
      <c r="N5240" s="4" t="s">
        <v>3555</v>
      </c>
      <c r="O5240" s="4" t="s">
        <v>3555</v>
      </c>
      <c r="P5240" s="4" t="s">
        <v>3555</v>
      </c>
      <c r="Q5240" s="4" t="s">
        <v>4560</v>
      </c>
      <c r="R5240" s="4" t="s">
        <v>3555</v>
      </c>
      <c r="S5240" s="4" t="s">
        <v>4561</v>
      </c>
      <c r="T5240" s="4" t="s">
        <v>3555</v>
      </c>
      <c r="U5240" s="4" t="s">
        <v>13376</v>
      </c>
      <c r="V5240" s="4" t="s">
        <v>13377</v>
      </c>
      <c r="W5240" s="4" t="s">
        <v>3555</v>
      </c>
      <c r="X5240" s="4" t="s">
        <v>3556</v>
      </c>
      <c r="Y5240" s="4" t="s">
        <v>3555</v>
      </c>
      <c r="Z5240" s="4" t="s">
        <v>3555</v>
      </c>
      <c r="AA5240" s="4" t="s">
        <v>4562</v>
      </c>
    </row>
    <row r="5241">
      <c r="A5241" s="4">
        <v>643.0</v>
      </c>
      <c r="B5241" s="4" t="s">
        <v>11578</v>
      </c>
      <c r="C5241" s="4"/>
      <c r="D5241" s="4" t="s">
        <v>13378</v>
      </c>
      <c r="E5241" s="4" t="s">
        <v>4852</v>
      </c>
      <c r="F5241" s="4" t="s">
        <v>4851</v>
      </c>
      <c r="G5241" s="5" t="str">
        <f>IFERROR(__xludf.DUMMYFUNCTION("GOOGLETRANSLATE(D5241,""fr"",""es"")"),"tubería")</f>
        <v>tubería</v>
      </c>
    </row>
    <row r="5242">
      <c r="A5242" s="4">
        <v>644.0</v>
      </c>
      <c r="B5242" s="4" t="s">
        <v>11578</v>
      </c>
      <c r="C5242" s="4"/>
      <c r="D5242" s="4" t="s">
        <v>5504</v>
      </c>
      <c r="E5242" s="4" t="s">
        <v>5503</v>
      </c>
      <c r="F5242" s="4" t="s">
        <v>5504</v>
      </c>
      <c r="G5242" s="5" t="str">
        <f>IFERROR(__xludf.DUMMYFUNCTION("GOOGLETRANSLATE(D5242,""fr"",""es"")"),"Orinar")</f>
        <v>Orinar</v>
      </c>
      <c r="H5242" s="4" t="s">
        <v>7246</v>
      </c>
      <c r="I5242" s="4" t="s">
        <v>7242</v>
      </c>
      <c r="J5242" s="4" t="s">
        <v>7247</v>
      </c>
      <c r="K5242" s="4" t="s">
        <v>7239</v>
      </c>
      <c r="L5242" s="4" t="s">
        <v>7241</v>
      </c>
      <c r="M5242" s="4" t="s">
        <v>7239</v>
      </c>
      <c r="N5242" s="4" t="s">
        <v>7242</v>
      </c>
      <c r="O5242" s="4" t="s">
        <v>7243</v>
      </c>
      <c r="P5242" s="4" t="s">
        <v>7244</v>
      </c>
      <c r="Q5242" s="4" t="s">
        <v>7245</v>
      </c>
    </row>
    <row r="5243">
      <c r="A5243" s="4">
        <v>645.0</v>
      </c>
      <c r="B5243" s="4" t="s">
        <v>11578</v>
      </c>
      <c r="C5243" s="4"/>
      <c r="D5243" s="4" t="s">
        <v>919</v>
      </c>
      <c r="E5243" s="4" t="s">
        <v>3458</v>
      </c>
      <c r="F5243" s="4" t="s">
        <v>266</v>
      </c>
      <c r="G5243" s="5" t="str">
        <f>IFERROR(__xludf.DUMMYFUNCTION("GOOGLETRANSLATE(D5243,""fr"",""es"")"),"pico")</f>
        <v>pico</v>
      </c>
    </row>
    <row r="5244">
      <c r="A5244" s="4">
        <v>646.0</v>
      </c>
      <c r="B5244" s="4" t="s">
        <v>11578</v>
      </c>
      <c r="C5244" s="4"/>
      <c r="D5244" s="4" t="s">
        <v>13379</v>
      </c>
      <c r="E5244" s="4" t="s">
        <v>3458</v>
      </c>
      <c r="F5244" s="4" t="s">
        <v>266</v>
      </c>
      <c r="G5244" s="5" t="str">
        <f>IFERROR(__xludf.DUMMYFUNCTION("GOOGLETRANSLATE(D5244,""fr"",""es"")"),"Picos")</f>
        <v>Picos</v>
      </c>
    </row>
    <row r="5245">
      <c r="A5245" s="4">
        <v>647.0</v>
      </c>
      <c r="B5245" s="4" t="s">
        <v>11578</v>
      </c>
      <c r="C5245" s="4"/>
      <c r="D5245" s="4" t="s">
        <v>3570</v>
      </c>
      <c r="E5245" s="4" t="s">
        <v>229</v>
      </c>
      <c r="F5245" s="4" t="s">
        <v>230</v>
      </c>
      <c r="G5245" s="5" t="str">
        <f>IFERROR(__xludf.DUMMYFUNCTION("GOOGLETRANSLATE(D5245,""fr"",""es"")"),"peor")</f>
        <v>peor</v>
      </c>
      <c r="H5245" s="4" t="s">
        <v>13380</v>
      </c>
      <c r="I5245" s="4" t="s">
        <v>13381</v>
      </c>
      <c r="J5245" s="4" t="s">
        <v>3869</v>
      </c>
    </row>
    <row r="5246">
      <c r="A5246" s="4">
        <v>648.0</v>
      </c>
      <c r="B5246" s="4" t="s">
        <v>11578</v>
      </c>
      <c r="C5246" s="4"/>
      <c r="D5246" s="4" t="s">
        <v>13382</v>
      </c>
      <c r="E5246" s="4" t="s">
        <v>11000</v>
      </c>
      <c r="F5246" s="4" t="s">
        <v>10999</v>
      </c>
      <c r="G5246" s="5" t="str">
        <f>IFERROR(__xludf.DUMMYFUNCTION("GOOGLETRANSLATE(D5246,""fr"",""es"")"),"piscina")</f>
        <v>piscina</v>
      </c>
      <c r="H5246" s="4" t="s">
        <v>13383</v>
      </c>
      <c r="I5246" s="4" t="s">
        <v>4164</v>
      </c>
      <c r="J5246" s="4" t="s">
        <v>3584</v>
      </c>
      <c r="K5246" s="4" t="s">
        <v>3585</v>
      </c>
      <c r="L5246" s="4" t="s">
        <v>3586</v>
      </c>
    </row>
    <row r="5247">
      <c r="A5247" s="4">
        <v>649.0</v>
      </c>
      <c r="B5247" s="4" t="s">
        <v>11578</v>
      </c>
      <c r="C5247" s="4"/>
      <c r="D5247" s="4" t="s">
        <v>13384</v>
      </c>
      <c r="E5247" s="4" t="s">
        <v>3571</v>
      </c>
      <c r="F5247" s="4" t="s">
        <v>3570</v>
      </c>
      <c r="G5247" s="5" t="str">
        <f>IFERROR(__xludf.DUMMYFUNCTION("GOOGLETRANSLATE(D5247,""fr"",""es"")"),"orinar")</f>
        <v>orinar</v>
      </c>
    </row>
    <row r="5248">
      <c r="A5248" s="4">
        <v>650.0</v>
      </c>
      <c r="B5248" s="4" t="s">
        <v>11578</v>
      </c>
      <c r="C5248" s="4"/>
      <c r="D5248" s="4" t="s">
        <v>13385</v>
      </c>
      <c r="E5248" s="4" t="s">
        <v>3571</v>
      </c>
      <c r="F5248" s="4" t="s">
        <v>3570</v>
      </c>
      <c r="G5248" s="5" t="str">
        <f>IFERROR(__xludf.DUMMYFUNCTION("GOOGLETRANSLATE(D5248,""fr"",""es"")"),"pips")</f>
        <v>pips</v>
      </c>
    </row>
    <row r="5249">
      <c r="A5249" s="4">
        <v>651.0</v>
      </c>
      <c r="B5249" s="4" t="s">
        <v>11578</v>
      </c>
      <c r="C5249" s="4"/>
      <c r="D5249" s="4" t="s">
        <v>13386</v>
      </c>
      <c r="E5249" s="4" t="s">
        <v>13387</v>
      </c>
      <c r="F5249" s="4" t="s">
        <v>13386</v>
      </c>
      <c r="G5249" s="5" t="str">
        <f>IFERROR(__xludf.DUMMYFUNCTION("GOOGLETRANSLATE(D5249,""fr"",""es"")"),"pitaya")</f>
        <v>pitaya</v>
      </c>
    </row>
    <row r="5250">
      <c r="A5250" s="4">
        <v>652.0</v>
      </c>
      <c r="B5250" s="4" t="s">
        <v>11578</v>
      </c>
      <c r="C5250" s="4"/>
      <c r="D5250" s="4" t="s">
        <v>13388</v>
      </c>
      <c r="E5250" s="4" t="s">
        <v>13389</v>
      </c>
      <c r="F5250" s="4" t="s">
        <v>13390</v>
      </c>
      <c r="G5250" s="5" t="str">
        <f>IFERROR(__xludf.DUMMYFUNCTION("GOOGLETRANSLATE(D5250,""fr"",""es"")"),"pitou")</f>
        <v>pitou</v>
      </c>
    </row>
    <row r="5251">
      <c r="A5251" s="4">
        <v>653.0</v>
      </c>
      <c r="B5251" s="4" t="s">
        <v>11578</v>
      </c>
      <c r="C5251" s="4"/>
      <c r="D5251" s="4" t="s">
        <v>13391</v>
      </c>
      <c r="E5251" s="4" t="s">
        <v>13392</v>
      </c>
      <c r="F5251" s="4" t="s">
        <v>13393</v>
      </c>
      <c r="G5251" s="5" t="str">
        <f>IFERROR(__xludf.DUMMYFUNCTION("GOOGLETRANSLATE(D5251,""fr"",""es"")"),"pitoune")</f>
        <v>pitoune</v>
      </c>
    </row>
    <row r="5252">
      <c r="A5252" s="4">
        <v>654.0</v>
      </c>
      <c r="B5252" s="4" t="s">
        <v>11578</v>
      </c>
      <c r="C5252" s="4"/>
      <c r="D5252" s="4" t="s">
        <v>13394</v>
      </c>
      <c r="E5252" s="4" t="s">
        <v>8671</v>
      </c>
      <c r="F5252" s="4" t="s">
        <v>7296</v>
      </c>
      <c r="G5252" s="5" t="str">
        <f>IFERROR(__xludf.DUMMYFUNCTION("GOOGLETRANSLATE(D5252,""fr"",""es"")"),"caca")</f>
        <v>caca</v>
      </c>
    </row>
    <row r="5253">
      <c r="A5253" s="4">
        <v>655.0</v>
      </c>
      <c r="B5253" s="4" t="s">
        <v>11578</v>
      </c>
      <c r="C5253" s="4"/>
      <c r="D5253" s="4" t="s">
        <v>13395</v>
      </c>
      <c r="E5253" s="4" t="s">
        <v>7293</v>
      </c>
      <c r="F5253" s="4" t="s">
        <v>7294</v>
      </c>
      <c r="G5253" s="5" t="str">
        <f>IFERROR(__xludf.DUMMYFUNCTION("GOOGLETRANSLATE(D5253,""fr"",""es"")"),"pou")</f>
        <v>pou</v>
      </c>
      <c r="H5253" s="4" t="s">
        <v>1157</v>
      </c>
      <c r="I5253" s="4" t="s">
        <v>13396</v>
      </c>
      <c r="J5253" s="4" t="s">
        <v>13397</v>
      </c>
      <c r="K5253" s="4" t="s">
        <v>13398</v>
      </c>
      <c r="L5253" s="4" t="s">
        <v>1157</v>
      </c>
      <c r="M5253" s="4" t="s">
        <v>13399</v>
      </c>
      <c r="N5253" s="4" t="s">
        <v>1157</v>
      </c>
      <c r="O5253" s="4" t="s">
        <v>1156</v>
      </c>
      <c r="P5253" s="4" t="s">
        <v>1157</v>
      </c>
      <c r="Q5253" s="4" t="s">
        <v>1158</v>
      </c>
      <c r="R5253" s="4" t="s">
        <v>1159</v>
      </c>
    </row>
    <row r="5254">
      <c r="A5254" s="4">
        <v>656.0</v>
      </c>
      <c r="B5254" s="4" t="s">
        <v>11578</v>
      </c>
      <c r="C5254" s="4"/>
      <c r="D5254" s="4" t="s">
        <v>13400</v>
      </c>
      <c r="E5254" s="4" t="s">
        <v>3767</v>
      </c>
      <c r="F5254" s="4" t="s">
        <v>3766</v>
      </c>
      <c r="G5254" s="5" t="str">
        <f>IFERROR(__xludf.DUMMYFUNCTION("GOOGLETRANSLATE(D5254,""fr"",""es"")"),"pulgada")</f>
        <v>pulgada</v>
      </c>
      <c r="H5254" s="4" t="s">
        <v>11450</v>
      </c>
      <c r="I5254" s="4" t="s">
        <v>13401</v>
      </c>
      <c r="J5254" s="4" t="s">
        <v>12333</v>
      </c>
      <c r="K5254" s="4" t="s">
        <v>13402</v>
      </c>
      <c r="L5254" s="4" t="s">
        <v>2067</v>
      </c>
      <c r="M5254" s="4" t="s">
        <v>6346</v>
      </c>
      <c r="N5254" s="4" t="s">
        <v>4448</v>
      </c>
      <c r="O5254" s="4" t="s">
        <v>4431</v>
      </c>
      <c r="P5254" s="4" t="s">
        <v>13402</v>
      </c>
      <c r="Q5254" s="4" t="s">
        <v>13403</v>
      </c>
      <c r="R5254" s="4" t="s">
        <v>13404</v>
      </c>
      <c r="S5254" s="4" t="s">
        <v>13405</v>
      </c>
      <c r="T5254" s="4" t="s">
        <v>13406</v>
      </c>
      <c r="U5254" s="4" t="s">
        <v>13402</v>
      </c>
      <c r="V5254" s="4" t="s">
        <v>13407</v>
      </c>
      <c r="W5254" s="4" t="s">
        <v>13402</v>
      </c>
      <c r="X5254" s="4" t="s">
        <v>13402</v>
      </c>
      <c r="Y5254" s="4" t="s">
        <v>13408</v>
      </c>
      <c r="Z5254" s="4" t="s">
        <v>13409</v>
      </c>
      <c r="AA5254" s="4" t="s">
        <v>13410</v>
      </c>
      <c r="AB5254" s="4" t="s">
        <v>13411</v>
      </c>
      <c r="AC5254" s="4" t="s">
        <v>13412</v>
      </c>
      <c r="AD5254" s="4" t="s">
        <v>6346</v>
      </c>
      <c r="AE5254" s="4" t="s">
        <v>4824</v>
      </c>
      <c r="AF5254" s="4" t="s">
        <v>13413</v>
      </c>
      <c r="AG5254" s="4" t="s">
        <v>6346</v>
      </c>
    </row>
    <row r="5255">
      <c r="A5255" s="4">
        <v>657.0</v>
      </c>
      <c r="B5255" s="4" t="s">
        <v>11578</v>
      </c>
      <c r="C5255" s="4"/>
      <c r="D5255" s="4" t="s">
        <v>13414</v>
      </c>
      <c r="E5255" s="4" t="s">
        <v>3767</v>
      </c>
      <c r="F5255" s="4" t="s">
        <v>3766</v>
      </c>
      <c r="G5255" s="5" t="str">
        <f>IFERROR(__xludf.DUMMYFUNCTION("GOOGLETRANSLATE(D5255,""fr"",""es"")"),"pulgada")</f>
        <v>pulgada</v>
      </c>
    </row>
    <row r="5256">
      <c r="A5256" s="4">
        <v>658.0</v>
      </c>
      <c r="B5256" s="4" t="s">
        <v>11578</v>
      </c>
      <c r="C5256" s="4"/>
      <c r="D5256" s="4" t="s">
        <v>13415</v>
      </c>
      <c r="E5256" s="4" t="s">
        <v>13416</v>
      </c>
      <c r="F5256" s="4" t="s">
        <v>13417</v>
      </c>
      <c r="G5256" s="5" t="str">
        <f>IFERROR(__xludf.DUMMYFUNCTION("GOOGLETRANSLATE(D5256,""fr"",""es"")"),"poso")</f>
        <v>poso</v>
      </c>
      <c r="H5256" s="4" t="s">
        <v>13418</v>
      </c>
      <c r="I5256" s="4" t="s">
        <v>13419</v>
      </c>
    </row>
    <row r="5257">
      <c r="A5257" s="4">
        <v>659.0</v>
      </c>
      <c r="B5257" s="4" t="s">
        <v>11578</v>
      </c>
      <c r="C5257" s="4"/>
      <c r="D5257" s="4" t="s">
        <v>13420</v>
      </c>
      <c r="E5257" s="4" t="s">
        <v>13421</v>
      </c>
      <c r="F5257" s="4" t="s">
        <v>13422</v>
      </c>
      <c r="G5257" s="5" t="str">
        <f>IFERROR(__xludf.DUMMYFUNCTION("GOOGLETRANSLATE(D5257,""fr"",""es"")"),"gallinero")</f>
        <v>gallinero</v>
      </c>
    </row>
    <row r="5258">
      <c r="A5258" s="4">
        <v>660.0</v>
      </c>
      <c r="B5258" s="4" t="s">
        <v>11578</v>
      </c>
      <c r="C5258" s="4"/>
      <c r="D5258" s="4" t="s">
        <v>13423</v>
      </c>
      <c r="E5258" s="4" t="s">
        <v>8671</v>
      </c>
      <c r="F5258" s="4" t="s">
        <v>7296</v>
      </c>
      <c r="G5258" s="5" t="str">
        <f>IFERROR(__xludf.DUMMYFUNCTION("GOOGLETRANSLATE(D5258,""fr"",""es"")"),"pollo")</f>
        <v>pollo</v>
      </c>
      <c r="H5258" s="4" t="s">
        <v>9965</v>
      </c>
      <c r="I5258" s="4" t="s">
        <v>9965</v>
      </c>
      <c r="J5258" s="4" t="s">
        <v>9965</v>
      </c>
      <c r="K5258" s="4" t="s">
        <v>9966</v>
      </c>
      <c r="L5258" s="4" t="s">
        <v>3655</v>
      </c>
      <c r="M5258" s="4" t="s">
        <v>9965</v>
      </c>
    </row>
    <row r="5259">
      <c r="A5259" s="4">
        <v>661.0</v>
      </c>
      <c r="B5259" s="4" t="s">
        <v>11578</v>
      </c>
      <c r="C5259" s="4"/>
      <c r="D5259" s="4" t="s">
        <v>13424</v>
      </c>
      <c r="E5259" s="4" t="s">
        <v>13425</v>
      </c>
      <c r="F5259" s="4" t="s">
        <v>13426</v>
      </c>
      <c r="G5259" s="5" t="str">
        <f>IFERROR(__xludf.DUMMYFUNCTION("GOOGLETRANSLATE(D5259,""fr"",""es"")"),"potra")</f>
        <v>potra</v>
      </c>
      <c r="H5259" s="4" t="s">
        <v>13427</v>
      </c>
    </row>
    <row r="5260">
      <c r="A5260" s="4">
        <v>662.0</v>
      </c>
      <c r="B5260" s="4" t="s">
        <v>11578</v>
      </c>
      <c r="C5260" s="4"/>
      <c r="D5260" s="4" t="s">
        <v>13428</v>
      </c>
      <c r="E5260" s="4" t="s">
        <v>3615</v>
      </c>
      <c r="F5260" s="4" t="s">
        <v>3616</v>
      </c>
      <c r="G5260" s="5" t="str">
        <f>IFERROR(__xludf.DUMMYFUNCTION("GOOGLETRANSLATE(D5260,""fr"",""es"")"),"polea")</f>
        <v>polea</v>
      </c>
      <c r="H5260" s="4" t="s">
        <v>7320</v>
      </c>
      <c r="I5260" s="4" t="s">
        <v>7322</v>
      </c>
      <c r="J5260" s="4" t="s">
        <v>7323</v>
      </c>
      <c r="K5260" s="4" t="s">
        <v>326</v>
      </c>
    </row>
    <row r="5261">
      <c r="A5261" s="4">
        <v>663.0</v>
      </c>
      <c r="B5261" s="4" t="s">
        <v>11578</v>
      </c>
      <c r="C5261" s="4"/>
      <c r="D5261" s="4" t="s">
        <v>13429</v>
      </c>
      <c r="E5261" s="4" t="s">
        <v>7293</v>
      </c>
      <c r="F5261" s="4" t="s">
        <v>7294</v>
      </c>
      <c r="G5261" s="5" t="str">
        <f>IFERROR(__xludf.DUMMYFUNCTION("GOOGLETRANSLATE(D5261,""fr"",""es"")"),"legumbres")</f>
        <v>legumbres</v>
      </c>
      <c r="H5261" s="4" t="s">
        <v>13430</v>
      </c>
      <c r="I5261" s="4" t="s">
        <v>13431</v>
      </c>
      <c r="J5261" s="4" t="s">
        <v>13430</v>
      </c>
      <c r="K5261" s="4" t="s">
        <v>13430</v>
      </c>
      <c r="L5261" s="4" t="s">
        <v>13432</v>
      </c>
      <c r="M5261" s="4" t="s">
        <v>348</v>
      </c>
      <c r="N5261" s="4" t="s">
        <v>3493</v>
      </c>
      <c r="O5261" s="4" t="s">
        <v>13433</v>
      </c>
      <c r="P5261" s="4" t="s">
        <v>13434</v>
      </c>
      <c r="Q5261" s="4" t="s">
        <v>13435</v>
      </c>
      <c r="R5261" s="4" t="s">
        <v>13432</v>
      </c>
      <c r="S5261" s="4" t="s">
        <v>13436</v>
      </c>
      <c r="T5261" s="4" t="s">
        <v>13430</v>
      </c>
      <c r="U5261" s="4" t="s">
        <v>9439</v>
      </c>
      <c r="V5261" s="4" t="s">
        <v>13430</v>
      </c>
      <c r="W5261" s="4" t="s">
        <v>13430</v>
      </c>
      <c r="X5261" s="4" t="s">
        <v>13437</v>
      </c>
      <c r="Y5261" s="4" t="s">
        <v>13438</v>
      </c>
    </row>
    <row r="5262">
      <c r="A5262" s="4">
        <v>664.0</v>
      </c>
      <c r="B5262" s="4" t="s">
        <v>11578</v>
      </c>
      <c r="C5262" s="4"/>
      <c r="D5262" s="4" t="s">
        <v>13439</v>
      </c>
      <c r="E5262" s="4" t="s">
        <v>13440</v>
      </c>
      <c r="F5262" s="4" t="s">
        <v>13441</v>
      </c>
      <c r="G5262" s="5" t="str">
        <f>IFERROR(__xludf.DUMMYFUNCTION("GOOGLETRANSLATE(D5262,""fr"",""es"")"),"popa")</f>
        <v>popa</v>
      </c>
      <c r="H5262" s="4" t="s">
        <v>1617</v>
      </c>
      <c r="I5262" s="4" t="s">
        <v>13442</v>
      </c>
      <c r="J5262" s="4" t="s">
        <v>13443</v>
      </c>
      <c r="K5262" s="4" t="s">
        <v>13444</v>
      </c>
      <c r="L5262" s="4" t="s">
        <v>1617</v>
      </c>
      <c r="M5262" s="4" t="s">
        <v>7569</v>
      </c>
      <c r="N5262" s="4" t="s">
        <v>13445</v>
      </c>
      <c r="O5262" s="4" t="s">
        <v>13446</v>
      </c>
      <c r="P5262" s="4" t="s">
        <v>1617</v>
      </c>
      <c r="Q5262" s="4" t="s">
        <v>13447</v>
      </c>
      <c r="R5262" s="4" t="s">
        <v>13448</v>
      </c>
      <c r="S5262" s="4" t="s">
        <v>13449</v>
      </c>
      <c r="T5262" s="4" t="s">
        <v>1617</v>
      </c>
      <c r="U5262" s="4" t="s">
        <v>13450</v>
      </c>
      <c r="V5262" s="4" t="s">
        <v>13451</v>
      </c>
      <c r="W5262" s="4" t="s">
        <v>6996</v>
      </c>
      <c r="X5262" s="4" t="s">
        <v>1619</v>
      </c>
      <c r="Y5262" s="4" t="s">
        <v>3239</v>
      </c>
      <c r="Z5262" s="4" t="s">
        <v>6996</v>
      </c>
      <c r="AA5262" s="4" t="s">
        <v>13452</v>
      </c>
      <c r="AB5262" s="4" t="s">
        <v>12682</v>
      </c>
      <c r="AC5262" s="4" t="s">
        <v>13453</v>
      </c>
      <c r="AD5262" s="4" t="s">
        <v>6995</v>
      </c>
      <c r="AE5262" s="4" t="s">
        <v>6996</v>
      </c>
      <c r="AF5262" s="4" t="s">
        <v>6992</v>
      </c>
      <c r="AG5262" s="4" t="s">
        <v>13454</v>
      </c>
      <c r="AH5262" s="4" t="s">
        <v>13455</v>
      </c>
    </row>
    <row r="5263">
      <c r="A5263" s="4">
        <v>665.0</v>
      </c>
      <c r="B5263" s="4" t="s">
        <v>11578</v>
      </c>
      <c r="C5263" s="4"/>
      <c r="D5263" s="4" t="s">
        <v>13456</v>
      </c>
      <c r="E5263" s="4" t="s">
        <v>13457</v>
      </c>
      <c r="F5263" s="4" t="s">
        <v>13458</v>
      </c>
      <c r="G5263" s="5" t="str">
        <f>IFERROR(__xludf.DUMMYFUNCTION("GOOGLETRANSLATE(D5263,""fr"",""es"")"),"Putin")</f>
        <v>Putin</v>
      </c>
      <c r="H5263" s="4" t="s">
        <v>13459</v>
      </c>
      <c r="I5263" s="4" t="s">
        <v>13460</v>
      </c>
      <c r="J5263" s="4" t="s">
        <v>13461</v>
      </c>
    </row>
    <row r="5264">
      <c r="A5264" s="4">
        <v>666.0</v>
      </c>
      <c r="B5264" s="4" t="s">
        <v>11578</v>
      </c>
      <c r="C5264" s="4"/>
      <c r="D5264" s="4" t="s">
        <v>13462</v>
      </c>
      <c r="E5264" s="4" t="s">
        <v>7293</v>
      </c>
      <c r="F5264" s="4" t="s">
        <v>7294</v>
      </c>
      <c r="G5264" s="5" t="str">
        <f>IFERROR(__xludf.DUMMYFUNCTION("GOOGLETRANSLATE(D5264,""fr"",""es"")"),"piojo")</f>
        <v>piojo</v>
      </c>
    </row>
    <row r="5265">
      <c r="A5265" s="4">
        <v>667.0</v>
      </c>
      <c r="B5265" s="4" t="s">
        <v>11578</v>
      </c>
      <c r="C5265" s="4"/>
      <c r="D5265" s="4" t="s">
        <v>4433</v>
      </c>
      <c r="E5265" s="4" t="s">
        <v>8671</v>
      </c>
      <c r="F5265" s="4" t="s">
        <v>7296</v>
      </c>
      <c r="G5265" s="5" t="str">
        <f>IFERROR(__xludf.DUMMYFUNCTION("GOOGLETRANSLATE(D5265,""fr"",""es"")"),"suéter")</f>
        <v>suéter</v>
      </c>
      <c r="H5265" s="4" t="s">
        <v>7298</v>
      </c>
      <c r="I5265" s="4" t="s">
        <v>7299</v>
      </c>
      <c r="J5265" s="4" t="s">
        <v>4433</v>
      </c>
    </row>
    <row r="5266">
      <c r="A5266" s="4">
        <v>668.0</v>
      </c>
      <c r="B5266" s="4" t="s">
        <v>11578</v>
      </c>
      <c r="C5266" s="4"/>
      <c r="D5266" s="4" t="s">
        <v>13463</v>
      </c>
      <c r="E5266" s="4" t="s">
        <v>8671</v>
      </c>
      <c r="F5266" s="4" t="s">
        <v>7296</v>
      </c>
      <c r="G5266" s="5" t="str">
        <f>IFERROR(__xludf.DUMMYFUNCTION("GOOGLETRANSLATE(D5266,""fr"",""es"")"),"suéter")</f>
        <v>suéter</v>
      </c>
    </row>
    <row r="5267">
      <c r="A5267" s="4">
        <v>669.0</v>
      </c>
      <c r="B5267" s="4" t="s">
        <v>11578</v>
      </c>
      <c r="C5267" s="4"/>
      <c r="D5267" s="4" t="s">
        <v>13464</v>
      </c>
      <c r="E5267" s="4" t="s">
        <v>8597</v>
      </c>
      <c r="F5267" s="4" t="s">
        <v>3161</v>
      </c>
      <c r="G5267" s="5" t="str">
        <f>IFERROR(__xludf.DUMMYFUNCTION("GOOGLETRANSLATE(D5267,""fr"",""es"")"),"pálido")</f>
        <v>pálido</v>
      </c>
      <c r="H5267" s="4" t="s">
        <v>13465</v>
      </c>
      <c r="I5267" s="4" t="s">
        <v>7565</v>
      </c>
      <c r="J5267" s="4" t="s">
        <v>7566</v>
      </c>
      <c r="K5267" s="4" t="s">
        <v>7567</v>
      </c>
      <c r="L5267" s="4" t="s">
        <v>7565</v>
      </c>
      <c r="M5267" s="4" t="s">
        <v>7566</v>
      </c>
      <c r="N5267" s="4" t="s">
        <v>7567</v>
      </c>
      <c r="O5267" s="4" t="s">
        <v>4402</v>
      </c>
    </row>
    <row r="5268">
      <c r="A5268" s="4">
        <v>670.0</v>
      </c>
      <c r="B5268" s="4" t="s">
        <v>11578</v>
      </c>
      <c r="C5268" s="4"/>
      <c r="D5268" s="4" t="s">
        <v>13466</v>
      </c>
      <c r="E5268" s="4" t="s">
        <v>8643</v>
      </c>
      <c r="F5268" s="4" t="s">
        <v>392</v>
      </c>
      <c r="G5268" s="5" t="str">
        <f>IFERROR(__xludf.DUMMYFUNCTION("GOOGLETRANSLATE(D5268,""fr"",""es"")"),"Pascua de Resurrección")</f>
        <v>Pascua de Resurrección</v>
      </c>
      <c r="H5268" s="4" t="s">
        <v>13467</v>
      </c>
      <c r="I5268" s="4" t="s">
        <v>13468</v>
      </c>
      <c r="J5268" s="4" t="s">
        <v>13469</v>
      </c>
      <c r="K5268" s="4" t="s">
        <v>13470</v>
      </c>
    </row>
    <row r="5269">
      <c r="A5269" s="4">
        <v>671.0</v>
      </c>
      <c r="B5269" s="4" t="s">
        <v>11578</v>
      </c>
      <c r="C5269" s="4"/>
      <c r="D5269" s="4" t="s">
        <v>13471</v>
      </c>
      <c r="E5269" s="4" t="s">
        <v>8643</v>
      </c>
      <c r="F5269" s="4" t="s">
        <v>392</v>
      </c>
      <c r="G5269" s="5" t="str">
        <f>IFERROR(__xludf.DUMMYFUNCTION("GOOGLETRANSLATE(D5269,""fr"",""es"")"),"Pascua de Resurrección")</f>
        <v>Pascua de Resurrección</v>
      </c>
      <c r="H5269" s="4" t="s">
        <v>13472</v>
      </c>
      <c r="I5269" s="4" t="s">
        <v>13473</v>
      </c>
      <c r="J5269" s="4" t="s">
        <v>13474</v>
      </c>
      <c r="K5269" s="4" t="s">
        <v>13475</v>
      </c>
      <c r="L5269" s="4" t="s">
        <v>13467</v>
      </c>
      <c r="M5269" s="4" t="s">
        <v>13468</v>
      </c>
      <c r="N5269" s="4" t="s">
        <v>13469</v>
      </c>
      <c r="O5269" s="4" t="s">
        <v>13470</v>
      </c>
    </row>
    <row r="5270">
      <c r="A5270" s="4">
        <v>672.0</v>
      </c>
      <c r="B5270" s="4" t="s">
        <v>11578</v>
      </c>
      <c r="C5270" s="4"/>
      <c r="D5270" s="4" t="s">
        <v>13476</v>
      </c>
      <c r="E5270" s="4" t="s">
        <v>13477</v>
      </c>
      <c r="F5270" s="4" t="s">
        <v>7051</v>
      </c>
      <c r="G5270" s="5" t="str">
        <f>IFERROR(__xludf.DUMMYFUNCTION("GOOGLETRANSLATE(D5270,""fr"",""es"")"),"Páquis")</f>
        <v>Páquis</v>
      </c>
    </row>
    <row r="5271">
      <c r="A5271" s="4">
        <v>673.0</v>
      </c>
      <c r="B5271" s="4" t="s">
        <v>11578</v>
      </c>
      <c r="C5271" s="4"/>
      <c r="D5271" s="4" t="s">
        <v>13478</v>
      </c>
      <c r="E5271" s="4" t="s">
        <v>3443</v>
      </c>
      <c r="F5271" s="4" t="s">
        <v>3442</v>
      </c>
      <c r="G5271" s="5" t="str">
        <f>IFERROR(__xludf.DUMMYFUNCTION("GOOGLETRANSLATE(D5271,""fr"",""es"")"),"Pasti")</f>
        <v>Pasti</v>
      </c>
    </row>
    <row r="5272">
      <c r="A5272" s="4">
        <v>674.0</v>
      </c>
      <c r="B5272" s="4" t="s">
        <v>11578</v>
      </c>
      <c r="C5272" s="4"/>
      <c r="D5272" s="4" t="s">
        <v>13479</v>
      </c>
      <c r="E5272" s="4" t="s">
        <v>3443</v>
      </c>
      <c r="F5272" s="4" t="s">
        <v>3442</v>
      </c>
      <c r="G5272" s="5" t="str">
        <f>IFERROR(__xludf.DUMMYFUNCTION("GOOGLETRANSLATE(D5272,""fr"",""es"")"),"Pâtis")</f>
        <v>Pâtis</v>
      </c>
    </row>
    <row r="5273">
      <c r="A5273" s="4">
        <v>675.0</v>
      </c>
      <c r="B5273" s="4" t="s">
        <v>11578</v>
      </c>
      <c r="C5273" s="4"/>
      <c r="D5273" s="4" t="s">
        <v>13480</v>
      </c>
      <c r="E5273" s="4" t="s">
        <v>13481</v>
      </c>
      <c r="F5273" s="4" t="s">
        <v>13482</v>
      </c>
      <c r="G5273" s="5" t="str">
        <f>IFERROR(__xludf.DUMMYFUNCTION("GOOGLETRANSLATE(D5273,""fr"",""es"")"),"pasado")</f>
        <v>pasado</v>
      </c>
    </row>
    <row r="5274">
      <c r="A5274" s="4">
        <v>676.0</v>
      </c>
      <c r="B5274" s="4" t="s">
        <v>11578</v>
      </c>
      <c r="C5274" s="4"/>
      <c r="D5274" s="4" t="s">
        <v>13480</v>
      </c>
      <c r="E5274" s="4" t="s">
        <v>13483</v>
      </c>
      <c r="F5274" s="4" t="s">
        <v>13482</v>
      </c>
      <c r="G5274" s="5" t="str">
        <f>IFERROR(__xludf.DUMMYFUNCTION("GOOGLETRANSLATE(D5274,""fr"",""es"")"),"pasado")</f>
        <v>pasado</v>
      </c>
    </row>
    <row r="5275">
      <c r="A5275" s="4">
        <v>677.0</v>
      </c>
      <c r="B5275" s="4" t="s">
        <v>11578</v>
      </c>
      <c r="C5275" s="4"/>
      <c r="D5275" s="4" t="s">
        <v>13484</v>
      </c>
      <c r="E5275" s="4" t="s">
        <v>13481</v>
      </c>
      <c r="F5275" s="4" t="s">
        <v>13482</v>
      </c>
      <c r="G5275" s="5" t="str">
        <f>IFERROR(__xludf.DUMMYFUNCTION("GOOGLETRANSLATE(D5275,""fr"",""es"")"),"pasado")</f>
        <v>pasado</v>
      </c>
    </row>
    <row r="5276">
      <c r="A5276" s="4">
        <v>678.0</v>
      </c>
      <c r="B5276" s="4" t="s">
        <v>11578</v>
      </c>
      <c r="C5276" s="4"/>
      <c r="D5276" s="4" t="s">
        <v>13485</v>
      </c>
      <c r="E5276" s="4" t="s">
        <v>13481</v>
      </c>
      <c r="F5276" s="4" t="s">
        <v>13482</v>
      </c>
      <c r="G5276" s="5" t="str">
        <f>IFERROR(__xludf.DUMMYFUNCTION("GOOGLETRANSLATE(D5276,""fr"",""es"")"),"pastoreo")</f>
        <v>pastoreo</v>
      </c>
    </row>
    <row r="5277">
      <c r="A5277" s="4">
        <v>679.0</v>
      </c>
      <c r="B5277" s="4" t="s">
        <v>11578</v>
      </c>
      <c r="C5277" s="4"/>
      <c r="D5277" s="4" t="s">
        <v>13486</v>
      </c>
      <c r="E5277" s="4" t="s">
        <v>3443</v>
      </c>
      <c r="F5277" s="4" t="s">
        <v>3442</v>
      </c>
      <c r="G5277" s="5" t="str">
        <f>IFERROR(__xludf.DUMMYFUNCTION("GOOGLETRANSLATE(D5277,""fr"",""es"")"),"sufrir")</f>
        <v>sufrir</v>
      </c>
    </row>
    <row r="5278">
      <c r="A5278" s="4">
        <v>680.0</v>
      </c>
      <c r="B5278" s="4" t="s">
        <v>11578</v>
      </c>
      <c r="C5278" s="4"/>
      <c r="D5278" s="4" t="s">
        <v>13487</v>
      </c>
      <c r="E5278" s="4" t="s">
        <v>3449</v>
      </c>
      <c r="F5278" s="4" t="s">
        <v>3448</v>
      </c>
      <c r="G5278" s="5" t="str">
        <f>IFERROR(__xludf.DUMMYFUNCTION("GOOGLETRANSLATE(D5278,""fr"",""es"")"),"masa")</f>
        <v>masa</v>
      </c>
    </row>
    <row r="5279">
      <c r="A5279" s="4">
        <v>681.0</v>
      </c>
      <c r="B5279" s="4" t="s">
        <v>11578</v>
      </c>
      <c r="C5279" s="4"/>
      <c r="D5279" s="4" t="s">
        <v>13488</v>
      </c>
      <c r="E5279" s="4" t="s">
        <v>3443</v>
      </c>
      <c r="F5279" s="4" t="s">
        <v>3442</v>
      </c>
      <c r="G5279" s="5" t="str">
        <f>IFERROR(__xludf.DUMMYFUNCTION("GOOGLETRANSLATE(D5279,""fr"",""es"")"),"sufrir")</f>
        <v>sufrir</v>
      </c>
    </row>
    <row r="5280">
      <c r="A5280" s="4">
        <v>682.0</v>
      </c>
      <c r="B5280" s="4" t="s">
        <v>11578</v>
      </c>
      <c r="C5280" s="4"/>
      <c r="D5280" s="4" t="s">
        <v>13489</v>
      </c>
      <c r="E5280" s="4" t="s">
        <v>13490</v>
      </c>
      <c r="F5280" s="4" t="s">
        <v>13491</v>
      </c>
      <c r="G5280" s="5" t="str">
        <f>IFERROR(__xludf.DUMMYFUNCTION("GOOGLETRANSLATE(D5280,""fr"",""es"")"),"papá")</f>
        <v>papá</v>
      </c>
      <c r="H5280" s="4" t="s">
        <v>13492</v>
      </c>
      <c r="I5280" s="4" t="s">
        <v>7946</v>
      </c>
      <c r="J5280" s="4" t="s">
        <v>13493</v>
      </c>
      <c r="K5280" s="4" t="s">
        <v>3299</v>
      </c>
      <c r="L5280" s="4" t="s">
        <v>8941</v>
      </c>
      <c r="M5280" s="4" t="s">
        <v>9719</v>
      </c>
      <c r="N5280" s="4" t="s">
        <v>13494</v>
      </c>
      <c r="O5280" s="4" t="s">
        <v>13495</v>
      </c>
      <c r="P5280" s="4" t="s">
        <v>13496</v>
      </c>
      <c r="Q5280" s="4" t="s">
        <v>13497</v>
      </c>
      <c r="R5280" s="4" t="s">
        <v>13498</v>
      </c>
      <c r="S5280" s="4" t="s">
        <v>13499</v>
      </c>
      <c r="T5280" s="4" t="s">
        <v>9716</v>
      </c>
      <c r="U5280" s="4" t="s">
        <v>3299</v>
      </c>
      <c r="V5280" s="4" t="s">
        <v>3299</v>
      </c>
      <c r="W5280" s="4" t="s">
        <v>3300</v>
      </c>
      <c r="X5280" s="4" t="s">
        <v>3301</v>
      </c>
      <c r="Y5280" s="4" t="s">
        <v>3299</v>
      </c>
      <c r="Z5280" s="4" t="s">
        <v>9718</v>
      </c>
      <c r="AA5280" s="4" t="s">
        <v>3299</v>
      </c>
      <c r="AB5280" s="4" t="s">
        <v>9719</v>
      </c>
      <c r="AC5280" s="4" t="s">
        <v>9720</v>
      </c>
      <c r="AD5280" s="4" t="s">
        <v>9721</v>
      </c>
      <c r="AE5280" s="4" t="s">
        <v>9722</v>
      </c>
      <c r="AF5280" s="4" t="s">
        <v>3299</v>
      </c>
    </row>
    <row r="5281">
      <c r="A5281" s="4">
        <v>683.0</v>
      </c>
      <c r="B5281" s="4" t="s">
        <v>11578</v>
      </c>
      <c r="C5281" s="4"/>
      <c r="D5281" s="4" t="s">
        <v>13500</v>
      </c>
      <c r="E5281" s="4" t="s">
        <v>13501</v>
      </c>
      <c r="F5281" s="4" t="s">
        <v>13502</v>
      </c>
      <c r="G5281" s="5" t="str">
        <f>IFERROR(__xludf.DUMMYFUNCTION("GOOGLETRANSLATE(D5281,""fr"",""es"")"),"Qilin")</f>
        <v>Qilin</v>
      </c>
    </row>
    <row r="5282">
      <c r="A5282" s="4">
        <v>684.0</v>
      </c>
      <c r="B5282" s="4" t="s">
        <v>11578</v>
      </c>
      <c r="C5282" s="4"/>
      <c r="D5282" s="4" t="s">
        <v>3798</v>
      </c>
      <c r="E5282" s="4" t="s">
        <v>2013</v>
      </c>
      <c r="F5282" s="4" t="s">
        <v>2014</v>
      </c>
      <c r="G5282" s="5" t="str">
        <f>IFERROR(__xludf.DUMMYFUNCTION("GOOGLETRANSLATE(D5282,""fr"",""es"")"),"quién")</f>
        <v>quién</v>
      </c>
      <c r="H5282" s="4" t="s">
        <v>13503</v>
      </c>
      <c r="I5282" s="4" t="s">
        <v>13504</v>
      </c>
    </row>
    <row r="5283">
      <c r="A5283" s="4">
        <v>685.0</v>
      </c>
      <c r="B5283" s="4" t="s">
        <v>11578</v>
      </c>
      <c r="C5283" s="4"/>
      <c r="D5283" s="4" t="s">
        <v>13505</v>
      </c>
      <c r="E5283" s="4" t="s">
        <v>13506</v>
      </c>
      <c r="F5283" s="4" t="s">
        <v>6465</v>
      </c>
      <c r="G5283" s="5" t="str">
        <f>IFERROR(__xludf.DUMMYFUNCTION("GOOGLETRANSLATE(D5283,""fr"",""es"")"),"Quiche")</f>
        <v>Quiche</v>
      </c>
      <c r="H5283" s="4" t="s">
        <v>13505</v>
      </c>
    </row>
    <row r="5284">
      <c r="A5284" s="4">
        <v>686.0</v>
      </c>
      <c r="B5284" s="4" t="s">
        <v>11578</v>
      </c>
      <c r="C5284" s="4"/>
      <c r="D5284" s="4" t="s">
        <v>13507</v>
      </c>
      <c r="E5284" s="4" t="s">
        <v>13508</v>
      </c>
      <c r="F5284" s="4" t="s">
        <v>13509</v>
      </c>
      <c r="G5284" s="5" t="str">
        <f>IFERROR(__xludf.DUMMYFUNCTION("GOOGLETRANSLATE(D5284,""fr"",""es"")"),"quilla")</f>
        <v>quilla</v>
      </c>
      <c r="H5284" s="4" t="s">
        <v>13510</v>
      </c>
      <c r="I5284" s="4" t="s">
        <v>13511</v>
      </c>
      <c r="J5284" s="4" t="s">
        <v>13512</v>
      </c>
      <c r="K5284" s="4" t="s">
        <v>13513</v>
      </c>
      <c r="L5284" s="4" t="s">
        <v>13514</v>
      </c>
      <c r="M5284" s="4" t="s">
        <v>13515</v>
      </c>
      <c r="N5284" s="4" t="s">
        <v>13516</v>
      </c>
      <c r="O5284" s="4" t="s">
        <v>3805</v>
      </c>
      <c r="P5284" s="4" t="s">
        <v>3805</v>
      </c>
    </row>
    <row r="5285">
      <c r="A5285" s="4">
        <v>687.0</v>
      </c>
      <c r="B5285" s="4" t="s">
        <v>11578</v>
      </c>
      <c r="C5285" s="4"/>
      <c r="D5285" s="4" t="s">
        <v>8706</v>
      </c>
      <c r="E5285" s="4" t="s">
        <v>13517</v>
      </c>
      <c r="F5285" s="4" t="s">
        <v>8708</v>
      </c>
      <c r="G5285" s="5" t="str">
        <f>IFERROR(__xludf.DUMMYFUNCTION("GOOGLETRANSLATE(D5285,""fr"",""es"")"),"quinina")</f>
        <v>quinina</v>
      </c>
      <c r="H5285" s="4" t="s">
        <v>8706</v>
      </c>
      <c r="I5285" s="4" t="s">
        <v>8706</v>
      </c>
      <c r="J5285" s="4" t="s">
        <v>3821</v>
      </c>
      <c r="K5285" s="4" t="s">
        <v>3822</v>
      </c>
      <c r="L5285" s="4" t="s">
        <v>3823</v>
      </c>
      <c r="M5285" s="4" t="s">
        <v>3824</v>
      </c>
    </row>
    <row r="5286">
      <c r="A5286" s="4">
        <v>688.0</v>
      </c>
      <c r="B5286" s="4" t="s">
        <v>11578</v>
      </c>
      <c r="C5286" s="4"/>
      <c r="D5286" s="4" t="s">
        <v>3861</v>
      </c>
      <c r="E5286" s="4" t="s">
        <v>3862</v>
      </c>
      <c r="F5286" s="4" t="s">
        <v>3861</v>
      </c>
      <c r="G5286" s="5" t="str">
        <f>IFERROR(__xludf.DUMMYFUNCTION("GOOGLETRANSLATE(D5286,""fr"",""es"")"),"su")</f>
        <v>su</v>
      </c>
      <c r="H5286" s="4" t="s">
        <v>11060</v>
      </c>
      <c r="I5286" s="4" t="s">
        <v>11061</v>
      </c>
      <c r="J5286" s="4" t="s">
        <v>11062</v>
      </c>
      <c r="K5286" s="4" t="s">
        <v>13518</v>
      </c>
    </row>
    <row r="5287">
      <c r="A5287" s="4">
        <v>689.0</v>
      </c>
      <c r="B5287" s="4" t="s">
        <v>11578</v>
      </c>
      <c r="C5287" s="4"/>
      <c r="D5287" s="4" t="s">
        <v>3866</v>
      </c>
      <c r="E5287" s="4" t="s">
        <v>3867</v>
      </c>
      <c r="F5287" s="4" t="s">
        <v>3868</v>
      </c>
      <c r="G5287" s="5" t="str">
        <f>IFERROR(__xludf.DUMMYFUNCTION("GOOGLETRANSLATE(D5287,""fr"",""es"")"),"Bolso")</f>
        <v>Bolso</v>
      </c>
      <c r="H5287" s="4" t="s">
        <v>13519</v>
      </c>
      <c r="I5287" s="4" t="s">
        <v>3869</v>
      </c>
      <c r="J5287" s="4" t="s">
        <v>10723</v>
      </c>
      <c r="K5287" s="4" t="s">
        <v>3869</v>
      </c>
      <c r="L5287" s="4" t="s">
        <v>3869</v>
      </c>
      <c r="M5287" s="4" t="s">
        <v>7362</v>
      </c>
      <c r="N5287" s="4" t="s">
        <v>3869</v>
      </c>
      <c r="O5287" s="4" t="s">
        <v>8685</v>
      </c>
      <c r="P5287" s="4" t="s">
        <v>3869</v>
      </c>
      <c r="Q5287" s="4" t="s">
        <v>3869</v>
      </c>
      <c r="R5287" s="4" t="s">
        <v>3869</v>
      </c>
      <c r="S5287" s="4" t="s">
        <v>3869</v>
      </c>
      <c r="T5287" s="4" t="s">
        <v>13520</v>
      </c>
      <c r="U5287" s="4" t="s">
        <v>13521</v>
      </c>
      <c r="V5287" s="4" t="s">
        <v>11321</v>
      </c>
      <c r="W5287" s="4" t="s">
        <v>13522</v>
      </c>
      <c r="X5287" s="4" t="s">
        <v>3869</v>
      </c>
      <c r="Y5287" s="4" t="s">
        <v>13523</v>
      </c>
      <c r="Z5287" s="4" t="s">
        <v>13524</v>
      </c>
      <c r="AA5287" s="4" t="s">
        <v>13525</v>
      </c>
      <c r="AB5287" s="4" t="s">
        <v>13526</v>
      </c>
      <c r="AC5287" s="4" t="s">
        <v>3869</v>
      </c>
      <c r="AD5287" s="4" t="s">
        <v>1785</v>
      </c>
      <c r="AE5287" s="4" t="s">
        <v>3489</v>
      </c>
      <c r="AF5287" s="4" t="s">
        <v>7366</v>
      </c>
      <c r="AG5287" s="4" t="s">
        <v>7367</v>
      </c>
      <c r="AH5287" s="4" t="s">
        <v>3869</v>
      </c>
      <c r="AI5287" s="4" t="s">
        <v>13527</v>
      </c>
      <c r="AJ5287" s="4" t="s">
        <v>3869</v>
      </c>
      <c r="AK5287" s="4" t="s">
        <v>3869</v>
      </c>
      <c r="AL5287" s="4" t="s">
        <v>3870</v>
      </c>
      <c r="AM5287" s="4" t="s">
        <v>7361</v>
      </c>
      <c r="AN5287" s="4" t="s">
        <v>3866</v>
      </c>
      <c r="AO5287" s="4" t="s">
        <v>1785</v>
      </c>
      <c r="AP5287" s="4" t="s">
        <v>7362</v>
      </c>
      <c r="AQ5287" s="4" t="s">
        <v>13528</v>
      </c>
      <c r="AR5287" s="4" t="s">
        <v>13529</v>
      </c>
      <c r="AS5287" s="4" t="s">
        <v>10893</v>
      </c>
    </row>
    <row r="5288">
      <c r="A5288" s="4">
        <v>690.0</v>
      </c>
      <c r="B5288" s="4" t="s">
        <v>11578</v>
      </c>
      <c r="C5288" s="4"/>
      <c r="D5288" s="4" t="s">
        <v>13530</v>
      </c>
      <c r="E5288" s="4" t="s">
        <v>13531</v>
      </c>
      <c r="F5288" s="4" t="s">
        <v>13532</v>
      </c>
      <c r="G5288" s="5" t="str">
        <f>IFERROR(__xludf.DUMMYFUNCTION("GOOGLETRANSLATE(D5288,""fr"",""es"")"),"sacha")</f>
        <v>sacha</v>
      </c>
    </row>
    <row r="5289">
      <c r="A5289" s="4">
        <v>691.0</v>
      </c>
      <c r="B5289" s="4" t="s">
        <v>11578</v>
      </c>
      <c r="C5289" s="4"/>
      <c r="D5289" s="4" t="s">
        <v>13533</v>
      </c>
      <c r="E5289" s="4" t="s">
        <v>13534</v>
      </c>
      <c r="F5289" s="4" t="s">
        <v>7421</v>
      </c>
      <c r="G5289" s="5" t="str">
        <f>IFERROR(__xludf.DUMMYFUNCTION("GOOGLETRANSLATE(D5289,""fr"",""es"")"),"haz")</f>
        <v>haz</v>
      </c>
    </row>
    <row r="5290">
      <c r="A5290" s="4">
        <v>692.0</v>
      </c>
      <c r="B5290" s="4" t="s">
        <v>11578</v>
      </c>
      <c r="C5290" s="4"/>
      <c r="D5290" s="4" t="s">
        <v>13535</v>
      </c>
      <c r="E5290" s="4" t="s">
        <v>13534</v>
      </c>
      <c r="F5290" s="4" t="s">
        <v>7421</v>
      </c>
      <c r="G5290" s="5" t="str">
        <f>IFERROR(__xludf.DUMMYFUNCTION("GOOGLETRANSLATE(D5290,""fr"",""es"")"),"saber")</f>
        <v>saber</v>
      </c>
    </row>
    <row r="5291">
      <c r="A5291" s="4">
        <v>693.0</v>
      </c>
      <c r="B5291" s="4" t="s">
        <v>11578</v>
      </c>
      <c r="C5291" s="4"/>
      <c r="D5291" s="4" t="s">
        <v>13536</v>
      </c>
      <c r="E5291" s="4" t="s">
        <v>13537</v>
      </c>
      <c r="F5291" s="4" t="s">
        <v>13538</v>
      </c>
      <c r="G5291" s="5" t="str">
        <f>IFERROR(__xludf.DUMMYFUNCTION("GOOGLETRANSLATE(D5291,""fr"",""es"")"),"proyección")</f>
        <v>proyección</v>
      </c>
      <c r="H5291" s="4" t="s">
        <v>13539</v>
      </c>
      <c r="I5291" s="4" t="s">
        <v>13540</v>
      </c>
      <c r="J5291" s="4" t="s">
        <v>13541</v>
      </c>
      <c r="K5291" s="4" t="s">
        <v>13542</v>
      </c>
      <c r="L5291" s="4" t="s">
        <v>13543</v>
      </c>
      <c r="M5291" s="4" t="s">
        <v>13544</v>
      </c>
      <c r="N5291" s="4" t="s">
        <v>13545</v>
      </c>
      <c r="O5291" s="4" t="s">
        <v>13546</v>
      </c>
      <c r="P5291" s="4" t="s">
        <v>13547</v>
      </c>
      <c r="Q5291" s="4" t="s">
        <v>13548</v>
      </c>
      <c r="R5291" s="4" t="s">
        <v>13549</v>
      </c>
      <c r="S5291" s="4" t="s">
        <v>13550</v>
      </c>
      <c r="T5291" s="4" t="s">
        <v>13551</v>
      </c>
      <c r="U5291" s="4" t="s">
        <v>13552</v>
      </c>
      <c r="V5291" s="4" t="s">
        <v>13553</v>
      </c>
      <c r="W5291" s="4" t="s">
        <v>13540</v>
      </c>
      <c r="X5291" s="4" t="s">
        <v>13540</v>
      </c>
      <c r="Y5291" s="4" t="s">
        <v>13540</v>
      </c>
      <c r="Z5291" s="4" t="s">
        <v>13554</v>
      </c>
      <c r="AA5291" s="4" t="s">
        <v>13540</v>
      </c>
      <c r="AB5291" s="4" t="s">
        <v>13540</v>
      </c>
      <c r="AC5291" s="4" t="s">
        <v>13540</v>
      </c>
      <c r="AD5291" s="4" t="s">
        <v>13555</v>
      </c>
      <c r="AE5291" s="4" t="s">
        <v>13556</v>
      </c>
      <c r="AF5291" s="4" t="s">
        <v>13540</v>
      </c>
      <c r="AG5291" s="4" t="s">
        <v>8685</v>
      </c>
      <c r="AH5291" s="4" t="s">
        <v>8416</v>
      </c>
      <c r="AI5291" s="4" t="s">
        <v>13557</v>
      </c>
      <c r="AJ5291" s="4" t="s">
        <v>13528</v>
      </c>
      <c r="AK5291" s="4" t="s">
        <v>13558</v>
      </c>
      <c r="AL5291" s="4" t="s">
        <v>13559</v>
      </c>
      <c r="AM5291" s="4" t="s">
        <v>13541</v>
      </c>
      <c r="AN5291" s="4" t="s">
        <v>13560</v>
      </c>
      <c r="AO5291" s="4" t="s">
        <v>13561</v>
      </c>
      <c r="AP5291" s="4" t="s">
        <v>13539</v>
      </c>
      <c r="AQ5291" s="4" t="s">
        <v>13562</v>
      </c>
      <c r="AR5291" s="4" t="s">
        <v>13563</v>
      </c>
      <c r="AS5291" s="4" t="s">
        <v>13540</v>
      </c>
      <c r="AT5291" s="4" t="s">
        <v>13561</v>
      </c>
    </row>
    <row r="5292">
      <c r="A5292" s="4">
        <v>694.0</v>
      </c>
      <c r="B5292" s="4" t="s">
        <v>11578</v>
      </c>
      <c r="C5292" s="4"/>
      <c r="D5292" s="4" t="s">
        <v>3890</v>
      </c>
      <c r="E5292" s="4" t="s">
        <v>3891</v>
      </c>
      <c r="F5292" s="4" t="s">
        <v>3890</v>
      </c>
      <c r="G5292" s="5" t="str">
        <f>IFERROR(__xludf.DUMMYFUNCTION("GOOGLETRANSLATE(D5292,""fr"",""es"")"),"sala")</f>
        <v>sala</v>
      </c>
      <c r="H5292" s="4" t="s">
        <v>3909</v>
      </c>
      <c r="I5292" s="4" t="s">
        <v>3910</v>
      </c>
      <c r="J5292" s="4" t="s">
        <v>3911</v>
      </c>
      <c r="K5292" s="4" t="s">
        <v>3912</v>
      </c>
      <c r="L5292" s="4" t="s">
        <v>3913</v>
      </c>
    </row>
    <row r="5293">
      <c r="A5293" s="4">
        <v>695.0</v>
      </c>
      <c r="B5293" s="4" t="s">
        <v>11578</v>
      </c>
      <c r="C5293" s="4"/>
      <c r="D5293" s="4" t="s">
        <v>3902</v>
      </c>
      <c r="E5293" s="4" t="s">
        <v>3903</v>
      </c>
      <c r="F5293" s="4" t="s">
        <v>3902</v>
      </c>
      <c r="G5293" s="5" t="str">
        <f>IFERROR(__xludf.DUMMYFUNCTION("GOOGLETRANSLATE(D5293,""fr"",""es"")"),"salami")</f>
        <v>salami</v>
      </c>
      <c r="H5293" s="4" t="s">
        <v>3902</v>
      </c>
    </row>
    <row r="5294">
      <c r="A5294" s="4">
        <v>696.0</v>
      </c>
      <c r="B5294" s="4" t="s">
        <v>11578</v>
      </c>
      <c r="C5294" s="4"/>
      <c r="D5294" s="4" t="s">
        <v>13564</v>
      </c>
      <c r="E5294" s="4" t="s">
        <v>13565</v>
      </c>
      <c r="F5294" s="4" t="s">
        <v>3890</v>
      </c>
      <c r="G5294" s="5" t="str">
        <f>IFERROR(__xludf.DUMMYFUNCTION("GOOGLETRANSLATE(D5294,""fr"",""es"")"),"salas")</f>
        <v>salas</v>
      </c>
    </row>
    <row r="5295">
      <c r="A5295" s="4">
        <v>697.0</v>
      </c>
      <c r="B5295" s="4" t="s">
        <v>11578</v>
      </c>
      <c r="C5295" s="4"/>
      <c r="D5295" s="4" t="s">
        <v>13566</v>
      </c>
      <c r="E5295" s="4" t="s">
        <v>3883</v>
      </c>
      <c r="F5295" s="4" t="s">
        <v>3882</v>
      </c>
      <c r="G5295" s="5" t="str">
        <f>IFERROR(__xludf.DUMMYFUNCTION("GOOGLETRANSLATE(D5295,""fr"",""es"")"),"sucio")</f>
        <v>sucio</v>
      </c>
      <c r="H5295" s="4" t="s">
        <v>4047</v>
      </c>
      <c r="I5295" s="4" t="s">
        <v>4047</v>
      </c>
      <c r="J5295" s="4" t="s">
        <v>13567</v>
      </c>
      <c r="K5295" s="4" t="s">
        <v>13568</v>
      </c>
      <c r="L5295" s="4" t="s">
        <v>4047</v>
      </c>
      <c r="M5295" s="4" t="s">
        <v>4047</v>
      </c>
      <c r="N5295" s="4" t="s">
        <v>13569</v>
      </c>
      <c r="O5295" s="4" t="s">
        <v>4047</v>
      </c>
      <c r="P5295" s="4" t="s">
        <v>12641</v>
      </c>
      <c r="Q5295" s="4" t="s">
        <v>13570</v>
      </c>
      <c r="R5295" s="4" t="s">
        <v>4047</v>
      </c>
      <c r="S5295" s="4" t="s">
        <v>4241</v>
      </c>
      <c r="T5295" s="4" t="s">
        <v>13571</v>
      </c>
      <c r="U5295" s="4" t="s">
        <v>13572</v>
      </c>
      <c r="V5295" s="4" t="s">
        <v>4047</v>
      </c>
      <c r="W5295" s="4" t="s">
        <v>4047</v>
      </c>
      <c r="X5295" s="4" t="s">
        <v>13573</v>
      </c>
      <c r="Y5295" s="4" t="s">
        <v>4047</v>
      </c>
      <c r="Z5295" s="4" t="s">
        <v>4241</v>
      </c>
      <c r="AA5295" s="4" t="s">
        <v>13574</v>
      </c>
      <c r="AB5295" s="4" t="s">
        <v>4047</v>
      </c>
      <c r="AC5295" s="4" t="s">
        <v>13575</v>
      </c>
      <c r="AD5295" s="4" t="s">
        <v>6334</v>
      </c>
      <c r="AE5295" s="4" t="s">
        <v>4047</v>
      </c>
      <c r="AF5295" s="4" t="s">
        <v>13576</v>
      </c>
      <c r="AG5295" s="4" t="s">
        <v>13577</v>
      </c>
      <c r="AH5295" s="4" t="s">
        <v>13578</v>
      </c>
      <c r="AI5295" s="4" t="s">
        <v>4047</v>
      </c>
      <c r="AJ5295" s="4" t="s">
        <v>13579</v>
      </c>
    </row>
    <row r="5296">
      <c r="A5296" s="4">
        <v>698.0</v>
      </c>
      <c r="B5296" s="4" t="s">
        <v>11578</v>
      </c>
      <c r="C5296" s="4"/>
      <c r="D5296" s="4" t="s">
        <v>13580</v>
      </c>
      <c r="E5296" s="4" t="s">
        <v>13581</v>
      </c>
      <c r="F5296" s="4" t="s">
        <v>13582</v>
      </c>
      <c r="G5296" s="5" t="str">
        <f>IFERROR(__xludf.DUMMYFUNCTION("GOOGLETRANSLATE(D5296,""fr"",""es"")"),"salina")</f>
        <v>salina</v>
      </c>
    </row>
    <row r="5297">
      <c r="A5297" s="4">
        <v>699.0</v>
      </c>
      <c r="B5297" s="4" t="s">
        <v>11578</v>
      </c>
      <c r="C5297" s="4"/>
      <c r="D5297" s="4" t="s">
        <v>13583</v>
      </c>
      <c r="E5297" s="4" t="s">
        <v>3883</v>
      </c>
      <c r="F5297" s="4" t="s">
        <v>3882</v>
      </c>
      <c r="G5297" s="5" t="str">
        <f>IFERROR(__xludf.DUMMYFUNCTION("GOOGLETRANSLATE(D5297,""fr"",""es"")"),"Sala")</f>
        <v>Sala</v>
      </c>
      <c r="H5297" s="4" t="s">
        <v>13584</v>
      </c>
      <c r="I5297" s="4" t="s">
        <v>13585</v>
      </c>
      <c r="J5297" s="4" t="s">
        <v>11404</v>
      </c>
      <c r="K5297" s="4" t="s">
        <v>13586</v>
      </c>
      <c r="L5297" s="4" t="s">
        <v>13587</v>
      </c>
      <c r="M5297" s="4" t="s">
        <v>13588</v>
      </c>
      <c r="N5297" s="4" t="s">
        <v>13584</v>
      </c>
      <c r="O5297" s="4" t="s">
        <v>13589</v>
      </c>
      <c r="P5297" s="4" t="s">
        <v>13590</v>
      </c>
      <c r="Q5297" s="4" t="s">
        <v>3736</v>
      </c>
      <c r="R5297" s="4" t="s">
        <v>13584</v>
      </c>
      <c r="S5297" s="4" t="s">
        <v>13584</v>
      </c>
      <c r="T5297" s="4" t="s">
        <v>11094</v>
      </c>
      <c r="U5297" s="4" t="s">
        <v>11404</v>
      </c>
      <c r="V5297" s="4" t="s">
        <v>3736</v>
      </c>
      <c r="W5297" s="4" t="s">
        <v>3899</v>
      </c>
      <c r="X5297" s="4" t="s">
        <v>13584</v>
      </c>
      <c r="Y5297" s="4" t="s">
        <v>444</v>
      </c>
      <c r="Z5297" s="4" t="s">
        <v>445</v>
      </c>
      <c r="AA5297" s="4" t="s">
        <v>446</v>
      </c>
      <c r="AB5297" s="4" t="s">
        <v>447</v>
      </c>
      <c r="AC5297" s="4" t="s">
        <v>448</v>
      </c>
      <c r="AD5297" s="4" t="s">
        <v>449</v>
      </c>
      <c r="AE5297" s="4" t="s">
        <v>450</v>
      </c>
      <c r="AF5297" s="4" t="s">
        <v>11404</v>
      </c>
      <c r="AG5297" s="4" t="s">
        <v>13591</v>
      </c>
      <c r="AH5297" s="4" t="s">
        <v>13584</v>
      </c>
      <c r="AI5297" s="4" t="s">
        <v>444</v>
      </c>
      <c r="AJ5297" s="4" t="s">
        <v>11404</v>
      </c>
    </row>
    <row r="5298">
      <c r="A5298" s="4">
        <v>700.0</v>
      </c>
      <c r="B5298" s="4" t="s">
        <v>11578</v>
      </c>
      <c r="C5298" s="4"/>
      <c r="D5298" s="4" t="s">
        <v>3937</v>
      </c>
      <c r="E5298" s="4" t="s">
        <v>3938</v>
      </c>
      <c r="F5298" s="4" t="s">
        <v>3937</v>
      </c>
      <c r="G5298" s="5" t="str">
        <f>IFERROR(__xludf.DUMMYFUNCTION("GOOGLETRANSLATE(D5298,""fr"",""es"")"),"San")</f>
        <v>San</v>
      </c>
    </row>
    <row r="5299">
      <c r="A5299" s="4">
        <v>701.0</v>
      </c>
      <c r="B5299" s="4" t="s">
        <v>11578</v>
      </c>
      <c r="C5299" s="4"/>
      <c r="D5299" s="4" t="s">
        <v>13592</v>
      </c>
      <c r="E5299" s="4" t="s">
        <v>13593</v>
      </c>
      <c r="F5299" s="4" t="s">
        <v>13594</v>
      </c>
      <c r="G5299" s="5" t="str">
        <f>IFERROR(__xludf.DUMMYFUNCTION("GOOGLETRANSLATE(D5299,""fr"",""es"")"),"Sanie")</f>
        <v>Sanie</v>
      </c>
    </row>
    <row r="5300">
      <c r="A5300" s="4">
        <v>702.0</v>
      </c>
      <c r="B5300" s="4" t="s">
        <v>11578</v>
      </c>
      <c r="C5300" s="4"/>
      <c r="D5300" s="4" t="s">
        <v>13595</v>
      </c>
      <c r="E5300" s="4" t="s">
        <v>8716</v>
      </c>
      <c r="F5300" s="4" t="s">
        <v>8717</v>
      </c>
      <c r="G5300" s="5" t="str">
        <f>IFERROR(__xludf.DUMMYFUNCTION("GOOGLETRANSLATE(D5300,""fr"",""es"")"),"ebrio")</f>
        <v>ebrio</v>
      </c>
    </row>
    <row r="5301">
      <c r="A5301" s="4">
        <v>703.0</v>
      </c>
      <c r="B5301" s="4" t="s">
        <v>11578</v>
      </c>
      <c r="C5301" s="4"/>
      <c r="D5301" s="4" t="s">
        <v>13596</v>
      </c>
      <c r="E5301" s="4" t="s">
        <v>13597</v>
      </c>
      <c r="F5301" s="4" t="s">
        <v>13598</v>
      </c>
      <c r="G5301" s="5" t="str">
        <f>IFERROR(__xludf.DUMMYFUNCTION("GOOGLETRANSLATE(D5301,""fr"",""es"")"),"ebrio")</f>
        <v>ebrio</v>
      </c>
    </row>
    <row r="5302">
      <c r="A5302" s="4">
        <v>704.0</v>
      </c>
      <c r="B5302" s="4" t="s">
        <v>11578</v>
      </c>
      <c r="C5302" s="4"/>
      <c r="D5302" s="4" t="s">
        <v>11123</v>
      </c>
      <c r="E5302" s="4" t="s">
        <v>13599</v>
      </c>
      <c r="F5302" s="4" t="s">
        <v>11123</v>
      </c>
      <c r="G5302" s="5" t="str">
        <f>IFERROR(__xludf.DUMMYFUNCTION("GOOGLETRANSLATE(D5302,""fr"",""es"")"),"Sapa")</f>
        <v>Sapa</v>
      </c>
    </row>
    <row r="5303">
      <c r="A5303" s="4">
        <v>705.0</v>
      </c>
      <c r="B5303" s="4" t="s">
        <v>11578</v>
      </c>
      <c r="C5303" s="4"/>
      <c r="D5303" s="4" t="s">
        <v>13600</v>
      </c>
      <c r="E5303" s="4" t="s">
        <v>3952</v>
      </c>
      <c r="F5303" s="4" t="s">
        <v>3951</v>
      </c>
      <c r="G5303" s="5" t="str">
        <f>IFERROR(__xludf.DUMMYFUNCTION("GOOGLETRANSLATE(D5303,""fr"",""es"")"),"savia")</f>
        <v>savia</v>
      </c>
    </row>
    <row r="5304">
      <c r="A5304" s="4">
        <v>706.0</v>
      </c>
      <c r="B5304" s="4" t="s">
        <v>11578</v>
      </c>
      <c r="C5304" s="4"/>
      <c r="D5304" s="4" t="s">
        <v>13601</v>
      </c>
      <c r="E5304" s="4" t="s">
        <v>3952</v>
      </c>
      <c r="F5304" s="4" t="s">
        <v>3951</v>
      </c>
      <c r="G5304" s="5" t="str">
        <f>IFERROR(__xludf.DUMMYFUNCTION("GOOGLETRANSLATE(D5304,""fr"",""es"")"),"SAPS")</f>
        <v>SAPS</v>
      </c>
    </row>
    <row r="5305">
      <c r="A5305" s="4">
        <v>707.0</v>
      </c>
      <c r="B5305" s="4" t="s">
        <v>11578</v>
      </c>
      <c r="C5305" s="4"/>
      <c r="D5305" s="4" t="s">
        <v>7431</v>
      </c>
      <c r="E5305" s="4" t="s">
        <v>13602</v>
      </c>
      <c r="F5305" s="4" t="s">
        <v>7431</v>
      </c>
      <c r="G5305" s="5" t="str">
        <f>IFERROR(__xludf.DUMMYFUNCTION("GOOGLETRANSLATE(D5305,""fr"",""es"")"),"SAS")</f>
        <v>SAS</v>
      </c>
      <c r="H5305" s="4" t="s">
        <v>13603</v>
      </c>
      <c r="I5305" s="4" t="s">
        <v>13604</v>
      </c>
      <c r="J5305" s="4" t="s">
        <v>7432</v>
      </c>
      <c r="K5305" s="4" t="s">
        <v>7433</v>
      </c>
    </row>
    <row r="5306">
      <c r="A5306" s="4">
        <v>708.0</v>
      </c>
      <c r="B5306" s="4" t="s">
        <v>11578</v>
      </c>
      <c r="C5306" s="4"/>
      <c r="D5306" s="4" t="s">
        <v>7431</v>
      </c>
      <c r="E5306" s="4" t="s">
        <v>11059</v>
      </c>
      <c r="F5306" s="4" t="s">
        <v>3861</v>
      </c>
      <c r="G5306" s="5" t="str">
        <f>IFERROR(__xludf.DUMMYFUNCTION("GOOGLETRANSLATE(D5306,""fr"",""es"")"),"SAS")</f>
        <v>SAS</v>
      </c>
      <c r="H5306" s="4" t="s">
        <v>13603</v>
      </c>
      <c r="I5306" s="4" t="s">
        <v>13604</v>
      </c>
      <c r="J5306" s="4" t="s">
        <v>7432</v>
      </c>
      <c r="K5306" s="4" t="s">
        <v>7433</v>
      </c>
    </row>
    <row r="5307">
      <c r="A5307" s="4">
        <v>709.0</v>
      </c>
      <c r="B5307" s="4" t="s">
        <v>11578</v>
      </c>
      <c r="C5307" s="4"/>
      <c r="D5307" s="4" t="s">
        <v>7431</v>
      </c>
      <c r="E5307" s="4" t="s">
        <v>8711</v>
      </c>
      <c r="F5307" s="4" t="s">
        <v>7431</v>
      </c>
      <c r="G5307" s="5" t="str">
        <f>IFERROR(__xludf.DUMMYFUNCTION("GOOGLETRANSLATE(D5307,""fr"",""es"")"),"SAS")</f>
        <v>SAS</v>
      </c>
      <c r="H5307" s="4" t="s">
        <v>13603</v>
      </c>
      <c r="I5307" s="4" t="s">
        <v>13604</v>
      </c>
      <c r="J5307" s="4" t="s">
        <v>7432</v>
      </c>
      <c r="K5307" s="4" t="s">
        <v>7433</v>
      </c>
    </row>
    <row r="5308">
      <c r="A5308" s="4">
        <v>710.0</v>
      </c>
      <c r="B5308" s="4" t="s">
        <v>11578</v>
      </c>
      <c r="C5308" s="4"/>
      <c r="D5308" s="4" t="s">
        <v>13605</v>
      </c>
      <c r="E5308" s="4" t="s">
        <v>13606</v>
      </c>
      <c r="F5308" s="4" t="s">
        <v>13607</v>
      </c>
      <c r="G5308" s="5" t="str">
        <f>IFERROR(__xludf.DUMMYFUNCTION("GOOGLETRANSLATE(D5308,""fr"",""es"")"),"Sassa")</f>
        <v>Sassa</v>
      </c>
    </row>
    <row r="5309">
      <c r="A5309" s="4">
        <v>711.0</v>
      </c>
      <c r="B5309" s="4" t="s">
        <v>11578</v>
      </c>
      <c r="C5309" s="4"/>
      <c r="D5309" s="4" t="s">
        <v>13608</v>
      </c>
      <c r="E5309" s="4" t="s">
        <v>13609</v>
      </c>
      <c r="F5309" s="4" t="s">
        <v>13607</v>
      </c>
      <c r="G5309" s="5" t="str">
        <f>IFERROR(__xludf.DUMMYFUNCTION("GOOGLETRANSLATE(D5309,""fr"",""es"")"),"sassas")</f>
        <v>sassas</v>
      </c>
    </row>
    <row r="5310">
      <c r="A5310" s="4">
        <v>712.0</v>
      </c>
      <c r="B5310" s="4" t="s">
        <v>11578</v>
      </c>
      <c r="C5310" s="4"/>
      <c r="D5310" s="4" t="s">
        <v>13610</v>
      </c>
      <c r="E5310" s="4" t="s">
        <v>13611</v>
      </c>
      <c r="F5310" s="4" t="s">
        <v>13612</v>
      </c>
      <c r="G5310" s="5" t="str">
        <f>IFERROR(__xludf.DUMMYFUNCTION("GOOGLETRANSLATE(D5310,""fr"",""es"")"),"succión")</f>
        <v>succión</v>
      </c>
    </row>
    <row r="5311">
      <c r="A5311" s="4">
        <v>713.0</v>
      </c>
      <c r="B5311" s="4" t="s">
        <v>11578</v>
      </c>
      <c r="C5311" s="4"/>
      <c r="D5311" s="4" t="s">
        <v>13613</v>
      </c>
      <c r="E5311" s="4" t="s">
        <v>13611</v>
      </c>
      <c r="F5311" s="4" t="s">
        <v>13612</v>
      </c>
      <c r="G5311" s="5" t="str">
        <f>IFERROR(__xludf.DUMMYFUNCTION("GOOGLETRANSLATE(D5311,""fr"",""es"")"),"amamantar")</f>
        <v>amamantar</v>
      </c>
    </row>
    <row r="5312">
      <c r="A5312" s="4">
        <v>714.0</v>
      </c>
      <c r="B5312" s="4" t="s">
        <v>11578</v>
      </c>
      <c r="C5312" s="4"/>
      <c r="D5312" s="4" t="s">
        <v>13614</v>
      </c>
      <c r="E5312" s="4" t="s">
        <v>13611</v>
      </c>
      <c r="F5312" s="4" t="s">
        <v>13612</v>
      </c>
      <c r="G5312" s="5" t="str">
        <f>IFERROR(__xludf.DUMMYFUNCTION("GOOGLETRANSLATE(D5312,""fr"",""es"")"),"aperitivos")</f>
        <v>aperitivos</v>
      </c>
    </row>
    <row r="5313">
      <c r="A5313" s="4">
        <v>715.0</v>
      </c>
      <c r="B5313" s="4" t="s">
        <v>11578</v>
      </c>
      <c r="C5313" s="4"/>
      <c r="D5313" s="4" t="s">
        <v>7434</v>
      </c>
      <c r="E5313" s="4" t="s">
        <v>13602</v>
      </c>
      <c r="F5313" s="4" t="s">
        <v>7431</v>
      </c>
      <c r="G5313" s="5" t="str">
        <f>IFERROR(__xludf.DUMMYFUNCTION("GOOGLETRANSLATE(D5313,""fr"",""es"")"),"sasse")</f>
        <v>sasse</v>
      </c>
    </row>
    <row r="5314">
      <c r="A5314" s="4">
        <v>716.0</v>
      </c>
      <c r="B5314" s="4" t="s">
        <v>11578</v>
      </c>
      <c r="C5314" s="4"/>
      <c r="D5314" s="4" t="s">
        <v>13615</v>
      </c>
      <c r="E5314" s="4" t="s">
        <v>13602</v>
      </c>
      <c r="F5314" s="4" t="s">
        <v>7431</v>
      </c>
      <c r="G5314" s="5" t="str">
        <f>IFERROR(__xludf.DUMMYFUNCTION("GOOGLETRANSLATE(D5314,""fr"",""es"")"),"pileta")</f>
        <v>pileta</v>
      </c>
    </row>
    <row r="5315">
      <c r="A5315" s="4">
        <v>717.0</v>
      </c>
      <c r="B5315" s="4" t="s">
        <v>11578</v>
      </c>
      <c r="C5315" s="4"/>
      <c r="D5315" s="4" t="s">
        <v>13616</v>
      </c>
      <c r="E5315" s="4" t="s">
        <v>13602</v>
      </c>
      <c r="F5315" s="4" t="s">
        <v>7431</v>
      </c>
      <c r="G5315" s="5" t="str">
        <f>IFERROR(__xludf.DUMMYFUNCTION("GOOGLETRANSLATE(D5315,""fr"",""es"")"),"santia")</f>
        <v>santia</v>
      </c>
    </row>
    <row r="5316">
      <c r="A5316" s="4">
        <v>718.0</v>
      </c>
      <c r="B5316" s="4" t="s">
        <v>11578</v>
      </c>
      <c r="C5316" s="4"/>
      <c r="D5316" s="4" t="s">
        <v>13617</v>
      </c>
      <c r="E5316" s="4" t="s">
        <v>13618</v>
      </c>
      <c r="F5316" s="4" t="s">
        <v>13619</v>
      </c>
      <c r="G5316" s="5" t="str">
        <f>IFERROR(__xludf.DUMMYFUNCTION("GOOGLETRANSLATE(D5316,""fr"",""es"")"),"hablar con descaro a")</f>
        <v>hablar con descaro a</v>
      </c>
    </row>
    <row r="5317">
      <c r="A5317" s="4">
        <v>719.0</v>
      </c>
      <c r="B5317" s="4" t="s">
        <v>11578</v>
      </c>
      <c r="C5317" s="4"/>
      <c r="D5317" s="4" t="s">
        <v>13620</v>
      </c>
      <c r="E5317" s="4" t="s">
        <v>13609</v>
      </c>
      <c r="F5317" s="4" t="s">
        <v>13607</v>
      </c>
      <c r="G5317" s="5" t="str">
        <f>IFERROR(__xludf.DUMMYFUNCTION("GOOGLETRANSLATE(D5317,""fr"",""es"")"),"sassât")</f>
        <v>sassât</v>
      </c>
    </row>
    <row r="5318">
      <c r="A5318" s="4">
        <v>720.0</v>
      </c>
      <c r="B5318" s="4" t="s">
        <v>11578</v>
      </c>
      <c r="C5318" s="4"/>
      <c r="D5318" s="4" t="s">
        <v>13621</v>
      </c>
      <c r="E5318" s="4" t="s">
        <v>4671</v>
      </c>
      <c r="F5318" s="4" t="s">
        <v>4672</v>
      </c>
      <c r="G5318" s="5" t="str">
        <f>IFERROR(__xludf.DUMMYFUNCTION("GOOGLETRANSLATE(D5318,""fr"",""es"")"),"silla")</f>
        <v>silla</v>
      </c>
      <c r="H5318" s="4" t="s">
        <v>4673</v>
      </c>
      <c r="I5318" s="4" t="s">
        <v>4674</v>
      </c>
    </row>
    <row r="5319">
      <c r="A5319" s="4">
        <v>721.0</v>
      </c>
      <c r="B5319" s="4" t="s">
        <v>11578</v>
      </c>
      <c r="C5319" s="4"/>
      <c r="D5319" s="4" t="s">
        <v>7446</v>
      </c>
      <c r="E5319" s="4" t="s">
        <v>12135</v>
      </c>
      <c r="F5319" s="4" t="s">
        <v>7448</v>
      </c>
      <c r="G5319" s="5" t="str">
        <f>IFERROR(__xludf.DUMMYFUNCTION("GOOGLETRANSLATE(D5319,""fr"",""es"")"),"Recta")</f>
        <v>Recta</v>
      </c>
    </row>
    <row r="5320">
      <c r="A5320" s="4">
        <v>722.0</v>
      </c>
      <c r="B5320" s="4" t="s">
        <v>11578</v>
      </c>
      <c r="C5320" s="4"/>
      <c r="D5320" s="4" t="s">
        <v>13622</v>
      </c>
      <c r="E5320" s="4" t="s">
        <v>400</v>
      </c>
      <c r="F5320" s="4" t="s">
        <v>401</v>
      </c>
      <c r="G5320" s="5" t="str">
        <f>IFERROR(__xludf.DUMMYFUNCTION("GOOGLETRANSLATE(D5320,""fr"",""es"")"),"sierra")</f>
        <v>sierra</v>
      </c>
      <c r="H5320" s="4" t="s">
        <v>13623</v>
      </c>
      <c r="I5320" s="4" t="s">
        <v>13624</v>
      </c>
      <c r="J5320" s="4" t="s">
        <v>13625</v>
      </c>
      <c r="K5320" s="4" t="s">
        <v>13626</v>
      </c>
      <c r="L5320" s="4" t="s">
        <v>13627</v>
      </c>
      <c r="M5320" s="4" t="s">
        <v>11067</v>
      </c>
      <c r="N5320" s="4" t="s">
        <v>13628</v>
      </c>
      <c r="O5320" s="4" t="s">
        <v>11067</v>
      </c>
      <c r="P5320" s="4" t="s">
        <v>13629</v>
      </c>
      <c r="Q5320" s="4" t="s">
        <v>13630</v>
      </c>
      <c r="R5320" s="4" t="s">
        <v>11067</v>
      </c>
      <c r="S5320" s="4" t="s">
        <v>13631</v>
      </c>
    </row>
    <row r="5321">
      <c r="A5321" s="4">
        <v>723.0</v>
      </c>
      <c r="B5321" s="4" t="s">
        <v>11578</v>
      </c>
      <c r="C5321" s="4"/>
      <c r="D5321" s="4" t="s">
        <v>13632</v>
      </c>
      <c r="E5321" s="4" t="s">
        <v>12157</v>
      </c>
      <c r="F5321" s="4" t="s">
        <v>7587</v>
      </c>
      <c r="G5321" s="5" t="str">
        <f>IFERROR(__xludf.DUMMYFUNCTION("GOOGLETRANSLATE(D5321,""fr"",""es"")"),"afilador")</f>
        <v>afilador</v>
      </c>
      <c r="H5321" s="4" t="s">
        <v>13633</v>
      </c>
      <c r="I5321" s="4" t="s">
        <v>13634</v>
      </c>
      <c r="J5321" s="4" t="s">
        <v>13635</v>
      </c>
      <c r="K5321" s="4" t="s">
        <v>13636</v>
      </c>
      <c r="L5321" s="4" t="s">
        <v>13634</v>
      </c>
      <c r="M5321" s="4" t="s">
        <v>13637</v>
      </c>
      <c r="N5321" s="4" t="s">
        <v>13634</v>
      </c>
    </row>
    <row r="5322">
      <c r="A5322" s="4">
        <v>724.0</v>
      </c>
      <c r="B5322" s="4" t="s">
        <v>11578</v>
      </c>
      <c r="C5322" s="4"/>
      <c r="D5322" s="4" t="s">
        <v>13638</v>
      </c>
      <c r="E5322" s="4" t="s">
        <v>4671</v>
      </c>
      <c r="F5322" s="4" t="s">
        <v>4672</v>
      </c>
      <c r="G5322" s="5" t="str">
        <f>IFERROR(__xludf.DUMMYFUNCTION("GOOGLETRANSLATE(D5322,""fr"",""es"")"),"cha")</f>
        <v>cha</v>
      </c>
      <c r="H5322" s="4" t="s">
        <v>4673</v>
      </c>
      <c r="I5322" s="4" t="s">
        <v>4674</v>
      </c>
    </row>
    <row r="5323">
      <c r="A5323" s="4">
        <v>725.0</v>
      </c>
      <c r="B5323" s="4" t="s">
        <v>11578</v>
      </c>
      <c r="C5323" s="4"/>
      <c r="D5323" s="4" t="s">
        <v>401</v>
      </c>
      <c r="E5323" s="4" t="s">
        <v>400</v>
      </c>
      <c r="F5323" s="4" t="s">
        <v>401</v>
      </c>
      <c r="G5323" s="5" t="str">
        <f>IFERROR(__xludf.DUMMYFUNCTION("GOOGLETRANSLATE(D5323,""fr"",""es"")"),"si")</f>
        <v>si</v>
      </c>
      <c r="H5323" s="4" t="s">
        <v>8791</v>
      </c>
      <c r="I5323" s="4" t="s">
        <v>4215</v>
      </c>
      <c r="J5323" s="4" t="s">
        <v>7528</v>
      </c>
      <c r="K5323" s="4" t="s">
        <v>7529</v>
      </c>
      <c r="L5323" s="4" t="s">
        <v>7530</v>
      </c>
      <c r="M5323" s="4" t="s">
        <v>7531</v>
      </c>
      <c r="N5323" s="4" t="s">
        <v>7532</v>
      </c>
      <c r="O5323" s="4" t="s">
        <v>7533</v>
      </c>
      <c r="P5323" s="4" t="s">
        <v>7534</v>
      </c>
      <c r="Q5323" s="4" t="s">
        <v>3976</v>
      </c>
      <c r="R5323" s="4" t="s">
        <v>3977</v>
      </c>
      <c r="S5323" s="4" t="s">
        <v>3978</v>
      </c>
    </row>
    <row r="5324">
      <c r="A5324" s="4">
        <v>726.0</v>
      </c>
      <c r="B5324" s="4" t="s">
        <v>11578</v>
      </c>
      <c r="C5324" s="4"/>
      <c r="D5324" s="4" t="s">
        <v>7536</v>
      </c>
      <c r="E5324" s="4" t="s">
        <v>13639</v>
      </c>
      <c r="F5324" s="4" t="s">
        <v>7538</v>
      </c>
      <c r="G5324" s="5" t="str">
        <f>IFERROR(__xludf.DUMMYFUNCTION("GOOGLETRANSLATE(D5324,""fr"",""es"")"),"sic")</f>
        <v>sic</v>
      </c>
      <c r="H5324" s="4" t="s">
        <v>7536</v>
      </c>
    </row>
    <row r="5325">
      <c r="A5325" s="4">
        <v>727.0</v>
      </c>
      <c r="B5325" s="4" t="s">
        <v>11578</v>
      </c>
      <c r="C5325" s="4"/>
      <c r="D5325" s="4" t="s">
        <v>13640</v>
      </c>
      <c r="E5325" s="4" t="s">
        <v>13641</v>
      </c>
      <c r="F5325" s="4" t="s">
        <v>13642</v>
      </c>
      <c r="G5325" s="5" t="str">
        <f>IFERROR(__xludf.DUMMYFUNCTION("GOOGLETRANSLATE(D5325,""fr"",""es"")"),"Sicilia")</f>
        <v>Sicilia</v>
      </c>
      <c r="H5325" s="4" t="s">
        <v>13643</v>
      </c>
      <c r="I5325" s="4" t="s">
        <v>13644</v>
      </c>
      <c r="J5325" s="4" t="s">
        <v>13643</v>
      </c>
      <c r="K5325" s="4" t="s">
        <v>13644</v>
      </c>
    </row>
    <row r="5326">
      <c r="A5326" s="4">
        <v>728.0</v>
      </c>
      <c r="B5326" s="4" t="s">
        <v>11578</v>
      </c>
      <c r="C5326" s="4"/>
      <c r="D5326" s="4" t="s">
        <v>13645</v>
      </c>
      <c r="E5326" s="4" t="s">
        <v>13646</v>
      </c>
      <c r="F5326" s="4" t="s">
        <v>13647</v>
      </c>
      <c r="G5326" s="5" t="str">
        <f>IFERROR(__xludf.DUMMYFUNCTION("GOOGLETRANSLATE(D5326,""fr"",""es"")"),"señal")</f>
        <v>señal</v>
      </c>
      <c r="H5326" s="4" t="s">
        <v>13648</v>
      </c>
      <c r="I5326" s="4" t="s">
        <v>13645</v>
      </c>
      <c r="J5326" s="4" t="s">
        <v>13649</v>
      </c>
      <c r="K5326" s="4" t="s">
        <v>13650</v>
      </c>
      <c r="L5326" s="4" t="s">
        <v>13645</v>
      </c>
      <c r="M5326" s="4" t="s">
        <v>5323</v>
      </c>
      <c r="N5326" s="4" t="s">
        <v>13645</v>
      </c>
      <c r="O5326" s="4" t="s">
        <v>13651</v>
      </c>
      <c r="P5326" s="4" t="s">
        <v>13648</v>
      </c>
      <c r="Q5326" s="4" t="s">
        <v>13648</v>
      </c>
      <c r="R5326" s="4" t="s">
        <v>13645</v>
      </c>
      <c r="S5326" s="4" t="s">
        <v>13645</v>
      </c>
    </row>
    <row r="5327">
      <c r="A5327" s="4">
        <v>729.0</v>
      </c>
      <c r="B5327" s="4" t="s">
        <v>11578</v>
      </c>
      <c r="C5327" s="4"/>
      <c r="D5327" s="4" t="s">
        <v>13652</v>
      </c>
      <c r="E5327" s="4" t="s">
        <v>12269</v>
      </c>
      <c r="F5327" s="4" t="s">
        <v>12270</v>
      </c>
      <c r="G5327" s="5" t="str">
        <f>IFERROR(__xludf.DUMMYFUNCTION("GOOGLETRANSLATE(D5327,""fr"",""es"")"),"signo")</f>
        <v>signo</v>
      </c>
      <c r="H5327" s="4" t="s">
        <v>13648</v>
      </c>
      <c r="I5327" s="4" t="s">
        <v>3008</v>
      </c>
      <c r="J5327" s="4" t="s">
        <v>13645</v>
      </c>
      <c r="K5327" s="4" t="s">
        <v>13651</v>
      </c>
      <c r="L5327" s="4" t="s">
        <v>13648</v>
      </c>
      <c r="M5327" s="4" t="s">
        <v>13648</v>
      </c>
      <c r="N5327" s="4" t="s">
        <v>3008</v>
      </c>
      <c r="O5327" s="4" t="s">
        <v>13648</v>
      </c>
      <c r="P5327" s="4" t="s">
        <v>13648</v>
      </c>
      <c r="Q5327" s="4" t="s">
        <v>13653</v>
      </c>
      <c r="R5327" s="4" t="s">
        <v>13654</v>
      </c>
      <c r="S5327" s="4" t="s">
        <v>13648</v>
      </c>
      <c r="T5327" s="4" t="s">
        <v>13655</v>
      </c>
      <c r="U5327" s="4" t="s">
        <v>2130</v>
      </c>
      <c r="V5327" s="4" t="s">
        <v>13656</v>
      </c>
      <c r="W5327" s="4" t="s">
        <v>13645</v>
      </c>
      <c r="X5327" s="4" t="s">
        <v>13657</v>
      </c>
      <c r="Y5327" s="4" t="s">
        <v>13648</v>
      </c>
      <c r="Z5327" s="4" t="s">
        <v>13648</v>
      </c>
    </row>
    <row r="5328">
      <c r="A5328" s="4">
        <v>730.0</v>
      </c>
      <c r="B5328" s="4" t="s">
        <v>11578</v>
      </c>
      <c r="C5328" s="4"/>
      <c r="D5328" s="4" t="s">
        <v>13658</v>
      </c>
      <c r="E5328" s="4" t="s">
        <v>12269</v>
      </c>
      <c r="F5328" s="4" t="s">
        <v>12270</v>
      </c>
      <c r="G5328" s="5" t="str">
        <f>IFERROR(__xludf.DUMMYFUNCTION("GOOGLETRANSLATE(D5328,""fr"",""es"")"),"señal")</f>
        <v>señal</v>
      </c>
    </row>
    <row r="5329">
      <c r="A5329" s="4">
        <v>731.0</v>
      </c>
      <c r="B5329" s="4" t="s">
        <v>11578</v>
      </c>
      <c r="C5329" s="4"/>
      <c r="D5329" s="4" t="s">
        <v>13659</v>
      </c>
      <c r="E5329" s="4" t="s">
        <v>12269</v>
      </c>
      <c r="F5329" s="4" t="s">
        <v>12270</v>
      </c>
      <c r="G5329" s="5" t="str">
        <f>IFERROR(__xludf.DUMMYFUNCTION("GOOGLETRANSLATE(D5329,""fr"",""es"")"),"señales")</f>
        <v>señales</v>
      </c>
    </row>
    <row r="5330">
      <c r="A5330" s="4">
        <v>732.0</v>
      </c>
      <c r="B5330" s="4" t="s">
        <v>11578</v>
      </c>
      <c r="C5330" s="4"/>
      <c r="D5330" s="4" t="s">
        <v>13660</v>
      </c>
      <c r="E5330" s="4" t="s">
        <v>13639</v>
      </c>
      <c r="F5330" s="4" t="s">
        <v>7538</v>
      </c>
      <c r="G5330" s="5" t="str">
        <f>IFERROR(__xludf.DUMMYFUNCTION("GOOGLETRANSLATE(D5330,""fr"",""es"")"),"sikhe")</f>
        <v>sikhe</v>
      </c>
    </row>
    <row r="5331">
      <c r="A5331" s="4">
        <v>733.0</v>
      </c>
      <c r="B5331" s="4" t="s">
        <v>11578</v>
      </c>
      <c r="C5331" s="4"/>
      <c r="D5331" s="4" t="s">
        <v>13661</v>
      </c>
      <c r="E5331" s="4" t="s">
        <v>13662</v>
      </c>
      <c r="F5331" s="4" t="s">
        <v>13663</v>
      </c>
      <c r="G5331" s="5" t="str">
        <f>IFERROR(__xludf.DUMMYFUNCTION("GOOGLETRANSLATE(D5331,""fr"",""es"")"),"sílice")</f>
        <v>sílice</v>
      </c>
      <c r="H5331" s="4" t="s">
        <v>13664</v>
      </c>
      <c r="I5331" s="4" t="s">
        <v>13665</v>
      </c>
      <c r="J5331" s="4" t="s">
        <v>13666</v>
      </c>
    </row>
    <row r="5332">
      <c r="A5332" s="4">
        <v>734.0</v>
      </c>
      <c r="B5332" s="4" t="s">
        <v>11578</v>
      </c>
      <c r="C5332" s="4"/>
      <c r="D5332" s="4" t="s">
        <v>7581</v>
      </c>
      <c r="E5332" s="4" t="s">
        <v>13667</v>
      </c>
      <c r="F5332" s="4" t="s">
        <v>7583</v>
      </c>
      <c r="G5332" s="5" t="str">
        <f>IFERROR(__xludf.DUMMYFUNCTION("GOOGLETRANSLATE(D5332,""fr"",""es"")"),"silico")</f>
        <v>silico</v>
      </c>
      <c r="H5332" s="4" t="s">
        <v>7581</v>
      </c>
      <c r="I5332" s="4" t="s">
        <v>7584</v>
      </c>
    </row>
    <row r="5333">
      <c r="A5333" s="4">
        <v>735.0</v>
      </c>
      <c r="B5333" s="4" t="s">
        <v>11578</v>
      </c>
      <c r="C5333" s="4"/>
      <c r="D5333" s="4" t="s">
        <v>13668</v>
      </c>
      <c r="E5333" s="4" t="s">
        <v>13669</v>
      </c>
      <c r="F5333" s="4" t="s">
        <v>13670</v>
      </c>
      <c r="G5333" s="5" t="str">
        <f>IFERROR(__xludf.DUMMYFUNCTION("GOOGLETRANSLATE(D5333,""fr"",""es"")"),"simún")</f>
        <v>simún</v>
      </c>
      <c r="H5333" s="4" t="s">
        <v>13671</v>
      </c>
      <c r="I5333" s="4" t="s">
        <v>13672</v>
      </c>
      <c r="J5333" s="4" t="s">
        <v>13673</v>
      </c>
    </row>
    <row r="5334">
      <c r="A5334" s="4">
        <v>736.0</v>
      </c>
      <c r="B5334" s="4" t="s">
        <v>11578</v>
      </c>
      <c r="C5334" s="4"/>
      <c r="D5334" s="4" t="s">
        <v>4004</v>
      </c>
      <c r="E5334" s="4" t="s">
        <v>400</v>
      </c>
      <c r="F5334" s="4" t="s">
        <v>401</v>
      </c>
      <c r="G5334" s="5" t="str">
        <f>IFERROR(__xludf.DUMMYFUNCTION("GOOGLETRANSLATE(D5334,""fr"",""es"")"),"hermana")</f>
        <v>hermana</v>
      </c>
      <c r="H5334" s="4" t="s">
        <v>13674</v>
      </c>
      <c r="I5334" s="4" t="s">
        <v>13675</v>
      </c>
      <c r="J5334" s="4" t="s">
        <v>7539</v>
      </c>
      <c r="K5334" s="4" t="s">
        <v>13676</v>
      </c>
      <c r="L5334" s="4" t="s">
        <v>2285</v>
      </c>
      <c r="M5334" s="4" t="s">
        <v>4004</v>
      </c>
    </row>
    <row r="5335">
      <c r="A5335" s="4">
        <v>737.0</v>
      </c>
      <c r="B5335" s="4" t="s">
        <v>11578</v>
      </c>
      <c r="C5335" s="4"/>
      <c r="D5335" s="4" t="s">
        <v>4006</v>
      </c>
      <c r="E5335" s="4" t="s">
        <v>400</v>
      </c>
      <c r="F5335" s="4" t="s">
        <v>401</v>
      </c>
      <c r="G5335" s="5" t="str">
        <f>IFERROR(__xludf.DUMMYFUNCTION("GOOGLETRANSLATE(D5335,""fr"",""es"")"),"seis")</f>
        <v>seis</v>
      </c>
      <c r="H5335" s="4" t="s">
        <v>4006</v>
      </c>
      <c r="I5335" s="4">
        <v>6.0</v>
      </c>
      <c r="J5335" s="4" t="s">
        <v>4007</v>
      </c>
      <c r="K5335" s="4" t="s">
        <v>4008</v>
      </c>
      <c r="L5335" s="4" t="s">
        <v>4009</v>
      </c>
      <c r="M5335" s="4" t="s">
        <v>4006</v>
      </c>
      <c r="N5335" s="4">
        <v>6.0</v>
      </c>
      <c r="O5335" s="4" t="s">
        <v>4010</v>
      </c>
      <c r="P5335" s="4" t="s">
        <v>4011</v>
      </c>
      <c r="Q5335" s="4" t="s">
        <v>4012</v>
      </c>
      <c r="R5335" s="4" t="s">
        <v>4013</v>
      </c>
      <c r="S5335" s="4" t="s">
        <v>4014</v>
      </c>
      <c r="T5335" s="4" t="s">
        <v>4015</v>
      </c>
      <c r="U5335" s="4" t="s">
        <v>4016</v>
      </c>
      <c r="V5335" s="4" t="s">
        <v>4017</v>
      </c>
      <c r="W5335" s="4" t="s">
        <v>4018</v>
      </c>
    </row>
    <row r="5336">
      <c r="A5336" s="4">
        <v>738.0</v>
      </c>
      <c r="B5336" s="4" t="s">
        <v>11578</v>
      </c>
      <c r="C5336" s="4"/>
      <c r="D5336" s="4" t="s">
        <v>4006</v>
      </c>
      <c r="E5336" s="4" t="s">
        <v>4005</v>
      </c>
      <c r="F5336" s="4" t="s">
        <v>4004</v>
      </c>
      <c r="G5336" s="5" t="str">
        <f>IFERROR(__xludf.DUMMYFUNCTION("GOOGLETRANSLATE(D5336,""fr"",""es"")"),"seis")</f>
        <v>seis</v>
      </c>
      <c r="H5336" s="4" t="s">
        <v>4006</v>
      </c>
      <c r="I5336" s="4">
        <v>6.0</v>
      </c>
      <c r="J5336" s="4" t="s">
        <v>4007</v>
      </c>
      <c r="K5336" s="4" t="s">
        <v>4008</v>
      </c>
      <c r="L5336" s="4" t="s">
        <v>4009</v>
      </c>
      <c r="M5336" s="4" t="s">
        <v>4006</v>
      </c>
      <c r="N5336" s="4">
        <v>6.0</v>
      </c>
      <c r="O5336" s="4" t="s">
        <v>4010</v>
      </c>
      <c r="P5336" s="4" t="s">
        <v>4011</v>
      </c>
      <c r="Q5336" s="4" t="s">
        <v>4012</v>
      </c>
      <c r="R5336" s="4" t="s">
        <v>4013</v>
      </c>
      <c r="S5336" s="4" t="s">
        <v>4014</v>
      </c>
      <c r="T5336" s="4" t="s">
        <v>4015</v>
      </c>
      <c r="U5336" s="4" t="s">
        <v>4016</v>
      </c>
      <c r="V5336" s="4" t="s">
        <v>4017</v>
      </c>
      <c r="W5336" s="4" t="s">
        <v>4018</v>
      </c>
    </row>
    <row r="5337">
      <c r="A5337" s="4">
        <v>739.0</v>
      </c>
      <c r="B5337" s="4" t="s">
        <v>11578</v>
      </c>
      <c r="C5337" s="4"/>
      <c r="D5337" s="4" t="s">
        <v>8785</v>
      </c>
      <c r="E5337" s="4" t="s">
        <v>8716</v>
      </c>
      <c r="F5337" s="4" t="s">
        <v>8717</v>
      </c>
      <c r="G5337" s="5" t="str">
        <f>IFERROR(__xludf.DUMMYFUNCTION("GOOGLETRANSLATE(D5337,""fr"",""es"")"),"suelo")</f>
        <v>suelo</v>
      </c>
      <c r="H5337" s="4" t="s">
        <v>3578</v>
      </c>
      <c r="I5337" s="4" t="s">
        <v>13677</v>
      </c>
      <c r="J5337" s="4" t="s">
        <v>13678</v>
      </c>
      <c r="K5337" s="4" t="s">
        <v>13679</v>
      </c>
      <c r="L5337" s="4" t="s">
        <v>8785</v>
      </c>
      <c r="M5337" s="4" t="s">
        <v>8790</v>
      </c>
      <c r="N5337" s="4" t="s">
        <v>8791</v>
      </c>
      <c r="O5337" s="4" t="s">
        <v>11397</v>
      </c>
      <c r="P5337" s="4" t="s">
        <v>13680</v>
      </c>
      <c r="Q5337" s="4" t="s">
        <v>13679</v>
      </c>
      <c r="R5337" s="4" t="s">
        <v>13678</v>
      </c>
      <c r="S5337" s="4" t="s">
        <v>13681</v>
      </c>
      <c r="T5337" s="4" t="s">
        <v>13682</v>
      </c>
      <c r="U5337" s="4" t="s">
        <v>11397</v>
      </c>
      <c r="V5337" s="4" t="s">
        <v>13678</v>
      </c>
      <c r="W5337" s="4" t="s">
        <v>4048</v>
      </c>
      <c r="X5337" s="4" t="s">
        <v>8785</v>
      </c>
      <c r="Y5337" s="4" t="s">
        <v>8787</v>
      </c>
      <c r="Z5337" s="4" t="s">
        <v>8788</v>
      </c>
      <c r="AA5337" s="4" t="s">
        <v>13679</v>
      </c>
      <c r="AB5337" s="4" t="s">
        <v>13678</v>
      </c>
      <c r="AC5337" s="4" t="s">
        <v>13679</v>
      </c>
      <c r="AD5337" s="4" t="s">
        <v>4048</v>
      </c>
      <c r="AE5337" s="4" t="s">
        <v>13683</v>
      </c>
    </row>
    <row r="5338">
      <c r="A5338" s="4">
        <v>740.0</v>
      </c>
      <c r="B5338" s="4" t="s">
        <v>11578</v>
      </c>
      <c r="C5338" s="4"/>
      <c r="D5338" s="4" t="s">
        <v>13684</v>
      </c>
      <c r="E5338" s="4" t="s">
        <v>8716</v>
      </c>
      <c r="F5338" s="4" t="s">
        <v>8717</v>
      </c>
      <c r="G5338" s="5" t="str">
        <f>IFERROR(__xludf.DUMMYFUNCTION("GOOGLETRANSLATE(D5338,""fr"",""es"")"),"sopa")</f>
        <v>sopa</v>
      </c>
      <c r="H5338" s="4" t="s">
        <v>13685</v>
      </c>
    </row>
    <row r="5339">
      <c r="A5339" s="4">
        <v>741.0</v>
      </c>
      <c r="B5339" s="4" t="s">
        <v>11578</v>
      </c>
      <c r="C5339" s="4"/>
      <c r="D5339" s="4" t="s">
        <v>13686</v>
      </c>
      <c r="E5339" s="4" t="s">
        <v>13687</v>
      </c>
      <c r="F5339" s="4" t="s">
        <v>13688</v>
      </c>
      <c r="G5339" s="5" t="str">
        <f>IFERROR(__xludf.DUMMYFUNCTION("GOOGLETRANSLATE(D5339,""fr"",""es"")"),"tocón")</f>
        <v>tocón</v>
      </c>
      <c r="H5339" s="4" t="s">
        <v>13689</v>
      </c>
      <c r="I5339" s="4" t="s">
        <v>13690</v>
      </c>
      <c r="J5339" s="4" t="s">
        <v>13691</v>
      </c>
      <c r="K5339" s="4" t="s">
        <v>13692</v>
      </c>
      <c r="L5339" s="4" t="s">
        <v>1044</v>
      </c>
      <c r="M5339" s="4" t="s">
        <v>1187</v>
      </c>
      <c r="N5339" s="4" t="s">
        <v>13693</v>
      </c>
    </row>
    <row r="5340">
      <c r="A5340" s="4">
        <v>742.0</v>
      </c>
      <c r="B5340" s="4" t="s">
        <v>11578</v>
      </c>
      <c r="C5340" s="4"/>
      <c r="D5340" s="4" t="s">
        <v>13694</v>
      </c>
      <c r="E5340" s="4" t="s">
        <v>11295</v>
      </c>
      <c r="F5340" s="4" t="s">
        <v>11294</v>
      </c>
      <c r="G5340" s="5" t="str">
        <f>IFERROR(__xludf.DUMMYFUNCTION("GOOGLETRANSLATE(D5340,""fr"",""es"")"),"preocuparse")</f>
        <v>preocuparse</v>
      </c>
      <c r="H5340" s="4" t="s">
        <v>795</v>
      </c>
      <c r="I5340" s="4" t="s">
        <v>1649</v>
      </c>
      <c r="J5340" s="4" t="s">
        <v>13695</v>
      </c>
      <c r="K5340" s="4" t="s">
        <v>795</v>
      </c>
      <c r="L5340" s="4" t="s">
        <v>13696</v>
      </c>
      <c r="M5340" s="4" t="s">
        <v>13697</v>
      </c>
      <c r="N5340" s="4" t="s">
        <v>13698</v>
      </c>
      <c r="O5340" s="4" t="s">
        <v>795</v>
      </c>
      <c r="P5340" s="4" t="s">
        <v>12767</v>
      </c>
      <c r="Q5340" s="4" t="s">
        <v>13699</v>
      </c>
      <c r="R5340" s="4" t="s">
        <v>13700</v>
      </c>
      <c r="S5340" s="4" t="s">
        <v>13701</v>
      </c>
      <c r="T5340" s="4" t="s">
        <v>13702</v>
      </c>
      <c r="U5340" s="4" t="s">
        <v>13703</v>
      </c>
    </row>
    <row r="5341">
      <c r="A5341" s="4">
        <v>743.0</v>
      </c>
      <c r="B5341" s="4" t="s">
        <v>11578</v>
      </c>
      <c r="C5341" s="4"/>
      <c r="D5341" s="4" t="s">
        <v>13704</v>
      </c>
      <c r="E5341" s="4" t="s">
        <v>4222</v>
      </c>
      <c r="F5341" s="4" t="s">
        <v>4223</v>
      </c>
      <c r="G5341" s="5" t="str">
        <f>IFERROR(__xludf.DUMMYFUNCTION("GOOGLETRANSLATE(D5341,""fr"",""es"")"),"platillo")</f>
        <v>platillo</v>
      </c>
      <c r="H5341" s="4" t="s">
        <v>13705</v>
      </c>
      <c r="I5341" s="4" t="s">
        <v>13706</v>
      </c>
      <c r="J5341" s="4" t="s">
        <v>10723</v>
      </c>
      <c r="K5341" s="4" t="s">
        <v>13707</v>
      </c>
      <c r="L5341" s="4" t="s">
        <v>13708</v>
      </c>
      <c r="M5341" s="4" t="s">
        <v>13706</v>
      </c>
      <c r="N5341" s="4" t="s">
        <v>13706</v>
      </c>
      <c r="O5341" s="4" t="s">
        <v>13709</v>
      </c>
      <c r="P5341" s="4" t="s">
        <v>13710</v>
      </c>
      <c r="Q5341" s="4" t="s">
        <v>13706</v>
      </c>
    </row>
    <row r="5342">
      <c r="A5342" s="4">
        <v>744.0</v>
      </c>
      <c r="B5342" s="4" t="s">
        <v>11578</v>
      </c>
      <c r="C5342" s="4"/>
      <c r="D5342" s="4" t="s">
        <v>13711</v>
      </c>
      <c r="E5342" s="4" t="s">
        <v>13712</v>
      </c>
      <c r="F5342" s="4" t="s">
        <v>13713</v>
      </c>
      <c r="G5342" s="5" t="str">
        <f>IFERROR(__xludf.DUMMYFUNCTION("GOOGLETRANSLATE(D5342,""fr"",""es"")"),"desfiladero")</f>
        <v>desfiladero</v>
      </c>
    </row>
    <row r="5343">
      <c r="A5343" s="4">
        <v>745.0</v>
      </c>
      <c r="B5343" s="4" t="s">
        <v>11578</v>
      </c>
      <c r="C5343" s="4"/>
      <c r="D5343" s="4" t="s">
        <v>13714</v>
      </c>
      <c r="E5343" s="4" t="s">
        <v>4109</v>
      </c>
      <c r="F5343" s="4" t="s">
        <v>415</v>
      </c>
      <c r="G5343" s="5" t="str">
        <f>IFERROR(__xludf.DUMMYFUNCTION("GOOGLETRANSLATE(D5343,""fr"",""es"")"),"alero")</f>
        <v>alero</v>
      </c>
    </row>
    <row r="5344">
      <c r="A5344" s="4">
        <v>746.0</v>
      </c>
      <c r="B5344" s="4" t="s">
        <v>11578</v>
      </c>
      <c r="C5344" s="4"/>
      <c r="D5344" s="4" t="s">
        <v>13715</v>
      </c>
      <c r="E5344" s="4" t="s">
        <v>13716</v>
      </c>
      <c r="F5344" s="4" t="s">
        <v>13717</v>
      </c>
      <c r="G5344" s="5" t="str">
        <f>IFERROR(__xludf.DUMMYFUNCTION("GOOGLETRANSLATE(D5344,""fr"",""es"")"),"alma")</f>
        <v>alma</v>
      </c>
    </row>
    <row r="5345">
      <c r="A5345" s="4">
        <v>747.0</v>
      </c>
      <c r="B5345" s="4" t="s">
        <v>11578</v>
      </c>
      <c r="C5345" s="4"/>
      <c r="D5345" s="4" t="s">
        <v>1850</v>
      </c>
      <c r="E5345" s="4" t="s">
        <v>8716</v>
      </c>
      <c r="F5345" s="4" t="s">
        <v>8717</v>
      </c>
      <c r="G5345" s="5" t="str">
        <f>IFERROR(__xludf.DUMMYFUNCTION("GOOGLETRANSLATE(D5345,""fr"",""es"")"),"ebrio")</f>
        <v>ebrio</v>
      </c>
    </row>
    <row r="5346">
      <c r="A5346" s="4">
        <v>748.0</v>
      </c>
      <c r="B5346" s="4" t="s">
        <v>11578</v>
      </c>
      <c r="C5346" s="4"/>
      <c r="D5346" s="4" t="s">
        <v>1850</v>
      </c>
      <c r="E5346" s="4" t="s">
        <v>13597</v>
      </c>
      <c r="F5346" s="4" t="s">
        <v>13598</v>
      </c>
      <c r="G5346" s="5" t="str">
        <f>IFERROR(__xludf.DUMMYFUNCTION("GOOGLETRANSLATE(D5346,""fr"",""es"")"),"ebrio")</f>
        <v>ebrio</v>
      </c>
    </row>
    <row r="5347">
      <c r="A5347" s="4">
        <v>749.0</v>
      </c>
      <c r="B5347" s="4" t="s">
        <v>11578</v>
      </c>
      <c r="C5347" s="4"/>
      <c r="D5347" s="4" t="s">
        <v>13718</v>
      </c>
      <c r="E5347" s="4" t="s">
        <v>13719</v>
      </c>
      <c r="F5347" s="4" t="s">
        <v>13720</v>
      </c>
      <c r="G5347" s="5" t="str">
        <f>IFERROR(__xludf.DUMMYFUNCTION("GOOGLETRANSLATE(D5347,""fr"",""es"")"),"presentada")</f>
        <v>presentada</v>
      </c>
    </row>
    <row r="5348">
      <c r="A5348" s="4">
        <v>750.0</v>
      </c>
      <c r="B5348" s="4" t="s">
        <v>11578</v>
      </c>
      <c r="C5348" s="4"/>
      <c r="D5348" s="4" t="s">
        <v>13721</v>
      </c>
      <c r="E5348" s="4" t="s">
        <v>4097</v>
      </c>
      <c r="F5348" s="4" t="s">
        <v>4098</v>
      </c>
      <c r="G5348" s="5" t="str">
        <f>IFERROR(__xludf.DUMMYFUNCTION("GOOGLETRANSLATE(D5348,""fr"",""es"")"),"Sopa")</f>
        <v>Sopa</v>
      </c>
    </row>
    <row r="5349">
      <c r="A5349" s="4">
        <v>751.0</v>
      </c>
      <c r="B5349" s="4" t="s">
        <v>11578</v>
      </c>
      <c r="C5349" s="4"/>
      <c r="D5349" s="4" t="s">
        <v>13722</v>
      </c>
      <c r="E5349" s="4" t="s">
        <v>13723</v>
      </c>
      <c r="F5349" s="4" t="s">
        <v>13724</v>
      </c>
      <c r="G5349" s="5" t="str">
        <f>IFERROR(__xludf.DUMMYFUNCTION("GOOGLETRANSLATE(D5349,""fr"",""es"")"),"válvula")</f>
        <v>válvula</v>
      </c>
      <c r="H5349" s="4" t="s">
        <v>13725</v>
      </c>
      <c r="I5349" s="4" t="s">
        <v>13726</v>
      </c>
      <c r="J5349" s="4" t="s">
        <v>13727</v>
      </c>
      <c r="K5349" s="4" t="s">
        <v>13727</v>
      </c>
      <c r="L5349" s="4" t="s">
        <v>13727</v>
      </c>
    </row>
    <row r="5350">
      <c r="A5350" s="4">
        <v>752.0</v>
      </c>
      <c r="B5350" s="4" t="s">
        <v>11578</v>
      </c>
      <c r="C5350" s="4"/>
      <c r="D5350" s="4" t="s">
        <v>13728</v>
      </c>
      <c r="E5350" s="4" t="s">
        <v>13723</v>
      </c>
      <c r="F5350" s="4" t="s">
        <v>13724</v>
      </c>
      <c r="G5350" s="5" t="str">
        <f>IFERROR(__xludf.DUMMYFUNCTION("GOOGLETRANSLATE(D5350,""fr"",""es"")"),"válvulas")</f>
        <v>válvulas</v>
      </c>
    </row>
    <row r="5351">
      <c r="A5351" s="4">
        <v>753.0</v>
      </c>
      <c r="B5351" s="4" t="s">
        <v>11578</v>
      </c>
      <c r="C5351" s="4"/>
      <c r="D5351" s="4" t="s">
        <v>13729</v>
      </c>
      <c r="E5351" s="4" t="s">
        <v>13730</v>
      </c>
      <c r="F5351" s="4" t="s">
        <v>4098</v>
      </c>
      <c r="G5351" s="5" t="str">
        <f>IFERROR(__xludf.DUMMYFUNCTION("GOOGLETRANSLATE(D5351,""fr"",""es"")"),"Subsey")</f>
        <v>Subsey</v>
      </c>
    </row>
    <row r="5352">
      <c r="A5352" s="4">
        <v>754.0</v>
      </c>
      <c r="B5352" s="4" t="s">
        <v>11578</v>
      </c>
      <c r="C5352" s="4"/>
      <c r="D5352" s="4" t="s">
        <v>13731</v>
      </c>
      <c r="E5352" s="4" t="s">
        <v>13732</v>
      </c>
      <c r="F5352" s="4" t="s">
        <v>13733</v>
      </c>
      <c r="G5352" s="5" t="str">
        <f>IFERROR(__xludf.DUMMYFUNCTION("GOOGLETRANSLATE(D5352,""fr"",""es"")"),"válvula")</f>
        <v>válvula</v>
      </c>
    </row>
    <row r="5353">
      <c r="A5353" s="4">
        <v>755.0</v>
      </c>
      <c r="B5353" s="4" t="s">
        <v>11578</v>
      </c>
      <c r="C5353" s="4"/>
      <c r="D5353" s="4" t="s">
        <v>13734</v>
      </c>
      <c r="E5353" s="4" t="s">
        <v>13732</v>
      </c>
      <c r="F5353" s="4" t="s">
        <v>13733</v>
      </c>
      <c r="G5353" s="5" t="str">
        <f>IFERROR(__xludf.DUMMYFUNCTION("GOOGLETRANSLATE(D5353,""fr"",""es"")"),"Bajo flujo")</f>
        <v>Bajo flujo</v>
      </c>
    </row>
    <row r="5354">
      <c r="A5354" s="4">
        <v>756.0</v>
      </c>
      <c r="B5354" s="4" t="s">
        <v>11578</v>
      </c>
      <c r="C5354" s="4"/>
      <c r="D5354" s="4" t="s">
        <v>13735</v>
      </c>
      <c r="E5354" s="4" t="s">
        <v>13732</v>
      </c>
      <c r="F5354" s="4" t="s">
        <v>13733</v>
      </c>
      <c r="G5354" s="5" t="str">
        <f>IFERROR(__xludf.DUMMYFUNCTION("GOOGLETRANSLATE(D5354,""fr"",""es"")"),"válvula")</f>
        <v>válvula</v>
      </c>
    </row>
    <row r="5355">
      <c r="A5355" s="4">
        <v>757.0</v>
      </c>
      <c r="B5355" s="4" t="s">
        <v>11578</v>
      </c>
      <c r="C5355" s="4"/>
      <c r="D5355" s="4" t="s">
        <v>13736</v>
      </c>
      <c r="E5355" s="4" t="s">
        <v>8793</v>
      </c>
      <c r="F5355" s="4" t="s">
        <v>8794</v>
      </c>
      <c r="G5355" s="5" t="str">
        <f>IFERROR(__xludf.DUMMYFUNCTION("GOOGLETRANSLATE(D5355,""fr"",""es"")"),"sopa")</f>
        <v>sopa</v>
      </c>
      <c r="H5355" s="4" t="s">
        <v>8792</v>
      </c>
      <c r="I5355" s="4" t="s">
        <v>8792</v>
      </c>
      <c r="J5355" s="4" t="s">
        <v>8792</v>
      </c>
      <c r="K5355" s="4" t="s">
        <v>8792</v>
      </c>
    </row>
    <row r="5356">
      <c r="A5356" s="4">
        <v>758.0</v>
      </c>
      <c r="B5356" s="4" t="s">
        <v>11578</v>
      </c>
      <c r="C5356" s="4"/>
      <c r="D5356" s="4" t="s">
        <v>13737</v>
      </c>
      <c r="E5356" s="4" t="s">
        <v>8793</v>
      </c>
      <c r="F5356" s="4" t="s">
        <v>8794</v>
      </c>
      <c r="G5356" s="5" t="str">
        <f>IFERROR(__xludf.DUMMYFUNCTION("GOOGLETRANSLATE(D5356,""fr"",""es"")"),"sopa")</f>
        <v>sopa</v>
      </c>
    </row>
    <row r="5357">
      <c r="A5357" s="4">
        <v>759.0</v>
      </c>
      <c r="B5357" s="4" t="s">
        <v>11578</v>
      </c>
      <c r="C5357" s="4"/>
      <c r="D5357" s="4" t="s">
        <v>13738</v>
      </c>
      <c r="E5357" s="4" t="s">
        <v>13739</v>
      </c>
      <c r="F5357" s="4" t="s">
        <v>13740</v>
      </c>
      <c r="G5357" s="5" t="str">
        <f>IFERROR(__xludf.DUMMYFUNCTION("GOOGLETRANSLATE(D5357,""fr"",""es"")"),"sopa")</f>
        <v>sopa</v>
      </c>
    </row>
    <row r="5358">
      <c r="A5358" s="4">
        <v>760.0</v>
      </c>
      <c r="B5358" s="4" t="s">
        <v>11578</v>
      </c>
      <c r="C5358" s="4"/>
      <c r="D5358" s="4" t="s">
        <v>13741</v>
      </c>
      <c r="E5358" s="4" t="s">
        <v>13730</v>
      </c>
      <c r="F5358" s="4" t="s">
        <v>4098</v>
      </c>
      <c r="G5358" s="5" t="str">
        <f>IFERROR(__xludf.DUMMYFUNCTION("GOOGLETRANSLATE(D5358,""fr"",""es"")"),"sopa")</f>
        <v>sopa</v>
      </c>
    </row>
    <row r="5359">
      <c r="A5359" s="4">
        <v>761.0</v>
      </c>
      <c r="B5359" s="4" t="s">
        <v>11578</v>
      </c>
      <c r="C5359" s="4"/>
      <c r="D5359" s="4" t="s">
        <v>13742</v>
      </c>
      <c r="E5359" s="4" t="s">
        <v>8716</v>
      </c>
      <c r="F5359" s="4" t="s">
        <v>8717</v>
      </c>
      <c r="G5359" s="5" t="str">
        <f>IFERROR(__xludf.DUMMYFUNCTION("GOOGLETRANSLATE(D5359,""fr"",""es"")"),"por debajo")</f>
        <v>por debajo</v>
      </c>
    </row>
    <row r="5360">
      <c r="A5360" s="4">
        <v>762.0</v>
      </c>
      <c r="B5360" s="4" t="s">
        <v>11578</v>
      </c>
      <c r="C5360" s="4"/>
      <c r="D5360" s="4" t="s">
        <v>13743</v>
      </c>
      <c r="E5360" s="4" t="s">
        <v>13744</v>
      </c>
      <c r="F5360" s="4" t="s">
        <v>13745</v>
      </c>
      <c r="G5360" s="5" t="str">
        <f>IFERROR(__xludf.DUMMYFUNCTION("GOOGLETRANSLATE(D5360,""fr"",""es"")"),"sotana")</f>
        <v>sotana</v>
      </c>
      <c r="H5360" s="4" t="s">
        <v>13746</v>
      </c>
      <c r="I5360" s="4" t="s">
        <v>13743</v>
      </c>
    </row>
    <row r="5361">
      <c r="A5361" s="4">
        <v>763.0</v>
      </c>
      <c r="B5361" s="4" t="s">
        <v>11578</v>
      </c>
      <c r="C5361" s="4"/>
      <c r="D5361" s="4" t="s">
        <v>13747</v>
      </c>
      <c r="E5361" s="4" t="s">
        <v>8716</v>
      </c>
      <c r="F5361" s="4" t="s">
        <v>8717</v>
      </c>
      <c r="G5361" s="5" t="str">
        <f>IFERROR(__xludf.DUMMYFUNCTION("GOOGLETRANSLATE(D5361,""fr"",""es"")"),"ebrio")</f>
        <v>ebrio</v>
      </c>
    </row>
    <row r="5362">
      <c r="A5362" s="4">
        <v>764.0</v>
      </c>
      <c r="B5362" s="4" t="s">
        <v>11578</v>
      </c>
      <c r="C5362" s="4"/>
      <c r="D5362" s="4" t="s">
        <v>13748</v>
      </c>
      <c r="E5362" s="4" t="s">
        <v>13749</v>
      </c>
      <c r="F5362" s="4" t="s">
        <v>7596</v>
      </c>
      <c r="G5362" s="5" t="str">
        <f>IFERROR(__xludf.DUMMYFUNCTION("GOOGLETRANSLATE(D5362,""fr"",""es"")"),"Syli")</f>
        <v>Syli</v>
      </c>
    </row>
    <row r="5363">
      <c r="A5363" s="4">
        <v>765.0</v>
      </c>
      <c r="B5363" s="4" t="s">
        <v>11578</v>
      </c>
      <c r="C5363" s="4"/>
      <c r="D5363" s="4" t="s">
        <v>11522</v>
      </c>
      <c r="E5363" s="4" t="s">
        <v>13750</v>
      </c>
      <c r="F5363" s="4" t="s">
        <v>11522</v>
      </c>
      <c r="G5363" s="5" t="str">
        <f>IFERROR(__xludf.DUMMYFUNCTION("GOOGLETRANSLATE(D5363,""fr"",""es"")"),"su")</f>
        <v>su</v>
      </c>
      <c r="H5363" s="4" t="s">
        <v>7774</v>
      </c>
      <c r="I5363" s="4" t="s">
        <v>7775</v>
      </c>
      <c r="J5363" s="4" t="s">
        <v>7776</v>
      </c>
      <c r="K5363" s="4" t="s">
        <v>7774</v>
      </c>
      <c r="L5363" s="4" t="s">
        <v>7775</v>
      </c>
      <c r="M5363" s="4" t="s">
        <v>7776</v>
      </c>
    </row>
    <row r="5364">
      <c r="A5364" s="4">
        <v>766.0</v>
      </c>
      <c r="B5364" s="4" t="s">
        <v>11578</v>
      </c>
      <c r="C5364" s="4"/>
      <c r="D5364" s="4" t="s">
        <v>7662</v>
      </c>
      <c r="E5364" s="4" t="s">
        <v>4857</v>
      </c>
      <c r="F5364" s="4" t="s">
        <v>4856</v>
      </c>
      <c r="G5364" s="5" t="str">
        <f>IFERROR(__xludf.DUMMYFUNCTION("GOOGLETRANSLATE(D5364,""fr"",""es"")"),"TAC")</f>
        <v>TAC</v>
      </c>
    </row>
    <row r="5365">
      <c r="A5365" s="4">
        <v>767.0</v>
      </c>
      <c r="B5365" s="4" t="s">
        <v>11578</v>
      </c>
      <c r="C5365" s="4"/>
      <c r="D5365" s="4" t="s">
        <v>8796</v>
      </c>
      <c r="E5365" s="4" t="s">
        <v>13751</v>
      </c>
      <c r="F5365" s="4" t="s">
        <v>8798</v>
      </c>
      <c r="G5365" s="5" t="str">
        <f>IFERROR(__xludf.DUMMYFUNCTION("GOOGLETRANSLATE(D5365,""fr"",""es"")"),"Mancha")</f>
        <v>Mancha</v>
      </c>
      <c r="H5365" s="4" t="s">
        <v>2865</v>
      </c>
      <c r="I5365" s="4" t="s">
        <v>2866</v>
      </c>
      <c r="J5365" s="4" t="s">
        <v>2867</v>
      </c>
      <c r="K5365" s="4" t="s">
        <v>2298</v>
      </c>
      <c r="L5365" s="4" t="s">
        <v>2868</v>
      </c>
      <c r="M5365" s="4" t="s">
        <v>13752</v>
      </c>
      <c r="N5365" s="4" t="s">
        <v>13753</v>
      </c>
      <c r="O5365" s="4" t="s">
        <v>2298</v>
      </c>
      <c r="P5365" s="4" t="s">
        <v>2605</v>
      </c>
      <c r="Q5365" s="4" t="s">
        <v>4246</v>
      </c>
      <c r="R5365" s="4" t="s">
        <v>2865</v>
      </c>
      <c r="S5365" s="4" t="s">
        <v>2298</v>
      </c>
      <c r="T5365" s="4" t="s">
        <v>4227</v>
      </c>
      <c r="U5365" s="4" t="s">
        <v>4228</v>
      </c>
      <c r="V5365" s="4" t="s">
        <v>4229</v>
      </c>
      <c r="W5365" s="4" t="s">
        <v>2605</v>
      </c>
      <c r="X5365" s="4" t="s">
        <v>4230</v>
      </c>
      <c r="Y5365" s="4" t="s">
        <v>4275</v>
      </c>
      <c r="Z5365" s="4" t="s">
        <v>4082</v>
      </c>
      <c r="AA5365" s="4" t="s">
        <v>4276</v>
      </c>
      <c r="AB5365" s="4" t="s">
        <v>4277</v>
      </c>
      <c r="AC5365" s="4" t="s">
        <v>4231</v>
      </c>
      <c r="AD5365" s="4" t="s">
        <v>2298</v>
      </c>
      <c r="AE5365" s="4" t="s">
        <v>2865</v>
      </c>
      <c r="AF5365" s="4" t="s">
        <v>4232</v>
      </c>
      <c r="AG5365" s="4" t="s">
        <v>2866</v>
      </c>
      <c r="AH5365" s="4" t="s">
        <v>2867</v>
      </c>
      <c r="AI5365" s="4" t="s">
        <v>4233</v>
      </c>
      <c r="AJ5365" s="4" t="s">
        <v>13754</v>
      </c>
      <c r="AK5365" s="4" t="s">
        <v>13755</v>
      </c>
      <c r="AL5365" s="4" t="s">
        <v>13756</v>
      </c>
      <c r="AM5365" s="4" t="s">
        <v>13757</v>
      </c>
      <c r="AN5365" s="4" t="s">
        <v>4237</v>
      </c>
      <c r="AO5365" s="4" t="s">
        <v>3008</v>
      </c>
      <c r="AP5365" s="4" t="s">
        <v>4234</v>
      </c>
      <c r="AQ5365" s="4" t="s">
        <v>4235</v>
      </c>
      <c r="AR5365" s="4" t="s">
        <v>2868</v>
      </c>
      <c r="AS5365" s="4" t="s">
        <v>13758</v>
      </c>
      <c r="AT5365" s="4" t="s">
        <v>4056</v>
      </c>
      <c r="AU5365" s="4" t="s">
        <v>13683</v>
      </c>
      <c r="AV5365" s="4" t="s">
        <v>10300</v>
      </c>
      <c r="AW5365" s="4" t="s">
        <v>4050</v>
      </c>
      <c r="AX5365" s="4" t="s">
        <v>4048</v>
      </c>
      <c r="AY5365" s="4" t="s">
        <v>2868</v>
      </c>
      <c r="AZ5365" s="4" t="s">
        <v>13759</v>
      </c>
      <c r="BA5365" s="4" t="s">
        <v>13760</v>
      </c>
      <c r="BB5365" s="4" t="s">
        <v>2868</v>
      </c>
    </row>
    <row r="5366">
      <c r="A5366" s="4">
        <v>768.0</v>
      </c>
      <c r="B5366" s="4" t="s">
        <v>11578</v>
      </c>
      <c r="C5366" s="4"/>
      <c r="D5366" s="4" t="s">
        <v>13761</v>
      </c>
      <c r="E5366" s="4" t="s">
        <v>13762</v>
      </c>
      <c r="F5366" s="4" t="s">
        <v>13763</v>
      </c>
      <c r="G5366" s="5" t="str">
        <f>IFERROR(__xludf.DUMMYFUNCTION("GOOGLETRANSLATE(D5366,""fr"",""es"")"),"tachina")</f>
        <v>tachina</v>
      </c>
    </row>
    <row r="5367">
      <c r="A5367" s="4">
        <v>769.0</v>
      </c>
      <c r="B5367" s="4" t="s">
        <v>11578</v>
      </c>
      <c r="C5367" s="4"/>
      <c r="D5367" s="4" t="s">
        <v>13764</v>
      </c>
      <c r="E5367" s="4" t="s">
        <v>13765</v>
      </c>
      <c r="F5367" s="4" t="s">
        <v>13766</v>
      </c>
      <c r="G5367" s="5" t="str">
        <f>IFERROR(__xludf.DUMMYFUNCTION("GOOGLETRANSLATE(D5367,""fr"",""es"")"),"tamaño")</f>
        <v>tamaño</v>
      </c>
      <c r="H5367" s="4" t="s">
        <v>1044</v>
      </c>
      <c r="I5367" s="4" t="s">
        <v>13767</v>
      </c>
      <c r="J5367" s="4" t="s">
        <v>13768</v>
      </c>
      <c r="K5367" s="4" t="s">
        <v>1409</v>
      </c>
      <c r="L5367" s="4" t="s">
        <v>13769</v>
      </c>
      <c r="M5367" s="4" t="s">
        <v>13769</v>
      </c>
      <c r="N5367" s="4" t="s">
        <v>13769</v>
      </c>
      <c r="O5367" s="4" t="s">
        <v>13770</v>
      </c>
      <c r="P5367" s="4" t="s">
        <v>13771</v>
      </c>
      <c r="Q5367" s="4" t="s">
        <v>13772</v>
      </c>
      <c r="R5367" s="4" t="s">
        <v>13767</v>
      </c>
      <c r="S5367" s="4" t="s">
        <v>13773</v>
      </c>
      <c r="T5367" s="4" t="s">
        <v>13769</v>
      </c>
      <c r="U5367" s="4" t="s">
        <v>13774</v>
      </c>
    </row>
    <row r="5368">
      <c r="A5368" s="4">
        <v>770.0</v>
      </c>
      <c r="B5368" s="4" t="s">
        <v>11578</v>
      </c>
      <c r="C5368" s="4"/>
      <c r="D5368" s="4" t="s">
        <v>13775</v>
      </c>
      <c r="E5368" s="4" t="s">
        <v>13776</v>
      </c>
      <c r="F5368" s="4" t="s">
        <v>13777</v>
      </c>
      <c r="G5368" s="5" t="str">
        <f>IFERROR(__xludf.DUMMYFUNCTION("GOOGLETRANSLATE(D5368,""fr"",""es"")"),"rayo")</f>
        <v>rayo</v>
      </c>
      <c r="H5368" s="4" t="s">
        <v>11298</v>
      </c>
      <c r="I5368" s="4" t="s">
        <v>12826</v>
      </c>
      <c r="J5368" s="4" t="s">
        <v>12827</v>
      </c>
      <c r="K5368" s="4" t="s">
        <v>12828</v>
      </c>
      <c r="L5368" s="4" t="s">
        <v>12829</v>
      </c>
    </row>
    <row r="5369">
      <c r="A5369" s="4">
        <v>771.0</v>
      </c>
      <c r="B5369" s="4" t="s">
        <v>11578</v>
      </c>
      <c r="C5369" s="4"/>
      <c r="D5369" s="4" t="s">
        <v>11141</v>
      </c>
      <c r="E5369" s="4" t="s">
        <v>4252</v>
      </c>
      <c r="F5369" s="4" t="s">
        <v>4251</v>
      </c>
      <c r="G5369" s="5" t="str">
        <f>IFERROR(__xludf.DUMMYFUNCTION("GOOGLETRANSLATE(D5369,""fr"",""es"")"),"cuento")</f>
        <v>cuento</v>
      </c>
    </row>
    <row r="5370">
      <c r="A5370" s="4">
        <v>772.0</v>
      </c>
      <c r="B5370" s="4" t="s">
        <v>11578</v>
      </c>
      <c r="C5370" s="4"/>
      <c r="D5370" s="4" t="s">
        <v>7707</v>
      </c>
      <c r="E5370" s="4" t="s">
        <v>13778</v>
      </c>
      <c r="F5370" s="4" t="s">
        <v>7709</v>
      </c>
      <c r="G5370" s="5" t="str">
        <f>IFERROR(__xludf.DUMMYFUNCTION("GOOGLETRANSLATE(D5370,""fr"",""es"")"),"tallinn")</f>
        <v>tallinn</v>
      </c>
      <c r="H5370" s="4" t="s">
        <v>7710</v>
      </c>
      <c r="I5370" s="4" t="s">
        <v>7711</v>
      </c>
      <c r="J5370" s="4" t="s">
        <v>7712</v>
      </c>
    </row>
    <row r="5371">
      <c r="A5371" s="4">
        <v>773.0</v>
      </c>
      <c r="B5371" s="4" t="s">
        <v>11578</v>
      </c>
      <c r="C5371" s="4"/>
      <c r="D5371" s="4" t="s">
        <v>13779</v>
      </c>
      <c r="E5371" s="4" t="s">
        <v>7733</v>
      </c>
      <c r="F5371" s="4" t="s">
        <v>7734</v>
      </c>
      <c r="G5371" s="5" t="str">
        <f>IFERROR(__xludf.DUMMYFUNCTION("GOOGLETRANSLATE(D5371,""fr"",""es"")"),"tamiz")</f>
        <v>tamiz</v>
      </c>
      <c r="H5371" s="4" t="s">
        <v>13780</v>
      </c>
      <c r="I5371" s="4" t="s">
        <v>13781</v>
      </c>
      <c r="J5371" s="4" t="s">
        <v>13781</v>
      </c>
      <c r="K5371" s="4" t="s">
        <v>13780</v>
      </c>
      <c r="L5371" s="4" t="s">
        <v>13692</v>
      </c>
      <c r="M5371" s="4" t="s">
        <v>13780</v>
      </c>
      <c r="N5371" s="4" t="s">
        <v>13781</v>
      </c>
      <c r="O5371" s="4" t="s">
        <v>11801</v>
      </c>
      <c r="P5371" s="4" t="s">
        <v>13782</v>
      </c>
      <c r="Q5371" s="4" t="s">
        <v>13780</v>
      </c>
      <c r="R5371" s="4" t="s">
        <v>4414</v>
      </c>
      <c r="S5371" s="4" t="s">
        <v>13780</v>
      </c>
      <c r="T5371" s="4" t="s">
        <v>11801</v>
      </c>
    </row>
    <row r="5372">
      <c r="A5372" s="4">
        <v>774.0</v>
      </c>
      <c r="B5372" s="4" t="s">
        <v>11578</v>
      </c>
      <c r="C5372" s="4"/>
      <c r="D5372" s="4" t="s">
        <v>13783</v>
      </c>
      <c r="E5372" s="4" t="s">
        <v>13784</v>
      </c>
      <c r="F5372" s="4" t="s">
        <v>13785</v>
      </c>
      <c r="G5372" s="5" t="str">
        <f>IFERROR(__xludf.DUMMYFUNCTION("GOOGLETRANSLATE(D5372,""fr"",""es"")"),"Tamil")</f>
        <v>Tamil</v>
      </c>
      <c r="H5372" s="4" t="s">
        <v>7731</v>
      </c>
      <c r="I5372" s="4" t="s">
        <v>7731</v>
      </c>
      <c r="J5372" s="4" t="s">
        <v>7731</v>
      </c>
      <c r="K5372" s="4" t="s">
        <v>7731</v>
      </c>
    </row>
    <row r="5373">
      <c r="A5373" s="4">
        <v>775.0</v>
      </c>
      <c r="B5373" s="4" t="s">
        <v>11578</v>
      </c>
      <c r="C5373" s="4"/>
      <c r="D5373" s="4" t="s">
        <v>13786</v>
      </c>
      <c r="E5373" s="4" t="s">
        <v>13787</v>
      </c>
      <c r="F5373" s="4" t="s">
        <v>13786</v>
      </c>
      <c r="G5373" s="5" t="str">
        <f>IFERROR(__xludf.DUMMYFUNCTION("GOOGLETRANSLATE(D5373,""fr"",""es"")"),"tana")</f>
        <v>tana</v>
      </c>
    </row>
    <row r="5374">
      <c r="A5374" s="4">
        <v>776.0</v>
      </c>
      <c r="B5374" s="4" t="s">
        <v>11578</v>
      </c>
      <c r="C5374" s="4"/>
      <c r="D5374" s="4" t="s">
        <v>13788</v>
      </c>
      <c r="E5374" s="4" t="s">
        <v>13787</v>
      </c>
      <c r="F5374" s="4" t="s">
        <v>13786</v>
      </c>
      <c r="G5374" s="5" t="str">
        <f>IFERROR(__xludf.DUMMYFUNCTION("GOOGLETRANSLATE(D5374,""fr"",""es"")"),"tanna")</f>
        <v>tanna</v>
      </c>
    </row>
    <row r="5375">
      <c r="A5375" s="4">
        <v>777.0</v>
      </c>
      <c r="B5375" s="4" t="s">
        <v>11578</v>
      </c>
      <c r="C5375" s="4"/>
      <c r="D5375" s="4" t="s">
        <v>13789</v>
      </c>
      <c r="E5375" s="4" t="s">
        <v>13790</v>
      </c>
      <c r="F5375" s="4" t="s">
        <v>13786</v>
      </c>
      <c r="G5375" s="5" t="str">
        <f>IFERROR(__xludf.DUMMYFUNCTION("GOOGLETRANSLATE(D5375,""fr"",""es"")"),"Tannas")</f>
        <v>Tannas</v>
      </c>
    </row>
    <row r="5376">
      <c r="A5376" s="4">
        <v>778.0</v>
      </c>
      <c r="B5376" s="4" t="s">
        <v>11578</v>
      </c>
      <c r="C5376" s="4"/>
      <c r="D5376" s="4" t="s">
        <v>13791</v>
      </c>
      <c r="E5376" s="4" t="s">
        <v>13792</v>
      </c>
      <c r="F5376" s="4" t="s">
        <v>13793</v>
      </c>
      <c r="G5376" s="5" t="str">
        <f>IFERROR(__xludf.DUMMYFUNCTION("GOOGLETRANSLATE(D5376,""fr"",""es"")"),"Tannasse")</f>
        <v>Tannasse</v>
      </c>
    </row>
    <row r="5377">
      <c r="A5377" s="4">
        <v>779.0</v>
      </c>
      <c r="B5377" s="4" t="s">
        <v>11578</v>
      </c>
      <c r="C5377" s="4"/>
      <c r="D5377" s="4" t="s">
        <v>13794</v>
      </c>
      <c r="E5377" s="4" t="s">
        <v>13792</v>
      </c>
      <c r="F5377" s="4" t="s">
        <v>13793</v>
      </c>
      <c r="G5377" s="5" t="str">
        <f>IFERROR(__xludf.DUMMYFUNCTION("GOOGLETRANSLATE(D5377,""fr"",""es"")"),"broncearse")</f>
        <v>broncearse</v>
      </c>
    </row>
    <row r="5378">
      <c r="A5378" s="4">
        <v>780.0</v>
      </c>
      <c r="B5378" s="4" t="s">
        <v>11578</v>
      </c>
      <c r="C5378" s="4"/>
      <c r="D5378" s="4" t="s">
        <v>13795</v>
      </c>
      <c r="E5378" s="4" t="s">
        <v>13792</v>
      </c>
      <c r="F5378" s="4" t="s">
        <v>13793</v>
      </c>
      <c r="G5378" s="5" t="str">
        <f>IFERROR(__xludf.DUMMYFUNCTION("GOOGLETRANSLATE(D5378,""fr"",""es"")"),"Tannasse")</f>
        <v>Tannasse</v>
      </c>
    </row>
    <row r="5379">
      <c r="A5379" s="4">
        <v>781.0</v>
      </c>
      <c r="B5379" s="4" t="s">
        <v>11578</v>
      </c>
      <c r="C5379" s="4"/>
      <c r="D5379" s="4" t="s">
        <v>13796</v>
      </c>
      <c r="E5379" s="4" t="s">
        <v>4311</v>
      </c>
      <c r="F5379" s="4" t="s">
        <v>4310</v>
      </c>
      <c r="G5379" s="5" t="str">
        <f>IFERROR(__xludf.DUMMYFUNCTION("GOOGLETRANSLATE(D5379,""fr"",""es"")"),"bronceado")</f>
        <v>bronceado</v>
      </c>
    </row>
    <row r="5380">
      <c r="A5380" s="4">
        <v>782.0</v>
      </c>
      <c r="B5380" s="4" t="s">
        <v>11578</v>
      </c>
      <c r="C5380" s="4"/>
      <c r="D5380" s="4" t="s">
        <v>13797</v>
      </c>
      <c r="E5380" s="4" t="s">
        <v>4311</v>
      </c>
      <c r="F5380" s="4" t="s">
        <v>4310</v>
      </c>
      <c r="G5380" s="5" t="str">
        <f>IFERROR(__xludf.DUMMYFUNCTION("GOOGLETRANSLATE(D5380,""fr"",""es"")"),"apretar")</f>
        <v>apretar</v>
      </c>
    </row>
    <row r="5381">
      <c r="A5381" s="4">
        <v>783.0</v>
      </c>
      <c r="B5381" s="4" t="s">
        <v>11578</v>
      </c>
      <c r="C5381" s="4"/>
      <c r="D5381" s="4" t="s">
        <v>13798</v>
      </c>
      <c r="E5381" s="4" t="s">
        <v>4311</v>
      </c>
      <c r="F5381" s="4" t="s">
        <v>4310</v>
      </c>
      <c r="G5381" s="5" t="str">
        <f>IFERROR(__xludf.DUMMYFUNCTION("GOOGLETRANSLATE(D5381,""fr"",""es"")"),"broncearse")</f>
        <v>broncearse</v>
      </c>
    </row>
    <row r="5382">
      <c r="A5382" s="4">
        <v>784.0</v>
      </c>
      <c r="B5382" s="4" t="s">
        <v>11578</v>
      </c>
      <c r="C5382" s="4"/>
      <c r="D5382" s="4" t="s">
        <v>13799</v>
      </c>
      <c r="E5382" s="4" t="s">
        <v>13800</v>
      </c>
      <c r="F5382" s="4" t="s">
        <v>13801</v>
      </c>
      <c r="G5382" s="5" t="str">
        <f>IFERROR(__xludf.DUMMYFUNCTION("GOOGLETRANSLATE(D5382,""fr"",""es"")"),"tannâmes")</f>
        <v>tannâmes</v>
      </c>
    </row>
    <row r="5383">
      <c r="A5383" s="4">
        <v>785.0</v>
      </c>
      <c r="B5383" s="4" t="s">
        <v>11578</v>
      </c>
      <c r="C5383" s="4"/>
      <c r="D5383" s="4" t="s">
        <v>13802</v>
      </c>
      <c r="E5383" s="4" t="s">
        <v>13790</v>
      </c>
      <c r="F5383" s="4" t="s">
        <v>13786</v>
      </c>
      <c r="G5383" s="5" t="str">
        <f>IFERROR(__xludf.DUMMYFUNCTION("GOOGLETRANSLATE(D5383,""fr"",""es"")"),"tannât")</f>
        <v>tannât</v>
      </c>
    </row>
    <row r="5384">
      <c r="A5384" s="4">
        <v>786.0</v>
      </c>
      <c r="B5384" s="4" t="s">
        <v>11578</v>
      </c>
      <c r="C5384" s="4"/>
      <c r="D5384" s="4" t="s">
        <v>13803</v>
      </c>
      <c r="E5384" s="4" t="s">
        <v>4322</v>
      </c>
      <c r="F5384" s="4" t="s">
        <v>4321</v>
      </c>
      <c r="G5384" s="5" t="str">
        <f>IFERROR(__xludf.DUMMYFUNCTION("GOOGLETRANSLATE(D5384,""fr"",""es"")"),"cinta")</f>
        <v>cinta</v>
      </c>
    </row>
    <row r="5385">
      <c r="A5385" s="4">
        <v>787.0</v>
      </c>
      <c r="B5385" s="4" t="s">
        <v>11578</v>
      </c>
      <c r="C5385" s="4"/>
      <c r="D5385" s="4" t="s">
        <v>13804</v>
      </c>
      <c r="E5385" s="4" t="s">
        <v>13805</v>
      </c>
      <c r="F5385" s="4" t="s">
        <v>13804</v>
      </c>
      <c r="G5385" s="5" t="str">
        <f>IFERROR(__xludf.DUMMYFUNCTION("GOOGLETRANSLATE(D5385,""fr"",""es"")"),"tapi")</f>
        <v>tapi</v>
      </c>
    </row>
    <row r="5386">
      <c r="A5386" s="4">
        <v>788.0</v>
      </c>
      <c r="B5386" s="4" t="s">
        <v>11578</v>
      </c>
      <c r="C5386" s="4"/>
      <c r="D5386" s="4" t="s">
        <v>4351</v>
      </c>
      <c r="E5386" s="4" t="s">
        <v>13805</v>
      </c>
      <c r="F5386" s="4" t="s">
        <v>13804</v>
      </c>
      <c r="G5386" s="5" t="str">
        <f>IFERROR(__xludf.DUMMYFUNCTION("GOOGLETRANSLATE(D5386,""fr"",""es"")"),"alfombra")</f>
        <v>alfombra</v>
      </c>
      <c r="H5386" s="4" t="s">
        <v>5648</v>
      </c>
      <c r="I5386" s="4" t="s">
        <v>5648</v>
      </c>
      <c r="J5386" s="4" t="s">
        <v>5648</v>
      </c>
      <c r="K5386" s="4" t="s">
        <v>5647</v>
      </c>
      <c r="L5386" s="4" t="s">
        <v>5648</v>
      </c>
      <c r="M5386" s="4" t="s">
        <v>5649</v>
      </c>
    </row>
    <row r="5387">
      <c r="A5387" s="4">
        <v>789.0</v>
      </c>
      <c r="B5387" s="4" t="s">
        <v>11578</v>
      </c>
      <c r="C5387" s="4"/>
      <c r="D5387" s="4" t="s">
        <v>13806</v>
      </c>
      <c r="E5387" s="4" t="s">
        <v>4350</v>
      </c>
      <c r="F5387" s="4" t="s">
        <v>4351</v>
      </c>
      <c r="G5387" s="5" t="str">
        <f>IFERROR(__xludf.DUMMYFUNCTION("GOOGLETRANSLATE(D5387,""fr"",""es"")"),"tapizado")</f>
        <v>tapizado</v>
      </c>
    </row>
    <row r="5388">
      <c r="A5388" s="4">
        <v>790.0</v>
      </c>
      <c r="B5388" s="4" t="s">
        <v>11578</v>
      </c>
      <c r="C5388" s="4"/>
      <c r="D5388" s="4" t="s">
        <v>13807</v>
      </c>
      <c r="E5388" s="4" t="s">
        <v>4350</v>
      </c>
      <c r="F5388" s="4" t="s">
        <v>4351</v>
      </c>
      <c r="G5388" s="5" t="str">
        <f>IFERROR(__xludf.DUMMYFUNCTION("GOOGLETRANSLATE(D5388,""fr"",""es"")"),"lide")</f>
        <v>lide</v>
      </c>
    </row>
    <row r="5389">
      <c r="A5389" s="4">
        <v>791.0</v>
      </c>
      <c r="B5389" s="4" t="s">
        <v>11578</v>
      </c>
      <c r="C5389" s="4"/>
      <c r="D5389" s="4" t="s">
        <v>13808</v>
      </c>
      <c r="E5389" s="4" t="s">
        <v>4350</v>
      </c>
      <c r="F5389" s="4" t="s">
        <v>4351</v>
      </c>
      <c r="G5389" s="5" t="str">
        <f>IFERROR(__xludf.DUMMYFUNCTION("GOOGLETRANSLATE(D5389,""fr"",""es"")"),"tocar")</f>
        <v>tocar</v>
      </c>
    </row>
    <row r="5390">
      <c r="A5390" s="4">
        <v>792.0</v>
      </c>
      <c r="B5390" s="4" t="s">
        <v>11578</v>
      </c>
      <c r="C5390" s="4"/>
      <c r="D5390" s="4" t="s">
        <v>13809</v>
      </c>
      <c r="E5390" s="4" t="s">
        <v>13805</v>
      </c>
      <c r="F5390" s="4" t="s">
        <v>13804</v>
      </c>
      <c r="G5390" s="5" t="str">
        <f>IFERROR(__xludf.DUMMYFUNCTION("GOOGLETRANSLATE(D5390,""fr"",""es"")"),"tocar")</f>
        <v>tocar</v>
      </c>
    </row>
    <row r="5391">
      <c r="A5391" s="4">
        <v>793.0</v>
      </c>
      <c r="B5391" s="4" t="s">
        <v>11578</v>
      </c>
      <c r="C5391" s="4"/>
      <c r="D5391" s="4" t="s">
        <v>13810</v>
      </c>
      <c r="E5391" s="4" t="s">
        <v>13811</v>
      </c>
      <c r="F5391" s="4" t="s">
        <v>13812</v>
      </c>
      <c r="G5391" s="5" t="str">
        <f>IFERROR(__xludf.DUMMYFUNCTION("GOOGLETRANSLATE(D5391,""fr"",""es"")"),"Tapques")</f>
        <v>Tapques</v>
      </c>
    </row>
    <row r="5392">
      <c r="A5392" s="4">
        <v>794.0</v>
      </c>
      <c r="B5392" s="4" t="s">
        <v>11578</v>
      </c>
      <c r="C5392" s="4"/>
      <c r="D5392" s="4" t="s">
        <v>13813</v>
      </c>
      <c r="E5392" s="4" t="s">
        <v>13805</v>
      </c>
      <c r="F5392" s="4" t="s">
        <v>13804</v>
      </c>
      <c r="G5392" s="5" t="str">
        <f>IFERROR(__xludf.DUMMYFUNCTION("GOOGLETRANSLATE(D5392,""fr"",""es"")"),"topador")</f>
        <v>topador</v>
      </c>
    </row>
    <row r="5393">
      <c r="A5393" s="4">
        <v>795.0</v>
      </c>
      <c r="B5393" s="4" t="s">
        <v>11578</v>
      </c>
      <c r="C5393" s="4"/>
      <c r="D5393" s="4" t="s">
        <v>419</v>
      </c>
      <c r="E5393" s="4" t="s">
        <v>13750</v>
      </c>
      <c r="F5393" s="4" t="s">
        <v>11522</v>
      </c>
      <c r="G5393" s="5" t="str">
        <f>IFERROR(__xludf.DUMMYFUNCTION("GOOGLETRANSLATE(D5393,""fr"",""es"")"),"montón")</f>
        <v>montón</v>
      </c>
    </row>
    <row r="5394">
      <c r="A5394" s="4">
        <v>796.0</v>
      </c>
      <c r="B5394" s="4" t="s">
        <v>11578</v>
      </c>
      <c r="C5394" s="4"/>
      <c r="D5394" s="4" t="s">
        <v>419</v>
      </c>
      <c r="E5394" s="4" t="s">
        <v>13814</v>
      </c>
      <c r="F5394" s="4" t="s">
        <v>11522</v>
      </c>
      <c r="G5394" s="5" t="str">
        <f>IFERROR(__xludf.DUMMYFUNCTION("GOOGLETRANSLATE(D5394,""fr"",""es"")"),"montón")</f>
        <v>montón</v>
      </c>
    </row>
    <row r="5395">
      <c r="A5395" s="4">
        <v>797.0</v>
      </c>
      <c r="B5395" s="4" t="s">
        <v>11578</v>
      </c>
      <c r="C5395" s="4"/>
      <c r="D5395" s="4" t="s">
        <v>7777</v>
      </c>
      <c r="E5395" s="4" t="s">
        <v>13815</v>
      </c>
      <c r="F5395" s="4" t="s">
        <v>419</v>
      </c>
      <c r="G5395" s="5" t="str">
        <f>IFERROR(__xludf.DUMMYFUNCTION("GOOGLETRANSLATE(D5395,""fr"",""es"")"),"taza")</f>
        <v>taza</v>
      </c>
      <c r="H5395" s="4" t="s">
        <v>4378</v>
      </c>
      <c r="I5395" s="4" t="s">
        <v>13816</v>
      </c>
      <c r="J5395" s="4" t="s">
        <v>4378</v>
      </c>
      <c r="K5395" s="4" t="s">
        <v>4378</v>
      </c>
      <c r="L5395" s="4" t="s">
        <v>4378</v>
      </c>
      <c r="M5395" s="4" t="s">
        <v>4378</v>
      </c>
      <c r="N5395" s="4" t="s">
        <v>12262</v>
      </c>
      <c r="O5395" s="4" t="s">
        <v>4378</v>
      </c>
      <c r="P5395" s="4" t="s">
        <v>4378</v>
      </c>
      <c r="Q5395" s="4" t="s">
        <v>4378</v>
      </c>
      <c r="R5395" s="4" t="s">
        <v>4378</v>
      </c>
      <c r="S5395" s="4" t="s">
        <v>13817</v>
      </c>
      <c r="T5395" s="4" t="s">
        <v>4378</v>
      </c>
    </row>
    <row r="5396">
      <c r="A5396" s="4">
        <v>798.0</v>
      </c>
      <c r="B5396" s="4" t="s">
        <v>11578</v>
      </c>
      <c r="C5396" s="4"/>
      <c r="D5396" s="4" t="s">
        <v>13818</v>
      </c>
      <c r="E5396" s="4" t="s">
        <v>13819</v>
      </c>
      <c r="F5396" s="4" t="s">
        <v>4377</v>
      </c>
      <c r="G5396" s="5" t="str">
        <f>IFERROR(__xludf.DUMMYFUNCTION("GOOGLETRANSLATE(D5396,""fr"",""es"")"),"tassât")</f>
        <v>tassât</v>
      </c>
    </row>
    <row r="5397">
      <c r="A5397" s="4">
        <v>799.0</v>
      </c>
      <c r="B5397" s="4" t="s">
        <v>11578</v>
      </c>
      <c r="C5397" s="4"/>
      <c r="D5397" s="4" t="s">
        <v>13820</v>
      </c>
      <c r="E5397" s="4" t="s">
        <v>13821</v>
      </c>
      <c r="F5397" s="4" t="s">
        <v>13820</v>
      </c>
      <c r="G5397" s="5" t="str">
        <f>IFERROR(__xludf.DUMMYFUNCTION("GOOGLETRANSLATE(D5397,""fr"",""es"")"),"tata")</f>
        <v>tata</v>
      </c>
      <c r="H5397" s="4" t="s">
        <v>11528</v>
      </c>
      <c r="I5397" s="4" t="s">
        <v>11529</v>
      </c>
      <c r="J5397" s="4" t="s">
        <v>11530</v>
      </c>
    </row>
    <row r="5398">
      <c r="A5398" s="4">
        <v>800.0</v>
      </c>
      <c r="B5398" s="4" t="s">
        <v>11578</v>
      </c>
      <c r="C5398" s="4"/>
      <c r="D5398" s="4" t="s">
        <v>13822</v>
      </c>
      <c r="E5398" s="4" t="s">
        <v>13823</v>
      </c>
      <c r="F5398" s="4" t="s">
        <v>7783</v>
      </c>
      <c r="G5398" s="5" t="str">
        <f>IFERROR(__xludf.DUMMYFUNCTION("GOOGLETRANSLATE(D5398,""fr"",""es"")"),"Tía")</f>
        <v>Tía</v>
      </c>
      <c r="H5398" s="4" t="s">
        <v>11528</v>
      </c>
      <c r="I5398" s="4" t="s">
        <v>11529</v>
      </c>
      <c r="J5398" s="4" t="s">
        <v>11530</v>
      </c>
    </row>
    <row r="5399">
      <c r="A5399" s="4">
        <v>801.0</v>
      </c>
      <c r="B5399" s="4" t="s">
        <v>11578</v>
      </c>
      <c r="C5399" s="4"/>
      <c r="D5399" s="4" t="s">
        <v>13824</v>
      </c>
      <c r="E5399" s="4" t="s">
        <v>13825</v>
      </c>
      <c r="F5399" s="4" t="s">
        <v>11378</v>
      </c>
      <c r="G5399" s="5" t="str">
        <f>IFERROR(__xludf.DUMMYFUNCTION("GOOGLETRANSLATE(D5399,""fr"",""es"")"),"armadillo")</f>
        <v>armadillo</v>
      </c>
      <c r="H5399" s="4" t="s">
        <v>13826</v>
      </c>
    </row>
    <row r="5400">
      <c r="A5400" s="4">
        <v>802.0</v>
      </c>
      <c r="B5400" s="4" t="s">
        <v>11578</v>
      </c>
      <c r="C5400" s="4"/>
      <c r="D5400" s="4" t="s">
        <v>13827</v>
      </c>
      <c r="E5400" s="4" t="s">
        <v>13828</v>
      </c>
      <c r="F5400" s="4" t="s">
        <v>13829</v>
      </c>
      <c r="G5400" s="5" t="str">
        <f>IFERROR(__xludf.DUMMYFUNCTION("GOOGLETRANSLATE(D5400,""fr"",""es"")"),"tatuaje")</f>
        <v>tatuaje</v>
      </c>
    </row>
    <row r="5401">
      <c r="A5401" s="4">
        <v>803.0</v>
      </c>
      <c r="B5401" s="4" t="s">
        <v>11578</v>
      </c>
      <c r="C5401" s="4"/>
      <c r="D5401" s="4" t="s">
        <v>7790</v>
      </c>
      <c r="E5401" s="4" t="s">
        <v>7791</v>
      </c>
      <c r="F5401" s="4" t="s">
        <v>7792</v>
      </c>
      <c r="G5401" s="5" t="str">
        <f>IFERROR(__xludf.DUMMYFUNCTION("GOOGLETRANSLATE(D5401,""fr"",""es"")"),"thanakha")</f>
        <v>thanakha</v>
      </c>
    </row>
    <row r="5402">
      <c r="A5402" s="4">
        <v>804.0</v>
      </c>
      <c r="B5402" s="4" t="s">
        <v>11578</v>
      </c>
      <c r="C5402" s="4"/>
      <c r="D5402" s="4" t="s">
        <v>13830</v>
      </c>
      <c r="E5402" s="4" t="s">
        <v>13765</v>
      </c>
      <c r="F5402" s="4" t="s">
        <v>13766</v>
      </c>
      <c r="G5402" s="5" t="str">
        <f>IFERROR(__xludf.DUMMYFUNCTION("GOOGLETRANSLATE(D5402,""fr"",""es"")"),"tailandés")</f>
        <v>tailandés</v>
      </c>
      <c r="H5402" s="4" t="s">
        <v>13831</v>
      </c>
      <c r="I5402" s="4" t="s">
        <v>13832</v>
      </c>
      <c r="J5402" s="4" t="s">
        <v>13833</v>
      </c>
      <c r="K5402" s="4" t="s">
        <v>13831</v>
      </c>
      <c r="L5402" s="4" t="s">
        <v>13832</v>
      </c>
      <c r="M5402" s="4" t="s">
        <v>13833</v>
      </c>
      <c r="N5402" s="4" t="s">
        <v>13831</v>
      </c>
      <c r="O5402" s="4" t="s">
        <v>13832</v>
      </c>
      <c r="P5402" s="4" t="s">
        <v>13833</v>
      </c>
      <c r="Q5402" s="4" t="s">
        <v>13831</v>
      </c>
      <c r="R5402" s="4" t="s">
        <v>13833</v>
      </c>
      <c r="S5402" s="4" t="s">
        <v>13834</v>
      </c>
      <c r="T5402" s="4" t="s">
        <v>13831</v>
      </c>
      <c r="U5402" s="4" t="s">
        <v>13832</v>
      </c>
      <c r="V5402" s="4" t="s">
        <v>13833</v>
      </c>
    </row>
    <row r="5403">
      <c r="A5403" s="4">
        <v>805.0</v>
      </c>
      <c r="B5403" s="4" t="s">
        <v>11578</v>
      </c>
      <c r="C5403" s="4"/>
      <c r="D5403" s="4" t="s">
        <v>13835</v>
      </c>
      <c r="E5403" s="4" t="s">
        <v>13765</v>
      </c>
      <c r="F5403" s="4" t="s">
        <v>13766</v>
      </c>
      <c r="G5403" s="5" t="str">
        <f>IFERROR(__xludf.DUMMYFUNCTION("GOOGLETRANSLATE(D5403,""fr"",""es"")"),"tailandés")</f>
        <v>tailandés</v>
      </c>
    </row>
    <row r="5404">
      <c r="A5404" s="4">
        <v>806.0</v>
      </c>
      <c r="B5404" s="4" t="s">
        <v>11578</v>
      </c>
      <c r="C5404" s="4"/>
      <c r="D5404" s="4" t="s">
        <v>13836</v>
      </c>
      <c r="E5404" s="4" t="s">
        <v>13765</v>
      </c>
      <c r="F5404" s="4" t="s">
        <v>13766</v>
      </c>
      <c r="G5404" s="5" t="str">
        <f>IFERROR(__xludf.DUMMYFUNCTION("GOOGLETRANSLATE(D5404,""fr"",""es"")"),"Thaïs")</f>
        <v>Thaïs</v>
      </c>
    </row>
    <row r="5405">
      <c r="A5405" s="4">
        <v>807.0</v>
      </c>
      <c r="B5405" s="4" t="s">
        <v>11578</v>
      </c>
      <c r="C5405" s="4"/>
      <c r="D5405" s="4" t="s">
        <v>422</v>
      </c>
      <c r="E5405" s="4" t="s">
        <v>421</v>
      </c>
      <c r="F5405" s="4" t="s">
        <v>422</v>
      </c>
      <c r="G5405" s="5" t="str">
        <f>IFERROR(__xludf.DUMMYFUNCTION("GOOGLETRANSLATE(D5405,""fr"",""es"")"),"Ti")</f>
        <v>Ti</v>
      </c>
    </row>
    <row r="5406">
      <c r="A5406" s="4">
        <v>808.0</v>
      </c>
      <c r="B5406" s="4" t="s">
        <v>11578</v>
      </c>
      <c r="C5406" s="4"/>
      <c r="D5406" s="4" t="s">
        <v>4379</v>
      </c>
      <c r="E5406" s="4" t="s">
        <v>4380</v>
      </c>
      <c r="F5406" s="4" t="s">
        <v>438</v>
      </c>
      <c r="G5406" s="5" t="str">
        <f>IFERROR(__xludf.DUMMYFUNCTION("GOOGLETRANSLATE(D5406,""fr"",""es"")"),"tic")</f>
        <v>tic</v>
      </c>
      <c r="H5406" s="4" t="s">
        <v>4435</v>
      </c>
      <c r="I5406" s="4" t="s">
        <v>13837</v>
      </c>
      <c r="J5406" s="4" t="s">
        <v>13837</v>
      </c>
      <c r="K5406" s="4" t="s">
        <v>4435</v>
      </c>
      <c r="L5406" s="4" t="s">
        <v>13838</v>
      </c>
      <c r="M5406" s="4" t="s">
        <v>4379</v>
      </c>
      <c r="N5406" s="4" t="s">
        <v>4379</v>
      </c>
    </row>
    <row r="5407">
      <c r="A5407" s="4">
        <v>809.0</v>
      </c>
      <c r="B5407" s="4" t="s">
        <v>11578</v>
      </c>
      <c r="C5407" s="4"/>
      <c r="D5407" s="4" t="s">
        <v>13839</v>
      </c>
      <c r="E5407" s="4" t="s">
        <v>13840</v>
      </c>
      <c r="F5407" s="4" t="s">
        <v>13841</v>
      </c>
      <c r="G5407" s="5" t="str">
        <f>IFERROR(__xludf.DUMMYFUNCTION("GOOGLETRANSLATE(D5407,""fr"",""es"")"),"fregar")</f>
        <v>fregar</v>
      </c>
    </row>
    <row r="5408">
      <c r="A5408" s="4">
        <v>810.0</v>
      </c>
      <c r="B5408" s="4" t="s">
        <v>11578</v>
      </c>
      <c r="C5408" s="4"/>
      <c r="D5408" s="4" t="s">
        <v>13842</v>
      </c>
      <c r="E5408" s="4" t="s">
        <v>13840</v>
      </c>
      <c r="F5408" s="4" t="s">
        <v>13841</v>
      </c>
      <c r="G5408" s="5" t="str">
        <f>IFERROR(__xludf.DUMMYFUNCTION("GOOGLETRANSLATE(D5408,""fr"",""es"")"),"trapacero")</f>
        <v>trapacero</v>
      </c>
    </row>
    <row r="5409">
      <c r="A5409" s="4">
        <v>811.0</v>
      </c>
      <c r="B5409" s="4" t="s">
        <v>11578</v>
      </c>
      <c r="C5409" s="4"/>
      <c r="D5409" s="4" t="s">
        <v>13843</v>
      </c>
      <c r="E5409" s="4" t="s">
        <v>13844</v>
      </c>
      <c r="F5409" s="4" t="s">
        <v>13845</v>
      </c>
      <c r="G5409" s="5" t="str">
        <f>IFERROR(__xludf.DUMMYFUNCTION("GOOGLETRANSLATE(D5409,""fr"",""es"")"),"Tillac")</f>
        <v>Tillac</v>
      </c>
    </row>
    <row r="5410">
      <c r="A5410" s="4">
        <v>812.0</v>
      </c>
      <c r="B5410" s="4" t="s">
        <v>11578</v>
      </c>
      <c r="C5410" s="4"/>
      <c r="D5410" s="4" t="s">
        <v>13846</v>
      </c>
      <c r="E5410" s="4" t="s">
        <v>4390</v>
      </c>
      <c r="F5410" s="4" t="s">
        <v>4391</v>
      </c>
      <c r="G5410" s="5" t="str">
        <f>IFERROR(__xludf.DUMMYFUNCTION("GOOGLETRANSLATE(D5410,""fr"",""es"")"),"Tinamou")</f>
        <v>Tinamou</v>
      </c>
      <c r="H5410" s="4" t="s">
        <v>13846</v>
      </c>
      <c r="I5410" s="4" t="s">
        <v>13847</v>
      </c>
    </row>
    <row r="5411">
      <c r="A5411" s="4">
        <v>813.0</v>
      </c>
      <c r="B5411" s="4" t="s">
        <v>11578</v>
      </c>
      <c r="C5411" s="4"/>
      <c r="D5411" s="4" t="s">
        <v>13848</v>
      </c>
      <c r="E5411" s="4" t="s">
        <v>4390</v>
      </c>
      <c r="F5411" s="4" t="s">
        <v>4391</v>
      </c>
      <c r="G5411" s="5" t="str">
        <f>IFERROR(__xludf.DUMMYFUNCTION("GOOGLETRANSLATE(D5411,""fr"",""es"")"),"tinamous")</f>
        <v>tinamous</v>
      </c>
      <c r="H5411" s="4" t="s">
        <v>13849</v>
      </c>
      <c r="I5411" s="4" t="s">
        <v>13850</v>
      </c>
      <c r="J5411" s="4" t="s">
        <v>13846</v>
      </c>
      <c r="K5411" s="4" t="s">
        <v>13847</v>
      </c>
    </row>
    <row r="5412">
      <c r="A5412" s="4">
        <v>814.0</v>
      </c>
      <c r="B5412" s="4" t="s">
        <v>11578</v>
      </c>
      <c r="C5412" s="4"/>
      <c r="D5412" s="4" t="s">
        <v>13851</v>
      </c>
      <c r="E5412" s="4" t="s">
        <v>4380</v>
      </c>
      <c r="F5412" s="4" t="s">
        <v>438</v>
      </c>
      <c r="G5412" s="5" t="str">
        <f>IFERROR(__xludf.DUMMYFUNCTION("GOOGLETRANSLATE(D5412,""fr"",""es"")"),"garrapata")</f>
        <v>garrapata</v>
      </c>
      <c r="H5412" s="4" t="s">
        <v>7837</v>
      </c>
      <c r="I5412" s="4" t="s">
        <v>7843</v>
      </c>
      <c r="J5412" s="4" t="s">
        <v>7837</v>
      </c>
      <c r="K5412" s="4" t="s">
        <v>13852</v>
      </c>
      <c r="L5412" s="4" t="s">
        <v>13853</v>
      </c>
      <c r="M5412" s="4" t="s">
        <v>7837</v>
      </c>
      <c r="N5412" s="4" t="s">
        <v>7841</v>
      </c>
      <c r="O5412" s="4" t="s">
        <v>7842</v>
      </c>
      <c r="P5412" s="4" t="s">
        <v>3493</v>
      </c>
      <c r="Q5412" s="4" t="s">
        <v>7840</v>
      </c>
      <c r="R5412" s="4" t="s">
        <v>7837</v>
      </c>
      <c r="S5412" s="4" t="s">
        <v>7837</v>
      </c>
      <c r="T5412" s="4" t="s">
        <v>7839</v>
      </c>
      <c r="U5412" s="4" t="s">
        <v>2075</v>
      </c>
      <c r="V5412" s="4" t="s">
        <v>7837</v>
      </c>
      <c r="W5412" s="4" t="s">
        <v>7837</v>
      </c>
      <c r="X5412" s="4" t="s">
        <v>7838</v>
      </c>
    </row>
    <row r="5413">
      <c r="A5413" s="4">
        <v>815.0</v>
      </c>
      <c r="B5413" s="4" t="s">
        <v>11578</v>
      </c>
      <c r="C5413" s="4"/>
      <c r="D5413" s="4" t="s">
        <v>13854</v>
      </c>
      <c r="E5413" s="4" t="s">
        <v>427</v>
      </c>
      <c r="F5413" s="4" t="s">
        <v>428</v>
      </c>
      <c r="G5413" s="5" t="str">
        <f>IFERROR(__xludf.DUMMYFUNCTION("GOOGLETRANSLATE(D5413,""fr"",""es"")"),"tejedor")</f>
        <v>tejedor</v>
      </c>
    </row>
    <row r="5414">
      <c r="A5414" s="4">
        <v>816.0</v>
      </c>
      <c r="B5414" s="4" t="s">
        <v>11578</v>
      </c>
      <c r="C5414" s="4"/>
      <c r="D5414" s="4" t="s">
        <v>13855</v>
      </c>
      <c r="E5414" s="4" t="s">
        <v>430</v>
      </c>
      <c r="F5414" s="4" t="s">
        <v>431</v>
      </c>
      <c r="G5414" s="5" t="str">
        <f>IFERROR(__xludf.DUMMYFUNCTION("GOOGLETRANSLATE(D5414,""fr"",""es"")"),"titanio")</f>
        <v>titanio</v>
      </c>
      <c r="H5414" s="4" t="s">
        <v>4467</v>
      </c>
      <c r="I5414" s="4" t="s">
        <v>4468</v>
      </c>
      <c r="J5414" s="4" t="s">
        <v>4469</v>
      </c>
    </row>
    <row r="5415">
      <c r="A5415" s="4">
        <v>817.0</v>
      </c>
      <c r="B5415" s="4" t="s">
        <v>11578</v>
      </c>
      <c r="C5415" s="4"/>
      <c r="D5415" s="4" t="s">
        <v>4490</v>
      </c>
      <c r="E5415" s="4" t="s">
        <v>4489</v>
      </c>
      <c r="F5415" s="4" t="s">
        <v>4490</v>
      </c>
      <c r="G5415" s="5" t="str">
        <f>IFERROR(__xludf.DUMMYFUNCTION("GOOGLETRANSLATE(D5415,""fr"",""es"")"),"titi")</f>
        <v>titi</v>
      </c>
    </row>
    <row r="5416">
      <c r="A5416" s="4">
        <v>818.0</v>
      </c>
      <c r="B5416" s="4" t="s">
        <v>11578</v>
      </c>
      <c r="C5416" s="4"/>
      <c r="D5416" s="4" t="s">
        <v>13856</v>
      </c>
      <c r="E5416" s="4" t="s">
        <v>13857</v>
      </c>
      <c r="F5416" s="4" t="s">
        <v>13858</v>
      </c>
      <c r="G5416" s="5" t="str">
        <f>IFERROR(__xludf.DUMMYFUNCTION("GOOGLETRANSLATE(D5416,""fr"",""es"")"),"titina")</f>
        <v>titina</v>
      </c>
    </row>
    <row r="5417">
      <c r="A5417" s="4">
        <v>819.0</v>
      </c>
      <c r="B5417" s="4" t="s">
        <v>11578</v>
      </c>
      <c r="C5417" s="4"/>
      <c r="D5417" s="4" t="s">
        <v>13859</v>
      </c>
      <c r="E5417" s="4" t="s">
        <v>13860</v>
      </c>
      <c r="F5417" s="4" t="s">
        <v>13861</v>
      </c>
      <c r="G5417" s="5" t="str">
        <f>IFERROR(__xludf.DUMMYFUNCTION("GOOGLETRANSLATE(D5417,""fr"",""es"")"),"toquea")</f>
        <v>toquea</v>
      </c>
    </row>
    <row r="5418">
      <c r="A5418" s="4">
        <v>820.0</v>
      </c>
      <c r="B5418" s="4" t="s">
        <v>11578</v>
      </c>
      <c r="C5418" s="4"/>
      <c r="D5418" s="4" t="s">
        <v>13862</v>
      </c>
      <c r="E5418" s="4" t="s">
        <v>13863</v>
      </c>
      <c r="F5418" s="4" t="s">
        <v>1622</v>
      </c>
      <c r="G5418" s="5" t="str">
        <f>IFERROR(__xludf.DUMMYFUNCTION("GOOGLETRANSLATE(D5418,""fr"",""es"")"),"toques")</f>
        <v>toques</v>
      </c>
      <c r="H5418" s="4" t="s">
        <v>13864</v>
      </c>
      <c r="I5418" s="4" t="s">
        <v>13865</v>
      </c>
      <c r="J5418" s="4" t="s">
        <v>13866</v>
      </c>
      <c r="K5418" s="4" t="s">
        <v>1360</v>
      </c>
      <c r="L5418" s="4" t="s">
        <v>13867</v>
      </c>
      <c r="M5418" s="4" t="s">
        <v>13868</v>
      </c>
      <c r="N5418" s="4" t="s">
        <v>8380</v>
      </c>
      <c r="O5418" s="4" t="s">
        <v>8380</v>
      </c>
      <c r="P5418" s="4" t="s">
        <v>8380</v>
      </c>
      <c r="Q5418" s="4" t="s">
        <v>13869</v>
      </c>
      <c r="R5418" s="4" t="s">
        <v>8380</v>
      </c>
      <c r="S5418" s="4" t="s">
        <v>8380</v>
      </c>
      <c r="T5418" s="4" t="s">
        <v>8380</v>
      </c>
      <c r="U5418" s="4" t="s">
        <v>13870</v>
      </c>
      <c r="V5418" s="4" t="s">
        <v>13871</v>
      </c>
      <c r="W5418" s="4" t="s">
        <v>13872</v>
      </c>
      <c r="X5418" s="4" t="s">
        <v>8389</v>
      </c>
      <c r="Y5418" s="4" t="s">
        <v>8380</v>
      </c>
      <c r="Z5418" s="4" t="s">
        <v>8380</v>
      </c>
      <c r="AA5418" s="4" t="s">
        <v>8380</v>
      </c>
      <c r="AB5418" s="4" t="s">
        <v>8380</v>
      </c>
      <c r="AC5418" s="4" t="s">
        <v>8380</v>
      </c>
      <c r="AD5418" s="4" t="s">
        <v>8380</v>
      </c>
      <c r="AE5418" s="4" t="s">
        <v>12240</v>
      </c>
      <c r="AF5418" s="4" t="s">
        <v>8380</v>
      </c>
      <c r="AG5418" s="4" t="s">
        <v>8381</v>
      </c>
      <c r="AH5418" s="4" t="s">
        <v>8380</v>
      </c>
      <c r="AI5418" s="4" t="s">
        <v>8386</v>
      </c>
      <c r="AJ5418" s="4" t="s">
        <v>8387</v>
      </c>
      <c r="AK5418" s="4" t="s">
        <v>8384</v>
      </c>
      <c r="AL5418" s="4" t="s">
        <v>8385</v>
      </c>
      <c r="AM5418" s="4" t="s">
        <v>8382</v>
      </c>
      <c r="AN5418" s="4" t="s">
        <v>8383</v>
      </c>
      <c r="AO5418" s="4" t="s">
        <v>8380</v>
      </c>
      <c r="AP5418" s="4" t="s">
        <v>8380</v>
      </c>
    </row>
    <row r="5419">
      <c r="A5419" s="4">
        <v>821.0</v>
      </c>
      <c r="B5419" s="4" t="s">
        <v>11578</v>
      </c>
      <c r="C5419" s="4"/>
      <c r="D5419" s="4" t="s">
        <v>13873</v>
      </c>
      <c r="E5419" s="4" t="s">
        <v>13874</v>
      </c>
      <c r="F5419" s="4" t="s">
        <v>13875</v>
      </c>
      <c r="G5419" s="5" t="str">
        <f>IFERROR(__xludf.DUMMYFUNCTION("GOOGLETRANSLATE(D5419,""fr"",""es"")"),"Toul")</f>
        <v>Toul</v>
      </c>
    </row>
    <row r="5420">
      <c r="A5420" s="4">
        <v>822.0</v>
      </c>
      <c r="B5420" s="4" t="s">
        <v>11578</v>
      </c>
      <c r="C5420" s="4"/>
      <c r="D5420" s="4" t="s">
        <v>13876</v>
      </c>
      <c r="E5420" s="4" t="s">
        <v>13877</v>
      </c>
      <c r="F5420" s="4" t="s">
        <v>7951</v>
      </c>
      <c r="G5420" s="5" t="str">
        <f>IFERROR(__xludf.DUMMYFUNCTION("GOOGLETRANSLATE(D5420,""fr"",""es"")"),"toune")</f>
        <v>toune</v>
      </c>
    </row>
    <row r="5421">
      <c r="A5421" s="4">
        <v>823.0</v>
      </c>
      <c r="B5421" s="4" t="s">
        <v>11578</v>
      </c>
      <c r="C5421" s="4"/>
      <c r="D5421" s="4" t="s">
        <v>13878</v>
      </c>
      <c r="E5421" s="4" t="s">
        <v>4522</v>
      </c>
      <c r="F5421" s="4" t="s">
        <v>4523</v>
      </c>
      <c r="G5421" s="5" t="str">
        <f>IFERROR(__xludf.DUMMYFUNCTION("GOOGLETRANSLATE(D5421,""fr"",""es"")"),"hilado")</f>
        <v>hilado</v>
      </c>
      <c r="H5421" s="4" t="s">
        <v>1403</v>
      </c>
      <c r="I5421" s="4" t="s">
        <v>8866</v>
      </c>
      <c r="J5421" s="4" t="s">
        <v>8867</v>
      </c>
      <c r="K5421" s="4" t="s">
        <v>8868</v>
      </c>
    </row>
    <row r="5422">
      <c r="A5422" s="4">
        <v>824.0</v>
      </c>
      <c r="B5422" s="4" t="s">
        <v>11578</v>
      </c>
      <c r="C5422" s="4"/>
      <c r="D5422" s="4" t="s">
        <v>13879</v>
      </c>
      <c r="E5422" s="4" t="s">
        <v>4556</v>
      </c>
      <c r="F5422" s="4" t="s">
        <v>4555</v>
      </c>
      <c r="G5422" s="5" t="str">
        <f>IFERROR(__xludf.DUMMYFUNCTION("GOOGLETRANSLATE(D5422,""fr"",""es"")"),"todos")</f>
        <v>todos</v>
      </c>
    </row>
    <row r="5423">
      <c r="A5423" s="4">
        <v>825.0</v>
      </c>
      <c r="B5423" s="4" t="s">
        <v>11578</v>
      </c>
      <c r="C5423" s="4"/>
      <c r="D5423" s="4" t="s">
        <v>13879</v>
      </c>
      <c r="E5423" s="4" t="s">
        <v>13880</v>
      </c>
      <c r="F5423" s="4" t="s">
        <v>13881</v>
      </c>
      <c r="G5423" s="5" t="str">
        <f>IFERROR(__xludf.DUMMYFUNCTION("GOOGLETRANSLATE(D5423,""fr"",""es"")"),"todos")</f>
        <v>todos</v>
      </c>
    </row>
    <row r="5424">
      <c r="A5424" s="4">
        <v>826.0</v>
      </c>
      <c r="B5424" s="4" t="s">
        <v>11578</v>
      </c>
      <c r="C5424" s="4"/>
      <c r="D5424" s="4" t="s">
        <v>13879</v>
      </c>
      <c r="E5424" s="4" t="s">
        <v>13882</v>
      </c>
      <c r="F5424" s="4" t="s">
        <v>13881</v>
      </c>
      <c r="G5424" s="5" t="str">
        <f>IFERROR(__xludf.DUMMYFUNCTION("GOOGLETRANSLATE(D5424,""fr"",""es"")"),"todos")</f>
        <v>todos</v>
      </c>
    </row>
    <row r="5425">
      <c r="A5425" s="4">
        <v>827.0</v>
      </c>
      <c r="B5425" s="4" t="s">
        <v>11578</v>
      </c>
      <c r="C5425" s="4"/>
      <c r="D5425" s="4" t="s">
        <v>13883</v>
      </c>
      <c r="E5425" s="4" t="s">
        <v>4556</v>
      </c>
      <c r="F5425" s="4" t="s">
        <v>4555</v>
      </c>
      <c r="G5425" s="5" t="str">
        <f>IFERROR(__xludf.DUMMYFUNCTION("GOOGLETRANSLATE(D5425,""fr"",""es"")"),"todo")</f>
        <v>todo</v>
      </c>
      <c r="H5425" s="4" t="s">
        <v>13884</v>
      </c>
      <c r="I5425" s="4" t="s">
        <v>13885</v>
      </c>
      <c r="J5425" s="4" t="s">
        <v>13886</v>
      </c>
      <c r="K5425" s="4" t="s">
        <v>13887</v>
      </c>
      <c r="L5425" s="4" t="s">
        <v>13888</v>
      </c>
      <c r="M5425" s="4" t="s">
        <v>13889</v>
      </c>
      <c r="N5425" s="4" t="s">
        <v>524</v>
      </c>
      <c r="O5425" s="4" t="s">
        <v>10698</v>
      </c>
      <c r="P5425" s="4" t="s">
        <v>13884</v>
      </c>
      <c r="Q5425" s="4" t="s">
        <v>13890</v>
      </c>
      <c r="R5425" s="4" t="s">
        <v>13891</v>
      </c>
      <c r="S5425" s="4" t="s">
        <v>8791</v>
      </c>
      <c r="T5425" s="4" t="s">
        <v>524</v>
      </c>
      <c r="U5425" s="4" t="s">
        <v>524</v>
      </c>
      <c r="V5425" s="4" t="s">
        <v>1751</v>
      </c>
      <c r="W5425" s="4" t="s">
        <v>13892</v>
      </c>
      <c r="X5425" s="4" t="s">
        <v>13893</v>
      </c>
      <c r="Y5425" s="4" t="s">
        <v>13894</v>
      </c>
      <c r="Z5425" s="4" t="s">
        <v>13895</v>
      </c>
      <c r="AA5425" s="4" t="s">
        <v>13884</v>
      </c>
      <c r="AB5425" s="4" t="s">
        <v>13896</v>
      </c>
      <c r="AC5425" s="4" t="s">
        <v>12346</v>
      </c>
      <c r="AD5425" s="4" t="s">
        <v>13897</v>
      </c>
      <c r="AE5425" s="4" t="s">
        <v>13898</v>
      </c>
      <c r="AF5425" s="4" t="s">
        <v>13899</v>
      </c>
      <c r="AG5425" s="4" t="s">
        <v>13900</v>
      </c>
    </row>
    <row r="5426">
      <c r="A5426" s="4">
        <v>828.0</v>
      </c>
      <c r="B5426" s="4" t="s">
        <v>11578</v>
      </c>
      <c r="C5426" s="4"/>
      <c r="D5426" s="4" t="s">
        <v>13901</v>
      </c>
      <c r="E5426" s="4" t="s">
        <v>4578</v>
      </c>
      <c r="F5426" s="4" t="s">
        <v>4579</v>
      </c>
      <c r="G5426" s="5" t="str">
        <f>IFERROR(__xludf.DUMMYFUNCTION("GOOGLETRANSLATE(D5426,""fr"",""es"")"),"perrito")</f>
        <v>perrito</v>
      </c>
      <c r="H5426" s="4" t="s">
        <v>13902</v>
      </c>
      <c r="I5426" s="4" t="s">
        <v>13903</v>
      </c>
      <c r="J5426" s="4" t="s">
        <v>13904</v>
      </c>
      <c r="K5426" s="4" t="s">
        <v>13905</v>
      </c>
      <c r="L5426" s="4" t="s">
        <v>13906</v>
      </c>
    </row>
    <row r="5427">
      <c r="A5427" s="4">
        <v>829.0</v>
      </c>
      <c r="B5427" s="4" t="s">
        <v>11578</v>
      </c>
      <c r="C5427" s="4"/>
      <c r="D5427" s="4" t="s">
        <v>13907</v>
      </c>
      <c r="E5427" s="4" t="s">
        <v>13908</v>
      </c>
      <c r="F5427" s="4" t="s">
        <v>13909</v>
      </c>
      <c r="G5427" s="5" t="str">
        <f>IFERROR(__xludf.DUMMYFUNCTION("GOOGLETRANSLATE(D5427,""fr"",""es"")"),"perrito")</f>
        <v>perrito</v>
      </c>
    </row>
    <row r="5428">
      <c r="A5428" s="4">
        <v>830.0</v>
      </c>
      <c r="B5428" s="4" t="s">
        <v>11578</v>
      </c>
      <c r="C5428" s="4"/>
      <c r="D5428" s="4" t="s">
        <v>13910</v>
      </c>
      <c r="E5428" s="4" t="s">
        <v>4556</v>
      </c>
      <c r="F5428" s="4" t="s">
        <v>4555</v>
      </c>
      <c r="G5428" s="5" t="str">
        <f>IFERROR(__xludf.DUMMYFUNCTION("GOOGLETRANSLATE(D5428,""fr"",""es"")"),"tos")</f>
        <v>tos</v>
      </c>
      <c r="H5428" s="4" t="s">
        <v>4540</v>
      </c>
      <c r="I5428" s="4" t="s">
        <v>4540</v>
      </c>
      <c r="J5428" s="4" t="s">
        <v>13911</v>
      </c>
    </row>
    <row r="5429">
      <c r="A5429" s="4">
        <v>831.0</v>
      </c>
      <c r="B5429" s="4" t="s">
        <v>11578</v>
      </c>
      <c r="C5429" s="4"/>
      <c r="D5429" s="4" t="s">
        <v>4523</v>
      </c>
      <c r="E5429" s="4" t="s">
        <v>4522</v>
      </c>
      <c r="F5429" s="4" t="s">
        <v>4523</v>
      </c>
      <c r="G5429" s="5" t="str">
        <f>IFERROR(__xludf.DUMMYFUNCTION("GOOGLETRANSLATE(D5429,""fr"",""es"")"),"Tupi")</f>
        <v>Tupi</v>
      </c>
      <c r="H5429" s="4" t="s">
        <v>13912</v>
      </c>
      <c r="I5429" s="4" t="s">
        <v>13912</v>
      </c>
    </row>
    <row r="5430">
      <c r="A5430" s="4">
        <v>832.0</v>
      </c>
      <c r="B5430" s="4" t="s">
        <v>11578</v>
      </c>
      <c r="C5430" s="4"/>
      <c r="D5430" s="4" t="s">
        <v>13913</v>
      </c>
      <c r="E5430" s="4" t="s">
        <v>13914</v>
      </c>
      <c r="F5430" s="4" t="s">
        <v>13915</v>
      </c>
      <c r="G5430" s="5" t="str">
        <f>IFERROR(__xludf.DUMMYFUNCTION("GOOGLETRANSLATE(D5430,""fr"",""es"")"),"tutti")</f>
        <v>tutti</v>
      </c>
    </row>
    <row r="5431">
      <c r="A5431" s="4">
        <v>833.0</v>
      </c>
      <c r="B5431" s="4" t="s">
        <v>11578</v>
      </c>
      <c r="C5431" s="4"/>
      <c r="D5431" s="4" t="s">
        <v>4412</v>
      </c>
      <c r="E5431" s="4" t="s">
        <v>424</v>
      </c>
      <c r="F5431" s="4" t="s">
        <v>425</v>
      </c>
      <c r="G5431" s="5" t="str">
        <f>IFERROR(__xludf.DUMMYFUNCTION("GOOGLETRANSLATE(D5431,""fr"",""es"")"),"tipo")</f>
        <v>tipo</v>
      </c>
      <c r="H5431" s="4" t="s">
        <v>4412</v>
      </c>
      <c r="I5431" s="4" t="s">
        <v>4413</v>
      </c>
      <c r="J5431" s="4" t="s">
        <v>4414</v>
      </c>
      <c r="K5431" s="4" t="s">
        <v>1679</v>
      </c>
      <c r="L5431" s="4" t="s">
        <v>4415</v>
      </c>
      <c r="M5431" s="4" t="s">
        <v>4412</v>
      </c>
      <c r="N5431" s="4" t="s">
        <v>4235</v>
      </c>
      <c r="O5431" s="4" t="s">
        <v>3000</v>
      </c>
      <c r="P5431" s="4" t="s">
        <v>13916</v>
      </c>
      <c r="Q5431" s="4" t="s">
        <v>13917</v>
      </c>
      <c r="R5431" s="4" t="s">
        <v>4412</v>
      </c>
      <c r="S5431" s="4" t="s">
        <v>4412</v>
      </c>
      <c r="T5431" s="4" t="s">
        <v>1679</v>
      </c>
      <c r="U5431" s="4" t="s">
        <v>13918</v>
      </c>
      <c r="V5431" s="4" t="s">
        <v>13692</v>
      </c>
      <c r="W5431" s="4" t="s">
        <v>13919</v>
      </c>
      <c r="X5431" s="4" t="s">
        <v>4412</v>
      </c>
      <c r="Y5431" s="4" t="s">
        <v>13920</v>
      </c>
      <c r="Z5431" s="4" t="s">
        <v>2949</v>
      </c>
      <c r="AA5431" s="4" t="s">
        <v>4416</v>
      </c>
      <c r="AB5431" s="4" t="s">
        <v>4417</v>
      </c>
      <c r="AC5431" s="4" t="s">
        <v>4412</v>
      </c>
      <c r="AD5431" s="4" t="s">
        <v>1337</v>
      </c>
      <c r="AE5431" s="4" t="s">
        <v>8368</v>
      </c>
      <c r="AF5431" s="4" t="s">
        <v>13921</v>
      </c>
      <c r="AG5431" s="4" t="s">
        <v>13922</v>
      </c>
      <c r="AH5431" s="4" t="s">
        <v>13923</v>
      </c>
      <c r="AI5431" s="4" t="s">
        <v>13924</v>
      </c>
      <c r="AJ5431" s="4" t="s">
        <v>9153</v>
      </c>
      <c r="AK5431" s="4" t="s">
        <v>8375</v>
      </c>
      <c r="AL5431" s="4" t="s">
        <v>13925</v>
      </c>
      <c r="AM5431" s="4" t="s">
        <v>13926</v>
      </c>
      <c r="AN5431" s="4" t="s">
        <v>13041</v>
      </c>
    </row>
    <row r="5432">
      <c r="A5432" s="4">
        <v>834.0</v>
      </c>
      <c r="B5432" s="4" t="s">
        <v>11578</v>
      </c>
      <c r="C5432" s="4"/>
      <c r="D5432" s="4" t="s">
        <v>13927</v>
      </c>
      <c r="E5432" s="4" t="s">
        <v>424</v>
      </c>
      <c r="F5432" s="4" t="s">
        <v>425</v>
      </c>
      <c r="G5432" s="5" t="str">
        <f>IFERROR(__xludf.DUMMYFUNCTION("GOOGLETRANSLATE(D5432,""fr"",""es"")"),"tipos")</f>
        <v>tipos</v>
      </c>
    </row>
    <row r="5433">
      <c r="A5433" s="4">
        <v>835.0</v>
      </c>
      <c r="B5433" s="4" t="s">
        <v>11578</v>
      </c>
      <c r="C5433" s="4"/>
      <c r="D5433" s="4" t="s">
        <v>13928</v>
      </c>
      <c r="E5433" s="4" t="s">
        <v>13751</v>
      </c>
      <c r="F5433" s="4" t="s">
        <v>8798</v>
      </c>
      <c r="G5433" s="5" t="str">
        <f>IFERROR(__xludf.DUMMYFUNCTION("GOOGLETRANSLATE(D5433,""fr"",""es"")"),"Mancha")</f>
        <v>Mancha</v>
      </c>
      <c r="H5433" s="4" t="s">
        <v>9220</v>
      </c>
      <c r="I5433" s="4" t="s">
        <v>9220</v>
      </c>
      <c r="J5433" s="4" t="s">
        <v>9218</v>
      </c>
      <c r="K5433" s="4" t="s">
        <v>9219</v>
      </c>
      <c r="L5433" s="4" t="s">
        <v>9220</v>
      </c>
      <c r="M5433" s="4" t="s">
        <v>9221</v>
      </c>
      <c r="N5433" s="4" t="s">
        <v>1681</v>
      </c>
      <c r="O5433" s="4" t="s">
        <v>9220</v>
      </c>
      <c r="P5433" s="4" t="s">
        <v>9220</v>
      </c>
      <c r="Q5433" s="4" t="s">
        <v>13929</v>
      </c>
      <c r="R5433" s="4" t="s">
        <v>13930</v>
      </c>
      <c r="S5433" s="4" t="s">
        <v>13931</v>
      </c>
      <c r="T5433" s="4" t="s">
        <v>13932</v>
      </c>
      <c r="U5433" s="4" t="s">
        <v>13933</v>
      </c>
      <c r="V5433" s="4" t="s">
        <v>13934</v>
      </c>
      <c r="W5433" s="4" t="s">
        <v>13935</v>
      </c>
      <c r="X5433" s="4" t="s">
        <v>13936</v>
      </c>
      <c r="Y5433" s="4" t="s">
        <v>13935</v>
      </c>
      <c r="Z5433" s="4" t="s">
        <v>1707</v>
      </c>
      <c r="AA5433" s="4" t="s">
        <v>13929</v>
      </c>
      <c r="AB5433" s="4" t="s">
        <v>13929</v>
      </c>
      <c r="AC5433" s="4" t="s">
        <v>9220</v>
      </c>
      <c r="AD5433" s="4" t="s">
        <v>9220</v>
      </c>
      <c r="AE5433" s="4" t="s">
        <v>13937</v>
      </c>
      <c r="AF5433" s="4" t="s">
        <v>9220</v>
      </c>
    </row>
    <row r="5434">
      <c r="A5434" s="4">
        <v>836.0</v>
      </c>
      <c r="B5434" s="4" t="s">
        <v>11578</v>
      </c>
      <c r="C5434" s="4"/>
      <c r="D5434" s="4" t="s">
        <v>13928</v>
      </c>
      <c r="E5434" s="4" t="s">
        <v>13938</v>
      </c>
      <c r="F5434" s="4" t="s">
        <v>8798</v>
      </c>
      <c r="G5434" s="5" t="str">
        <f>IFERROR(__xludf.DUMMYFUNCTION("GOOGLETRANSLATE(D5434,""fr"",""es"")"),"Mancha")</f>
        <v>Mancha</v>
      </c>
      <c r="H5434" s="4" t="s">
        <v>9220</v>
      </c>
      <c r="I5434" s="4" t="s">
        <v>9220</v>
      </c>
      <c r="J5434" s="4" t="s">
        <v>9218</v>
      </c>
      <c r="K5434" s="4" t="s">
        <v>9219</v>
      </c>
      <c r="L5434" s="4" t="s">
        <v>9220</v>
      </c>
      <c r="M5434" s="4" t="s">
        <v>9221</v>
      </c>
      <c r="N5434" s="4" t="s">
        <v>1681</v>
      </c>
      <c r="O5434" s="4" t="s">
        <v>9220</v>
      </c>
      <c r="P5434" s="4" t="s">
        <v>9220</v>
      </c>
      <c r="Q5434" s="4" t="s">
        <v>13929</v>
      </c>
      <c r="R5434" s="4" t="s">
        <v>13930</v>
      </c>
      <c r="S5434" s="4" t="s">
        <v>13931</v>
      </c>
      <c r="T5434" s="4" t="s">
        <v>13932</v>
      </c>
      <c r="U5434" s="4" t="s">
        <v>13933</v>
      </c>
      <c r="V5434" s="4" t="s">
        <v>13934</v>
      </c>
      <c r="W5434" s="4" t="s">
        <v>13935</v>
      </c>
      <c r="X5434" s="4" t="s">
        <v>13936</v>
      </c>
      <c r="Y5434" s="4" t="s">
        <v>13935</v>
      </c>
      <c r="Z5434" s="4" t="s">
        <v>1707</v>
      </c>
      <c r="AA5434" s="4" t="s">
        <v>13929</v>
      </c>
      <c r="AB5434" s="4" t="s">
        <v>13929</v>
      </c>
      <c r="AC5434" s="4" t="s">
        <v>9220</v>
      </c>
      <c r="AD5434" s="4" t="s">
        <v>9220</v>
      </c>
      <c r="AE5434" s="4" t="s">
        <v>13937</v>
      </c>
      <c r="AF5434" s="4" t="s">
        <v>9220</v>
      </c>
    </row>
    <row r="5435">
      <c r="A5435" s="4">
        <v>837.0</v>
      </c>
      <c r="B5435" s="4" t="s">
        <v>11578</v>
      </c>
      <c r="C5435" s="4"/>
      <c r="D5435" s="4" t="s">
        <v>13939</v>
      </c>
      <c r="E5435" s="4" t="s">
        <v>13938</v>
      </c>
      <c r="F5435" s="4" t="s">
        <v>8798</v>
      </c>
      <c r="G5435" s="5" t="str">
        <f>IFERROR(__xludf.DUMMYFUNCTION("GOOGLETRANSLATE(D5435,""fr"",""es"")"),"Tareas")</f>
        <v>Tareas</v>
      </c>
    </row>
    <row r="5436">
      <c r="A5436" s="4">
        <v>838.0</v>
      </c>
      <c r="B5436" s="4" t="s">
        <v>11578</v>
      </c>
      <c r="C5436" s="4"/>
      <c r="D5436" s="4" t="s">
        <v>13940</v>
      </c>
      <c r="E5436" s="4" t="s">
        <v>2010</v>
      </c>
      <c r="F5436" s="4" t="s">
        <v>2011</v>
      </c>
      <c r="G5436" s="5" t="str">
        <f>IFERROR(__xludf.DUMMYFUNCTION("GOOGLETRANSLATE(D5436,""fr"",""es"")"),"hay")</f>
        <v>hay</v>
      </c>
    </row>
    <row r="5437">
      <c r="A5437" s="4">
        <v>839.0</v>
      </c>
      <c r="B5437" s="4" t="s">
        <v>11578</v>
      </c>
      <c r="C5437" s="4"/>
      <c r="D5437" s="4" t="s">
        <v>7969</v>
      </c>
      <c r="E5437" s="4" t="s">
        <v>1870</v>
      </c>
      <c r="F5437" s="4" t="s">
        <v>1871</v>
      </c>
      <c r="G5437" s="5" t="str">
        <f>IFERROR(__xludf.DUMMYFUNCTION("GOOGLETRANSLATE(D5437,""fr"",""es"")"),"quemar")</f>
        <v>quemar</v>
      </c>
      <c r="H5437" s="4" t="s">
        <v>1871</v>
      </c>
      <c r="I5437" s="4" t="s">
        <v>1872</v>
      </c>
      <c r="J5437" s="4" t="s">
        <v>1871</v>
      </c>
      <c r="K5437" s="4" t="s">
        <v>7969</v>
      </c>
      <c r="L5437" s="4" t="s">
        <v>7970</v>
      </c>
      <c r="M5437" s="4" t="s">
        <v>7971</v>
      </c>
      <c r="N5437" s="4" t="s">
        <v>7972</v>
      </c>
    </row>
    <row r="5438">
      <c r="A5438" s="4">
        <v>840.0</v>
      </c>
      <c r="B5438" s="4" t="s">
        <v>11578</v>
      </c>
      <c r="C5438" s="4"/>
      <c r="D5438" s="4" t="s">
        <v>13941</v>
      </c>
      <c r="E5438" s="4" t="s">
        <v>13942</v>
      </c>
      <c r="F5438" s="4" t="s">
        <v>13941</v>
      </c>
      <c r="G5438" s="5" t="str">
        <f>IFERROR(__xludf.DUMMYFUNCTION("GOOGLETRANSLATE(D5438,""fr"",""es"")"),"Yali")</f>
        <v>Yali</v>
      </c>
    </row>
    <row r="5439">
      <c r="A5439" s="4">
        <v>841.0</v>
      </c>
      <c r="B5439" s="4" t="s">
        <v>11578</v>
      </c>
      <c r="C5439" s="4"/>
      <c r="D5439" s="4" t="s">
        <v>13943</v>
      </c>
      <c r="E5439" s="4" t="s">
        <v>13944</v>
      </c>
      <c r="F5439" s="4" t="s">
        <v>13945</v>
      </c>
      <c r="G5439" s="5" t="str">
        <f>IFERROR(__xludf.DUMMYFUNCTION("GOOGLETRANSLATE(D5439,""fr"",""es"")"),"yamachiche")</f>
        <v>yamachiche</v>
      </c>
    </row>
    <row r="5440">
      <c r="A5440" s="4">
        <v>842.0</v>
      </c>
      <c r="B5440" s="4" t="s">
        <v>11578</v>
      </c>
      <c r="C5440" s="4"/>
      <c r="D5440" s="4" t="s">
        <v>13946</v>
      </c>
      <c r="E5440" s="4" t="s">
        <v>13947</v>
      </c>
      <c r="F5440" s="4" t="s">
        <v>3056</v>
      </c>
      <c r="G5440" s="5" t="str">
        <f>IFERROR(__xludf.DUMMYFUNCTION("GOOGLETRANSLATE(D5440,""fr"",""es"")"),"yamme")</f>
        <v>yamme</v>
      </c>
    </row>
    <row r="5441">
      <c r="A5441" s="4">
        <v>843.0</v>
      </c>
      <c r="B5441" s="4" t="s">
        <v>11578</v>
      </c>
      <c r="C5441" s="4"/>
      <c r="D5441" s="4" t="s">
        <v>13948</v>
      </c>
      <c r="E5441" s="4" t="s">
        <v>9088</v>
      </c>
      <c r="F5441" s="4" t="s">
        <v>6388</v>
      </c>
      <c r="G5441" s="5" t="str">
        <f>IFERROR(__xludf.DUMMYFUNCTION("GOOGLETRANSLATE(D5441,""fr"",""es"")"),"Yann")</f>
        <v>Yann</v>
      </c>
    </row>
    <row r="5442">
      <c r="A5442" s="4">
        <v>844.0</v>
      </c>
      <c r="B5442" s="4" t="s">
        <v>11578</v>
      </c>
      <c r="C5442" s="4"/>
      <c r="D5442" s="4" t="s">
        <v>13949</v>
      </c>
      <c r="E5442" s="4" t="s">
        <v>9088</v>
      </c>
      <c r="F5442" s="4" t="s">
        <v>6388</v>
      </c>
      <c r="G5442" s="5" t="str">
        <f>IFERROR(__xludf.DUMMYFUNCTION("GOOGLETRANSLATE(D5442,""fr"",""es"")"),"Yanne")</f>
        <v>Yanne</v>
      </c>
    </row>
    <row r="5443">
      <c r="A5443" s="4">
        <v>845.0</v>
      </c>
      <c r="B5443" s="4" t="s">
        <v>11578</v>
      </c>
      <c r="C5443" s="4"/>
      <c r="D5443" s="4" t="s">
        <v>13950</v>
      </c>
      <c r="E5443" s="4" t="s">
        <v>13951</v>
      </c>
      <c r="F5443" s="4" t="s">
        <v>13952</v>
      </c>
      <c r="G5443" s="5" t="str">
        <f>IFERROR(__xludf.DUMMYFUNCTION("GOOGLETRANSLATE(D5443,""fr"",""es"")"),"Yannick")</f>
        <v>Yannick</v>
      </c>
    </row>
    <row r="5444">
      <c r="A5444" s="4">
        <v>846.0</v>
      </c>
      <c r="B5444" s="4" t="s">
        <v>11578</v>
      </c>
      <c r="C5444" s="4"/>
      <c r="D5444" s="4" t="s">
        <v>7998</v>
      </c>
      <c r="E5444" s="4" t="s">
        <v>13953</v>
      </c>
      <c r="F5444" s="4" t="s">
        <v>7998</v>
      </c>
      <c r="G5444" s="5" t="str">
        <f>IFERROR(__xludf.DUMMYFUNCTION("GOOGLETRANSLATE(D5444,""fr"",""es"")"),"yin")</f>
        <v>yin</v>
      </c>
      <c r="H5444" s="4" t="s">
        <v>7998</v>
      </c>
    </row>
    <row r="5445">
      <c r="A5445" s="4">
        <v>847.0</v>
      </c>
      <c r="B5445" s="4" t="s">
        <v>11578</v>
      </c>
      <c r="C5445" s="4"/>
      <c r="D5445" s="4" t="s">
        <v>13954</v>
      </c>
      <c r="E5445" s="4" t="s">
        <v>13955</v>
      </c>
      <c r="F5445" s="4" t="s">
        <v>13956</v>
      </c>
      <c r="G5445" s="5" t="str">
        <f>IFERROR(__xludf.DUMMYFUNCTION("GOOGLETRANSLATE(D5445,""fr"",""es"")"),"Yoepi")</f>
        <v>Yoepi</v>
      </c>
      <c r="H5445" s="4" t="s">
        <v>13957</v>
      </c>
    </row>
    <row r="5446">
      <c r="A5446" s="4">
        <v>848.0</v>
      </c>
      <c r="B5446" s="4" t="s">
        <v>11578</v>
      </c>
      <c r="C5446" s="4"/>
      <c r="D5446" s="4" t="s">
        <v>13958</v>
      </c>
      <c r="E5446" s="4" t="s">
        <v>13959</v>
      </c>
      <c r="F5446" s="4" t="s">
        <v>13960</v>
      </c>
      <c r="G5446" s="5" t="str">
        <f>IFERROR(__xludf.DUMMYFUNCTION("GOOGLETRANSLATE(D5446,""fr"",""es"")"),"YouPine")</f>
        <v>YouPine</v>
      </c>
    </row>
    <row r="5447">
      <c r="A5447" s="4">
        <v>849.0</v>
      </c>
      <c r="B5447" s="4" t="s">
        <v>11578</v>
      </c>
      <c r="C5447" s="4"/>
      <c r="D5447" s="4" t="s">
        <v>13961</v>
      </c>
      <c r="E5447" s="4" t="s">
        <v>9809</v>
      </c>
      <c r="F5447" s="4" t="s">
        <v>9810</v>
      </c>
      <c r="G5447" s="5" t="str">
        <f>IFERROR(__xludf.DUMMYFUNCTION("GOOGLETRANSLATE(D5447,""fr"",""es"")"),"bote")</f>
        <v>bote</v>
      </c>
      <c r="H5447" s="4" t="s">
        <v>13962</v>
      </c>
      <c r="I5447" s="4" t="s">
        <v>13963</v>
      </c>
      <c r="J5447" s="4" t="s">
        <v>13964</v>
      </c>
      <c r="K5447" s="4" t="s">
        <v>11538</v>
      </c>
      <c r="L5447" s="4" t="s">
        <v>11539</v>
      </c>
      <c r="M5447" s="4" t="s">
        <v>11540</v>
      </c>
    </row>
    <row r="5448">
      <c r="A5448" s="4">
        <v>850.0</v>
      </c>
      <c r="B5448" s="4" t="s">
        <v>11578</v>
      </c>
      <c r="C5448" s="4"/>
      <c r="D5448" s="4" t="s">
        <v>13965</v>
      </c>
      <c r="E5448" s="4" t="s">
        <v>300</v>
      </c>
      <c r="F5448" s="4" t="s">
        <v>301</v>
      </c>
      <c r="G5448" s="5" t="str">
        <f>IFERROR(__xludf.DUMMYFUNCTION("GOOGLETRANSLATE(D5448,""fr"",""es"")"),"ys")</f>
        <v>ys</v>
      </c>
    </row>
    <row r="5449">
      <c r="A5449" s="4">
        <v>851.0</v>
      </c>
      <c r="B5449" s="4" t="s">
        <v>11578</v>
      </c>
      <c r="C5449" s="4"/>
      <c r="D5449" s="4" t="s">
        <v>9837</v>
      </c>
      <c r="E5449" s="4" t="s">
        <v>9836</v>
      </c>
      <c r="F5449" s="4" t="s">
        <v>9837</v>
      </c>
      <c r="G5449" s="5" t="str">
        <f>IFERROR(__xludf.DUMMYFUNCTION("GOOGLETRANSLATE(D5449,""fr"",""es"")"),"Yumi")</f>
        <v>Yumi</v>
      </c>
    </row>
    <row r="5450">
      <c r="A5450" s="4">
        <v>852.0</v>
      </c>
      <c r="B5450" s="4" t="s">
        <v>11578</v>
      </c>
      <c r="C5450" s="4"/>
      <c r="D5450" s="4" t="s">
        <v>13966</v>
      </c>
      <c r="E5450" s="4" t="s">
        <v>591</v>
      </c>
      <c r="F5450" s="4" t="s">
        <v>592</v>
      </c>
      <c r="G5450" s="5" t="str">
        <f>IFERROR(__xludf.DUMMYFUNCTION("GOOGLETRANSLATE(D5450,""fr"",""es"")"),"alma")</f>
        <v>alma</v>
      </c>
      <c r="H5450" s="4" t="s">
        <v>1850</v>
      </c>
      <c r="I5450" s="4" t="s">
        <v>1850</v>
      </c>
      <c r="J5450" s="4" t="s">
        <v>1850</v>
      </c>
      <c r="K5450" s="4" t="s">
        <v>13967</v>
      </c>
      <c r="L5450" s="4" t="s">
        <v>1850</v>
      </c>
      <c r="M5450" s="4" t="s">
        <v>1214</v>
      </c>
    </row>
    <row r="5451">
      <c r="A5451" s="4">
        <v>853.0</v>
      </c>
      <c r="B5451" s="4" t="s">
        <v>11578</v>
      </c>
      <c r="C5451" s="4"/>
      <c r="D5451" s="4" t="s">
        <v>13966</v>
      </c>
      <c r="E5451" s="4" t="s">
        <v>8037</v>
      </c>
      <c r="F5451" s="4" t="s">
        <v>592</v>
      </c>
      <c r="G5451" s="5" t="str">
        <f>IFERROR(__xludf.DUMMYFUNCTION("GOOGLETRANSLATE(D5451,""fr"",""es"")"),"alma")</f>
        <v>alma</v>
      </c>
      <c r="H5451" s="4" t="s">
        <v>1850</v>
      </c>
      <c r="I5451" s="4" t="s">
        <v>1850</v>
      </c>
      <c r="J5451" s="4" t="s">
        <v>1850</v>
      </c>
      <c r="K5451" s="4" t="s">
        <v>13967</v>
      </c>
      <c r="L5451" s="4" t="s">
        <v>1850</v>
      </c>
      <c r="M5451" s="4" t="s">
        <v>1214</v>
      </c>
    </row>
    <row r="5452">
      <c r="A5452" s="4">
        <v>854.0</v>
      </c>
      <c r="B5452" s="4" t="s">
        <v>11578</v>
      </c>
      <c r="C5452" s="4"/>
      <c r="D5452" s="4" t="s">
        <v>13968</v>
      </c>
      <c r="E5452" s="4" t="s">
        <v>8037</v>
      </c>
      <c r="F5452" s="4" t="s">
        <v>592</v>
      </c>
      <c r="G5452" s="5" t="str">
        <f>IFERROR(__xludf.DUMMYFUNCTION("GOOGLETRANSLATE(D5452,""fr"",""es"")"),"almas")</f>
        <v>almas</v>
      </c>
    </row>
    <row r="5453">
      <c r="A5453" s="4">
        <v>855.0</v>
      </c>
      <c r="B5453" s="4" t="s">
        <v>11578</v>
      </c>
      <c r="C5453" s="4"/>
      <c r="D5453" s="4" t="s">
        <v>13969</v>
      </c>
      <c r="E5453" s="4" t="s">
        <v>593</v>
      </c>
      <c r="F5453" s="4" t="s">
        <v>594</v>
      </c>
      <c r="G5453" s="5" t="str">
        <f>IFERROR(__xludf.DUMMYFUNCTION("GOOGLETRANSLATE(D5453,""fr"",""es"")"),"Burro")</f>
        <v>Burro</v>
      </c>
      <c r="H5453" s="4" t="s">
        <v>1627</v>
      </c>
      <c r="I5453" s="4" t="s">
        <v>13970</v>
      </c>
      <c r="J5453" s="4" t="s">
        <v>13971</v>
      </c>
      <c r="K5453" s="4" t="s">
        <v>13972</v>
      </c>
      <c r="L5453" s="4" t="s">
        <v>13973</v>
      </c>
      <c r="M5453" s="4" t="s">
        <v>9113</v>
      </c>
      <c r="N5453" s="4" t="s">
        <v>12208</v>
      </c>
      <c r="O5453" s="4" t="s">
        <v>13971</v>
      </c>
      <c r="P5453" s="4" t="s">
        <v>1627</v>
      </c>
      <c r="Q5453" s="4" t="s">
        <v>2507</v>
      </c>
      <c r="R5453" s="4" t="s">
        <v>2508</v>
      </c>
      <c r="S5453" s="4" t="s">
        <v>2509</v>
      </c>
      <c r="T5453" s="4" t="s">
        <v>2510</v>
      </c>
      <c r="U5453" s="4" t="s">
        <v>2511</v>
      </c>
      <c r="V5453" s="4" t="s">
        <v>2512</v>
      </c>
      <c r="W5453" s="4" t="s">
        <v>2513</v>
      </c>
      <c r="X5453" s="4" t="s">
        <v>2514</v>
      </c>
      <c r="Y5453" s="4" t="s">
        <v>2515</v>
      </c>
    </row>
    <row r="5454">
      <c r="A5454" s="4">
        <v>856.0</v>
      </c>
      <c r="B5454" s="4" t="s">
        <v>11578</v>
      </c>
      <c r="C5454" s="4"/>
      <c r="D5454" s="4" t="s">
        <v>13969</v>
      </c>
      <c r="E5454" s="4" t="s">
        <v>13974</v>
      </c>
      <c r="F5454" s="4" t="s">
        <v>594</v>
      </c>
      <c r="G5454" s="5" t="str">
        <f>IFERROR(__xludf.DUMMYFUNCTION("GOOGLETRANSLATE(D5454,""fr"",""es"")"),"Burro")</f>
        <v>Burro</v>
      </c>
      <c r="H5454" s="4" t="s">
        <v>1627</v>
      </c>
      <c r="I5454" s="4" t="s">
        <v>13970</v>
      </c>
      <c r="J5454" s="4" t="s">
        <v>13971</v>
      </c>
      <c r="K5454" s="4" t="s">
        <v>13972</v>
      </c>
      <c r="L5454" s="4" t="s">
        <v>13973</v>
      </c>
      <c r="M5454" s="4" t="s">
        <v>9113</v>
      </c>
      <c r="N5454" s="4" t="s">
        <v>12208</v>
      </c>
      <c r="O5454" s="4" t="s">
        <v>13971</v>
      </c>
      <c r="P5454" s="4" t="s">
        <v>1627</v>
      </c>
      <c r="Q5454" s="4" t="s">
        <v>2507</v>
      </c>
      <c r="R5454" s="4" t="s">
        <v>2508</v>
      </c>
      <c r="S5454" s="4" t="s">
        <v>2509</v>
      </c>
      <c r="T5454" s="4" t="s">
        <v>2510</v>
      </c>
      <c r="U5454" s="4" t="s">
        <v>2511</v>
      </c>
      <c r="V5454" s="4" t="s">
        <v>2512</v>
      </c>
      <c r="W5454" s="4" t="s">
        <v>2513</v>
      </c>
      <c r="X5454" s="4" t="s">
        <v>2514</v>
      </c>
      <c r="Y5454" s="4" t="s">
        <v>2515</v>
      </c>
    </row>
    <row r="5455">
      <c r="A5455" s="4">
        <v>857.0</v>
      </c>
      <c r="B5455" s="4" t="s">
        <v>11578</v>
      </c>
      <c r="C5455" s="4"/>
      <c r="D5455" s="4" t="s">
        <v>4783</v>
      </c>
      <c r="E5455" s="4" t="s">
        <v>3862</v>
      </c>
      <c r="F5455" s="4" t="s">
        <v>3861</v>
      </c>
      <c r="G5455" s="5" t="str">
        <f>IFERROR(__xludf.DUMMYFUNCTION("GOOGLETRANSLATE(D5455,""fr"",""es"")"),"que")</f>
        <v>que</v>
      </c>
    </row>
    <row r="5456">
      <c r="A5456" s="4">
        <v>858.0</v>
      </c>
      <c r="B5456" s="4" t="s">
        <v>11578</v>
      </c>
      <c r="C5456" s="4"/>
      <c r="D5456" s="4" t="s">
        <v>13975</v>
      </c>
      <c r="E5456" s="4" t="s">
        <v>3862</v>
      </c>
      <c r="F5456" s="4" t="s">
        <v>3861</v>
      </c>
      <c r="G5456" s="5" t="str">
        <f>IFERROR(__xludf.DUMMYFUNCTION("GOOGLETRANSLATE(D5456,""fr"",""es"")"),"que")</f>
        <v>que</v>
      </c>
      <c r="H5456" s="4" t="s">
        <v>12389</v>
      </c>
      <c r="I5456" s="4" t="s">
        <v>12390</v>
      </c>
    </row>
    <row r="5457">
      <c r="A5457" s="4">
        <v>859.0</v>
      </c>
      <c r="B5457" s="4" t="s">
        <v>11578</v>
      </c>
      <c r="C5457" s="4"/>
      <c r="D5457" s="4" t="s">
        <v>13976</v>
      </c>
      <c r="E5457" s="4" t="s">
        <v>9010</v>
      </c>
      <c r="F5457" s="4" t="s">
        <v>6341</v>
      </c>
      <c r="G5457" s="5" t="str">
        <f>IFERROR(__xludf.DUMMYFUNCTION("GOOGLETRANSLATE(D5457,""fr"",""es"")"),"isla")</f>
        <v>isla</v>
      </c>
      <c r="H5457" s="4" t="s">
        <v>1899</v>
      </c>
      <c r="I5457" s="4" t="s">
        <v>13977</v>
      </c>
      <c r="J5457" s="4" t="s">
        <v>13978</v>
      </c>
      <c r="K5457" s="4" t="s">
        <v>13979</v>
      </c>
      <c r="L5457" s="4" t="s">
        <v>13980</v>
      </c>
      <c r="M5457" s="4" t="s">
        <v>13981</v>
      </c>
      <c r="N5457" s="4" t="s">
        <v>13982</v>
      </c>
      <c r="O5457" s="4" t="s">
        <v>13983</v>
      </c>
      <c r="P5457" s="4" t="s">
        <v>13984</v>
      </c>
      <c r="Q5457" s="4" t="s">
        <v>1899</v>
      </c>
      <c r="R5457" s="4" t="s">
        <v>13985</v>
      </c>
      <c r="S5457" s="4" t="s">
        <v>13986</v>
      </c>
    </row>
    <row r="5458">
      <c r="A5458" s="4">
        <v>860.0</v>
      </c>
      <c r="B5458" s="4" t="s">
        <v>11578</v>
      </c>
      <c r="C5458" s="4"/>
      <c r="D5458" s="4" t="s">
        <v>13987</v>
      </c>
      <c r="E5458" s="4" t="s">
        <v>9010</v>
      </c>
      <c r="F5458" s="4" t="s">
        <v>6341</v>
      </c>
      <c r="G5458" s="5" t="str">
        <f>IFERROR(__xludf.DUMMYFUNCTION("GOOGLETRANSLATE(D5458,""fr"",""es"")"),"Islas")</f>
        <v>Islas</v>
      </c>
      <c r="H5458" s="4" t="s">
        <v>13988</v>
      </c>
      <c r="I5458" s="4" t="s">
        <v>13989</v>
      </c>
      <c r="J5458" s="4" t="s">
        <v>1899</v>
      </c>
    </row>
    <row r="5459">
      <c r="A5459" s="4">
        <v>1.0</v>
      </c>
      <c r="B5459" s="4" t="s">
        <v>13990</v>
      </c>
      <c r="C5459" s="4"/>
      <c r="D5459" s="4" t="s">
        <v>11579</v>
      </c>
      <c r="E5459" s="4" t="s">
        <v>11580</v>
      </c>
      <c r="F5459" s="4" t="s">
        <v>11581</v>
      </c>
      <c r="G5459" s="5" t="str">
        <f>IFERROR(__xludf.DUMMYFUNCTION("GOOGLETRANSLATE(D5459,""fr"",""es"")"),"compra")</f>
        <v>compra</v>
      </c>
      <c r="H5459" s="4" t="s">
        <v>11582</v>
      </c>
      <c r="I5459" s="4" t="s">
        <v>11583</v>
      </c>
      <c r="J5459" s="4" t="s">
        <v>11584</v>
      </c>
      <c r="K5459" s="4" t="s">
        <v>11585</v>
      </c>
      <c r="L5459" s="4" t="s">
        <v>11586</v>
      </c>
      <c r="M5459" s="4" t="s">
        <v>8756</v>
      </c>
      <c r="N5459" s="4" t="s">
        <v>8753</v>
      </c>
      <c r="O5459" s="4" t="s">
        <v>8089</v>
      </c>
      <c r="P5459" s="4" t="s">
        <v>7224</v>
      </c>
      <c r="Q5459" s="4" t="s">
        <v>11582</v>
      </c>
      <c r="R5459" s="4" t="s">
        <v>11587</v>
      </c>
      <c r="S5459" s="4" t="s">
        <v>11582</v>
      </c>
      <c r="T5459" s="4" t="s">
        <v>11588</v>
      </c>
      <c r="U5459" s="4" t="s">
        <v>11582</v>
      </c>
      <c r="V5459" s="4" t="s">
        <v>11589</v>
      </c>
      <c r="W5459" s="4" t="s">
        <v>11590</v>
      </c>
      <c r="X5459" s="4" t="s">
        <v>11591</v>
      </c>
    </row>
    <row r="5460">
      <c r="A5460" s="4">
        <v>2.0</v>
      </c>
      <c r="B5460" s="4" t="s">
        <v>13990</v>
      </c>
      <c r="C5460" s="4"/>
      <c r="D5460" s="4" t="s">
        <v>2349</v>
      </c>
      <c r="E5460" s="4" t="s">
        <v>11592</v>
      </c>
      <c r="F5460" s="4" t="s">
        <v>5876</v>
      </c>
      <c r="G5460" s="5" t="str">
        <f>IFERROR(__xludf.DUMMYFUNCTION("GOOGLETRANSLATE(D5460,""fr"",""es"")"),"finalizar")</f>
        <v>finalizar</v>
      </c>
      <c r="H5460" s="4" t="s">
        <v>11593</v>
      </c>
      <c r="I5460" s="4" t="s">
        <v>11594</v>
      </c>
    </row>
    <row r="5461">
      <c r="A5461" s="4">
        <v>3.0</v>
      </c>
      <c r="B5461" s="4" t="s">
        <v>13990</v>
      </c>
      <c r="C5461" s="4"/>
      <c r="D5461" s="4" t="s">
        <v>11595</v>
      </c>
      <c r="E5461" s="4" t="s">
        <v>11596</v>
      </c>
      <c r="F5461" s="4" t="s">
        <v>11597</v>
      </c>
      <c r="G5461" s="5" t="str">
        <f>IFERROR(__xludf.DUMMYFUNCTION("GOOGLETRANSLATE(D5461,""fr"",""es"")"),"Achille")</f>
        <v>Achille</v>
      </c>
      <c r="H5461" s="4" t="s">
        <v>11598</v>
      </c>
      <c r="I5461" s="4" t="s">
        <v>11166</v>
      </c>
      <c r="J5461" s="4" t="s">
        <v>11167</v>
      </c>
      <c r="K5461" s="4" t="s">
        <v>11168</v>
      </c>
      <c r="L5461" s="4" t="s">
        <v>963</v>
      </c>
      <c r="M5461" s="4" t="s">
        <v>11169</v>
      </c>
      <c r="N5461" s="4" t="s">
        <v>11170</v>
      </c>
    </row>
    <row r="5462">
      <c r="A5462" s="4">
        <v>4.0</v>
      </c>
      <c r="B5462" s="4" t="s">
        <v>13990</v>
      </c>
      <c r="C5462" s="4"/>
      <c r="D5462" s="4" t="s">
        <v>8038</v>
      </c>
      <c r="E5462" s="4" t="s">
        <v>815</v>
      </c>
      <c r="F5462" s="4" t="s">
        <v>816</v>
      </c>
      <c r="G5462" s="5" t="str">
        <f>IFERROR(__xludf.DUMMYFUNCTION("GOOGLETRANSLATE(D5462,""fr"",""es"")"),"adquirido")</f>
        <v>adquirido</v>
      </c>
      <c r="H5462" s="4" t="s">
        <v>11599</v>
      </c>
      <c r="I5462" s="4" t="s">
        <v>11600</v>
      </c>
    </row>
    <row r="5463">
      <c r="A5463" s="4">
        <v>5.0</v>
      </c>
      <c r="B5463" s="4" t="s">
        <v>13990</v>
      </c>
      <c r="C5463" s="4"/>
      <c r="D5463" s="4" t="s">
        <v>11601</v>
      </c>
      <c r="E5463" s="4" t="s">
        <v>815</v>
      </c>
      <c r="F5463" s="4" t="s">
        <v>816</v>
      </c>
      <c r="G5463" s="5" t="str">
        <f>IFERROR(__xludf.DUMMYFUNCTION("GOOGLETRANSLATE(D5463,""fr"",""es"")"),"absolver")</f>
        <v>absolver</v>
      </c>
    </row>
    <row r="5464">
      <c r="A5464" s="4">
        <v>6.0</v>
      </c>
      <c r="B5464" s="4" t="s">
        <v>13990</v>
      </c>
      <c r="C5464" s="4"/>
      <c r="D5464" s="4" t="s">
        <v>11602</v>
      </c>
      <c r="E5464" s="4" t="s">
        <v>812</v>
      </c>
      <c r="F5464" s="4" t="s">
        <v>813</v>
      </c>
      <c r="G5464" s="5" t="str">
        <f>IFERROR(__xludf.DUMMYFUNCTION("GOOGLETRANSLATE(D5464,""fr"",""es"")"),"absoluto")</f>
        <v>absoluto</v>
      </c>
    </row>
    <row r="5465">
      <c r="A5465" s="4">
        <v>7.0</v>
      </c>
      <c r="B5465" s="4" t="s">
        <v>13990</v>
      </c>
      <c r="C5465" s="4"/>
      <c r="D5465" s="4" t="s">
        <v>11603</v>
      </c>
      <c r="E5465" s="4" t="s">
        <v>11604</v>
      </c>
      <c r="F5465" s="4" t="s">
        <v>813</v>
      </c>
      <c r="G5465" s="5" t="str">
        <f>IFERROR(__xludf.DUMMYFUNCTION("GOOGLETRANSLATE(D5465,""fr"",""es"")"),"abogados")</f>
        <v>abogados</v>
      </c>
    </row>
    <row r="5466">
      <c r="A5466" s="4">
        <v>8.0</v>
      </c>
      <c r="B5466" s="4" t="s">
        <v>13990</v>
      </c>
      <c r="C5466" s="4"/>
      <c r="D5466" s="4" t="s">
        <v>11605</v>
      </c>
      <c r="E5466" s="4" t="s">
        <v>11606</v>
      </c>
      <c r="F5466" s="4" t="s">
        <v>11607</v>
      </c>
      <c r="G5466" s="5" t="str">
        <f>IFERROR(__xludf.DUMMYFUNCTION("GOOGLETRANSLATE(D5466,""fr"",""es"")"),"abogado")</f>
        <v>abogado</v>
      </c>
    </row>
    <row r="5467">
      <c r="A5467" s="4">
        <v>9.0</v>
      </c>
      <c r="B5467" s="4" t="s">
        <v>13990</v>
      </c>
      <c r="C5467" s="4"/>
      <c r="D5467" s="4" t="s">
        <v>11608</v>
      </c>
      <c r="E5467" s="4" t="s">
        <v>11606</v>
      </c>
      <c r="F5467" s="4" t="s">
        <v>11607</v>
      </c>
      <c r="G5467" s="5" t="str">
        <f>IFERROR(__xludf.DUMMYFUNCTION("GOOGLETRANSLATE(D5467,""fr"",""es"")"),"absolver")</f>
        <v>absolver</v>
      </c>
    </row>
    <row r="5468">
      <c r="A5468" s="4">
        <v>10.0</v>
      </c>
      <c r="B5468" s="4" t="s">
        <v>13990</v>
      </c>
      <c r="C5468" s="4"/>
      <c r="D5468" s="4" t="s">
        <v>11609</v>
      </c>
      <c r="E5468" s="4" t="s">
        <v>11606</v>
      </c>
      <c r="F5468" s="4" t="s">
        <v>11607</v>
      </c>
      <c r="G5468" s="5" t="str">
        <f>IFERROR(__xludf.DUMMYFUNCTION("GOOGLETRANSLATE(D5468,""fr"",""es"")"),"incorporación")</f>
        <v>incorporación</v>
      </c>
    </row>
    <row r="5469">
      <c r="A5469" s="4">
        <v>11.0</v>
      </c>
      <c r="B5469" s="4" t="s">
        <v>13990</v>
      </c>
      <c r="C5469" s="4"/>
      <c r="D5469" s="4" t="s">
        <v>11610</v>
      </c>
      <c r="E5469" s="4" t="s">
        <v>11611</v>
      </c>
      <c r="F5469" s="4" t="s">
        <v>11612</v>
      </c>
      <c r="G5469" s="5" t="str">
        <f>IFERROR(__xludf.DUMMYFUNCTION("GOOGLETRANSLATE(D5469,""fr"",""es"")"),"absoluto")</f>
        <v>absoluto</v>
      </c>
    </row>
    <row r="5470">
      <c r="A5470" s="4">
        <v>12.0</v>
      </c>
      <c r="B5470" s="4" t="s">
        <v>13990</v>
      </c>
      <c r="C5470" s="4"/>
      <c r="D5470" s="4" t="s">
        <v>11613</v>
      </c>
      <c r="E5470" s="4" t="s">
        <v>11604</v>
      </c>
      <c r="F5470" s="4" t="s">
        <v>813</v>
      </c>
      <c r="G5470" s="5" t="str">
        <f>IFERROR(__xludf.DUMMYFUNCTION("GOOGLETRANSLATE(D5470,""fr"",""es"")"),"abogado")</f>
        <v>abogado</v>
      </c>
    </row>
    <row r="5471">
      <c r="A5471" s="4">
        <v>13.0</v>
      </c>
      <c r="B5471" s="4" t="s">
        <v>13990</v>
      </c>
      <c r="C5471" s="4"/>
      <c r="D5471" s="4" t="s">
        <v>527</v>
      </c>
      <c r="E5471" s="4" t="s">
        <v>504</v>
      </c>
      <c r="F5471" s="4" t="s">
        <v>505</v>
      </c>
      <c r="G5471" s="5" t="str">
        <f>IFERROR(__xludf.DUMMYFUNCTION("GOOGLETRANSLATE(D5471,""fr"",""es"")"),"ajo")</f>
        <v>ajo</v>
      </c>
      <c r="H5471" s="4" t="s">
        <v>526</v>
      </c>
      <c r="I5471" s="4" t="s">
        <v>527</v>
      </c>
      <c r="J5471" s="4" t="s">
        <v>526</v>
      </c>
      <c r="K5471" s="4" t="s">
        <v>528</v>
      </c>
    </row>
    <row r="5472">
      <c r="A5472" s="4">
        <v>14.0</v>
      </c>
      <c r="B5472" s="4" t="s">
        <v>13990</v>
      </c>
      <c r="C5472" s="4"/>
      <c r="D5472" s="4" t="s">
        <v>11614</v>
      </c>
      <c r="E5472" s="4" t="s">
        <v>504</v>
      </c>
      <c r="F5472" s="4" t="s">
        <v>505</v>
      </c>
      <c r="G5472" s="5" t="str">
        <f>IFERROR(__xludf.DUMMYFUNCTION("GOOGLETRANSLATE(D5472,""fr"",""es"")"),"ala")</f>
        <v>ala</v>
      </c>
    </row>
    <row r="5473">
      <c r="A5473" s="4">
        <v>15.0</v>
      </c>
      <c r="B5473" s="4" t="s">
        <v>13990</v>
      </c>
      <c r="C5473" s="4"/>
      <c r="D5473" s="4" t="s">
        <v>11615</v>
      </c>
      <c r="E5473" s="4" t="s">
        <v>504</v>
      </c>
      <c r="F5473" s="4" t="s">
        <v>505</v>
      </c>
      <c r="G5473" s="5" t="str">
        <f>IFERROR(__xludf.DUMMYFUNCTION("GOOGLETRANSLATE(D5473,""fr"",""es"")"),"Vamos")</f>
        <v>Vamos</v>
      </c>
    </row>
    <row r="5474">
      <c r="A5474" s="4">
        <v>16.0</v>
      </c>
      <c r="B5474" s="4" t="s">
        <v>13990</v>
      </c>
      <c r="C5474" s="4"/>
      <c r="D5474" s="4" t="s">
        <v>11616</v>
      </c>
      <c r="E5474" s="4" t="s">
        <v>504</v>
      </c>
      <c r="F5474" s="4" t="s">
        <v>505</v>
      </c>
      <c r="G5474" s="5" t="str">
        <f>IFERROR(__xludf.DUMMYFUNCTION("GOOGLETRANSLATE(D5474,""fr"",""es"")"),"heridas")</f>
        <v>heridas</v>
      </c>
    </row>
    <row r="5475">
      <c r="A5475" s="4">
        <v>17.0</v>
      </c>
      <c r="B5475" s="4" t="s">
        <v>13990</v>
      </c>
      <c r="C5475" s="4"/>
      <c r="D5475" s="4" t="s">
        <v>11617</v>
      </c>
      <c r="E5475" s="4" t="s">
        <v>504</v>
      </c>
      <c r="F5475" s="4" t="s">
        <v>505</v>
      </c>
      <c r="G5475" s="5" t="str">
        <f>IFERROR(__xludf.DUMMYFUNCTION("GOOGLETRANSLATE(D5475,""fr"",""es"")"),"almacenamiento")</f>
        <v>almacenamiento</v>
      </c>
    </row>
    <row r="5476">
      <c r="A5476" s="4">
        <v>18.0</v>
      </c>
      <c r="B5476" s="4" t="s">
        <v>13990</v>
      </c>
      <c r="C5476" s="4"/>
      <c r="D5476" s="4" t="s">
        <v>5799</v>
      </c>
      <c r="E5476" s="4" t="s">
        <v>11618</v>
      </c>
      <c r="F5476" s="4" t="s">
        <v>5801</v>
      </c>
      <c r="G5476" s="5" t="str">
        <f>IFERROR(__xludf.DUMMYFUNCTION("GOOGLETRANSLATE(D5476,""fr"",""es"")"),"Alicia")</f>
        <v>Alicia</v>
      </c>
    </row>
    <row r="5477">
      <c r="A5477" s="4">
        <v>19.0</v>
      </c>
      <c r="B5477" s="4" t="s">
        <v>13990</v>
      </c>
      <c r="C5477" s="4"/>
      <c r="D5477" s="4" t="s">
        <v>11619</v>
      </c>
      <c r="E5477" s="4" t="s">
        <v>11620</v>
      </c>
      <c r="F5477" s="4" t="s">
        <v>9262</v>
      </c>
      <c r="G5477" s="5" t="str">
        <f>IFERROR(__xludf.DUMMYFUNCTION("GOOGLETRANSLATE(D5477,""fr"",""es"")"),"Alinear")</f>
        <v>Alinear</v>
      </c>
    </row>
    <row r="5478">
      <c r="A5478" s="4">
        <v>20.0</v>
      </c>
      <c r="B5478" s="4" t="s">
        <v>13990</v>
      </c>
      <c r="C5478" s="4"/>
      <c r="D5478" s="4" t="s">
        <v>11621</v>
      </c>
      <c r="E5478" s="4" t="s">
        <v>11622</v>
      </c>
      <c r="F5478" s="4" t="s">
        <v>11621</v>
      </c>
      <c r="G5478" s="5" t="str">
        <f>IFERROR(__xludf.DUMMYFUNCTION("GOOGLETRANSLATE(D5478,""fr"",""es"")"),"Alita")</f>
        <v>Alita</v>
      </c>
    </row>
    <row r="5479">
      <c r="A5479" s="4">
        <v>21.0</v>
      </c>
      <c r="B5479" s="4" t="s">
        <v>13990</v>
      </c>
      <c r="C5479" s="4"/>
      <c r="D5479" s="4" t="s">
        <v>541</v>
      </c>
      <c r="E5479" s="4" t="s">
        <v>509</v>
      </c>
      <c r="F5479" s="4" t="s">
        <v>508</v>
      </c>
      <c r="G5479" s="5" t="str">
        <f>IFERROR(__xludf.DUMMYFUNCTION("GOOGLETRANSLATE(D5479,""fr"",""es"")"),"alla")</f>
        <v>alla</v>
      </c>
    </row>
    <row r="5480">
      <c r="A5480" s="4">
        <v>22.0</v>
      </c>
      <c r="B5480" s="4" t="s">
        <v>13990</v>
      </c>
      <c r="C5480" s="4"/>
      <c r="D5480" s="4" t="s">
        <v>11623</v>
      </c>
      <c r="E5480" s="4" t="s">
        <v>11624</v>
      </c>
      <c r="F5480" s="4" t="s">
        <v>508</v>
      </c>
      <c r="G5480" s="5" t="str">
        <f>IFERROR(__xludf.DUMMYFUNCTION("GOOGLETRANSLATE(D5480,""fr"",""es"")"),"alas")</f>
        <v>alas</v>
      </c>
    </row>
    <row r="5481">
      <c r="A5481" s="4">
        <v>23.0</v>
      </c>
      <c r="B5481" s="4" t="s">
        <v>13990</v>
      </c>
      <c r="C5481" s="4"/>
      <c r="D5481" s="4" t="s">
        <v>11625</v>
      </c>
      <c r="E5481" s="4" t="s">
        <v>4899</v>
      </c>
      <c r="F5481" s="4" t="s">
        <v>4900</v>
      </c>
      <c r="G5481" s="5" t="str">
        <f>IFERROR(__xludf.DUMMYFUNCTION("GOOGLETRANSLATE(D5481,""fr"",""es"")"),"alegar")</f>
        <v>alegar</v>
      </c>
    </row>
    <row r="5482">
      <c r="A5482" s="4">
        <v>24.0</v>
      </c>
      <c r="B5482" s="4" t="s">
        <v>13990</v>
      </c>
      <c r="C5482" s="4"/>
      <c r="D5482" s="4" t="s">
        <v>11626</v>
      </c>
      <c r="E5482" s="4" t="s">
        <v>4899</v>
      </c>
      <c r="F5482" s="4" t="s">
        <v>4900</v>
      </c>
      <c r="G5482" s="5" t="str">
        <f>IFERROR(__xludf.DUMMYFUNCTION("GOOGLETRANSLATE(D5482,""fr"",""es"")"),"aliviar")</f>
        <v>aliviar</v>
      </c>
    </row>
    <row r="5483">
      <c r="A5483" s="4">
        <v>25.0</v>
      </c>
      <c r="B5483" s="4" t="s">
        <v>13990</v>
      </c>
      <c r="C5483" s="4"/>
      <c r="D5483" s="4" t="s">
        <v>11627</v>
      </c>
      <c r="E5483" s="4" t="s">
        <v>4899</v>
      </c>
      <c r="F5483" s="4" t="s">
        <v>4900</v>
      </c>
      <c r="G5483" s="5" t="str">
        <f>IFERROR(__xludf.DUMMYFUNCTION("GOOGLETRANSLATE(D5483,""fr"",""es"")"),"alegar")</f>
        <v>alegar</v>
      </c>
    </row>
    <row r="5484">
      <c r="A5484" s="4">
        <v>26.0</v>
      </c>
      <c r="B5484" s="4" t="s">
        <v>13990</v>
      </c>
      <c r="C5484" s="4"/>
      <c r="D5484" s="4" t="s">
        <v>11628</v>
      </c>
      <c r="E5484" s="4" t="s">
        <v>507</v>
      </c>
      <c r="F5484" s="4" t="s">
        <v>506</v>
      </c>
      <c r="G5484" s="5" t="str">
        <f>IFERROR(__xludf.DUMMYFUNCTION("GOOGLETRANSLATE(D5484,""fr"",""es"")"),"Vamos")</f>
        <v>Vamos</v>
      </c>
    </row>
    <row r="5485">
      <c r="A5485" s="4">
        <v>27.0</v>
      </c>
      <c r="B5485" s="4" t="s">
        <v>13990</v>
      </c>
      <c r="C5485" s="4"/>
      <c r="D5485" s="4" t="s">
        <v>11629</v>
      </c>
      <c r="E5485" s="4" t="s">
        <v>11630</v>
      </c>
      <c r="F5485" s="4" t="s">
        <v>11631</v>
      </c>
      <c r="G5485" s="5" t="str">
        <f>IFERROR(__xludf.DUMMYFUNCTION("GOOGLETRANSLATE(D5485,""fr"",""es"")"),"permitió")</f>
        <v>permitió</v>
      </c>
    </row>
    <row r="5486">
      <c r="A5486" s="4">
        <v>28.0</v>
      </c>
      <c r="B5486" s="4" t="s">
        <v>13990</v>
      </c>
      <c r="C5486" s="4"/>
      <c r="D5486" s="4" t="s">
        <v>11632</v>
      </c>
      <c r="E5486" s="4" t="s">
        <v>11624</v>
      </c>
      <c r="F5486" s="4" t="s">
        <v>508</v>
      </c>
      <c r="G5486" s="5" t="str">
        <f>IFERROR(__xludf.DUMMYFUNCTION("GOOGLETRANSLATE(D5486,""fr"",""es"")"),"permitir")</f>
        <v>permitir</v>
      </c>
    </row>
    <row r="5487">
      <c r="A5487" s="4">
        <v>29.0</v>
      </c>
      <c r="B5487" s="4" t="s">
        <v>13990</v>
      </c>
      <c r="C5487" s="4"/>
      <c r="D5487" s="4" t="s">
        <v>11633</v>
      </c>
      <c r="E5487" s="4" t="s">
        <v>11634</v>
      </c>
      <c r="F5487" s="4" t="s">
        <v>566</v>
      </c>
      <c r="G5487" s="5" t="str">
        <f>IFERROR(__xludf.DUMMYFUNCTION("GOOGLETRANSLATE(D5487,""fr"",""es"")"),"grupo")</f>
        <v>grupo</v>
      </c>
      <c r="H5487" s="4" t="s">
        <v>1736</v>
      </c>
      <c r="I5487" s="4" t="s">
        <v>1737</v>
      </c>
      <c r="J5487" s="4" t="s">
        <v>1738</v>
      </c>
      <c r="K5487" s="4" t="s">
        <v>1739</v>
      </c>
      <c r="L5487" s="4" t="s">
        <v>1740</v>
      </c>
      <c r="M5487" s="4" t="s">
        <v>1741</v>
      </c>
      <c r="N5487" s="4" t="s">
        <v>484</v>
      </c>
      <c r="O5487" s="4" t="s">
        <v>1742</v>
      </c>
      <c r="P5487" s="4" t="s">
        <v>1743</v>
      </c>
      <c r="Q5487" s="4" t="s">
        <v>1744</v>
      </c>
      <c r="R5487" s="4" t="s">
        <v>1745</v>
      </c>
      <c r="S5487" s="4" t="s">
        <v>1746</v>
      </c>
      <c r="T5487" s="4" t="s">
        <v>1747</v>
      </c>
      <c r="U5487" s="4" t="s">
        <v>1748</v>
      </c>
      <c r="V5487" s="4" t="s">
        <v>1749</v>
      </c>
      <c r="W5487" s="4" t="s">
        <v>1750</v>
      </c>
      <c r="X5487" s="4" t="s">
        <v>483</v>
      </c>
      <c r="Y5487" s="4" t="s">
        <v>1751</v>
      </c>
      <c r="Z5487" s="4" t="s">
        <v>1752</v>
      </c>
      <c r="AA5487" s="4" t="s">
        <v>1753</v>
      </c>
      <c r="AB5487" s="4" t="s">
        <v>1754</v>
      </c>
      <c r="AC5487" s="4" t="s">
        <v>1755</v>
      </c>
      <c r="AD5487" s="4" t="s">
        <v>1756</v>
      </c>
      <c r="AE5487" s="4" t="s">
        <v>1757</v>
      </c>
      <c r="AF5487" s="4" t="s">
        <v>482</v>
      </c>
      <c r="AG5487" s="4" t="s">
        <v>1758</v>
      </c>
      <c r="AH5487" s="4" t="s">
        <v>780</v>
      </c>
    </row>
    <row r="5488">
      <c r="A5488" s="4">
        <v>30.0</v>
      </c>
      <c r="B5488" s="4" t="s">
        <v>13990</v>
      </c>
      <c r="C5488" s="4"/>
      <c r="D5488" s="4" t="s">
        <v>11635</v>
      </c>
      <c r="E5488" s="4" t="s">
        <v>11636</v>
      </c>
      <c r="F5488" s="4" t="s">
        <v>11637</v>
      </c>
      <c r="G5488" s="5" t="str">
        <f>IFERROR(__xludf.DUMMYFUNCTION("GOOGLETRANSLATE(D5488,""fr"",""es"")"),"amassa")</f>
        <v>amassa</v>
      </c>
    </row>
    <row r="5489">
      <c r="A5489" s="4">
        <v>31.0</v>
      </c>
      <c r="B5489" s="4" t="s">
        <v>13990</v>
      </c>
      <c r="C5489" s="4"/>
      <c r="D5489" s="4" t="s">
        <v>11638</v>
      </c>
      <c r="E5489" s="4" t="s">
        <v>11639</v>
      </c>
      <c r="F5489" s="4" t="s">
        <v>11637</v>
      </c>
      <c r="G5489" s="5" t="str">
        <f>IFERROR(__xludf.DUMMYFUNCTION("GOOGLETRANSLATE(D5489,""fr"",""es"")"),"amasas")</f>
        <v>amasas</v>
      </c>
    </row>
    <row r="5490">
      <c r="A5490" s="4">
        <v>32.0</v>
      </c>
      <c r="B5490" s="4" t="s">
        <v>13990</v>
      </c>
      <c r="C5490" s="4"/>
      <c r="D5490" s="4" t="s">
        <v>11640</v>
      </c>
      <c r="E5490" s="4" t="s">
        <v>11641</v>
      </c>
      <c r="F5490" s="4" t="s">
        <v>11642</v>
      </c>
      <c r="G5490" s="5" t="str">
        <f>IFERROR(__xludf.DUMMYFUNCTION("GOOGLETRANSLATE(D5490,""fr"",""es"")"),"pasarela")</f>
        <v>pasarela</v>
      </c>
    </row>
    <row r="5491">
      <c r="A5491" s="4">
        <v>33.0</v>
      </c>
      <c r="B5491" s="4" t="s">
        <v>13990</v>
      </c>
      <c r="C5491" s="4"/>
      <c r="D5491" s="4" t="s">
        <v>11643</v>
      </c>
      <c r="E5491" s="4" t="s">
        <v>11641</v>
      </c>
      <c r="F5491" s="4" t="s">
        <v>11642</v>
      </c>
      <c r="G5491" s="5" t="str">
        <f>IFERROR(__xludf.DUMMYFUNCTION("GOOGLETRANSLATE(D5491,""fr"",""es"")"),"acelerar")</f>
        <v>acelerar</v>
      </c>
    </row>
    <row r="5492">
      <c r="A5492" s="4">
        <v>34.0</v>
      </c>
      <c r="B5492" s="4" t="s">
        <v>13990</v>
      </c>
      <c r="C5492" s="4"/>
      <c r="D5492" s="4" t="s">
        <v>11644</v>
      </c>
      <c r="E5492" s="4" t="s">
        <v>11641</v>
      </c>
      <c r="F5492" s="4" t="s">
        <v>11642</v>
      </c>
      <c r="G5492" s="5" t="str">
        <f>IFERROR(__xludf.DUMMYFUNCTION("GOOGLETRANSLATE(D5492,""fr"",""es"")"),"vaina")</f>
        <v>vaina</v>
      </c>
    </row>
    <row r="5493">
      <c r="A5493" s="4">
        <v>35.0</v>
      </c>
      <c r="B5493" s="4" t="s">
        <v>13990</v>
      </c>
      <c r="C5493" s="4"/>
      <c r="D5493" s="4" t="s">
        <v>11645</v>
      </c>
      <c r="E5493" s="4" t="s">
        <v>11646</v>
      </c>
      <c r="F5493" s="4" t="s">
        <v>11633</v>
      </c>
      <c r="G5493" s="5" t="str">
        <f>IFERROR(__xludf.DUMMYFUNCTION("GOOGLETRANSLATE(D5493,""fr"",""es"")"),"vaina")</f>
        <v>vaina</v>
      </c>
    </row>
    <row r="5494">
      <c r="A5494" s="4">
        <v>36.0</v>
      </c>
      <c r="B5494" s="4" t="s">
        <v>13990</v>
      </c>
      <c r="C5494" s="4"/>
      <c r="D5494" s="4" t="s">
        <v>11647</v>
      </c>
      <c r="E5494" s="4" t="s">
        <v>11646</v>
      </c>
      <c r="F5494" s="4" t="s">
        <v>11633</v>
      </c>
      <c r="G5494" s="5" t="str">
        <f>IFERROR(__xludf.DUMMYFUNCTION("GOOGLETRANSLATE(D5494,""fr"",""es"")"),"montón")</f>
        <v>montón</v>
      </c>
    </row>
    <row r="5495">
      <c r="A5495" s="4">
        <v>37.0</v>
      </c>
      <c r="B5495" s="4" t="s">
        <v>13990</v>
      </c>
      <c r="C5495" s="4"/>
      <c r="D5495" s="4" t="s">
        <v>11648</v>
      </c>
      <c r="E5495" s="4" t="s">
        <v>11646</v>
      </c>
      <c r="F5495" s="4" t="s">
        <v>11633</v>
      </c>
      <c r="G5495" s="5" t="str">
        <f>IFERROR(__xludf.DUMMYFUNCTION("GOOGLETRANSLATE(D5495,""fr"",""es"")"),"Almendras")</f>
        <v>Almendras</v>
      </c>
    </row>
    <row r="5496">
      <c r="A5496" s="4">
        <v>38.0</v>
      </c>
      <c r="B5496" s="4" t="s">
        <v>13990</v>
      </c>
      <c r="C5496" s="4"/>
      <c r="D5496" s="4" t="s">
        <v>11649</v>
      </c>
      <c r="E5496" s="4" t="s">
        <v>11650</v>
      </c>
      <c r="F5496" s="4" t="s">
        <v>11651</v>
      </c>
      <c r="G5496" s="5" t="str">
        <f>IFERROR(__xludf.DUMMYFUNCTION("GOOGLETRANSLATE(D5496,""fr"",""es"")"),"amassaâme")</f>
        <v>amassaâme</v>
      </c>
    </row>
    <row r="5497">
      <c r="A5497" s="4">
        <v>39.0</v>
      </c>
      <c r="B5497" s="4" t="s">
        <v>13990</v>
      </c>
      <c r="C5497" s="4"/>
      <c r="D5497" s="4" t="s">
        <v>11652</v>
      </c>
      <c r="E5497" s="4" t="s">
        <v>11639</v>
      </c>
      <c r="F5497" s="4" t="s">
        <v>11637</v>
      </c>
      <c r="G5497" s="5" t="str">
        <f>IFERROR(__xludf.DUMMYFUNCTION("GOOGLETRANSLATE(D5497,""fr"",""es"")"),"amasas")</f>
        <v>amasas</v>
      </c>
    </row>
    <row r="5498">
      <c r="A5498" s="4">
        <v>40.0</v>
      </c>
      <c r="B5498" s="4" t="s">
        <v>13990</v>
      </c>
      <c r="C5498" s="4"/>
      <c r="D5498" s="4" t="s">
        <v>8040</v>
      </c>
      <c r="E5498" s="4" t="s">
        <v>11653</v>
      </c>
      <c r="F5498" s="4" t="s">
        <v>8040</v>
      </c>
      <c r="G5498" s="5" t="str">
        <f>IFERROR(__xludf.DUMMYFUNCTION("GOOGLETRANSLATE(D5498,""fr"",""es"")"),"amati")</f>
        <v>amati</v>
      </c>
    </row>
    <row r="5499">
      <c r="A5499" s="4">
        <v>41.0</v>
      </c>
      <c r="B5499" s="4" t="s">
        <v>13990</v>
      </c>
      <c r="C5499" s="4"/>
      <c r="D5499" s="4" t="s">
        <v>11654</v>
      </c>
      <c r="E5499" s="4" t="s">
        <v>11655</v>
      </c>
      <c r="F5499" s="4" t="s">
        <v>11654</v>
      </c>
      <c r="G5499" s="5" t="str">
        <f>IFERROR(__xludf.DUMMYFUNCTION("GOOGLETRANSLATE(D5499,""fr"",""es"")"),"amigo")</f>
        <v>amigo</v>
      </c>
      <c r="H5499" s="4" t="s">
        <v>11656</v>
      </c>
      <c r="I5499" s="4" t="s">
        <v>11657</v>
      </c>
      <c r="J5499" s="4" t="s">
        <v>11658</v>
      </c>
      <c r="K5499" s="4" t="s">
        <v>602</v>
      </c>
      <c r="L5499" s="4" t="s">
        <v>5816</v>
      </c>
      <c r="M5499" s="4" t="s">
        <v>602</v>
      </c>
      <c r="N5499" s="4" t="s">
        <v>9151</v>
      </c>
      <c r="O5499" s="4" t="s">
        <v>9152</v>
      </c>
      <c r="P5499" s="4" t="s">
        <v>9153</v>
      </c>
      <c r="Q5499" s="4" t="s">
        <v>9154</v>
      </c>
      <c r="R5499" s="4" t="s">
        <v>9155</v>
      </c>
      <c r="S5499" s="4" t="s">
        <v>602</v>
      </c>
      <c r="T5499" s="4" t="s">
        <v>603</v>
      </c>
      <c r="U5499" s="4" t="s">
        <v>604</v>
      </c>
      <c r="V5499" s="4" t="s">
        <v>605</v>
      </c>
      <c r="W5499" s="4" t="s">
        <v>606</v>
      </c>
      <c r="X5499" s="4" t="s">
        <v>607</v>
      </c>
      <c r="Y5499" s="4" t="s">
        <v>602</v>
      </c>
    </row>
    <row r="5500">
      <c r="A5500" s="4">
        <v>42.0</v>
      </c>
      <c r="B5500" s="4" t="s">
        <v>13990</v>
      </c>
      <c r="C5500" s="4"/>
      <c r="D5500" s="4" t="s">
        <v>11659</v>
      </c>
      <c r="E5500" s="4" t="s">
        <v>11660</v>
      </c>
      <c r="F5500" s="4" t="s">
        <v>11661</v>
      </c>
      <c r="G5500" s="5" t="str">
        <f>IFERROR(__xludf.DUMMYFUNCTION("GOOGLETRANSLATE(D5500,""fr"",""es"")"),"amigable")</f>
        <v>amigable</v>
      </c>
      <c r="H5500" s="4" t="s">
        <v>11662</v>
      </c>
      <c r="I5500" s="4" t="s">
        <v>11663</v>
      </c>
      <c r="J5500" s="4" t="s">
        <v>11664</v>
      </c>
      <c r="K5500" s="4" t="s">
        <v>11665</v>
      </c>
      <c r="L5500" s="4" t="s">
        <v>11666</v>
      </c>
    </row>
    <row r="5501">
      <c r="A5501" s="4">
        <v>43.0</v>
      </c>
      <c r="B5501" s="4" t="s">
        <v>13990</v>
      </c>
      <c r="C5501" s="4"/>
      <c r="D5501" s="4" t="s">
        <v>11667</v>
      </c>
      <c r="E5501" s="4" t="s">
        <v>11660</v>
      </c>
      <c r="F5501" s="4" t="s">
        <v>11661</v>
      </c>
      <c r="G5501" s="5" t="str">
        <f>IFERROR(__xludf.DUMMYFUNCTION("GOOGLETRANSLATE(D5501,""fr"",""es"")"),"amigable")</f>
        <v>amigable</v>
      </c>
    </row>
    <row r="5502">
      <c r="A5502" s="4">
        <v>44.0</v>
      </c>
      <c r="B5502" s="4" t="s">
        <v>13990</v>
      </c>
      <c r="C5502" s="4"/>
      <c r="D5502" s="4" t="s">
        <v>11668</v>
      </c>
      <c r="E5502" s="4" t="s">
        <v>11655</v>
      </c>
      <c r="F5502" s="4" t="s">
        <v>11654</v>
      </c>
      <c r="G5502" s="5" t="str">
        <f>IFERROR(__xludf.DUMMYFUNCTION("GOOGLETRANSLATE(D5502,""fr"",""es"")"),"AMCT")</f>
        <v>AMCT</v>
      </c>
    </row>
    <row r="5503">
      <c r="A5503" s="4">
        <v>45.0</v>
      </c>
      <c r="B5503" s="4" t="s">
        <v>13990</v>
      </c>
      <c r="C5503" s="4"/>
      <c r="D5503" s="4" t="s">
        <v>11669</v>
      </c>
      <c r="E5503" s="4" t="s">
        <v>11655</v>
      </c>
      <c r="F5503" s="4" t="s">
        <v>11654</v>
      </c>
      <c r="G5503" s="5" t="str">
        <f>IFERROR(__xludf.DUMMYFUNCTION("GOOGLETRANSLATE(D5503,""fr"",""es"")"),"Amiga")</f>
        <v>Amiga</v>
      </c>
      <c r="H5503" s="4" t="s">
        <v>11656</v>
      </c>
      <c r="I5503" s="4" t="s">
        <v>11657</v>
      </c>
      <c r="J5503" s="4" t="s">
        <v>602</v>
      </c>
    </row>
    <row r="5504">
      <c r="A5504" s="4">
        <v>46.0</v>
      </c>
      <c r="B5504" s="4" t="s">
        <v>13990</v>
      </c>
      <c r="C5504" s="4"/>
      <c r="D5504" s="4" t="s">
        <v>11670</v>
      </c>
      <c r="E5504" s="4" t="s">
        <v>11655</v>
      </c>
      <c r="F5504" s="4" t="s">
        <v>11654</v>
      </c>
      <c r="G5504" s="5" t="str">
        <f>IFERROR(__xludf.DUMMYFUNCTION("GOOGLETRANSLATE(D5504,""fr"",""es"")"),"amigos")</f>
        <v>amigos</v>
      </c>
    </row>
    <row r="5505">
      <c r="A5505" s="4">
        <v>47.0</v>
      </c>
      <c r="B5505" s="4" t="s">
        <v>13990</v>
      </c>
      <c r="C5505" s="4"/>
      <c r="D5505" s="4" t="s">
        <v>9287</v>
      </c>
      <c r="E5505" s="4" t="s">
        <v>11655</v>
      </c>
      <c r="F5505" s="4" t="s">
        <v>11654</v>
      </c>
      <c r="G5505" s="5" t="str">
        <f>IFERROR(__xludf.DUMMYFUNCTION("GOOGLETRANSLATE(D5505,""fr"",""es"")"),"amigos")</f>
        <v>amigos</v>
      </c>
    </row>
    <row r="5506">
      <c r="A5506" s="4">
        <v>48.0</v>
      </c>
      <c r="B5506" s="4" t="s">
        <v>13990</v>
      </c>
      <c r="C5506" s="4"/>
      <c r="D5506" s="4" t="s">
        <v>622</v>
      </c>
      <c r="E5506" s="4" t="s">
        <v>623</v>
      </c>
      <c r="F5506" s="4" t="s">
        <v>622</v>
      </c>
      <c r="G5506" s="5" t="str">
        <f>IFERROR(__xludf.DUMMYFUNCTION("GOOGLETRANSLATE(D5506,""fr"",""es"")"),"anal")</f>
        <v>anal</v>
      </c>
      <c r="H5506" s="4" t="s">
        <v>622</v>
      </c>
      <c r="I5506" s="4" t="s">
        <v>624</v>
      </c>
      <c r="J5506" s="4" t="s">
        <v>622</v>
      </c>
    </row>
    <row r="5507">
      <c r="A5507" s="4">
        <v>49.0</v>
      </c>
      <c r="B5507" s="4" t="s">
        <v>13990</v>
      </c>
      <c r="C5507" s="4"/>
      <c r="D5507" s="4" t="s">
        <v>11671</v>
      </c>
      <c r="E5507" s="4" t="s">
        <v>623</v>
      </c>
      <c r="F5507" s="4" t="s">
        <v>622</v>
      </c>
      <c r="G5507" s="5" t="str">
        <f>IFERROR(__xludf.DUMMYFUNCTION("GOOGLETRANSLATE(D5507,""fr"",""es"")"),"anal")</f>
        <v>anal</v>
      </c>
    </row>
    <row r="5508">
      <c r="A5508" s="4">
        <v>50.0</v>
      </c>
      <c r="B5508" s="4" t="s">
        <v>13990</v>
      </c>
      <c r="C5508" s="4"/>
      <c r="D5508" s="4" t="s">
        <v>11672</v>
      </c>
      <c r="E5508" s="4" t="s">
        <v>623</v>
      </c>
      <c r="F5508" s="4" t="s">
        <v>622</v>
      </c>
      <c r="G5508" s="5" t="str">
        <f>IFERROR(__xludf.DUMMYFUNCTION("GOOGLETRANSLATE(D5508,""fr"",""es"")"),"anal")</f>
        <v>anal</v>
      </c>
    </row>
    <row r="5509">
      <c r="A5509" s="4">
        <v>51.0</v>
      </c>
      <c r="B5509" s="4" t="s">
        <v>13990</v>
      </c>
      <c r="C5509" s="4"/>
      <c r="D5509" s="4" t="s">
        <v>3547</v>
      </c>
      <c r="E5509" s="4" t="s">
        <v>5023</v>
      </c>
      <c r="F5509" s="4" t="s">
        <v>5024</v>
      </c>
      <c r="G5509" s="5" t="str">
        <f>IFERROR(__xludf.DUMMYFUNCTION("GOOGLETRANSLATE(D5509,""fr"",""es"")"),"piña")</f>
        <v>piña</v>
      </c>
      <c r="H5509" s="4" t="s">
        <v>3546</v>
      </c>
      <c r="I5509" s="4" t="s">
        <v>3547</v>
      </c>
      <c r="J5509" s="4" t="s">
        <v>9290</v>
      </c>
      <c r="K5509" s="4" t="s">
        <v>9291</v>
      </c>
      <c r="L5509" s="4" t="s">
        <v>9290</v>
      </c>
      <c r="M5509" s="4" t="s">
        <v>9291</v>
      </c>
      <c r="N5509" s="4" t="s">
        <v>3546</v>
      </c>
      <c r="O5509" s="4" t="s">
        <v>8943</v>
      </c>
      <c r="P5509" s="4" t="s">
        <v>8944</v>
      </c>
    </row>
    <row r="5510">
      <c r="A5510" s="4">
        <v>52.0</v>
      </c>
      <c r="B5510" s="4" t="s">
        <v>13990</v>
      </c>
      <c r="C5510" s="4"/>
      <c r="D5510" s="4" t="s">
        <v>3547</v>
      </c>
      <c r="E5510" s="4" t="s">
        <v>4810</v>
      </c>
      <c r="F5510" s="4" t="s">
        <v>3547</v>
      </c>
      <c r="G5510" s="5" t="str">
        <f>IFERROR(__xludf.DUMMYFUNCTION("GOOGLETRANSLATE(D5510,""fr"",""es"")"),"piña")</f>
        <v>piña</v>
      </c>
      <c r="H5510" s="4" t="s">
        <v>3546</v>
      </c>
      <c r="I5510" s="4" t="s">
        <v>3547</v>
      </c>
      <c r="J5510" s="4" t="s">
        <v>9290</v>
      </c>
      <c r="K5510" s="4" t="s">
        <v>9291</v>
      </c>
      <c r="L5510" s="4" t="s">
        <v>9290</v>
      </c>
      <c r="M5510" s="4" t="s">
        <v>9291</v>
      </c>
      <c r="N5510" s="4" t="s">
        <v>3546</v>
      </c>
      <c r="O5510" s="4" t="s">
        <v>8943</v>
      </c>
      <c r="P5510" s="4" t="s">
        <v>8944</v>
      </c>
    </row>
    <row r="5511">
      <c r="A5511" s="4">
        <v>53.0</v>
      </c>
      <c r="B5511" s="4" t="s">
        <v>13990</v>
      </c>
      <c r="C5511" s="4"/>
      <c r="D5511" s="4" t="s">
        <v>11673</v>
      </c>
      <c r="E5511" s="4" t="s">
        <v>11674</v>
      </c>
      <c r="F5511" s="4" t="s">
        <v>11675</v>
      </c>
      <c r="G5511" s="5" t="str">
        <f>IFERROR(__xludf.DUMMYFUNCTION("GOOGLETRANSLATE(D5511,""fr"",""es"")"),"anilla")</f>
        <v>anilla</v>
      </c>
    </row>
    <row r="5512">
      <c r="A5512" s="4">
        <v>54.0</v>
      </c>
      <c r="B5512" s="4" t="s">
        <v>13990</v>
      </c>
      <c r="C5512" s="4"/>
      <c r="D5512" s="4" t="s">
        <v>654</v>
      </c>
      <c r="E5512" s="4" t="s">
        <v>655</v>
      </c>
      <c r="F5512" s="4" t="s">
        <v>654</v>
      </c>
      <c r="G5512" s="5" t="str">
        <f>IFERROR(__xludf.DUMMYFUNCTION("GOOGLETRANSLATE(D5512,""fr"",""es"")"),"animal")</f>
        <v>animal</v>
      </c>
      <c r="H5512" s="4" t="s">
        <v>654</v>
      </c>
      <c r="I5512" s="4" t="s">
        <v>656</v>
      </c>
      <c r="J5512" s="4" t="s">
        <v>657</v>
      </c>
      <c r="K5512" s="4" t="s">
        <v>658</v>
      </c>
      <c r="L5512" s="4" t="s">
        <v>659</v>
      </c>
      <c r="M5512" s="4" t="s">
        <v>660</v>
      </c>
      <c r="N5512" s="4" t="s">
        <v>11676</v>
      </c>
      <c r="O5512" s="4" t="s">
        <v>11677</v>
      </c>
      <c r="P5512" s="4" t="s">
        <v>11678</v>
      </c>
      <c r="Q5512" s="4" t="s">
        <v>654</v>
      </c>
      <c r="R5512" s="4" t="s">
        <v>661</v>
      </c>
      <c r="S5512" s="4" t="s">
        <v>662</v>
      </c>
      <c r="T5512" s="4" t="s">
        <v>663</v>
      </c>
    </row>
    <row r="5513">
      <c r="A5513" s="4">
        <v>55.0</v>
      </c>
      <c r="B5513" s="4" t="s">
        <v>13990</v>
      </c>
      <c r="C5513" s="4"/>
      <c r="D5513" s="4" t="s">
        <v>11679</v>
      </c>
      <c r="E5513" s="4" t="s">
        <v>655</v>
      </c>
      <c r="F5513" s="4" t="s">
        <v>654</v>
      </c>
      <c r="G5513" s="5" t="str">
        <f>IFERROR(__xludf.DUMMYFUNCTION("GOOGLETRANSLATE(D5513,""fr"",""es"")"),"animal")</f>
        <v>animal</v>
      </c>
    </row>
    <row r="5514">
      <c r="A5514" s="4">
        <v>56.0</v>
      </c>
      <c r="B5514" s="4" t="s">
        <v>13990</v>
      </c>
      <c r="C5514" s="4"/>
      <c r="D5514" s="4" t="s">
        <v>11680</v>
      </c>
      <c r="E5514" s="4" t="s">
        <v>655</v>
      </c>
      <c r="F5514" s="4" t="s">
        <v>654</v>
      </c>
      <c r="G5514" s="5" t="str">
        <f>IFERROR(__xludf.DUMMYFUNCTION("GOOGLETRANSLATE(D5514,""fr"",""es"")"),"animal")</f>
        <v>animal</v>
      </c>
    </row>
    <row r="5515">
      <c r="A5515" s="4">
        <v>57.0</v>
      </c>
      <c r="B5515" s="4" t="s">
        <v>13990</v>
      </c>
      <c r="C5515" s="4"/>
      <c r="D5515" s="4" t="s">
        <v>11681</v>
      </c>
      <c r="E5515" s="4" t="s">
        <v>11682</v>
      </c>
      <c r="F5515" s="4" t="s">
        <v>11683</v>
      </c>
      <c r="G5515" s="5" t="str">
        <f>IFERROR(__xludf.DUMMYFUNCTION("GOOGLETRANSLATE(D5515,""fr"",""es"")"),"animal")</f>
        <v>animal</v>
      </c>
    </row>
    <row r="5516">
      <c r="A5516" s="4">
        <v>58.0</v>
      </c>
      <c r="B5516" s="4" t="s">
        <v>13990</v>
      </c>
      <c r="C5516" s="4"/>
      <c r="D5516" s="4" t="s">
        <v>11684</v>
      </c>
      <c r="E5516" s="4" t="s">
        <v>11682</v>
      </c>
      <c r="F5516" s="4" t="s">
        <v>11683</v>
      </c>
      <c r="G5516" s="5" t="str">
        <f>IFERROR(__xludf.DUMMYFUNCTION("GOOGLETRANSLATE(D5516,""fr"",""es"")"),"animal")</f>
        <v>animal</v>
      </c>
    </row>
    <row r="5517">
      <c r="A5517" s="4">
        <v>59.0</v>
      </c>
      <c r="B5517" s="4" t="s">
        <v>13990</v>
      </c>
      <c r="C5517" s="4"/>
      <c r="D5517" s="4" t="s">
        <v>11685</v>
      </c>
      <c r="E5517" s="4" t="s">
        <v>4749</v>
      </c>
      <c r="F5517" s="4" t="s">
        <v>4750</v>
      </c>
      <c r="G5517" s="5" t="str">
        <f>IFERROR(__xludf.DUMMYFUNCTION("GOOGLETRANSLATE(D5517,""fr"",""es"")"),"anime")</f>
        <v>anime</v>
      </c>
    </row>
    <row r="5518">
      <c r="A5518" s="4">
        <v>60.0</v>
      </c>
      <c r="B5518" s="4" t="s">
        <v>13990</v>
      </c>
      <c r="C5518" s="4"/>
      <c r="D5518" s="4" t="s">
        <v>747</v>
      </c>
      <c r="E5518" s="4" t="s">
        <v>743</v>
      </c>
      <c r="F5518" s="4" t="s">
        <v>744</v>
      </c>
      <c r="G5518" s="5" t="str">
        <f>IFERROR(__xludf.DUMMYFUNCTION("GOOGLETRANSLATE(D5518,""fr"",""es"")"),"anís")</f>
        <v>anís</v>
      </c>
      <c r="H5518" s="4" t="s">
        <v>748</v>
      </c>
      <c r="I5518" s="4" t="s">
        <v>749</v>
      </c>
      <c r="J5518" s="4" t="s">
        <v>750</v>
      </c>
      <c r="K5518" s="4" t="s">
        <v>748</v>
      </c>
      <c r="L5518" s="4" t="s">
        <v>753</v>
      </c>
      <c r="M5518" s="4" t="s">
        <v>754</v>
      </c>
    </row>
    <row r="5519">
      <c r="A5519" s="4">
        <v>61.0</v>
      </c>
      <c r="B5519" s="4" t="s">
        <v>13990</v>
      </c>
      <c r="C5519" s="4"/>
      <c r="D5519" s="4" t="s">
        <v>747</v>
      </c>
      <c r="E5519" s="4" t="s">
        <v>746</v>
      </c>
      <c r="F5519" s="4" t="s">
        <v>747</v>
      </c>
      <c r="G5519" s="5" t="str">
        <f>IFERROR(__xludf.DUMMYFUNCTION("GOOGLETRANSLATE(D5519,""fr"",""es"")"),"anís")</f>
        <v>anís</v>
      </c>
      <c r="H5519" s="4" t="s">
        <v>748</v>
      </c>
      <c r="I5519" s="4" t="s">
        <v>749</v>
      </c>
      <c r="J5519" s="4" t="s">
        <v>750</v>
      </c>
      <c r="K5519" s="4" t="s">
        <v>748</v>
      </c>
      <c r="L5519" s="4" t="s">
        <v>753</v>
      </c>
      <c r="M5519" s="4" t="s">
        <v>754</v>
      </c>
    </row>
    <row r="5520">
      <c r="A5520" s="4">
        <v>62.0</v>
      </c>
      <c r="B5520" s="4" t="s">
        <v>13990</v>
      </c>
      <c r="C5520" s="4"/>
      <c r="D5520" s="4" t="s">
        <v>9294</v>
      </c>
      <c r="E5520" s="4" t="s">
        <v>11686</v>
      </c>
      <c r="F5520" s="4" t="s">
        <v>9294</v>
      </c>
      <c r="G5520" s="5" t="str">
        <f>IFERROR(__xludf.DUMMYFUNCTION("GOOGLETRANSLATE(D5520,""fr"",""es"")"),"Anita")</f>
        <v>Anita</v>
      </c>
    </row>
    <row r="5521">
      <c r="A5521" s="4">
        <v>63.0</v>
      </c>
      <c r="B5521" s="4" t="s">
        <v>13990</v>
      </c>
      <c r="C5521" s="4"/>
      <c r="D5521" s="4" t="s">
        <v>11687</v>
      </c>
      <c r="E5521" s="4" t="s">
        <v>740</v>
      </c>
      <c r="F5521" s="4" t="s">
        <v>741</v>
      </c>
      <c r="G5521" s="5" t="str">
        <f>IFERROR(__xludf.DUMMYFUNCTION("GOOGLETRANSLATE(D5521,""fr"",""es"")"),"Anna")</f>
        <v>Anna</v>
      </c>
    </row>
    <row r="5522">
      <c r="A5522" s="4">
        <v>64.0</v>
      </c>
      <c r="B5522" s="4" t="s">
        <v>13990</v>
      </c>
      <c r="C5522" s="4"/>
      <c r="D5522" s="4" t="s">
        <v>11688</v>
      </c>
      <c r="E5522" s="4" t="s">
        <v>623</v>
      </c>
      <c r="F5522" s="4" t="s">
        <v>622</v>
      </c>
      <c r="G5522" s="5" t="str">
        <f>IFERROR(__xludf.DUMMYFUNCTION("GOOGLETRANSLATE(D5522,""fr"",""es"")"),"annal")</f>
        <v>annal</v>
      </c>
    </row>
    <row r="5523">
      <c r="A5523" s="4">
        <v>65.0</v>
      </c>
      <c r="B5523" s="4" t="s">
        <v>13990</v>
      </c>
      <c r="C5523" s="4"/>
      <c r="D5523" s="4" t="s">
        <v>11689</v>
      </c>
      <c r="E5523" s="4" t="s">
        <v>623</v>
      </c>
      <c r="F5523" s="4" t="s">
        <v>622</v>
      </c>
      <c r="G5523" s="5" t="str">
        <f>IFERROR(__xludf.DUMMYFUNCTION("GOOGLETRANSLATE(D5523,""fr"",""es"")"),"annale")</f>
        <v>annale</v>
      </c>
    </row>
    <row r="5524">
      <c r="A5524" s="4">
        <v>66.0</v>
      </c>
      <c r="B5524" s="4" t="s">
        <v>13990</v>
      </c>
      <c r="C5524" s="4"/>
      <c r="D5524" s="4" t="s">
        <v>11690</v>
      </c>
      <c r="E5524" s="4" t="s">
        <v>623</v>
      </c>
      <c r="F5524" s="4" t="s">
        <v>622</v>
      </c>
      <c r="G5524" s="5" t="str">
        <f>IFERROR(__xludf.DUMMYFUNCTION("GOOGLETRANSLATE(D5524,""fr"",""es"")"),"anales")</f>
        <v>anales</v>
      </c>
    </row>
    <row r="5525">
      <c r="A5525" s="4">
        <v>67.0</v>
      </c>
      <c r="B5525" s="4" t="s">
        <v>13990</v>
      </c>
      <c r="C5525" s="4"/>
      <c r="D5525" s="4" t="s">
        <v>11691</v>
      </c>
      <c r="E5525" s="4" t="s">
        <v>11692</v>
      </c>
      <c r="F5525" s="4" t="s">
        <v>11693</v>
      </c>
      <c r="G5525" s="5" t="str">
        <f>IFERROR(__xludf.DUMMYFUNCTION("GOOGLETRANSLATE(D5525,""fr"",""es"")"),"Annam")</f>
        <v>Annam</v>
      </c>
    </row>
    <row r="5526">
      <c r="A5526" s="4">
        <v>68.0</v>
      </c>
      <c r="B5526" s="4" t="s">
        <v>13990</v>
      </c>
      <c r="C5526" s="4"/>
      <c r="D5526" s="4" t="s">
        <v>5840</v>
      </c>
      <c r="E5526" s="4" t="s">
        <v>593</v>
      </c>
      <c r="F5526" s="4" t="s">
        <v>594</v>
      </c>
      <c r="G5526" s="5" t="str">
        <f>IFERROR(__xludf.DUMMYFUNCTION("GOOGLETRANSLATE(D5526,""fr"",""es"")"),"Ana")</f>
        <v>Ana</v>
      </c>
      <c r="H5526" s="4" t="s">
        <v>11687</v>
      </c>
    </row>
    <row r="5527">
      <c r="A5527" s="4">
        <v>69.0</v>
      </c>
      <c r="B5527" s="4" t="s">
        <v>13990</v>
      </c>
      <c r="C5527" s="4"/>
      <c r="D5527" s="4" t="s">
        <v>11694</v>
      </c>
      <c r="E5527" s="4" t="s">
        <v>11695</v>
      </c>
      <c r="F5527" s="4" t="s">
        <v>11696</v>
      </c>
      <c r="G5527" s="5" t="str">
        <f>IFERROR(__xludf.DUMMYFUNCTION("GOOGLETRANSLATE(D5527,""fr"",""es"")"),"anillo")</f>
        <v>anillo</v>
      </c>
    </row>
    <row r="5528">
      <c r="A5528" s="4">
        <v>70.0</v>
      </c>
      <c r="B5528" s="4" t="s">
        <v>13990</v>
      </c>
      <c r="C5528" s="4"/>
      <c r="D5528" s="4" t="s">
        <v>8050</v>
      </c>
      <c r="E5528" s="4" t="s">
        <v>743</v>
      </c>
      <c r="F5528" s="4" t="s">
        <v>744</v>
      </c>
      <c r="G5528" s="5" t="str">
        <f>IFERROR(__xludf.DUMMYFUNCTION("GOOGLETRANSLATE(D5528,""fr"",""es"")"),"Annie")</f>
        <v>Annie</v>
      </c>
    </row>
    <row r="5529">
      <c r="A5529" s="4">
        <v>71.0</v>
      </c>
      <c r="B5529" s="4" t="s">
        <v>13990</v>
      </c>
      <c r="C5529" s="4"/>
      <c r="D5529" s="4" t="s">
        <v>11697</v>
      </c>
      <c r="E5529" s="4" t="s">
        <v>11698</v>
      </c>
      <c r="F5529" s="4" t="s">
        <v>11699</v>
      </c>
      <c r="G5529" s="5" t="str">
        <f>IFERROR(__xludf.DUMMYFUNCTION("GOOGLETRANSLATE(D5529,""fr"",""es"")"),"apache")</f>
        <v>apache</v>
      </c>
      <c r="H5529" s="4" t="s">
        <v>11700</v>
      </c>
      <c r="I5529" s="4" t="s">
        <v>11697</v>
      </c>
      <c r="J5529" s="4" t="s">
        <v>11700</v>
      </c>
    </row>
    <row r="5530">
      <c r="A5530" s="4">
        <v>72.0</v>
      </c>
      <c r="B5530" s="4" t="s">
        <v>13990</v>
      </c>
      <c r="C5530" s="4"/>
      <c r="D5530" s="4" t="s">
        <v>11701</v>
      </c>
      <c r="E5530" s="4" t="s">
        <v>5691</v>
      </c>
      <c r="F5530" s="4" t="s">
        <v>5692</v>
      </c>
      <c r="G5530" s="5" t="str">
        <f>IFERROR(__xludf.DUMMYFUNCTION("GOOGLETRANSLATE(D5530,""fr"",""es"")"),"apatía")</f>
        <v>apatía</v>
      </c>
      <c r="H5530" s="4" t="s">
        <v>11702</v>
      </c>
      <c r="I5530" s="4" t="s">
        <v>11703</v>
      </c>
      <c r="J5530" s="4" t="s">
        <v>11704</v>
      </c>
      <c r="K5530" s="4" t="s">
        <v>11705</v>
      </c>
      <c r="L5530" s="4" t="s">
        <v>11702</v>
      </c>
    </row>
    <row r="5531">
      <c r="A5531" s="4">
        <v>73.0</v>
      </c>
      <c r="B5531" s="4" t="s">
        <v>13990</v>
      </c>
      <c r="C5531" s="4"/>
      <c r="D5531" s="4" t="s">
        <v>11706</v>
      </c>
      <c r="E5531" s="4" t="s">
        <v>798</v>
      </c>
      <c r="F5531" s="4" t="s">
        <v>799</v>
      </c>
      <c r="G5531" s="5" t="str">
        <f>IFERROR(__xludf.DUMMYFUNCTION("GOOGLETRANSLATE(D5531,""fr"",""es"")"),"apático")</f>
        <v>apático</v>
      </c>
      <c r="H5531" s="4" t="s">
        <v>11707</v>
      </c>
      <c r="I5531" s="4" t="s">
        <v>11708</v>
      </c>
      <c r="J5531" s="4" t="s">
        <v>11707</v>
      </c>
    </row>
    <row r="5532">
      <c r="A5532" s="4">
        <v>74.0</v>
      </c>
      <c r="B5532" s="4" t="s">
        <v>13990</v>
      </c>
      <c r="C5532" s="4"/>
      <c r="D5532" s="4" t="s">
        <v>11709</v>
      </c>
      <c r="E5532" s="4" t="s">
        <v>11710</v>
      </c>
      <c r="F5532" s="4" t="s">
        <v>11711</v>
      </c>
      <c r="G5532" s="5" t="str">
        <f>IFERROR(__xludf.DUMMYFUNCTION("GOOGLETRANSLATE(D5532,""fr"",""es"")"),"aparato")</f>
        <v>aparato</v>
      </c>
      <c r="H5532" s="4" t="s">
        <v>11712</v>
      </c>
      <c r="I5532" s="4" t="s">
        <v>11713</v>
      </c>
    </row>
    <row r="5533">
      <c r="A5533" s="4">
        <v>75.0</v>
      </c>
      <c r="B5533" s="4" t="s">
        <v>13990</v>
      </c>
      <c r="C5533" s="4"/>
      <c r="D5533" s="4" t="s">
        <v>11714</v>
      </c>
      <c r="E5533" s="4" t="s">
        <v>11715</v>
      </c>
      <c r="F5533" s="4" t="s">
        <v>755</v>
      </c>
      <c r="G5533" s="5" t="str">
        <f>IFERROR(__xludf.DUMMYFUNCTION("GOOGLETRANSLATE(D5533,""fr"",""es"")"),"parases")</f>
        <v>parases</v>
      </c>
    </row>
    <row r="5534">
      <c r="A5534" s="4">
        <v>76.0</v>
      </c>
      <c r="B5534" s="4" t="s">
        <v>13990</v>
      </c>
      <c r="C5534" s="4"/>
      <c r="D5534" s="4" t="s">
        <v>11716</v>
      </c>
      <c r="E5534" s="4" t="s">
        <v>756</v>
      </c>
      <c r="F5534" s="4" t="s">
        <v>755</v>
      </c>
      <c r="G5534" s="5" t="str">
        <f>IFERROR(__xludf.DUMMYFUNCTION("GOOGLETRANSLATE(D5534,""fr"",""es"")"),"carnada")</f>
        <v>carnada</v>
      </c>
      <c r="H5534" s="4" t="s">
        <v>3334</v>
      </c>
      <c r="I5534" s="4" t="s">
        <v>3335</v>
      </c>
      <c r="J5534" s="4" t="s">
        <v>3336</v>
      </c>
      <c r="K5534" s="4" t="s">
        <v>3336</v>
      </c>
      <c r="L5534" s="4" t="s">
        <v>11717</v>
      </c>
      <c r="M5534" s="4" t="s">
        <v>6282</v>
      </c>
      <c r="N5534" s="4" t="s">
        <v>3334</v>
      </c>
      <c r="O5534" s="4" t="s">
        <v>6282</v>
      </c>
      <c r="P5534" s="4" t="s">
        <v>6278</v>
      </c>
      <c r="Q5534" s="4" t="s">
        <v>3336</v>
      </c>
      <c r="R5534" s="4" t="s">
        <v>6283</v>
      </c>
    </row>
    <row r="5535">
      <c r="A5535" s="4">
        <v>77.0</v>
      </c>
      <c r="B5535" s="4" t="s">
        <v>13990</v>
      </c>
      <c r="C5535" s="4"/>
      <c r="D5535" s="4" t="s">
        <v>11716</v>
      </c>
      <c r="E5535" s="4" t="s">
        <v>11715</v>
      </c>
      <c r="F5535" s="4" t="s">
        <v>755</v>
      </c>
      <c r="G5535" s="5" t="str">
        <f>IFERROR(__xludf.DUMMYFUNCTION("GOOGLETRANSLATE(D5535,""fr"",""es"")"),"carnada")</f>
        <v>carnada</v>
      </c>
      <c r="H5535" s="4" t="s">
        <v>3334</v>
      </c>
      <c r="I5535" s="4" t="s">
        <v>3335</v>
      </c>
      <c r="J5535" s="4" t="s">
        <v>3336</v>
      </c>
      <c r="K5535" s="4" t="s">
        <v>3336</v>
      </c>
      <c r="L5535" s="4" t="s">
        <v>11717</v>
      </c>
      <c r="M5535" s="4" t="s">
        <v>6282</v>
      </c>
      <c r="N5535" s="4" t="s">
        <v>3334</v>
      </c>
      <c r="O5535" s="4" t="s">
        <v>6282</v>
      </c>
      <c r="P5535" s="4" t="s">
        <v>6278</v>
      </c>
      <c r="Q5535" s="4" t="s">
        <v>3336</v>
      </c>
      <c r="R5535" s="4" t="s">
        <v>6283</v>
      </c>
    </row>
    <row r="5536">
      <c r="A5536" s="4">
        <v>78.0</v>
      </c>
      <c r="B5536" s="4" t="s">
        <v>13990</v>
      </c>
      <c r="C5536" s="4"/>
      <c r="D5536" s="4" t="s">
        <v>11718</v>
      </c>
      <c r="E5536" s="4" t="s">
        <v>11719</v>
      </c>
      <c r="F5536" s="4" t="s">
        <v>11720</v>
      </c>
      <c r="G5536" s="5" t="str">
        <f>IFERROR(__xludf.DUMMYFUNCTION("GOOGLETRANSLATE(D5536,""fr"",""es"")"),"carnada")</f>
        <v>carnada</v>
      </c>
    </row>
    <row r="5537">
      <c r="A5537" s="4">
        <v>79.0</v>
      </c>
      <c r="B5537" s="4" t="s">
        <v>13990</v>
      </c>
      <c r="C5537" s="4"/>
      <c r="D5537" s="4" t="s">
        <v>11721</v>
      </c>
      <c r="E5537" s="4" t="s">
        <v>11719</v>
      </c>
      <c r="F5537" s="4" t="s">
        <v>11720</v>
      </c>
      <c r="G5537" s="5" t="str">
        <f>IFERROR(__xludf.DUMMYFUNCTION("GOOGLETRANSLATE(D5537,""fr"",""es"")"),"carnada")</f>
        <v>carnada</v>
      </c>
    </row>
    <row r="5538">
      <c r="A5538" s="4">
        <v>80.0</v>
      </c>
      <c r="B5538" s="4" t="s">
        <v>13990</v>
      </c>
      <c r="C5538" s="4"/>
      <c r="D5538" s="4" t="s">
        <v>11722</v>
      </c>
      <c r="E5538" s="4" t="s">
        <v>11723</v>
      </c>
      <c r="F5538" s="4" t="s">
        <v>11724</v>
      </c>
      <c r="G5538" s="5" t="str">
        <f>IFERROR(__xludf.DUMMYFUNCTION("GOOGLETRANSLATE(D5538,""fr"",""es"")"),"carnada")</f>
        <v>carnada</v>
      </c>
    </row>
    <row r="5539">
      <c r="A5539" s="4">
        <v>81.0</v>
      </c>
      <c r="B5539" s="4" t="s">
        <v>13990</v>
      </c>
      <c r="C5539" s="4"/>
      <c r="D5539" s="4" t="s">
        <v>11725</v>
      </c>
      <c r="E5539" s="4" t="s">
        <v>11723</v>
      </c>
      <c r="F5539" s="4" t="s">
        <v>11724</v>
      </c>
      <c r="G5539" s="5" t="str">
        <f>IFERROR(__xludf.DUMMYFUNCTION("GOOGLETRANSLATE(D5539,""fr"",""es"")"),"carnada")</f>
        <v>carnada</v>
      </c>
    </row>
    <row r="5540">
      <c r="A5540" s="4">
        <v>82.0</v>
      </c>
      <c r="B5540" s="4" t="s">
        <v>13990</v>
      </c>
      <c r="C5540" s="4"/>
      <c r="D5540" s="4" t="s">
        <v>11726</v>
      </c>
      <c r="E5540" s="4" t="s">
        <v>11723</v>
      </c>
      <c r="F5540" s="4" t="s">
        <v>11724</v>
      </c>
      <c r="G5540" s="5" t="str">
        <f>IFERROR(__xludf.DUMMYFUNCTION("GOOGLETRANSLATE(D5540,""fr"",""es"")"),"carnada")</f>
        <v>carnada</v>
      </c>
    </row>
    <row r="5541">
      <c r="A5541" s="4">
        <v>83.0</v>
      </c>
      <c r="B5541" s="4" t="s">
        <v>13990</v>
      </c>
      <c r="C5541" s="4"/>
      <c r="D5541" s="4" t="s">
        <v>11727</v>
      </c>
      <c r="E5541" s="4" t="s">
        <v>11715</v>
      </c>
      <c r="F5541" s="4" t="s">
        <v>755</v>
      </c>
      <c r="G5541" s="5" t="str">
        <f>IFERROR(__xludf.DUMMYFUNCTION("GOOGLETRANSLATE(D5541,""fr"",""es"")"),"carnada")</f>
        <v>carnada</v>
      </c>
    </row>
    <row r="5542">
      <c r="A5542" s="4">
        <v>84.0</v>
      </c>
      <c r="B5542" s="4" t="s">
        <v>13990</v>
      </c>
      <c r="C5542" s="4"/>
      <c r="D5542" s="4" t="s">
        <v>11728</v>
      </c>
      <c r="E5542" s="4" t="s">
        <v>11729</v>
      </c>
      <c r="F5542" s="4" t="s">
        <v>11730</v>
      </c>
      <c r="G5542" s="5" t="str">
        <f>IFERROR(__xludf.DUMMYFUNCTION("GOOGLETRANSLATE(D5542,""fr"",""es"")"),"carnada")</f>
        <v>carnada</v>
      </c>
    </row>
    <row r="5543">
      <c r="A5543" s="4">
        <v>85.0</v>
      </c>
      <c r="B5543" s="4" t="s">
        <v>13990</v>
      </c>
      <c r="C5543" s="4"/>
      <c r="D5543" s="4" t="s">
        <v>11731</v>
      </c>
      <c r="E5543" s="4" t="s">
        <v>11719</v>
      </c>
      <c r="F5543" s="4" t="s">
        <v>11720</v>
      </c>
      <c r="G5543" s="5" t="str">
        <f>IFERROR(__xludf.DUMMYFUNCTION("GOOGLETRANSLATE(D5543,""fr"",""es"")"),"carnada")</f>
        <v>carnada</v>
      </c>
    </row>
    <row r="5544">
      <c r="A5544" s="4">
        <v>86.0</v>
      </c>
      <c r="B5544" s="4" t="s">
        <v>13990</v>
      </c>
      <c r="C5544" s="4"/>
      <c r="D5544" s="4" t="s">
        <v>11732</v>
      </c>
      <c r="E5544" s="4" t="s">
        <v>11733</v>
      </c>
      <c r="F5544" s="4" t="s">
        <v>11734</v>
      </c>
      <c r="G5544" s="5" t="str">
        <f>IFERROR(__xludf.DUMMYFUNCTION("GOOGLETRANSLATE(D5544,""fr"",""es"")"),"aguileño")</f>
        <v>aguileño</v>
      </c>
    </row>
    <row r="5545">
      <c r="A5545" s="4">
        <v>87.0</v>
      </c>
      <c r="B5545" s="4" t="s">
        <v>13990</v>
      </c>
      <c r="C5545" s="4"/>
      <c r="D5545" s="4" t="s">
        <v>295</v>
      </c>
      <c r="E5545" s="4" t="s">
        <v>8581</v>
      </c>
      <c r="F5545" s="4" t="s">
        <v>295</v>
      </c>
      <c r="G5545" s="5" t="str">
        <f>IFERROR(__xludf.DUMMYFUNCTION("GOOGLETRANSLATE(D5545,""fr"",""es"")"),"COMO")</f>
        <v>COMO</v>
      </c>
      <c r="H5545" s="4" t="s">
        <v>833</v>
      </c>
      <c r="I5545" s="4" t="s">
        <v>833</v>
      </c>
      <c r="J5545" s="4" t="s">
        <v>833</v>
      </c>
      <c r="K5545" s="4" t="s">
        <v>833</v>
      </c>
      <c r="L5545" s="4" t="s">
        <v>11735</v>
      </c>
      <c r="M5545" s="4" t="s">
        <v>833</v>
      </c>
      <c r="N5545" s="4" t="s">
        <v>11736</v>
      </c>
      <c r="O5545" s="4" t="s">
        <v>11737</v>
      </c>
      <c r="P5545" s="4" t="s">
        <v>11738</v>
      </c>
      <c r="Q5545" s="4" t="s">
        <v>8236</v>
      </c>
      <c r="R5545" s="4" t="s">
        <v>833</v>
      </c>
      <c r="S5545" s="4" t="s">
        <v>833</v>
      </c>
      <c r="T5545" s="4" t="s">
        <v>834</v>
      </c>
      <c r="U5545" s="4" t="s">
        <v>605</v>
      </c>
      <c r="V5545" s="4" t="s">
        <v>835</v>
      </c>
      <c r="W5545" s="4" t="s">
        <v>836</v>
      </c>
      <c r="X5545" s="4" t="s">
        <v>837</v>
      </c>
      <c r="Y5545" s="4" t="s">
        <v>838</v>
      </c>
      <c r="Z5545" s="4" t="s">
        <v>839</v>
      </c>
      <c r="AA5545" s="4" t="s">
        <v>840</v>
      </c>
      <c r="AB5545" s="4" t="s">
        <v>841</v>
      </c>
      <c r="AC5545" s="4" t="s">
        <v>842</v>
      </c>
      <c r="AD5545" s="4" t="s">
        <v>843</v>
      </c>
      <c r="AE5545" s="4" t="s">
        <v>844</v>
      </c>
      <c r="AF5545" s="4" t="s">
        <v>845</v>
      </c>
      <c r="AG5545" s="4" t="s">
        <v>846</v>
      </c>
      <c r="AH5545" s="4" t="s">
        <v>5852</v>
      </c>
      <c r="AI5545" s="4" t="s">
        <v>5853</v>
      </c>
      <c r="AJ5545" s="4" t="s">
        <v>5854</v>
      </c>
      <c r="AK5545" s="4" t="s">
        <v>11739</v>
      </c>
      <c r="AL5545" s="4" t="s">
        <v>11740</v>
      </c>
      <c r="AM5545" s="4" t="s">
        <v>11741</v>
      </c>
    </row>
    <row r="5546">
      <c r="A5546" s="4">
        <v>88.0</v>
      </c>
      <c r="B5546" s="4" t="s">
        <v>13990</v>
      </c>
      <c r="C5546" s="4"/>
      <c r="D5546" s="4" t="s">
        <v>11742</v>
      </c>
      <c r="E5546" s="4" t="s">
        <v>848</v>
      </c>
      <c r="F5546" s="4" t="s">
        <v>849</v>
      </c>
      <c r="G5546" s="5" t="str">
        <f>IFERROR(__xludf.DUMMYFUNCTION("GOOGLETRANSLATE(D5546,""fr"",""es"")"),"asesinato")</f>
        <v>asesinato</v>
      </c>
      <c r="H5546" s="4" t="s">
        <v>11743</v>
      </c>
      <c r="I5546" s="4" t="s">
        <v>854</v>
      </c>
      <c r="J5546" s="4" t="s">
        <v>11744</v>
      </c>
      <c r="K5546" s="4" t="s">
        <v>11745</v>
      </c>
      <c r="L5546" s="4" t="s">
        <v>11746</v>
      </c>
      <c r="M5546" s="4" t="s">
        <v>11747</v>
      </c>
      <c r="N5546" s="4" t="s">
        <v>11748</v>
      </c>
      <c r="O5546" s="4" t="s">
        <v>854</v>
      </c>
      <c r="P5546" s="4" t="s">
        <v>11749</v>
      </c>
      <c r="Q5546" s="4" t="s">
        <v>11746</v>
      </c>
      <c r="R5546" s="4" t="s">
        <v>11750</v>
      </c>
    </row>
    <row r="5547">
      <c r="A5547" s="4">
        <v>89.0</v>
      </c>
      <c r="B5547" s="4" t="s">
        <v>13990</v>
      </c>
      <c r="C5547" s="4"/>
      <c r="D5547" s="4" t="s">
        <v>11751</v>
      </c>
      <c r="E5547" s="4" t="s">
        <v>11752</v>
      </c>
      <c r="F5547" s="4" t="s">
        <v>11753</v>
      </c>
      <c r="G5547" s="5" t="str">
        <f>IFERROR(__xludf.DUMMYFUNCTION("GOOGLETRANSLATE(D5547,""fr"",""es"")"),"asesino")</f>
        <v>asesino</v>
      </c>
    </row>
    <row r="5548">
      <c r="A5548" s="4">
        <v>90.0</v>
      </c>
      <c r="B5548" s="4" t="s">
        <v>13990</v>
      </c>
      <c r="C5548" s="4"/>
      <c r="D5548" s="4" t="s">
        <v>11754</v>
      </c>
      <c r="E5548" s="4" t="s">
        <v>11755</v>
      </c>
      <c r="F5548" s="4" t="s">
        <v>11756</v>
      </c>
      <c r="G5548" s="5" t="str">
        <f>IFERROR(__xludf.DUMMYFUNCTION("GOOGLETRANSLATE(D5548,""fr"",""es"")"),"asignación")</f>
        <v>asignación</v>
      </c>
    </row>
    <row r="5549">
      <c r="A5549" s="4">
        <v>91.0</v>
      </c>
      <c r="B5549" s="4" t="s">
        <v>13990</v>
      </c>
      <c r="C5549" s="4"/>
      <c r="D5549" s="4" t="s">
        <v>11757</v>
      </c>
      <c r="E5549" s="4" t="s">
        <v>501</v>
      </c>
      <c r="F5549" s="4" t="s">
        <v>502</v>
      </c>
      <c r="G5549" s="5" t="str">
        <f>IFERROR(__xludf.DUMMYFUNCTION("GOOGLETRANSLATE(D5549,""fr"",""es"")"),"se sentó")</f>
        <v>se sentó</v>
      </c>
      <c r="H5549" s="4" t="s">
        <v>11758</v>
      </c>
      <c r="I5549" s="4" t="s">
        <v>11759</v>
      </c>
    </row>
    <row r="5550">
      <c r="A5550" s="4">
        <v>92.0</v>
      </c>
      <c r="B5550" s="4" t="s">
        <v>13990</v>
      </c>
      <c r="C5550" s="4"/>
      <c r="D5550" s="4" t="s">
        <v>11760</v>
      </c>
      <c r="E5550" s="4" t="s">
        <v>11761</v>
      </c>
      <c r="F5550" s="4" t="s">
        <v>11762</v>
      </c>
      <c r="G5550" s="5" t="str">
        <f>IFERROR(__xludf.DUMMYFUNCTION("GOOGLETRANSLATE(D5550,""fr"",""es"")"),"activo")</f>
        <v>activo</v>
      </c>
      <c r="H5550" s="4" t="s">
        <v>11763</v>
      </c>
      <c r="I5550" s="4" t="s">
        <v>11764</v>
      </c>
      <c r="J5550" s="4" t="s">
        <v>11765</v>
      </c>
      <c r="K5550" s="4" t="s">
        <v>4122</v>
      </c>
      <c r="L5550" s="4" t="s">
        <v>11766</v>
      </c>
    </row>
    <row r="5551">
      <c r="A5551" s="4">
        <v>93.0</v>
      </c>
      <c r="B5551" s="4" t="s">
        <v>13990</v>
      </c>
      <c r="C5551" s="4"/>
      <c r="D5551" s="4" t="s">
        <v>11767</v>
      </c>
      <c r="E5551" s="4" t="s">
        <v>11768</v>
      </c>
      <c r="F5551" s="4" t="s">
        <v>11769</v>
      </c>
      <c r="G5551" s="5" t="str">
        <f>IFERROR(__xludf.DUMMYFUNCTION("GOOGLETRANSLATE(D5551,""fr"",""es"")"),"Attalia")</f>
        <v>Attalia</v>
      </c>
    </row>
    <row r="5552">
      <c r="A5552" s="4">
        <v>94.0</v>
      </c>
      <c r="B5552" s="4" t="s">
        <v>13990</v>
      </c>
      <c r="C5552" s="4"/>
      <c r="D5552" s="4" t="s">
        <v>11770</v>
      </c>
      <c r="E5552" s="4" t="s">
        <v>893</v>
      </c>
      <c r="F5552" s="4" t="s">
        <v>894</v>
      </c>
      <c r="G5552" s="5" t="str">
        <f>IFERROR(__xludf.DUMMYFUNCTION("GOOGLETRANSLATE(D5552,""fr"",""es"")"),"ofensivo")</f>
        <v>ofensivo</v>
      </c>
      <c r="H5552" s="4" t="s">
        <v>895</v>
      </c>
      <c r="I5552" s="4" t="s">
        <v>895</v>
      </c>
      <c r="J5552" s="4" t="s">
        <v>896</v>
      </c>
      <c r="K5552" s="4" t="s">
        <v>895</v>
      </c>
      <c r="L5552" s="4" t="s">
        <v>895</v>
      </c>
      <c r="M5552" s="4" t="s">
        <v>915</v>
      </c>
      <c r="N5552" s="4" t="s">
        <v>895</v>
      </c>
      <c r="O5552" s="4" t="s">
        <v>899</v>
      </c>
      <c r="P5552" s="4" t="s">
        <v>3371</v>
      </c>
      <c r="Q5552" s="4" t="s">
        <v>895</v>
      </c>
      <c r="R5552" s="4" t="s">
        <v>11771</v>
      </c>
      <c r="S5552" s="4" t="s">
        <v>895</v>
      </c>
      <c r="T5552" s="4" t="s">
        <v>900</v>
      </c>
      <c r="U5552" s="4" t="s">
        <v>901</v>
      </c>
      <c r="V5552" s="4" t="s">
        <v>902</v>
      </c>
      <c r="W5552" s="4" t="s">
        <v>903</v>
      </c>
      <c r="X5552" s="4" t="s">
        <v>904</v>
      </c>
      <c r="Y5552" s="4" t="s">
        <v>905</v>
      </c>
      <c r="Z5552" s="4" t="s">
        <v>906</v>
      </c>
      <c r="AA5552" s="4" t="s">
        <v>914</v>
      </c>
      <c r="AB5552" s="4" t="s">
        <v>915</v>
      </c>
      <c r="AC5552" s="4" t="s">
        <v>916</v>
      </c>
      <c r="AD5552" s="4" t="s">
        <v>895</v>
      </c>
      <c r="AE5552" s="4" t="s">
        <v>895</v>
      </c>
      <c r="AF5552" s="4" t="s">
        <v>11772</v>
      </c>
      <c r="AG5552" s="4" t="s">
        <v>907</v>
      </c>
      <c r="AH5552" s="4" t="s">
        <v>895</v>
      </c>
      <c r="AI5552" s="4" t="s">
        <v>908</v>
      </c>
      <c r="AJ5552" s="4" t="s">
        <v>909</v>
      </c>
      <c r="AK5552" s="4" t="s">
        <v>910</v>
      </c>
      <c r="AL5552" s="4" t="s">
        <v>901</v>
      </c>
      <c r="AM5552" s="4" t="s">
        <v>11773</v>
      </c>
      <c r="AN5552" s="4" t="s">
        <v>895</v>
      </c>
      <c r="AO5552" s="4" t="s">
        <v>11774</v>
      </c>
      <c r="AP5552" s="4" t="s">
        <v>11775</v>
      </c>
      <c r="AQ5552" s="4" t="s">
        <v>11776</v>
      </c>
    </row>
    <row r="5553">
      <c r="A5553" s="4">
        <v>95.0</v>
      </c>
      <c r="B5553" s="4" t="s">
        <v>13990</v>
      </c>
      <c r="C5553" s="4"/>
      <c r="D5553" s="4" t="s">
        <v>11777</v>
      </c>
      <c r="E5553" s="4" t="s">
        <v>893</v>
      </c>
      <c r="F5553" s="4" t="s">
        <v>894</v>
      </c>
      <c r="G5553" s="5" t="str">
        <f>IFERROR(__xludf.DUMMYFUNCTION("GOOGLETRANSLATE(D5553,""fr"",""es"")"),"ataques")</f>
        <v>ataques</v>
      </c>
    </row>
    <row r="5554">
      <c r="A5554" s="4">
        <v>96.0</v>
      </c>
      <c r="B5554" s="4" t="s">
        <v>13990</v>
      </c>
      <c r="C5554" s="4"/>
      <c r="D5554" s="4" t="s">
        <v>11778</v>
      </c>
      <c r="E5554" s="4" t="s">
        <v>4768</v>
      </c>
      <c r="F5554" s="4" t="s">
        <v>4769</v>
      </c>
      <c r="G5554" s="5" t="str">
        <f>IFERROR(__xludf.DUMMYFUNCTION("GOOGLETRANSLATE(D5554,""fr"",""es"")"),"ático")</f>
        <v>ático</v>
      </c>
      <c r="H5554" s="4" t="s">
        <v>11779</v>
      </c>
      <c r="I5554" s="4" t="s">
        <v>11780</v>
      </c>
    </row>
    <row r="5555">
      <c r="A5555" s="4">
        <v>97.0</v>
      </c>
      <c r="B5555" s="4" t="s">
        <v>13990</v>
      </c>
      <c r="C5555" s="4"/>
      <c r="D5555" s="4" t="s">
        <v>11781</v>
      </c>
      <c r="E5555" s="4" t="s">
        <v>11782</v>
      </c>
      <c r="F5555" s="4" t="s">
        <v>11781</v>
      </c>
      <c r="G5555" s="5" t="str">
        <f>IFERROR(__xludf.DUMMYFUNCTION("GOOGLETRANSLATE(D5555,""fr"",""es"")"),"aya")</f>
        <v>aya</v>
      </c>
      <c r="H5555" s="4" t="s">
        <v>11783</v>
      </c>
    </row>
    <row r="5556">
      <c r="A5556" s="4">
        <v>98.0</v>
      </c>
      <c r="B5556" s="4" t="s">
        <v>13990</v>
      </c>
      <c r="C5556" s="4"/>
      <c r="D5556" s="4" t="s">
        <v>11784</v>
      </c>
      <c r="E5556" s="4" t="s">
        <v>11785</v>
      </c>
      <c r="F5556" s="4" t="s">
        <v>9204</v>
      </c>
      <c r="G5556" s="5" t="str">
        <f>IFERROR(__xludf.DUMMYFUNCTION("GOOGLETRANSLATE(D5556,""fr"",""es"")"),"ayoù")</f>
        <v>ayoù</v>
      </c>
    </row>
    <row r="5557">
      <c r="A5557" s="4">
        <v>99.0</v>
      </c>
      <c r="B5557" s="4" t="s">
        <v>13990</v>
      </c>
      <c r="C5557" s="4"/>
      <c r="D5557" s="4" t="s">
        <v>11786</v>
      </c>
      <c r="E5557" s="4" t="s">
        <v>11787</v>
      </c>
      <c r="F5557" s="4" t="s">
        <v>11786</v>
      </c>
      <c r="G5557" s="5" t="str">
        <f>IFERROR(__xludf.DUMMYFUNCTION("GOOGLETRANSLATE(D5557,""fr"",""es"")"),"ayumi")</f>
        <v>ayumi</v>
      </c>
    </row>
    <row r="5558">
      <c r="A5558" s="4">
        <v>100.0</v>
      </c>
      <c r="B5558" s="4" t="s">
        <v>13990</v>
      </c>
      <c r="C5558" s="4"/>
      <c r="D5558" s="4" t="s">
        <v>11788</v>
      </c>
      <c r="E5558" s="4" t="s">
        <v>11789</v>
      </c>
      <c r="F5558" s="4" t="s">
        <v>11790</v>
      </c>
      <c r="G5558" s="5" t="str">
        <f>IFERROR(__xludf.DUMMYFUNCTION("GOOGLETRANSLATE(D5558,""fr"",""es"")"),"açai")</f>
        <v>açai</v>
      </c>
    </row>
    <row r="5559">
      <c r="A5559" s="4">
        <v>101.0</v>
      </c>
      <c r="B5559" s="4" t="s">
        <v>13990</v>
      </c>
      <c r="C5559" s="4"/>
      <c r="D5559" s="4" t="s">
        <v>11791</v>
      </c>
      <c r="E5559" s="4" t="s">
        <v>504</v>
      </c>
      <c r="F5559" s="4" t="s">
        <v>505</v>
      </c>
      <c r="G5559" s="5" t="str">
        <f>IFERROR(__xludf.DUMMYFUNCTION("GOOGLETRANSLATE(D5559,""fr"",""es"")"),"Ay")</f>
        <v>Ay</v>
      </c>
    </row>
    <row r="5560">
      <c r="A5560" s="4">
        <v>102.0</v>
      </c>
      <c r="B5560" s="4" t="s">
        <v>13990</v>
      </c>
      <c r="C5560" s="4"/>
      <c r="D5560" s="4" t="s">
        <v>11792</v>
      </c>
      <c r="E5560" s="4" t="s">
        <v>318</v>
      </c>
      <c r="F5560" s="4" t="s">
        <v>319</v>
      </c>
      <c r="G5560" s="5" t="str">
        <f>IFERROR(__xludf.DUMMYFUNCTION("GOOGLETRANSLATE(D5560,""fr"",""es"")"),"CAC")</f>
        <v>CAC</v>
      </c>
    </row>
    <row r="5561">
      <c r="A5561" s="4">
        <v>103.0</v>
      </c>
      <c r="B5561" s="4" t="s">
        <v>13990</v>
      </c>
      <c r="C5561" s="4"/>
      <c r="D5561" s="4" t="s">
        <v>11793</v>
      </c>
      <c r="E5561" s="4" t="s">
        <v>11794</v>
      </c>
      <c r="F5561" s="4" t="s">
        <v>9073</v>
      </c>
      <c r="G5561" s="5" t="str">
        <f>IFERROR(__xludf.DUMMYFUNCTION("GOOGLETRANSLATE(D5561,""fr"",""es"")"),"caca")</f>
        <v>caca</v>
      </c>
    </row>
    <row r="5562">
      <c r="A5562" s="4">
        <v>104.0</v>
      </c>
      <c r="B5562" s="4" t="s">
        <v>13990</v>
      </c>
      <c r="C5562" s="4"/>
      <c r="D5562" s="4" t="s">
        <v>496</v>
      </c>
      <c r="E5562" s="4" t="s">
        <v>8026</v>
      </c>
      <c r="F5562" s="4" t="s">
        <v>5924</v>
      </c>
      <c r="G5562" s="5" t="str">
        <f>IFERROR(__xludf.DUMMYFUNCTION("GOOGLETRANSLATE(D5562,""fr"",""es"")"),"oculto")</f>
        <v>oculto</v>
      </c>
      <c r="H5562" s="4" t="s">
        <v>7677</v>
      </c>
      <c r="I5562" s="4" t="s">
        <v>11795</v>
      </c>
      <c r="J5562" s="4" t="s">
        <v>4343</v>
      </c>
      <c r="K5562" s="4" t="s">
        <v>4332</v>
      </c>
      <c r="L5562" s="4" t="s">
        <v>11796</v>
      </c>
      <c r="M5562" s="4" t="s">
        <v>11797</v>
      </c>
      <c r="N5562" s="4" t="s">
        <v>11798</v>
      </c>
      <c r="O5562" s="4" t="s">
        <v>11799</v>
      </c>
      <c r="P5562" s="4" t="s">
        <v>11800</v>
      </c>
      <c r="Q5562" s="4" t="s">
        <v>11801</v>
      </c>
      <c r="R5562" s="4" t="s">
        <v>11802</v>
      </c>
      <c r="S5562" s="4" t="s">
        <v>11799</v>
      </c>
      <c r="T5562" s="4" t="s">
        <v>11803</v>
      </c>
      <c r="U5562" s="4" t="s">
        <v>11804</v>
      </c>
    </row>
    <row r="5563">
      <c r="A5563" s="4">
        <v>105.0</v>
      </c>
      <c r="B5563" s="4" t="s">
        <v>13990</v>
      </c>
      <c r="C5563" s="4"/>
      <c r="D5563" s="4" t="s">
        <v>11805</v>
      </c>
      <c r="E5563" s="4" t="s">
        <v>11806</v>
      </c>
      <c r="F5563" s="4" t="s">
        <v>11807</v>
      </c>
      <c r="G5563" s="5" t="str">
        <f>IFERROR(__xludf.DUMMYFUNCTION("GOOGLETRANSLATE(D5563,""fr"",""es"")"),"cacique")</f>
        <v>cacique</v>
      </c>
    </row>
    <row r="5564">
      <c r="A5564" s="4">
        <v>106.0</v>
      </c>
      <c r="B5564" s="4" t="s">
        <v>13990</v>
      </c>
      <c r="C5564" s="4"/>
      <c r="D5564" s="4" t="s">
        <v>11808</v>
      </c>
      <c r="E5564" s="4" t="s">
        <v>1185</v>
      </c>
      <c r="F5564" s="4" t="s">
        <v>1186</v>
      </c>
      <c r="G5564" s="5" t="str">
        <f>IFERROR(__xludf.DUMMYFUNCTION("GOOGLETRANSLATE(D5564,""fr"",""es"")"),"Cagna")</f>
        <v>Cagna</v>
      </c>
    </row>
    <row r="5565">
      <c r="A5565" s="4">
        <v>107.0</v>
      </c>
      <c r="B5565" s="4" t="s">
        <v>13990</v>
      </c>
      <c r="C5565" s="4"/>
      <c r="D5565" s="4" t="s">
        <v>11809</v>
      </c>
      <c r="E5565" s="4" t="s">
        <v>11810</v>
      </c>
      <c r="F5565" s="4" t="s">
        <v>11811</v>
      </c>
      <c r="G5565" s="5" t="str">
        <f>IFERROR(__xludf.DUMMYFUNCTION("GOOGLETRANSLATE(D5565,""fr"",""es"")"),"codorniz")</f>
        <v>codorniz</v>
      </c>
      <c r="H5565" s="4" t="s">
        <v>11812</v>
      </c>
    </row>
    <row r="5566">
      <c r="A5566" s="4">
        <v>108.0</v>
      </c>
      <c r="B5566" s="4" t="s">
        <v>13990</v>
      </c>
      <c r="C5566" s="4"/>
      <c r="D5566" s="4" t="s">
        <v>11813</v>
      </c>
      <c r="E5566" s="4" t="s">
        <v>11814</v>
      </c>
      <c r="F5566" s="4" t="s">
        <v>11815</v>
      </c>
      <c r="G5566" s="5" t="str">
        <f>IFERROR(__xludf.DUMMYFUNCTION("GOOGLETRANSLATE(D5566,""fr"",""es"")"),"piedra")</f>
        <v>piedra</v>
      </c>
      <c r="H5566" s="4" t="s">
        <v>11816</v>
      </c>
      <c r="I5566" s="4" t="s">
        <v>11817</v>
      </c>
      <c r="J5566" s="4" t="s">
        <v>11818</v>
      </c>
    </row>
    <row r="5567">
      <c r="A5567" s="4">
        <v>109.0</v>
      </c>
      <c r="B5567" s="4" t="s">
        <v>13990</v>
      </c>
      <c r="C5567" s="4"/>
      <c r="D5567" s="4" t="s">
        <v>11819</v>
      </c>
      <c r="E5567" s="4" t="s">
        <v>11814</v>
      </c>
      <c r="F5567" s="4" t="s">
        <v>11815</v>
      </c>
      <c r="G5567" s="5" t="str">
        <f>IFERROR(__xludf.DUMMYFUNCTION("GOOGLETRANSLATE(D5567,""fr"",""es"")"),"Guijarro")</f>
        <v>Guijarro</v>
      </c>
    </row>
    <row r="5568">
      <c r="A5568" s="4">
        <v>110.0</v>
      </c>
      <c r="B5568" s="4" t="s">
        <v>13990</v>
      </c>
      <c r="C5568" s="4"/>
      <c r="D5568" s="4" t="s">
        <v>973</v>
      </c>
      <c r="E5568" s="4" t="s">
        <v>974</v>
      </c>
      <c r="F5568" s="4" t="s">
        <v>975</v>
      </c>
      <c r="G5568" s="5" t="str">
        <f>IFERROR(__xludf.DUMMYFUNCTION("GOOGLETRANSLATE(D5568,""fr"",""es"")"),"California")</f>
        <v>California</v>
      </c>
      <c r="H5568" s="4" t="s">
        <v>1013</v>
      </c>
      <c r="I5568" s="4" t="s">
        <v>1013</v>
      </c>
      <c r="J5568" s="4" t="s">
        <v>1013</v>
      </c>
      <c r="K5568" s="4" t="s">
        <v>1013</v>
      </c>
      <c r="L5568" s="4" t="s">
        <v>11820</v>
      </c>
      <c r="M5568" s="4" t="s">
        <v>1013</v>
      </c>
    </row>
    <row r="5569">
      <c r="A5569" s="4">
        <v>111.0</v>
      </c>
      <c r="B5569" s="4" t="s">
        <v>13990</v>
      </c>
      <c r="C5569" s="4"/>
      <c r="D5569" s="4" t="s">
        <v>976</v>
      </c>
      <c r="E5569" s="4" t="s">
        <v>977</v>
      </c>
      <c r="F5569" s="4" t="s">
        <v>978</v>
      </c>
      <c r="G5569" s="5" t="str">
        <f>IFERROR(__xludf.DUMMYFUNCTION("GOOGLETRANSLATE(D5569,""fr"",""es"")"),"cala")</f>
        <v>cala</v>
      </c>
    </row>
    <row r="5570">
      <c r="A5570" s="4">
        <v>112.0</v>
      </c>
      <c r="B5570" s="4" t="s">
        <v>13990</v>
      </c>
      <c r="C5570" s="4"/>
      <c r="D5570" s="4" t="s">
        <v>11821</v>
      </c>
      <c r="E5570" s="4" t="s">
        <v>1698</v>
      </c>
      <c r="F5570" s="4" t="s">
        <v>1699</v>
      </c>
      <c r="G5570" s="5" t="str">
        <f>IFERROR(__xludf.DUMMYFUNCTION("GOOGLETRANSLATE(D5570,""fr"",""es"")"),"calame")</f>
        <v>calame</v>
      </c>
    </row>
    <row r="5571">
      <c r="A5571" s="4">
        <v>113.0</v>
      </c>
      <c r="B5571" s="4" t="s">
        <v>13990</v>
      </c>
      <c r="C5571" s="4"/>
      <c r="D5571" s="4" t="s">
        <v>11822</v>
      </c>
      <c r="E5571" s="4" t="s">
        <v>977</v>
      </c>
      <c r="F5571" s="4" t="s">
        <v>978</v>
      </c>
      <c r="G5571" s="5" t="str">
        <f>IFERROR(__xludf.DUMMYFUNCTION("GOOGLETRANSLATE(D5571,""fr"",""es"")"),"calas")</f>
        <v>calas</v>
      </c>
    </row>
    <row r="5572">
      <c r="A5572" s="4">
        <v>114.0</v>
      </c>
      <c r="B5572" s="4" t="s">
        <v>13990</v>
      </c>
      <c r="C5572" s="4"/>
      <c r="D5572" s="4" t="s">
        <v>11823</v>
      </c>
      <c r="E5572" s="4" t="s">
        <v>11824</v>
      </c>
      <c r="F5572" s="4" t="s">
        <v>11825</v>
      </c>
      <c r="G5572" s="5" t="str">
        <f>IFERROR(__xludf.DUMMYFUNCTION("GOOGLETRANSLATE(D5572,""fr"",""es"")"),"calas")</f>
        <v>calas</v>
      </c>
    </row>
    <row r="5573">
      <c r="A5573" s="4">
        <v>115.0</v>
      </c>
      <c r="B5573" s="4" t="s">
        <v>13990</v>
      </c>
      <c r="C5573" s="4"/>
      <c r="D5573" s="4" t="s">
        <v>11826</v>
      </c>
      <c r="E5573" s="4" t="s">
        <v>11824</v>
      </c>
      <c r="F5573" s="4" t="s">
        <v>11825</v>
      </c>
      <c r="G5573" s="5" t="str">
        <f>IFERROR(__xludf.DUMMYFUNCTION("GOOGLETRANSLATE(D5573,""fr"",""es"")"),"calas")</f>
        <v>calas</v>
      </c>
    </row>
    <row r="5574">
      <c r="A5574" s="4">
        <v>116.0</v>
      </c>
      <c r="B5574" s="4" t="s">
        <v>13990</v>
      </c>
      <c r="C5574" s="4"/>
      <c r="D5574" s="4" t="s">
        <v>11827</v>
      </c>
      <c r="E5574" s="4" t="s">
        <v>974</v>
      </c>
      <c r="F5574" s="4" t="s">
        <v>975</v>
      </c>
      <c r="G5574" s="5" t="str">
        <f>IFERROR(__xludf.DUMMYFUNCTION("GOOGLETRANSLATE(D5574,""fr"",""es"")"),"mantener")</f>
        <v>mantener</v>
      </c>
      <c r="H5574" s="4" t="s">
        <v>11828</v>
      </c>
      <c r="I5574" s="4" t="s">
        <v>11829</v>
      </c>
      <c r="J5574" s="4" t="s">
        <v>11830</v>
      </c>
      <c r="K5574" s="4" t="s">
        <v>313</v>
      </c>
      <c r="L5574" s="4" t="s">
        <v>11831</v>
      </c>
      <c r="M5574" s="4" t="s">
        <v>11832</v>
      </c>
      <c r="N5574" s="4" t="s">
        <v>11833</v>
      </c>
    </row>
    <row r="5575">
      <c r="A5575" s="4">
        <v>117.0</v>
      </c>
      <c r="B5575" s="4" t="s">
        <v>13990</v>
      </c>
      <c r="C5575" s="4"/>
      <c r="D5575" s="4" t="s">
        <v>11834</v>
      </c>
      <c r="E5575" s="4" t="s">
        <v>974</v>
      </c>
      <c r="F5575" s="4" t="s">
        <v>975</v>
      </c>
      <c r="G5575" s="5" t="str">
        <f>IFERROR(__xludf.DUMMYFUNCTION("GOOGLETRANSLATE(D5575,""fr"",""es"")"),"agujeros")</f>
        <v>agujeros</v>
      </c>
    </row>
    <row r="5576">
      <c r="A5576" s="4">
        <v>118.0</v>
      </c>
      <c r="B5576" s="4" t="s">
        <v>13990</v>
      </c>
      <c r="C5576" s="4"/>
      <c r="D5576" s="4" t="s">
        <v>11835</v>
      </c>
      <c r="E5576" s="4" t="s">
        <v>11836</v>
      </c>
      <c r="F5576" s="4" t="s">
        <v>11837</v>
      </c>
      <c r="G5576" s="5" t="str">
        <f>IFERROR(__xludf.DUMMYFUNCTION("GOOGLETRANSLATE(D5576,""fr"",""es"")"),"cáliz")</f>
        <v>cáliz</v>
      </c>
      <c r="H5576" s="4" t="s">
        <v>11838</v>
      </c>
      <c r="I5576" s="4" t="s">
        <v>11839</v>
      </c>
      <c r="J5576" s="4" t="s">
        <v>11840</v>
      </c>
    </row>
    <row r="5577">
      <c r="A5577" s="4">
        <v>119.0</v>
      </c>
      <c r="B5577" s="4" t="s">
        <v>13990</v>
      </c>
      <c r="C5577" s="4"/>
      <c r="D5577" s="4" t="s">
        <v>11841</v>
      </c>
      <c r="E5577" s="4" t="s">
        <v>11842</v>
      </c>
      <c r="F5577" s="4" t="s">
        <v>11843</v>
      </c>
      <c r="G5577" s="5" t="str">
        <f>IFERROR(__xludf.DUMMYFUNCTION("GOOGLETRANSLATE(D5577,""fr"",""es"")"),"callima")</f>
        <v>callima</v>
      </c>
    </row>
    <row r="5578">
      <c r="A5578" s="4">
        <v>120.0</v>
      </c>
      <c r="B5578" s="4" t="s">
        <v>13990</v>
      </c>
      <c r="C5578" s="4"/>
      <c r="D5578" s="4" t="s">
        <v>1037</v>
      </c>
      <c r="E5578" s="4" t="s">
        <v>1038</v>
      </c>
      <c r="F5578" s="4" t="s">
        <v>1039</v>
      </c>
      <c r="G5578" s="5" t="str">
        <f>IFERROR(__xludf.DUMMYFUNCTION("GOOGLETRANSLATE(D5578,""fr"",""es"")"),"leva")</f>
        <v>leva</v>
      </c>
      <c r="H5578" s="4" t="s">
        <v>11844</v>
      </c>
      <c r="I5578" s="4" t="s">
        <v>8023</v>
      </c>
      <c r="J5578" s="4" t="s">
        <v>8024</v>
      </c>
      <c r="K5578" s="4" t="s">
        <v>8025</v>
      </c>
    </row>
    <row r="5579">
      <c r="A5579" s="4">
        <v>121.0</v>
      </c>
      <c r="B5579" s="4" t="s">
        <v>13990</v>
      </c>
      <c r="C5579" s="4"/>
      <c r="D5579" s="4" t="s">
        <v>11845</v>
      </c>
      <c r="E5579" s="4" t="s">
        <v>11846</v>
      </c>
      <c r="F5579" s="4" t="s">
        <v>11847</v>
      </c>
      <c r="G5579" s="5" t="str">
        <f>IFERROR(__xludf.DUMMYFUNCTION("GOOGLETRANSLATE(D5579,""fr"",""es"")"),"caña")</f>
        <v>caña</v>
      </c>
      <c r="H5579" s="4" t="s">
        <v>11845</v>
      </c>
      <c r="I5579" s="4" t="s">
        <v>11848</v>
      </c>
      <c r="J5579" s="4" t="s">
        <v>11849</v>
      </c>
    </row>
    <row r="5580">
      <c r="A5580" s="4">
        <v>122.0</v>
      </c>
      <c r="B5580" s="4" t="s">
        <v>13990</v>
      </c>
      <c r="C5580" s="4"/>
      <c r="D5580" s="4" t="s">
        <v>11850</v>
      </c>
      <c r="E5580" s="4" t="s">
        <v>1038</v>
      </c>
      <c r="F5580" s="4" t="s">
        <v>1039</v>
      </c>
      <c r="G5580" s="5" t="str">
        <f>IFERROR(__xludf.DUMMYFUNCTION("GOOGLETRANSLATE(D5580,""fr"",""es"")"),"leva")</f>
        <v>leva</v>
      </c>
      <c r="H5580" s="4" t="s">
        <v>1037</v>
      </c>
      <c r="I5580" s="4" t="s">
        <v>8023</v>
      </c>
      <c r="J5580" s="4" t="s">
        <v>8024</v>
      </c>
      <c r="K5580" s="4" t="s">
        <v>8025</v>
      </c>
    </row>
    <row r="5581">
      <c r="A5581" s="4">
        <v>123.0</v>
      </c>
      <c r="B5581" s="4" t="s">
        <v>13990</v>
      </c>
      <c r="C5581" s="4"/>
      <c r="D5581" s="4" t="s">
        <v>11851</v>
      </c>
      <c r="E5581" s="4" t="s">
        <v>1038</v>
      </c>
      <c r="F5581" s="4" t="s">
        <v>1039</v>
      </c>
      <c r="G5581" s="5" t="str">
        <f>IFERROR(__xludf.DUMMYFUNCTION("GOOGLETRANSLATE(D5581,""fr"",""es"")"),"árbol de levas")</f>
        <v>árbol de levas</v>
      </c>
    </row>
    <row r="5582">
      <c r="A5582" s="4">
        <v>124.0</v>
      </c>
      <c r="B5582" s="4" t="s">
        <v>13990</v>
      </c>
      <c r="C5582" s="4"/>
      <c r="D5582" s="4" t="s">
        <v>11852</v>
      </c>
      <c r="E5582" s="4" t="s">
        <v>11853</v>
      </c>
      <c r="F5582" s="4" t="s">
        <v>11854</v>
      </c>
      <c r="G5582" s="5" t="str">
        <f>IFERROR(__xludf.DUMMYFUNCTION("GOOGLETRANSLATE(D5582,""fr"",""es"")"),"camilla")</f>
        <v>camilla</v>
      </c>
    </row>
    <row r="5583">
      <c r="A5583" s="4">
        <v>125.0</v>
      </c>
      <c r="B5583" s="4" t="s">
        <v>13990</v>
      </c>
      <c r="C5583" s="4"/>
      <c r="D5583" s="4" t="s">
        <v>11855</v>
      </c>
      <c r="E5583" s="4" t="s">
        <v>11856</v>
      </c>
      <c r="F5583" s="4" t="s">
        <v>11857</v>
      </c>
      <c r="G5583" s="5" t="str">
        <f>IFERROR(__xludf.DUMMYFUNCTION("GOOGLETRANSLATE(D5583,""fr"",""es"")"),"sinvergüenza")</f>
        <v>sinvergüenza</v>
      </c>
      <c r="H5583" s="4" t="s">
        <v>11858</v>
      </c>
      <c r="I5583" s="4" t="s">
        <v>11859</v>
      </c>
      <c r="J5583" s="4" t="s">
        <v>11860</v>
      </c>
      <c r="K5583" s="4" t="s">
        <v>11861</v>
      </c>
      <c r="L5583" s="4" t="s">
        <v>11862</v>
      </c>
      <c r="M5583" s="4" t="s">
        <v>11863</v>
      </c>
      <c r="N5583" s="4" t="s">
        <v>11864</v>
      </c>
      <c r="O5583" s="4" t="s">
        <v>1154</v>
      </c>
      <c r="P5583" s="4" t="s">
        <v>1155</v>
      </c>
    </row>
    <row r="5584">
      <c r="A5584" s="4">
        <v>126.0</v>
      </c>
      <c r="B5584" s="4" t="s">
        <v>13990</v>
      </c>
      <c r="C5584" s="4"/>
      <c r="D5584" s="4" t="s">
        <v>11855</v>
      </c>
      <c r="E5584" s="4" t="s">
        <v>11865</v>
      </c>
      <c r="F5584" s="4" t="s">
        <v>11857</v>
      </c>
      <c r="G5584" s="5" t="str">
        <f>IFERROR(__xludf.DUMMYFUNCTION("GOOGLETRANSLATE(D5584,""fr"",""es"")"),"sinvergüenza")</f>
        <v>sinvergüenza</v>
      </c>
      <c r="H5584" s="4" t="s">
        <v>11858</v>
      </c>
      <c r="I5584" s="4" t="s">
        <v>11859</v>
      </c>
      <c r="J5584" s="4" t="s">
        <v>11860</v>
      </c>
      <c r="K5584" s="4" t="s">
        <v>11861</v>
      </c>
      <c r="L5584" s="4" t="s">
        <v>11862</v>
      </c>
      <c r="M5584" s="4" t="s">
        <v>11863</v>
      </c>
      <c r="N5584" s="4" t="s">
        <v>11864</v>
      </c>
      <c r="O5584" s="4" t="s">
        <v>1154</v>
      </c>
      <c r="P5584" s="4" t="s">
        <v>1155</v>
      </c>
    </row>
    <row r="5585">
      <c r="A5585" s="4">
        <v>127.0</v>
      </c>
      <c r="B5585" s="4" t="s">
        <v>13990</v>
      </c>
      <c r="C5585" s="4"/>
      <c r="D5585" s="4" t="s">
        <v>1126</v>
      </c>
      <c r="E5585" s="4" t="s">
        <v>1127</v>
      </c>
      <c r="F5585" s="4" t="s">
        <v>1128</v>
      </c>
      <c r="G5585" s="5" t="str">
        <f>IFERROR(__xludf.DUMMYFUNCTION("GOOGLETRANSLATE(D5585,""fr"",""es"")"),"canal")</f>
        <v>canal</v>
      </c>
      <c r="H5585" s="4" t="s">
        <v>1126</v>
      </c>
      <c r="I5585" s="4" t="s">
        <v>11866</v>
      </c>
      <c r="J5585" s="4" t="s">
        <v>11867</v>
      </c>
      <c r="K5585" s="4" t="s">
        <v>1126</v>
      </c>
      <c r="L5585" s="4" t="s">
        <v>1130</v>
      </c>
      <c r="M5585" s="4" t="s">
        <v>1135</v>
      </c>
      <c r="N5585" s="4" t="s">
        <v>1126</v>
      </c>
      <c r="O5585" s="4" t="s">
        <v>1136</v>
      </c>
      <c r="P5585" s="4" t="s">
        <v>1126</v>
      </c>
    </row>
    <row r="5586">
      <c r="A5586" s="4">
        <v>128.0</v>
      </c>
      <c r="B5586" s="4" t="s">
        <v>13990</v>
      </c>
      <c r="C5586" s="4"/>
      <c r="D5586" s="4" t="s">
        <v>11868</v>
      </c>
      <c r="E5586" s="4" t="s">
        <v>11869</v>
      </c>
      <c r="F5586" s="4" t="s">
        <v>11870</v>
      </c>
      <c r="G5586" s="5" t="str">
        <f>IFERROR(__xludf.DUMMYFUNCTION("GOOGLETRANSLATE(D5586,""fr"",""es"")"),"canaco")</f>
        <v>canaco</v>
      </c>
    </row>
    <row r="5587">
      <c r="A5587" s="4">
        <v>129.0</v>
      </c>
      <c r="B5587" s="4" t="s">
        <v>13990</v>
      </c>
      <c r="C5587" s="4"/>
      <c r="D5587" s="4" t="s">
        <v>11871</v>
      </c>
      <c r="E5587" s="4" t="s">
        <v>1121</v>
      </c>
      <c r="F5587" s="4" t="s">
        <v>1122</v>
      </c>
      <c r="G5587" s="5" t="str">
        <f>IFERROR(__xludf.DUMMYFUNCTION("GOOGLETRANSLATE(D5587,""fr"",""es"")"),"caña")</f>
        <v>caña</v>
      </c>
      <c r="H5587" s="4" t="s">
        <v>11872</v>
      </c>
      <c r="I5587" s="4" t="s">
        <v>11872</v>
      </c>
      <c r="J5587" s="4" t="s">
        <v>11872</v>
      </c>
      <c r="K5587" s="4" t="s">
        <v>584</v>
      </c>
      <c r="L5587" s="4" t="s">
        <v>587</v>
      </c>
      <c r="M5587" s="4" t="s">
        <v>11872</v>
      </c>
      <c r="N5587" s="4" t="s">
        <v>11872</v>
      </c>
      <c r="O5587" s="4" t="s">
        <v>11872</v>
      </c>
      <c r="P5587" s="4" t="s">
        <v>11872</v>
      </c>
      <c r="Q5587" s="4" t="s">
        <v>11873</v>
      </c>
    </row>
    <row r="5588">
      <c r="A5588" s="4">
        <v>130.0</v>
      </c>
      <c r="B5588" s="4" t="s">
        <v>13990</v>
      </c>
      <c r="C5588" s="4"/>
      <c r="D5588" s="4" t="s">
        <v>11874</v>
      </c>
      <c r="E5588" s="4" t="s">
        <v>11875</v>
      </c>
      <c r="F5588" s="4" t="s">
        <v>11876</v>
      </c>
      <c r="G5588" s="5" t="str">
        <f>IFERROR(__xludf.DUMMYFUNCTION("GOOGLETRANSLATE(D5588,""fr"",""es"")"),"caniche")</f>
        <v>caniche</v>
      </c>
      <c r="H5588" s="4" t="s">
        <v>11877</v>
      </c>
      <c r="I5588" s="4" t="s">
        <v>11878</v>
      </c>
    </row>
    <row r="5589">
      <c r="A5589" s="4">
        <v>131.0</v>
      </c>
      <c r="B5589" s="4" t="s">
        <v>13990</v>
      </c>
      <c r="C5589" s="4"/>
      <c r="D5589" s="4" t="s">
        <v>4629</v>
      </c>
      <c r="E5589" s="4" t="s">
        <v>11879</v>
      </c>
      <c r="F5589" s="4" t="s">
        <v>11880</v>
      </c>
      <c r="G5589" s="5" t="str">
        <f>IFERROR(__xludf.DUMMYFUNCTION("GOOGLETRANSLATE(D5589,""fr"",""es"")"),"canino")</f>
        <v>canino</v>
      </c>
      <c r="H5589" s="4" t="s">
        <v>4629</v>
      </c>
      <c r="I5589" s="4" t="s">
        <v>11881</v>
      </c>
      <c r="J5589" s="4" t="s">
        <v>4629</v>
      </c>
      <c r="K5589" s="4" t="s">
        <v>4629</v>
      </c>
      <c r="L5589" s="4" t="s">
        <v>11882</v>
      </c>
      <c r="M5589" s="4" t="s">
        <v>4629</v>
      </c>
      <c r="N5589" s="4" t="s">
        <v>4630</v>
      </c>
      <c r="O5589" s="4" t="s">
        <v>4631</v>
      </c>
      <c r="P5589" s="4" t="s">
        <v>4632</v>
      </c>
      <c r="Q5589" s="4" t="s">
        <v>4633</v>
      </c>
      <c r="R5589" s="4" t="s">
        <v>4634</v>
      </c>
    </row>
    <row r="5590">
      <c r="A5590" s="4">
        <v>132.0</v>
      </c>
      <c r="B5590" s="4" t="s">
        <v>13990</v>
      </c>
      <c r="C5590" s="4"/>
      <c r="D5590" s="4" t="s">
        <v>11883</v>
      </c>
      <c r="E5590" s="4" t="s">
        <v>1121</v>
      </c>
      <c r="F5590" s="4" t="s">
        <v>1122</v>
      </c>
      <c r="G5590" s="5" t="str">
        <f>IFERROR(__xludf.DUMMYFUNCTION("GOOGLETRANSLATE(D5590,""fr"",""es"")"),"caña")</f>
        <v>caña</v>
      </c>
      <c r="H5590" s="4" t="s">
        <v>11884</v>
      </c>
      <c r="I5590" s="4" t="s">
        <v>11885</v>
      </c>
      <c r="J5590" s="4" t="s">
        <v>11886</v>
      </c>
      <c r="K5590" s="4" t="s">
        <v>11887</v>
      </c>
      <c r="L5590" s="4" t="s">
        <v>11888</v>
      </c>
      <c r="M5590" s="4" t="s">
        <v>11871</v>
      </c>
      <c r="N5590" s="4" t="s">
        <v>11871</v>
      </c>
      <c r="O5590" s="4" t="s">
        <v>5144</v>
      </c>
      <c r="P5590" s="4" t="s">
        <v>5145</v>
      </c>
      <c r="Q5590" s="4" t="s">
        <v>11884</v>
      </c>
      <c r="R5590" s="4" t="s">
        <v>11871</v>
      </c>
      <c r="S5590" s="4" t="s">
        <v>1189</v>
      </c>
    </row>
    <row r="5591">
      <c r="A5591" s="4">
        <v>133.0</v>
      </c>
      <c r="B5591" s="4" t="s">
        <v>13990</v>
      </c>
      <c r="C5591" s="4"/>
      <c r="D5591" s="4" t="s">
        <v>5966</v>
      </c>
      <c r="E5591" s="4" t="s">
        <v>1121</v>
      </c>
      <c r="F5591" s="4" t="s">
        <v>1122</v>
      </c>
      <c r="G5591" s="5" t="str">
        <f>IFERROR(__xludf.DUMMYFUNCTION("GOOGLETRANSLATE(D5591,""fr"",""es"")"),"bastón")</f>
        <v>bastón</v>
      </c>
      <c r="H5591" s="4" t="s">
        <v>5967</v>
      </c>
    </row>
    <row r="5592">
      <c r="A5592" s="4">
        <v>134.0</v>
      </c>
      <c r="B5592" s="4" t="s">
        <v>13990</v>
      </c>
      <c r="C5592" s="4"/>
      <c r="D5592" s="4" t="s">
        <v>1208</v>
      </c>
      <c r="E5592" s="4" t="s">
        <v>321</v>
      </c>
      <c r="F5592" s="4" t="s">
        <v>322</v>
      </c>
      <c r="G5592" s="5" t="str">
        <f>IFERROR(__xludf.DUMMYFUNCTION("GOOGLETRANSLATE(D5592,""fr"",""es"")"),"gorra")</f>
        <v>gorra</v>
      </c>
      <c r="H5592" s="4" t="s">
        <v>1217</v>
      </c>
      <c r="I5592" s="4" t="s">
        <v>1243</v>
      </c>
      <c r="J5592" s="4" t="s">
        <v>1217</v>
      </c>
      <c r="K5592" s="4" t="s">
        <v>1218</v>
      </c>
      <c r="L5592" s="4" t="s">
        <v>11889</v>
      </c>
      <c r="M5592" s="4" t="s">
        <v>11890</v>
      </c>
      <c r="N5592" s="4" t="s">
        <v>1209</v>
      </c>
      <c r="O5592" s="4" t="s">
        <v>11891</v>
      </c>
    </row>
    <row r="5593">
      <c r="A5593" s="4">
        <v>135.0</v>
      </c>
      <c r="B5593" s="4" t="s">
        <v>13990</v>
      </c>
      <c r="C5593" s="4"/>
      <c r="D5593" s="4" t="s">
        <v>1231</v>
      </c>
      <c r="E5593" s="4" t="s">
        <v>1232</v>
      </c>
      <c r="F5593" s="4" t="s">
        <v>1233</v>
      </c>
      <c r="G5593" s="5" t="str">
        <f>IFERROR(__xludf.DUMMYFUNCTION("GOOGLETRANSLATE(D5593,""fr"",""es"")"),"capa")</f>
        <v>capa</v>
      </c>
    </row>
    <row r="5594">
      <c r="A5594" s="4">
        <v>136.0</v>
      </c>
      <c r="B5594" s="4" t="s">
        <v>13990</v>
      </c>
      <c r="C5594" s="4"/>
      <c r="D5594" s="4" t="s">
        <v>1217</v>
      </c>
      <c r="E5594" s="4" t="s">
        <v>321</v>
      </c>
      <c r="F5594" s="4" t="s">
        <v>322</v>
      </c>
      <c r="G5594" s="5" t="str">
        <f>IFERROR(__xludf.DUMMYFUNCTION("GOOGLETRANSLATE(D5594,""fr"",""es"")"),"capa")</f>
        <v>capa</v>
      </c>
      <c r="H5594" s="4" t="s">
        <v>1217</v>
      </c>
      <c r="I5594" s="4" t="s">
        <v>1243</v>
      </c>
      <c r="J5594" s="4" t="s">
        <v>1217</v>
      </c>
      <c r="K5594" s="4" t="s">
        <v>1218</v>
      </c>
    </row>
    <row r="5595">
      <c r="A5595" s="4">
        <v>137.0</v>
      </c>
      <c r="B5595" s="4" t="s">
        <v>13990</v>
      </c>
      <c r="C5595" s="4"/>
      <c r="D5595" s="4" t="s">
        <v>11892</v>
      </c>
      <c r="E5595" s="4" t="s">
        <v>1292</v>
      </c>
      <c r="F5595" s="4" t="s">
        <v>1293</v>
      </c>
      <c r="G5595" s="5" t="str">
        <f>IFERROR(__xludf.DUMMYFUNCTION("GOOGLETRANSLATE(D5595,""fr"",""es"")"),"capita")</f>
        <v>capita</v>
      </c>
    </row>
    <row r="5596">
      <c r="A5596" s="4">
        <v>138.0</v>
      </c>
      <c r="B5596" s="4" t="s">
        <v>13990</v>
      </c>
      <c r="C5596" s="4"/>
      <c r="D5596" s="4" t="s">
        <v>1274</v>
      </c>
      <c r="E5596" s="4" t="s">
        <v>1275</v>
      </c>
      <c r="F5596" s="4" t="s">
        <v>1276</v>
      </c>
      <c r="G5596" s="5" t="str">
        <f>IFERROR(__xludf.DUMMYFUNCTION("GOOGLETRANSLATE(D5596,""fr"",""es"")"),"capital")</f>
        <v>capital</v>
      </c>
      <c r="H5596" s="4" t="s">
        <v>11893</v>
      </c>
      <c r="I5596" s="4" t="s">
        <v>11894</v>
      </c>
      <c r="J5596" s="4" t="s">
        <v>11893</v>
      </c>
      <c r="K5596" s="4" t="s">
        <v>11894</v>
      </c>
      <c r="L5596" s="4" t="s">
        <v>11893</v>
      </c>
      <c r="M5596" s="4" t="s">
        <v>11894</v>
      </c>
      <c r="N5596" s="4" t="s">
        <v>1224</v>
      </c>
      <c r="O5596" s="4" t="s">
        <v>11895</v>
      </c>
      <c r="P5596" s="4" t="s">
        <v>11896</v>
      </c>
      <c r="Q5596" s="4" t="s">
        <v>1281</v>
      </c>
      <c r="R5596" s="4" t="s">
        <v>617</v>
      </c>
      <c r="S5596" s="4" t="s">
        <v>1279</v>
      </c>
      <c r="T5596" s="4" t="s">
        <v>1274</v>
      </c>
      <c r="U5596" s="4" t="s">
        <v>5983</v>
      </c>
      <c r="V5596" s="4" t="s">
        <v>1208</v>
      </c>
      <c r="W5596" s="4" t="s">
        <v>11897</v>
      </c>
      <c r="X5596" s="4" t="s">
        <v>11898</v>
      </c>
      <c r="Y5596" s="4" t="s">
        <v>1274</v>
      </c>
      <c r="Z5596" s="4" t="s">
        <v>1274</v>
      </c>
      <c r="AA5596" s="4" t="s">
        <v>1274</v>
      </c>
      <c r="AB5596" s="4" t="s">
        <v>11899</v>
      </c>
    </row>
    <row r="5597">
      <c r="A5597" s="4">
        <v>139.0</v>
      </c>
      <c r="B5597" s="4" t="s">
        <v>13990</v>
      </c>
      <c r="C5597" s="4"/>
      <c r="D5597" s="4" t="s">
        <v>11900</v>
      </c>
      <c r="E5597" s="4" t="s">
        <v>1275</v>
      </c>
      <c r="F5597" s="4" t="s">
        <v>1276</v>
      </c>
      <c r="G5597" s="5" t="str">
        <f>IFERROR(__xludf.DUMMYFUNCTION("GOOGLETRANSLATE(D5597,""fr"",""es"")"),"ciudad capital")</f>
        <v>ciudad capital</v>
      </c>
      <c r="H5597" s="4" t="s">
        <v>1274</v>
      </c>
      <c r="I5597" s="4" t="s">
        <v>1277</v>
      </c>
      <c r="J5597" s="4" t="s">
        <v>1278</v>
      </c>
      <c r="K5597" s="4" t="s">
        <v>1274</v>
      </c>
      <c r="L5597" s="4" t="s">
        <v>1274</v>
      </c>
      <c r="M5597" s="4" t="s">
        <v>1274</v>
      </c>
      <c r="N5597" s="4" t="s">
        <v>5983</v>
      </c>
      <c r="O5597" s="4" t="s">
        <v>1208</v>
      </c>
      <c r="P5597" s="4" t="s">
        <v>1274</v>
      </c>
      <c r="Q5597" s="4" t="s">
        <v>11901</v>
      </c>
      <c r="R5597" s="4" t="s">
        <v>11902</v>
      </c>
      <c r="S5597" s="4" t="s">
        <v>11903</v>
      </c>
      <c r="T5597" s="4" t="s">
        <v>1278</v>
      </c>
      <c r="U5597" s="4" t="s">
        <v>11897</v>
      </c>
      <c r="V5597" s="4" t="s">
        <v>11898</v>
      </c>
      <c r="W5597" s="4" t="s">
        <v>1274</v>
      </c>
    </row>
    <row r="5598">
      <c r="A5598" s="4">
        <v>140.0</v>
      </c>
      <c r="B5598" s="4" t="s">
        <v>13990</v>
      </c>
      <c r="C5598" s="4"/>
      <c r="D5598" s="4" t="s">
        <v>11904</v>
      </c>
      <c r="E5598" s="4" t="s">
        <v>1275</v>
      </c>
      <c r="F5598" s="4" t="s">
        <v>1276</v>
      </c>
      <c r="G5598" s="5" t="str">
        <f>IFERROR(__xludf.DUMMYFUNCTION("GOOGLETRANSLATE(D5598,""fr"",""es"")"),"letras mayúsculas")</f>
        <v>letras mayúsculas</v>
      </c>
    </row>
    <row r="5599">
      <c r="A5599" s="4">
        <v>141.0</v>
      </c>
      <c r="B5599" s="4" t="s">
        <v>13990</v>
      </c>
      <c r="C5599" s="4"/>
      <c r="D5599" s="4" t="s">
        <v>11905</v>
      </c>
      <c r="E5599" s="4" t="s">
        <v>1283</v>
      </c>
      <c r="F5599" s="4" t="s">
        <v>1284</v>
      </c>
      <c r="G5599" s="5" t="str">
        <f>IFERROR(__xludf.DUMMYFUNCTION("GOOGLETRANSLATE(D5599,""fr"",""es"")"),"capitalista")</f>
        <v>capitalista</v>
      </c>
    </row>
    <row r="5600">
      <c r="A5600" s="4">
        <v>142.0</v>
      </c>
      <c r="B5600" s="4" t="s">
        <v>13990</v>
      </c>
      <c r="C5600" s="4"/>
      <c r="D5600" s="4" t="s">
        <v>11906</v>
      </c>
      <c r="E5600" s="4" t="s">
        <v>11907</v>
      </c>
      <c r="F5600" s="4" t="s">
        <v>11908</v>
      </c>
      <c r="G5600" s="5" t="str">
        <f>IFERROR(__xludf.DUMMYFUNCTION("GOOGLETRANSLATE(D5600,""fr"",""es"")"),"Capitoul")</f>
        <v>Capitoul</v>
      </c>
    </row>
    <row r="5601">
      <c r="A5601" s="4">
        <v>143.0</v>
      </c>
      <c r="B5601" s="4" t="s">
        <v>13990</v>
      </c>
      <c r="C5601" s="4"/>
      <c r="D5601" s="4" t="s">
        <v>11909</v>
      </c>
      <c r="E5601" s="4" t="s">
        <v>11910</v>
      </c>
      <c r="F5601" s="4" t="s">
        <v>11911</v>
      </c>
      <c r="G5601" s="5" t="str">
        <f>IFERROR(__xludf.DUMMYFUNCTION("GOOGLETRANSLATE(D5601,""fr"",""es"")"),"Capitoulat")</f>
        <v>Capitoulat</v>
      </c>
    </row>
    <row r="5602">
      <c r="A5602" s="4">
        <v>144.0</v>
      </c>
      <c r="B5602" s="4" t="s">
        <v>13990</v>
      </c>
      <c r="C5602" s="4"/>
      <c r="D5602" s="4" t="s">
        <v>11912</v>
      </c>
      <c r="E5602" s="4" t="s">
        <v>11913</v>
      </c>
      <c r="F5602" s="4" t="s">
        <v>9993</v>
      </c>
      <c r="G5602" s="5" t="str">
        <f>IFERROR(__xludf.DUMMYFUNCTION("GOOGLETRANSLATE(D5602,""fr"",""es"")"),"capuio")</f>
        <v>capuio</v>
      </c>
    </row>
    <row r="5603">
      <c r="A5603" s="4">
        <v>145.0</v>
      </c>
      <c r="B5603" s="4" t="s">
        <v>13990</v>
      </c>
      <c r="C5603" s="4"/>
      <c r="D5603" s="4" t="s">
        <v>11914</v>
      </c>
      <c r="E5603" s="4" t="s">
        <v>318</v>
      </c>
      <c r="F5603" s="4" t="s">
        <v>319</v>
      </c>
      <c r="G5603" s="5" t="str">
        <f>IFERROR(__xludf.DUMMYFUNCTION("GOOGLETRANSLATE(D5603,""fr"",""es"")"),"Caq")</f>
        <v>Caq</v>
      </c>
    </row>
    <row r="5604">
      <c r="A5604" s="4">
        <v>146.0</v>
      </c>
      <c r="B5604" s="4" t="s">
        <v>13990</v>
      </c>
      <c r="C5604" s="4"/>
      <c r="D5604" s="4" t="s">
        <v>11915</v>
      </c>
      <c r="E5604" s="4" t="s">
        <v>318</v>
      </c>
      <c r="F5604" s="4" t="s">
        <v>319</v>
      </c>
      <c r="G5604" s="5" t="str">
        <f>IFERROR(__xludf.DUMMYFUNCTION("GOOGLETRANSLATE(D5604,""fr"",""es"")"),"cacareo")</f>
        <v>cacareo</v>
      </c>
    </row>
    <row r="5605">
      <c r="A5605" s="4">
        <v>147.0</v>
      </c>
      <c r="B5605" s="4" t="s">
        <v>13990</v>
      </c>
      <c r="C5605" s="4"/>
      <c r="D5605" s="4" t="s">
        <v>1334</v>
      </c>
      <c r="E5605" s="4" t="s">
        <v>9868</v>
      </c>
      <c r="F5605" s="4" t="s">
        <v>962</v>
      </c>
      <c r="G5605" s="5" t="str">
        <f>IFERROR(__xludf.DUMMYFUNCTION("GOOGLETRANSLATE(D5605,""fr"",""es"")"),"caso")</f>
        <v>caso</v>
      </c>
      <c r="H5605" s="4" t="s">
        <v>11916</v>
      </c>
      <c r="I5605" s="4" t="s">
        <v>11016</v>
      </c>
      <c r="J5605" s="4" t="s">
        <v>1337</v>
      </c>
      <c r="K5605" s="4" t="s">
        <v>11917</v>
      </c>
      <c r="L5605" s="4" t="s">
        <v>11918</v>
      </c>
      <c r="M5605" s="4" t="s">
        <v>1337</v>
      </c>
      <c r="N5605" s="4" t="s">
        <v>1337</v>
      </c>
      <c r="O5605" s="4" t="s">
        <v>1337</v>
      </c>
      <c r="P5605" s="4" t="s">
        <v>11919</v>
      </c>
      <c r="Q5605" s="4" t="s">
        <v>11920</v>
      </c>
      <c r="R5605" s="4" t="s">
        <v>11921</v>
      </c>
      <c r="S5605" s="4" t="s">
        <v>1337</v>
      </c>
      <c r="T5605" s="4" t="s">
        <v>11922</v>
      </c>
      <c r="U5605" s="4" t="s">
        <v>3397</v>
      </c>
      <c r="V5605" s="4" t="s">
        <v>11923</v>
      </c>
      <c r="W5605" s="4" t="s">
        <v>11924</v>
      </c>
      <c r="X5605" s="4" t="s">
        <v>1337</v>
      </c>
      <c r="Y5605" s="4" t="s">
        <v>11925</v>
      </c>
      <c r="Z5605" s="4" t="s">
        <v>1337</v>
      </c>
      <c r="AA5605" s="4" t="s">
        <v>11924</v>
      </c>
      <c r="AB5605" s="4" t="s">
        <v>8719</v>
      </c>
      <c r="AC5605" s="4" t="s">
        <v>1337</v>
      </c>
      <c r="AD5605" s="4" t="s">
        <v>1337</v>
      </c>
      <c r="AE5605" s="4" t="s">
        <v>1337</v>
      </c>
      <c r="AF5605" s="4" t="s">
        <v>1338</v>
      </c>
      <c r="AG5605" s="4" t="s">
        <v>1337</v>
      </c>
      <c r="AH5605" s="4" t="s">
        <v>1337</v>
      </c>
      <c r="AI5605" s="4" t="s">
        <v>11926</v>
      </c>
      <c r="AJ5605" s="4" t="s">
        <v>11927</v>
      </c>
      <c r="AK5605" s="4" t="s">
        <v>11928</v>
      </c>
      <c r="AL5605" s="4" t="s">
        <v>1337</v>
      </c>
      <c r="AM5605" s="4" t="s">
        <v>4416</v>
      </c>
      <c r="AN5605" s="4" t="s">
        <v>4417</v>
      </c>
      <c r="AO5605" s="4" t="s">
        <v>4412</v>
      </c>
      <c r="AP5605" s="4" t="s">
        <v>1337</v>
      </c>
      <c r="AQ5605" s="4" t="s">
        <v>1069</v>
      </c>
      <c r="AR5605" s="4" t="s">
        <v>1337</v>
      </c>
      <c r="AS5605" s="4" t="s">
        <v>11929</v>
      </c>
      <c r="AT5605" s="4" t="s">
        <v>1337</v>
      </c>
      <c r="AU5605" s="4" t="s">
        <v>11930</v>
      </c>
      <c r="AV5605" s="4" t="s">
        <v>11928</v>
      </c>
      <c r="AW5605" s="4" t="s">
        <v>1339</v>
      </c>
      <c r="AX5605" s="4" t="s">
        <v>1337</v>
      </c>
      <c r="AY5605" s="4" t="s">
        <v>11931</v>
      </c>
      <c r="AZ5605" s="4" t="s">
        <v>1337</v>
      </c>
    </row>
    <row r="5606">
      <c r="A5606" s="4">
        <v>148.0</v>
      </c>
      <c r="B5606" s="4" t="s">
        <v>13990</v>
      </c>
      <c r="C5606" s="4"/>
      <c r="D5606" s="4" t="s">
        <v>5989</v>
      </c>
      <c r="E5606" s="4" t="s">
        <v>8026</v>
      </c>
      <c r="F5606" s="4" t="s">
        <v>5924</v>
      </c>
      <c r="G5606" s="5" t="str">
        <f>IFERROR(__xludf.DUMMYFUNCTION("GOOGLETRANSLATE(D5606,""fr"",""es"")"),"dinero")</f>
        <v>dinero</v>
      </c>
    </row>
    <row r="5607">
      <c r="A5607" s="4">
        <v>149.0</v>
      </c>
      <c r="B5607" s="4" t="s">
        <v>13990</v>
      </c>
      <c r="C5607" s="4"/>
      <c r="D5607" s="4" t="s">
        <v>11932</v>
      </c>
      <c r="E5607" s="4" t="s">
        <v>1358</v>
      </c>
      <c r="F5607" s="4" t="s">
        <v>1359</v>
      </c>
      <c r="G5607" s="5" t="str">
        <f>IFERROR(__xludf.DUMMYFUNCTION("GOOGLETRANSLATE(D5607,""fr"",""es"")"),"Cassa")</f>
        <v>Cassa</v>
      </c>
    </row>
    <row r="5608">
      <c r="A5608" s="4">
        <v>150.0</v>
      </c>
      <c r="B5608" s="4" t="s">
        <v>13990</v>
      </c>
      <c r="C5608" s="4"/>
      <c r="D5608" s="4" t="s">
        <v>11933</v>
      </c>
      <c r="E5608" s="4" t="s">
        <v>8246</v>
      </c>
      <c r="F5608" s="4" t="s">
        <v>1336</v>
      </c>
      <c r="G5608" s="5" t="str">
        <f>IFERROR(__xludf.DUMMYFUNCTION("GOOGLETRANSLATE(D5608,""fr"",""es"")"),"roto")</f>
        <v>roto</v>
      </c>
      <c r="H5608" s="4" t="s">
        <v>11934</v>
      </c>
    </row>
    <row r="5609">
      <c r="A5609" s="4">
        <v>151.0</v>
      </c>
      <c r="B5609" s="4" t="s">
        <v>13990</v>
      </c>
      <c r="C5609" s="4"/>
      <c r="D5609" s="4" t="s">
        <v>11935</v>
      </c>
      <c r="E5609" s="4" t="s">
        <v>1335</v>
      </c>
      <c r="F5609" s="4" t="s">
        <v>1336</v>
      </c>
      <c r="G5609" s="5" t="str">
        <f>IFERROR(__xludf.DUMMYFUNCTION("GOOGLETRANSLATE(D5609,""fr"",""es"")"),"descanso")</f>
        <v>descanso</v>
      </c>
    </row>
    <row r="5610">
      <c r="A5610" s="4">
        <v>152.0</v>
      </c>
      <c r="B5610" s="4" t="s">
        <v>13990</v>
      </c>
      <c r="C5610" s="4"/>
      <c r="D5610" s="4" t="s">
        <v>11936</v>
      </c>
      <c r="E5610" s="4" t="s">
        <v>1335</v>
      </c>
      <c r="F5610" s="4" t="s">
        <v>1336</v>
      </c>
      <c r="G5610" s="5" t="str">
        <f>IFERROR(__xludf.DUMMYFUNCTION("GOOGLETRANSLATE(D5610,""fr"",""es"")"),"descanso")</f>
        <v>descanso</v>
      </c>
    </row>
    <row r="5611">
      <c r="A5611" s="4">
        <v>153.0</v>
      </c>
      <c r="B5611" s="4" t="s">
        <v>13990</v>
      </c>
      <c r="C5611" s="4"/>
      <c r="D5611" s="4" t="s">
        <v>8119</v>
      </c>
      <c r="E5611" s="4" t="s">
        <v>11937</v>
      </c>
      <c r="F5611" s="4" t="s">
        <v>8121</v>
      </c>
      <c r="G5611" s="5" t="str">
        <f>IFERROR(__xludf.DUMMYFUNCTION("GOOGLETRANSLATE(D5611,""fr"",""es"")"),"castaño")</f>
        <v>castaño</v>
      </c>
    </row>
    <row r="5612">
      <c r="A5612" s="4">
        <v>154.0</v>
      </c>
      <c r="B5612" s="4" t="s">
        <v>13990</v>
      </c>
      <c r="C5612" s="4"/>
      <c r="D5612" s="4" t="s">
        <v>11938</v>
      </c>
      <c r="E5612" s="4" t="s">
        <v>11937</v>
      </c>
      <c r="F5612" s="4" t="s">
        <v>8121</v>
      </c>
      <c r="G5612" s="5" t="str">
        <f>IFERROR(__xludf.DUMMYFUNCTION("GOOGLETRANSLATE(D5612,""fr"",""es"")"),"Cassis")</f>
        <v>Cassis</v>
      </c>
      <c r="H5612" s="4" t="s">
        <v>11939</v>
      </c>
    </row>
    <row r="5613">
      <c r="A5613" s="4">
        <v>155.0</v>
      </c>
      <c r="B5613" s="4" t="s">
        <v>13990</v>
      </c>
      <c r="C5613" s="4"/>
      <c r="D5613" s="4" t="s">
        <v>11938</v>
      </c>
      <c r="E5613" s="4" t="s">
        <v>11940</v>
      </c>
      <c r="F5613" s="4" t="s">
        <v>5665</v>
      </c>
      <c r="G5613" s="5" t="str">
        <f>IFERROR(__xludf.DUMMYFUNCTION("GOOGLETRANSLATE(D5613,""fr"",""es"")"),"Cassis")</f>
        <v>Cassis</v>
      </c>
      <c r="H5613" s="4" t="s">
        <v>11939</v>
      </c>
    </row>
    <row r="5614">
      <c r="A5614" s="4">
        <v>156.0</v>
      </c>
      <c r="B5614" s="4" t="s">
        <v>13990</v>
      </c>
      <c r="C5614" s="4"/>
      <c r="D5614" s="4" t="s">
        <v>11941</v>
      </c>
      <c r="E5614" s="4" t="s">
        <v>5161</v>
      </c>
      <c r="F5614" s="4" t="s">
        <v>5162</v>
      </c>
      <c r="G5614" s="5" t="str">
        <f>IFERROR(__xludf.DUMMYFUNCTION("GOOGLETRANSLATE(D5614,""fr"",""es"")"),"gato")</f>
        <v>gato</v>
      </c>
    </row>
    <row r="5615">
      <c r="A5615" s="4">
        <v>157.0</v>
      </c>
      <c r="B5615" s="4" t="s">
        <v>13990</v>
      </c>
      <c r="C5615" s="4"/>
      <c r="D5615" s="4" t="s">
        <v>11942</v>
      </c>
      <c r="E5615" s="4" t="s">
        <v>11943</v>
      </c>
      <c r="F5615" s="4" t="s">
        <v>11944</v>
      </c>
      <c r="G5615" s="5" t="str">
        <f>IFERROR(__xludf.DUMMYFUNCTION("GOOGLETRANSLATE(D5615,""fr"",""es"")"),"catalán")</f>
        <v>catalán</v>
      </c>
    </row>
    <row r="5616">
      <c r="A5616" s="4">
        <v>158.0</v>
      </c>
      <c r="B5616" s="4" t="s">
        <v>13990</v>
      </c>
      <c r="C5616" s="4"/>
      <c r="D5616" s="4" t="s">
        <v>11945</v>
      </c>
      <c r="E5616" s="4" t="s">
        <v>11943</v>
      </c>
      <c r="F5616" s="4" t="s">
        <v>11944</v>
      </c>
      <c r="G5616" s="5" t="str">
        <f>IFERROR(__xludf.DUMMYFUNCTION("GOOGLETRANSLATE(D5616,""fr"",""es"")"),"catalán")</f>
        <v>catalán</v>
      </c>
    </row>
    <row r="5617">
      <c r="A5617" s="4">
        <v>159.0</v>
      </c>
      <c r="B5617" s="4" t="s">
        <v>13990</v>
      </c>
      <c r="C5617" s="4"/>
      <c r="D5617" s="4" t="s">
        <v>11946</v>
      </c>
      <c r="E5617" s="4" t="s">
        <v>11947</v>
      </c>
      <c r="F5617" s="4" t="s">
        <v>11948</v>
      </c>
      <c r="G5617" s="5" t="str">
        <f>IFERROR(__xludf.DUMMYFUNCTION("GOOGLETRANSLATE(D5617,""fr"",""es"")"),"catán")</f>
        <v>catán</v>
      </c>
    </row>
    <row r="5618">
      <c r="A5618" s="4">
        <v>160.0</v>
      </c>
      <c r="B5618" s="4" t="s">
        <v>13990</v>
      </c>
      <c r="C5618" s="4"/>
      <c r="D5618" s="4" t="s">
        <v>11949</v>
      </c>
      <c r="E5618" s="4" t="s">
        <v>5161</v>
      </c>
      <c r="F5618" s="4" t="s">
        <v>5162</v>
      </c>
      <c r="G5618" s="5" t="str">
        <f>IFERROR(__xludf.DUMMYFUNCTION("GOOGLETRANSLATE(D5618,""fr"",""es"")"),"catasas")</f>
        <v>catasas</v>
      </c>
    </row>
    <row r="5619">
      <c r="A5619" s="4">
        <v>161.0</v>
      </c>
      <c r="B5619" s="4" t="s">
        <v>13990</v>
      </c>
      <c r="C5619" s="4"/>
      <c r="D5619" s="4" t="s">
        <v>11950</v>
      </c>
      <c r="E5619" s="4" t="s">
        <v>11951</v>
      </c>
      <c r="F5619" s="4" t="s">
        <v>11811</v>
      </c>
      <c r="G5619" s="5" t="str">
        <f>IFERROR(__xludf.DUMMYFUNCTION("GOOGLETRANSLATE(D5619,""fr"",""es"")"),"caya")</f>
        <v>caya</v>
      </c>
    </row>
    <row r="5620">
      <c r="A5620" s="4">
        <v>162.0</v>
      </c>
      <c r="B5620" s="4" t="s">
        <v>13990</v>
      </c>
      <c r="C5620" s="4"/>
      <c r="D5620" s="4" t="s">
        <v>11952</v>
      </c>
      <c r="E5620" s="4" t="s">
        <v>11953</v>
      </c>
      <c r="F5620" s="4" t="s">
        <v>11954</v>
      </c>
      <c r="G5620" s="5" t="str">
        <f>IFERROR(__xludf.DUMMYFUNCTION("GOOGLETRANSLATE(D5620,""fr"",""es"")"),"chacal")</f>
        <v>chacal</v>
      </c>
      <c r="H5620" s="4" t="s">
        <v>11955</v>
      </c>
      <c r="I5620" s="4" t="s">
        <v>11956</v>
      </c>
      <c r="J5620" s="4" t="s">
        <v>11957</v>
      </c>
      <c r="K5620" s="4" t="s">
        <v>11958</v>
      </c>
      <c r="L5620" s="4" t="s">
        <v>11959</v>
      </c>
      <c r="M5620" s="4" t="s">
        <v>11960</v>
      </c>
      <c r="N5620" s="4" t="s">
        <v>11961</v>
      </c>
      <c r="O5620" s="4" t="s">
        <v>11962</v>
      </c>
      <c r="P5620" s="4" t="s">
        <v>11963</v>
      </c>
      <c r="Q5620" s="4" t="s">
        <v>11964</v>
      </c>
      <c r="R5620" s="4" t="s">
        <v>11965</v>
      </c>
      <c r="S5620" s="4" t="s">
        <v>11966</v>
      </c>
      <c r="T5620" s="4" t="s">
        <v>11967</v>
      </c>
    </row>
    <row r="5621">
      <c r="A5621" s="4">
        <v>163.0</v>
      </c>
      <c r="B5621" s="4" t="s">
        <v>13990</v>
      </c>
      <c r="C5621" s="4"/>
      <c r="D5621" s="4" t="s">
        <v>11968</v>
      </c>
      <c r="E5621" s="4" t="s">
        <v>11953</v>
      </c>
      <c r="F5621" s="4" t="s">
        <v>11954</v>
      </c>
      <c r="G5621" s="5" t="str">
        <f>IFERROR(__xludf.DUMMYFUNCTION("GOOGLETRANSLATE(D5621,""fr"",""es"")"),"chacal")</f>
        <v>chacal</v>
      </c>
    </row>
    <row r="5622">
      <c r="A5622" s="4">
        <v>164.0</v>
      </c>
      <c r="B5622" s="4" t="s">
        <v>13990</v>
      </c>
      <c r="C5622" s="4"/>
      <c r="D5622" s="4" t="s">
        <v>11969</v>
      </c>
      <c r="E5622" s="4" t="s">
        <v>11970</v>
      </c>
      <c r="F5622" s="4" t="s">
        <v>11971</v>
      </c>
      <c r="G5622" s="5" t="str">
        <f>IFERROR(__xludf.DUMMYFUNCTION("GOOGLETRANSLATE(D5622,""fr"",""es"")"),"chacha")</f>
        <v>chacha</v>
      </c>
    </row>
    <row r="5623">
      <c r="A5623" s="4">
        <v>165.0</v>
      </c>
      <c r="B5623" s="4" t="s">
        <v>13990</v>
      </c>
      <c r="C5623" s="4"/>
      <c r="D5623" s="4" t="s">
        <v>11972</v>
      </c>
      <c r="E5623" s="4" t="s">
        <v>11973</v>
      </c>
      <c r="F5623" s="4" t="s">
        <v>11974</v>
      </c>
      <c r="G5623" s="5" t="str">
        <f>IFERROR(__xludf.DUMMYFUNCTION("GOOGLETRANSLATE(D5623,""fr"",""es"")"),"barco")</f>
        <v>barco</v>
      </c>
      <c r="H5623" s="4" t="s">
        <v>11975</v>
      </c>
    </row>
    <row r="5624">
      <c r="A5624" s="4">
        <v>166.0</v>
      </c>
      <c r="B5624" s="4" t="s">
        <v>13990</v>
      </c>
      <c r="C5624" s="4"/>
      <c r="D5624" s="4" t="s">
        <v>11976</v>
      </c>
      <c r="E5624" s="4" t="s">
        <v>11977</v>
      </c>
      <c r="F5624" s="4" t="s">
        <v>11978</v>
      </c>
      <c r="G5624" s="5" t="str">
        <f>IFERROR(__xludf.DUMMYFUNCTION("GOOGLETRANSLATE(D5624,""fr"",""es"")"),"vago")</f>
        <v>vago</v>
      </c>
    </row>
    <row r="5625">
      <c r="A5625" s="4">
        <v>167.0</v>
      </c>
      <c r="B5625" s="4" t="s">
        <v>13990</v>
      </c>
      <c r="C5625" s="4"/>
      <c r="D5625" s="4" t="s">
        <v>11979</v>
      </c>
      <c r="E5625" s="4" t="s">
        <v>11980</v>
      </c>
      <c r="F5625" s="4" t="s">
        <v>11981</v>
      </c>
      <c r="G5625" s="5" t="str">
        <f>IFERROR(__xludf.DUMMYFUNCTION("GOOGLETRANSLATE(D5625,""fr"",""es"")"),"chamán")</f>
        <v>chamán</v>
      </c>
      <c r="H5625" s="4" t="s">
        <v>11981</v>
      </c>
      <c r="I5625" s="4" t="s">
        <v>11982</v>
      </c>
    </row>
    <row r="5626">
      <c r="A5626" s="4">
        <v>168.0</v>
      </c>
      <c r="B5626" s="4" t="s">
        <v>13990</v>
      </c>
      <c r="C5626" s="4"/>
      <c r="D5626" s="4" t="s">
        <v>11983</v>
      </c>
      <c r="E5626" s="4" t="s">
        <v>11980</v>
      </c>
      <c r="F5626" s="4" t="s">
        <v>11981</v>
      </c>
      <c r="G5626" s="5" t="str">
        <f>IFERROR(__xludf.DUMMYFUNCTION("GOOGLETRANSLATE(D5626,""fr"",""es"")"),"chamán")</f>
        <v>chamán</v>
      </c>
    </row>
    <row r="5627">
      <c r="A5627" s="4">
        <v>169.0</v>
      </c>
      <c r="B5627" s="4" t="s">
        <v>13990</v>
      </c>
      <c r="C5627" s="4"/>
      <c r="D5627" s="4" t="s">
        <v>11984</v>
      </c>
      <c r="E5627" s="4" t="s">
        <v>11985</v>
      </c>
      <c r="F5627" s="4" t="s">
        <v>6012</v>
      </c>
      <c r="G5627" s="5" t="str">
        <f>IFERROR(__xludf.DUMMYFUNCTION("GOOGLETRANSLATE(D5627,""fr"",""es"")"),"tornillo")</f>
        <v>tornillo</v>
      </c>
      <c r="H5627" s="4" t="s">
        <v>9187</v>
      </c>
      <c r="I5627" s="4" t="s">
        <v>11986</v>
      </c>
      <c r="J5627" s="4" t="s">
        <v>11987</v>
      </c>
    </row>
    <row r="5628">
      <c r="A5628" s="4">
        <v>170.0</v>
      </c>
      <c r="B5628" s="4" t="s">
        <v>13990</v>
      </c>
      <c r="C5628" s="4"/>
      <c r="D5628" s="4" t="s">
        <v>11988</v>
      </c>
      <c r="E5628" s="4" t="s">
        <v>11989</v>
      </c>
      <c r="F5628" s="4" t="s">
        <v>7454</v>
      </c>
      <c r="G5628" s="5" t="str">
        <f>IFERROR(__xludf.DUMMYFUNCTION("GOOGLETRANSLATE(D5628,""fr"",""es"")"),"cada")</f>
        <v>cada</v>
      </c>
      <c r="H5628" s="4" t="s">
        <v>11990</v>
      </c>
      <c r="I5628" s="4" t="s">
        <v>11991</v>
      </c>
      <c r="J5628" s="4" t="s">
        <v>11992</v>
      </c>
      <c r="K5628" s="4" t="s">
        <v>11993</v>
      </c>
      <c r="L5628" s="4" t="s">
        <v>11994</v>
      </c>
      <c r="M5628" s="4" t="s">
        <v>11990</v>
      </c>
      <c r="N5628" s="4" t="s">
        <v>11995</v>
      </c>
      <c r="O5628" s="4" t="s">
        <v>11995</v>
      </c>
    </row>
    <row r="5629">
      <c r="A5629" s="4">
        <v>171.0</v>
      </c>
      <c r="B5629" s="4" t="s">
        <v>13990</v>
      </c>
      <c r="C5629" s="4"/>
      <c r="D5629" s="4" t="s">
        <v>11996</v>
      </c>
      <c r="E5629" s="4" t="s">
        <v>11997</v>
      </c>
      <c r="F5629" s="4" t="s">
        <v>4672</v>
      </c>
      <c r="G5629" s="5" t="str">
        <f>IFERROR(__xludf.DUMMYFUNCTION("GOOGLETRANSLATE(D5629,""fr"",""es"")"),"Chas")</f>
        <v>Chas</v>
      </c>
      <c r="H5629" s="4" t="s">
        <v>4619</v>
      </c>
    </row>
    <row r="5630">
      <c r="A5630" s="4">
        <v>172.0</v>
      </c>
      <c r="B5630" s="4" t="s">
        <v>13990</v>
      </c>
      <c r="C5630" s="4"/>
      <c r="D5630" s="4" t="s">
        <v>6013</v>
      </c>
      <c r="E5630" s="4" t="s">
        <v>11998</v>
      </c>
      <c r="F5630" s="4" t="s">
        <v>6015</v>
      </c>
      <c r="G5630" s="5" t="str">
        <f>IFERROR(__xludf.DUMMYFUNCTION("GOOGLETRANSLATE(D5630,""fr"",""es"")"),"caza")</f>
        <v>caza</v>
      </c>
      <c r="H5630" s="4" t="s">
        <v>1364</v>
      </c>
      <c r="I5630" s="4" t="s">
        <v>1365</v>
      </c>
      <c r="J5630" s="4" t="s">
        <v>1364</v>
      </c>
      <c r="K5630" s="4" t="s">
        <v>1365</v>
      </c>
      <c r="L5630" s="4" t="s">
        <v>6682</v>
      </c>
      <c r="M5630" s="4" t="s">
        <v>1364</v>
      </c>
      <c r="N5630" s="4" t="s">
        <v>1365</v>
      </c>
      <c r="O5630" s="4" t="s">
        <v>11999</v>
      </c>
      <c r="P5630" s="4" t="s">
        <v>1364</v>
      </c>
      <c r="Q5630" s="4" t="s">
        <v>646</v>
      </c>
      <c r="R5630" s="4" t="s">
        <v>1373</v>
      </c>
      <c r="S5630" s="4" t="s">
        <v>1374</v>
      </c>
      <c r="T5630" s="4" t="s">
        <v>1364</v>
      </c>
      <c r="U5630" s="4" t="s">
        <v>1364</v>
      </c>
      <c r="V5630" s="4" t="s">
        <v>11169</v>
      </c>
      <c r="W5630" s="4" t="s">
        <v>1364</v>
      </c>
      <c r="X5630" s="4" t="s">
        <v>3713</v>
      </c>
      <c r="Y5630" s="4" t="s">
        <v>1364</v>
      </c>
      <c r="Z5630" s="4" t="s">
        <v>1364</v>
      </c>
      <c r="AA5630" s="4" t="s">
        <v>1364</v>
      </c>
      <c r="AB5630" s="4" t="s">
        <v>1364</v>
      </c>
      <c r="AC5630" s="4" t="s">
        <v>12000</v>
      </c>
      <c r="AD5630" s="4" t="s">
        <v>12001</v>
      </c>
    </row>
    <row r="5631">
      <c r="A5631" s="4">
        <v>173.0</v>
      </c>
      <c r="B5631" s="4" t="s">
        <v>13990</v>
      </c>
      <c r="C5631" s="4"/>
      <c r="D5631" s="4" t="s">
        <v>12002</v>
      </c>
      <c r="E5631" s="4" t="s">
        <v>11998</v>
      </c>
      <c r="F5631" s="4" t="s">
        <v>6015</v>
      </c>
      <c r="G5631" s="5" t="str">
        <f>IFERROR(__xludf.DUMMYFUNCTION("GOOGLETRANSLATE(D5631,""fr"",""es"")"),"caza")</f>
        <v>caza</v>
      </c>
    </row>
    <row r="5632">
      <c r="A5632" s="4">
        <v>174.0</v>
      </c>
      <c r="B5632" s="4" t="s">
        <v>13990</v>
      </c>
      <c r="C5632" s="4"/>
      <c r="D5632" s="4" t="s">
        <v>6017</v>
      </c>
      <c r="E5632" s="4" t="s">
        <v>12003</v>
      </c>
      <c r="F5632" s="4" t="s">
        <v>6019</v>
      </c>
      <c r="G5632" s="5" t="str">
        <f>IFERROR(__xludf.DUMMYFUNCTION("GOOGLETRANSLATE(D5632,""fr"",""es"")"),"cuadro")</f>
        <v>cuadro</v>
      </c>
    </row>
    <row r="5633">
      <c r="A5633" s="4">
        <v>175.0</v>
      </c>
      <c r="B5633" s="4" t="s">
        <v>13990</v>
      </c>
      <c r="C5633" s="4"/>
      <c r="D5633" s="4" t="s">
        <v>12004</v>
      </c>
      <c r="E5633" s="4" t="s">
        <v>4671</v>
      </c>
      <c r="F5633" s="4" t="s">
        <v>4672</v>
      </c>
      <c r="G5633" s="5" t="str">
        <f>IFERROR(__xludf.DUMMYFUNCTION("GOOGLETRANSLATE(D5633,""fr"",""es"")"),"gato")</f>
        <v>gato</v>
      </c>
      <c r="H5633" s="4" t="s">
        <v>12005</v>
      </c>
      <c r="I5633" s="4" t="s">
        <v>12006</v>
      </c>
      <c r="J5633" s="4" t="s">
        <v>12007</v>
      </c>
      <c r="K5633" s="4" t="s">
        <v>12008</v>
      </c>
      <c r="L5633" s="4" t="s">
        <v>12009</v>
      </c>
      <c r="M5633" s="4" t="s">
        <v>12010</v>
      </c>
      <c r="N5633" s="4" t="s">
        <v>4845</v>
      </c>
      <c r="O5633" s="4" t="s">
        <v>12011</v>
      </c>
      <c r="P5633" s="4" t="s">
        <v>12012</v>
      </c>
      <c r="Q5633" s="4" t="s">
        <v>4845</v>
      </c>
      <c r="R5633" s="4" t="s">
        <v>4846</v>
      </c>
      <c r="S5633" s="4" t="s">
        <v>8837</v>
      </c>
      <c r="T5633" s="4" t="s">
        <v>8841</v>
      </c>
      <c r="U5633" s="4" t="s">
        <v>9109</v>
      </c>
      <c r="V5633" s="4" t="s">
        <v>4845</v>
      </c>
      <c r="W5633" s="4" t="s">
        <v>12013</v>
      </c>
      <c r="X5633" s="4" t="s">
        <v>4845</v>
      </c>
      <c r="Y5633" s="4" t="s">
        <v>12014</v>
      </c>
      <c r="Z5633" s="4" t="s">
        <v>4845</v>
      </c>
      <c r="AA5633" s="4" t="s">
        <v>12015</v>
      </c>
      <c r="AB5633" s="4" t="s">
        <v>12016</v>
      </c>
      <c r="AC5633" s="4" t="s">
        <v>12017</v>
      </c>
      <c r="AD5633" s="4" t="s">
        <v>12018</v>
      </c>
      <c r="AE5633" s="4" t="s">
        <v>4845</v>
      </c>
      <c r="AF5633" s="4" t="s">
        <v>12019</v>
      </c>
      <c r="AG5633" s="4" t="s">
        <v>12020</v>
      </c>
      <c r="AH5633" s="4" t="s">
        <v>8226</v>
      </c>
      <c r="AI5633" s="4" t="s">
        <v>8839</v>
      </c>
      <c r="AJ5633" s="4" t="s">
        <v>8840</v>
      </c>
      <c r="AK5633" s="4" t="s">
        <v>4845</v>
      </c>
      <c r="AL5633" s="4" t="s">
        <v>9156</v>
      </c>
      <c r="AM5633" s="4" t="s">
        <v>4845</v>
      </c>
      <c r="AN5633" s="4" t="s">
        <v>9157</v>
      </c>
      <c r="AO5633" s="4" t="s">
        <v>9158</v>
      </c>
    </row>
    <row r="5634">
      <c r="A5634" s="4">
        <v>176.0</v>
      </c>
      <c r="B5634" s="4" t="s">
        <v>13990</v>
      </c>
      <c r="C5634" s="4"/>
      <c r="D5634" s="4" t="s">
        <v>12021</v>
      </c>
      <c r="E5634" s="4" t="s">
        <v>4671</v>
      </c>
      <c r="F5634" s="4" t="s">
        <v>4672</v>
      </c>
      <c r="G5634" s="5" t="str">
        <f>IFERROR(__xludf.DUMMYFUNCTION("GOOGLETRANSLATE(D5634,""fr"",""es"")"),"gatos")</f>
        <v>gatos</v>
      </c>
    </row>
    <row r="5635">
      <c r="A5635" s="4">
        <v>177.0</v>
      </c>
      <c r="B5635" s="4" t="s">
        <v>13990</v>
      </c>
      <c r="C5635" s="4"/>
      <c r="D5635" s="4" t="s">
        <v>6034</v>
      </c>
      <c r="E5635" s="4" t="s">
        <v>4687</v>
      </c>
      <c r="F5635" s="4" t="s">
        <v>287</v>
      </c>
      <c r="G5635" s="5" t="str">
        <f>IFERROR(__xludf.DUMMYFUNCTION("GOOGLETRANSLATE(D5635,""fr"",""es"")"),"elegante")</f>
        <v>elegante</v>
      </c>
      <c r="H5635" s="4" t="s">
        <v>6034</v>
      </c>
      <c r="I5635" s="4" t="s">
        <v>3502</v>
      </c>
      <c r="J5635" s="4" t="s">
        <v>8141</v>
      </c>
      <c r="K5635" s="4" t="s">
        <v>8696</v>
      </c>
      <c r="L5635" s="4" t="s">
        <v>8694</v>
      </c>
      <c r="M5635" s="4" t="s">
        <v>4725</v>
      </c>
      <c r="N5635" s="4" t="s">
        <v>6034</v>
      </c>
      <c r="O5635" s="4" t="s">
        <v>6035</v>
      </c>
      <c r="P5635" s="4" t="s">
        <v>6031</v>
      </c>
      <c r="Q5635" s="4" t="s">
        <v>6036</v>
      </c>
      <c r="R5635" s="4" t="s">
        <v>6037</v>
      </c>
      <c r="S5635" s="4" t="s">
        <v>6038</v>
      </c>
      <c r="T5635" s="4" t="s">
        <v>6039</v>
      </c>
      <c r="U5635" s="4" t="s">
        <v>6040</v>
      </c>
    </row>
    <row r="5636">
      <c r="A5636" s="4">
        <v>178.0</v>
      </c>
      <c r="B5636" s="4" t="s">
        <v>13990</v>
      </c>
      <c r="C5636" s="4"/>
      <c r="D5636" s="4" t="s">
        <v>12022</v>
      </c>
      <c r="E5636" s="4" t="s">
        <v>12023</v>
      </c>
      <c r="F5636" s="4" t="s">
        <v>12024</v>
      </c>
      <c r="G5636" s="5" t="str">
        <f>IFERROR(__xludf.DUMMYFUNCTION("GOOGLETRANSLATE(D5636,""fr"",""es"")"),"chicana")</f>
        <v>chicana</v>
      </c>
    </row>
    <row r="5637">
      <c r="A5637" s="4">
        <v>179.0</v>
      </c>
      <c r="B5637" s="4" t="s">
        <v>13990</v>
      </c>
      <c r="C5637" s="4"/>
      <c r="D5637" s="4" t="s">
        <v>12025</v>
      </c>
      <c r="E5637" s="4" t="s">
        <v>12026</v>
      </c>
      <c r="F5637" s="4" t="s">
        <v>12024</v>
      </c>
      <c r="G5637" s="5" t="str">
        <f>IFERROR(__xludf.DUMMYFUNCTION("GOOGLETRANSLATE(D5637,""fr"",""es"")"),"chicanas")</f>
        <v>chicanas</v>
      </c>
    </row>
    <row r="5638">
      <c r="A5638" s="4">
        <v>180.0</v>
      </c>
      <c r="B5638" s="4" t="s">
        <v>13990</v>
      </c>
      <c r="C5638" s="4"/>
      <c r="D5638" s="4" t="s">
        <v>12027</v>
      </c>
      <c r="E5638" s="4" t="s">
        <v>12028</v>
      </c>
      <c r="F5638" s="4" t="s">
        <v>12029</v>
      </c>
      <c r="G5638" s="5" t="str">
        <f>IFERROR(__xludf.DUMMYFUNCTION("GOOGLETRANSLATE(D5638,""fr"",""es"")"),"chicular")</f>
        <v>chicular</v>
      </c>
    </row>
    <row r="5639">
      <c r="A5639" s="4">
        <v>181.0</v>
      </c>
      <c r="B5639" s="4" t="s">
        <v>13990</v>
      </c>
      <c r="C5639" s="4"/>
      <c r="D5639" s="4" t="s">
        <v>12030</v>
      </c>
      <c r="E5639" s="4" t="s">
        <v>12028</v>
      </c>
      <c r="F5639" s="4" t="s">
        <v>12029</v>
      </c>
      <c r="G5639" s="5" t="str">
        <f>IFERROR(__xludf.DUMMYFUNCTION("GOOGLETRANSLATE(D5639,""fr"",""es"")"),"elegante")</f>
        <v>elegante</v>
      </c>
    </row>
    <row r="5640">
      <c r="A5640" s="4">
        <v>182.0</v>
      </c>
      <c r="B5640" s="4" t="s">
        <v>13990</v>
      </c>
      <c r="C5640" s="4"/>
      <c r="D5640" s="4" t="s">
        <v>12031</v>
      </c>
      <c r="E5640" s="4" t="s">
        <v>12028</v>
      </c>
      <c r="F5640" s="4" t="s">
        <v>12029</v>
      </c>
      <c r="G5640" s="5" t="str">
        <f>IFERROR(__xludf.DUMMYFUNCTION("GOOGLETRANSLATE(D5640,""fr"",""es"")"),"chicanas")</f>
        <v>chicanas</v>
      </c>
    </row>
    <row r="5641">
      <c r="A5641" s="4">
        <v>183.0</v>
      </c>
      <c r="B5641" s="4" t="s">
        <v>13990</v>
      </c>
      <c r="C5641" s="4"/>
      <c r="D5641" s="4" t="s">
        <v>12032</v>
      </c>
      <c r="E5641" s="4" t="s">
        <v>12033</v>
      </c>
      <c r="F5641" s="4" t="s">
        <v>12034</v>
      </c>
      <c r="G5641" s="5" t="str">
        <f>IFERROR(__xludf.DUMMYFUNCTION("GOOGLETRANSLATE(D5641,""fr"",""es"")"),"crítica")</f>
        <v>crítica</v>
      </c>
    </row>
    <row r="5642">
      <c r="A5642" s="4">
        <v>184.0</v>
      </c>
      <c r="B5642" s="4" t="s">
        <v>13990</v>
      </c>
      <c r="C5642" s="4"/>
      <c r="D5642" s="4" t="s">
        <v>12035</v>
      </c>
      <c r="E5642" s="4" t="s">
        <v>12033</v>
      </c>
      <c r="F5642" s="4" t="s">
        <v>12034</v>
      </c>
      <c r="G5642" s="5" t="str">
        <f>IFERROR(__xludf.DUMMYFUNCTION("GOOGLETRANSLATE(D5642,""fr"",""es"")"),"crítica")</f>
        <v>crítica</v>
      </c>
    </row>
    <row r="5643">
      <c r="A5643" s="4">
        <v>185.0</v>
      </c>
      <c r="B5643" s="4" t="s">
        <v>13990</v>
      </c>
      <c r="C5643" s="4"/>
      <c r="D5643" s="4" t="s">
        <v>12036</v>
      </c>
      <c r="E5643" s="4" t="s">
        <v>12033</v>
      </c>
      <c r="F5643" s="4" t="s">
        <v>12034</v>
      </c>
      <c r="G5643" s="5" t="str">
        <f>IFERROR(__xludf.DUMMYFUNCTION("GOOGLETRANSLATE(D5643,""fr"",""es"")"),"desconcierto")</f>
        <v>desconcierto</v>
      </c>
    </row>
    <row r="5644">
      <c r="A5644" s="4">
        <v>186.0</v>
      </c>
      <c r="B5644" s="4" t="s">
        <v>13990</v>
      </c>
      <c r="C5644" s="4"/>
      <c r="D5644" s="4" t="s">
        <v>12037</v>
      </c>
      <c r="E5644" s="4" t="s">
        <v>12038</v>
      </c>
      <c r="F5644" s="4" t="s">
        <v>12039</v>
      </c>
      <c r="G5644" s="5" t="str">
        <f>IFERROR(__xludf.DUMMYFUNCTION("GOOGLETRANSLATE(D5644,""fr"",""es"")"),"chicanâmes")</f>
        <v>chicanâmes</v>
      </c>
    </row>
    <row r="5645">
      <c r="A5645" s="4">
        <v>187.0</v>
      </c>
      <c r="B5645" s="4" t="s">
        <v>13990</v>
      </c>
      <c r="C5645" s="4"/>
      <c r="D5645" s="4" t="s">
        <v>12040</v>
      </c>
      <c r="E5645" s="4" t="s">
        <v>12026</v>
      </c>
      <c r="F5645" s="4" t="s">
        <v>12024</v>
      </c>
      <c r="G5645" s="5" t="str">
        <f>IFERROR(__xludf.DUMMYFUNCTION("GOOGLETRANSLATE(D5645,""fr"",""es"")"),"chicanât")</f>
        <v>chicanât</v>
      </c>
    </row>
    <row r="5646">
      <c r="A5646" s="4">
        <v>188.0</v>
      </c>
      <c r="B5646" s="4" t="s">
        <v>13990</v>
      </c>
      <c r="C5646" s="4"/>
      <c r="D5646" s="4" t="s">
        <v>12041</v>
      </c>
      <c r="E5646" s="4" t="s">
        <v>12042</v>
      </c>
      <c r="F5646" s="4" t="s">
        <v>12043</v>
      </c>
      <c r="G5646" s="5" t="str">
        <f>IFERROR(__xludf.DUMMYFUNCTION("GOOGLETRANSLATE(D5646,""fr"",""es"")"),"Chicaya")</f>
        <v>Chicaya</v>
      </c>
    </row>
    <row r="5647">
      <c r="A5647" s="4">
        <v>189.0</v>
      </c>
      <c r="B5647" s="4" t="s">
        <v>13990</v>
      </c>
      <c r="C5647" s="4"/>
      <c r="D5647" s="4" t="s">
        <v>12044</v>
      </c>
      <c r="E5647" s="4" t="s">
        <v>12045</v>
      </c>
      <c r="F5647" s="4" t="s">
        <v>7507</v>
      </c>
      <c r="G5647" s="5" t="str">
        <f>IFERROR(__xludf.DUMMYFUNCTION("GOOGLETRANSLATE(D5647,""fr"",""es"")"),"chiche")</f>
        <v>chiche</v>
      </c>
    </row>
    <row r="5648">
      <c r="A5648" s="4">
        <v>190.0</v>
      </c>
      <c r="B5648" s="4" t="s">
        <v>13990</v>
      </c>
      <c r="C5648" s="4"/>
      <c r="D5648" s="4" t="s">
        <v>6031</v>
      </c>
      <c r="E5648" s="4" t="s">
        <v>6032</v>
      </c>
      <c r="F5648" s="4" t="s">
        <v>6033</v>
      </c>
      <c r="G5648" s="5" t="str">
        <f>IFERROR(__xludf.DUMMYFUNCTION("GOOGLETRANSLATE(D5648,""fr"",""es"")"),"Chi-chi")</f>
        <v>Chi-chi</v>
      </c>
    </row>
    <row r="5649">
      <c r="A5649" s="4">
        <v>191.0</v>
      </c>
      <c r="B5649" s="4" t="s">
        <v>13990</v>
      </c>
      <c r="C5649" s="4"/>
      <c r="D5649" s="4" t="s">
        <v>12046</v>
      </c>
      <c r="E5649" s="4" t="s">
        <v>12047</v>
      </c>
      <c r="F5649" s="4" t="s">
        <v>7490</v>
      </c>
      <c r="G5649" s="5" t="str">
        <f>IFERROR(__xludf.DUMMYFUNCTION("GOOGLETRANSLATE(D5649,""fr"",""es"")"),"química")</f>
        <v>química</v>
      </c>
      <c r="H5649" s="4" t="s">
        <v>3857</v>
      </c>
      <c r="I5649" s="4" t="s">
        <v>3858</v>
      </c>
      <c r="J5649" s="4" t="s">
        <v>3857</v>
      </c>
      <c r="K5649" s="4" t="s">
        <v>3859</v>
      </c>
      <c r="L5649" s="4" t="s">
        <v>3860</v>
      </c>
      <c r="M5649" s="4" t="s">
        <v>3851</v>
      </c>
      <c r="N5649" s="4" t="s">
        <v>12048</v>
      </c>
    </row>
    <row r="5650">
      <c r="A5650" s="4">
        <v>192.0</v>
      </c>
      <c r="B5650" s="4" t="s">
        <v>13990</v>
      </c>
      <c r="C5650" s="4"/>
      <c r="D5650" s="4" t="s">
        <v>12049</v>
      </c>
      <c r="E5650" s="4" t="s">
        <v>12050</v>
      </c>
      <c r="F5650" s="4" t="s">
        <v>12051</v>
      </c>
      <c r="G5650" s="5" t="str">
        <f>IFERROR(__xludf.DUMMYFUNCTION("GOOGLETRANSLATE(D5650,""fr"",""es"")"),"químico")</f>
        <v>químico</v>
      </c>
      <c r="H5650" s="4" t="s">
        <v>3851</v>
      </c>
      <c r="I5650" s="4" t="s">
        <v>3852</v>
      </c>
      <c r="J5650" s="4" t="s">
        <v>3851</v>
      </c>
      <c r="K5650" s="4" t="s">
        <v>3851</v>
      </c>
      <c r="L5650" s="4" t="s">
        <v>12048</v>
      </c>
    </row>
    <row r="5651">
      <c r="A5651" s="4">
        <v>193.0</v>
      </c>
      <c r="B5651" s="4" t="s">
        <v>13990</v>
      </c>
      <c r="C5651" s="4"/>
      <c r="D5651" s="4" t="s">
        <v>12052</v>
      </c>
      <c r="E5651" s="4" t="s">
        <v>12053</v>
      </c>
      <c r="F5651" s="4" t="s">
        <v>1188</v>
      </c>
      <c r="G5651" s="5" t="str">
        <f>IFERROR(__xludf.DUMMYFUNCTION("GOOGLETRANSLATE(D5651,""fr"",""es"")"),"Porcelana")</f>
        <v>Porcelana</v>
      </c>
      <c r="H5651" s="4" t="s">
        <v>12054</v>
      </c>
      <c r="I5651" s="4" t="s">
        <v>12055</v>
      </c>
      <c r="J5651" s="4" t="s">
        <v>12056</v>
      </c>
      <c r="K5651" s="4" t="s">
        <v>12057</v>
      </c>
      <c r="L5651" s="4" t="s">
        <v>12058</v>
      </c>
      <c r="M5651" s="4" t="s">
        <v>12059</v>
      </c>
      <c r="N5651" s="4" t="s">
        <v>12060</v>
      </c>
      <c r="O5651" s="4" t="s">
        <v>12061</v>
      </c>
      <c r="P5651" s="4" t="s">
        <v>12062</v>
      </c>
      <c r="Q5651" s="4" t="s">
        <v>12055</v>
      </c>
      <c r="R5651" s="4" t="s">
        <v>12063</v>
      </c>
      <c r="S5651" s="4" t="s">
        <v>12064</v>
      </c>
    </row>
    <row r="5652">
      <c r="A5652" s="4">
        <v>194.0</v>
      </c>
      <c r="B5652" s="4" t="s">
        <v>13990</v>
      </c>
      <c r="C5652" s="4"/>
      <c r="D5652" s="4" t="s">
        <v>12065</v>
      </c>
      <c r="E5652" s="4" t="s">
        <v>12066</v>
      </c>
      <c r="F5652" s="4" t="s">
        <v>12067</v>
      </c>
      <c r="G5652" s="5" t="str">
        <f>IFERROR(__xludf.DUMMYFUNCTION("GOOGLETRANSLATE(D5652,""fr"",""es"")"),"chipa")</f>
        <v>chipa</v>
      </c>
    </row>
    <row r="5653">
      <c r="A5653" s="4">
        <v>195.0</v>
      </c>
      <c r="B5653" s="4" t="s">
        <v>13990</v>
      </c>
      <c r="C5653" s="4"/>
      <c r="D5653" s="4" t="s">
        <v>12068</v>
      </c>
      <c r="E5653" s="4" t="s">
        <v>12069</v>
      </c>
      <c r="F5653" s="4" t="s">
        <v>12067</v>
      </c>
      <c r="G5653" s="5" t="str">
        <f>IFERROR(__xludf.DUMMYFUNCTION("GOOGLETRANSLATE(D5653,""fr"",""es"")"),"chipas")</f>
        <v>chipas</v>
      </c>
    </row>
    <row r="5654">
      <c r="A5654" s="4">
        <v>196.0</v>
      </c>
      <c r="B5654" s="4" t="s">
        <v>13990</v>
      </c>
      <c r="C5654" s="4"/>
      <c r="D5654" s="4" t="s">
        <v>12070</v>
      </c>
      <c r="E5654" s="4" t="s">
        <v>12071</v>
      </c>
      <c r="F5654" s="4" t="s">
        <v>12072</v>
      </c>
      <c r="G5654" s="5" t="str">
        <f>IFERROR(__xludf.DUMMYFUNCTION("GOOGLETRANSLATE(D5654,""fr"",""es"")"),"chipasse")</f>
        <v>chipasse</v>
      </c>
    </row>
    <row r="5655">
      <c r="A5655" s="4">
        <v>197.0</v>
      </c>
      <c r="B5655" s="4" t="s">
        <v>13990</v>
      </c>
      <c r="C5655" s="4"/>
      <c r="D5655" s="4" t="s">
        <v>12073</v>
      </c>
      <c r="E5655" s="4" t="s">
        <v>12071</v>
      </c>
      <c r="F5655" s="4" t="s">
        <v>12072</v>
      </c>
      <c r="G5655" s="5" t="str">
        <f>IFERROR(__xludf.DUMMYFUNCTION("GOOGLETRANSLATE(D5655,""fr"",""es"")"),"chip")</f>
        <v>chip</v>
      </c>
    </row>
    <row r="5656">
      <c r="A5656" s="4">
        <v>198.0</v>
      </c>
      <c r="B5656" s="4" t="s">
        <v>13990</v>
      </c>
      <c r="C5656" s="4"/>
      <c r="D5656" s="4" t="s">
        <v>12074</v>
      </c>
      <c r="E5656" s="4" t="s">
        <v>12071</v>
      </c>
      <c r="F5656" s="4" t="s">
        <v>12072</v>
      </c>
      <c r="G5656" s="5" t="str">
        <f>IFERROR(__xludf.DUMMYFUNCTION("GOOGLETRANSLATE(D5656,""fr"",""es"")"),"chipses")</f>
        <v>chipses</v>
      </c>
    </row>
    <row r="5657">
      <c r="A5657" s="4">
        <v>199.0</v>
      </c>
      <c r="B5657" s="4" t="s">
        <v>13990</v>
      </c>
      <c r="C5657" s="4"/>
      <c r="D5657" s="4" t="s">
        <v>12075</v>
      </c>
      <c r="E5657" s="4" t="s">
        <v>4714</v>
      </c>
      <c r="F5657" s="4" t="s">
        <v>4715</v>
      </c>
      <c r="G5657" s="5" t="str">
        <f>IFERROR(__xludf.DUMMYFUNCTION("GOOGLETRANSLATE(D5657,""fr"",""es"")"),"chiple")</f>
        <v>chiple</v>
      </c>
    </row>
    <row r="5658">
      <c r="A5658" s="4">
        <v>200.0</v>
      </c>
      <c r="B5658" s="4" t="s">
        <v>13990</v>
      </c>
      <c r="C5658" s="4"/>
      <c r="D5658" s="4" t="s">
        <v>12076</v>
      </c>
      <c r="E5658" s="4" t="s">
        <v>4714</v>
      </c>
      <c r="F5658" s="4" t="s">
        <v>4715</v>
      </c>
      <c r="G5658" s="5" t="str">
        <f>IFERROR(__xludf.DUMMYFUNCTION("GOOGLETRANSLATE(D5658,""fr"",""es"")"),"chiple")</f>
        <v>chiple</v>
      </c>
    </row>
    <row r="5659">
      <c r="A5659" s="4">
        <v>201.0</v>
      </c>
      <c r="B5659" s="4" t="s">
        <v>13990</v>
      </c>
      <c r="C5659" s="4"/>
      <c r="D5659" s="4" t="s">
        <v>12077</v>
      </c>
      <c r="E5659" s="4" t="s">
        <v>4714</v>
      </c>
      <c r="F5659" s="4" t="s">
        <v>4715</v>
      </c>
      <c r="G5659" s="5" t="str">
        <f>IFERROR(__xludf.DUMMYFUNCTION("GOOGLETRANSLATE(D5659,""fr"",""es"")"),"chie")</f>
        <v>chie</v>
      </c>
    </row>
    <row r="5660">
      <c r="A5660" s="4">
        <v>202.0</v>
      </c>
      <c r="B5660" s="4" t="s">
        <v>13990</v>
      </c>
      <c r="C5660" s="4"/>
      <c r="D5660" s="4" t="s">
        <v>12078</v>
      </c>
      <c r="E5660" s="4" t="s">
        <v>12079</v>
      </c>
      <c r="F5660" s="4" t="s">
        <v>12080</v>
      </c>
      <c r="G5660" s="5" t="str">
        <f>IFERROR(__xludf.DUMMYFUNCTION("GOOGLETRANSLATE(D5660,""fr"",""es"")"),"chipie")</f>
        <v>chipie</v>
      </c>
      <c r="H5660" s="4" t="s">
        <v>3432</v>
      </c>
      <c r="I5660" s="4" t="s">
        <v>6411</v>
      </c>
      <c r="J5660" s="4" t="s">
        <v>12081</v>
      </c>
      <c r="K5660" s="4" t="s">
        <v>12082</v>
      </c>
      <c r="L5660" s="4" t="s">
        <v>12083</v>
      </c>
    </row>
    <row r="5661">
      <c r="A5661" s="4">
        <v>203.0</v>
      </c>
      <c r="B5661" s="4" t="s">
        <v>13990</v>
      </c>
      <c r="C5661" s="4"/>
      <c r="D5661" s="4" t="s">
        <v>12084</v>
      </c>
      <c r="E5661" s="4" t="s">
        <v>12079</v>
      </c>
      <c r="F5661" s="4" t="s">
        <v>12080</v>
      </c>
      <c r="G5661" s="5" t="str">
        <f>IFERROR(__xludf.DUMMYFUNCTION("GOOGLETRANSLATE(D5661,""fr"",""es"")"),"chipies")</f>
        <v>chipies</v>
      </c>
    </row>
    <row r="5662">
      <c r="A5662" s="4">
        <v>204.0</v>
      </c>
      <c r="B5662" s="4" t="s">
        <v>13990</v>
      </c>
      <c r="C5662" s="4"/>
      <c r="D5662" s="4" t="s">
        <v>12085</v>
      </c>
      <c r="E5662" s="4" t="s">
        <v>12086</v>
      </c>
      <c r="F5662" s="4" t="s">
        <v>12087</v>
      </c>
      <c r="G5662" s="5" t="str">
        <f>IFERROR(__xludf.DUMMYFUNCTION("GOOGLETRANSLATE(D5662,""fr"",""es"")"),"chip")</f>
        <v>chip</v>
      </c>
    </row>
    <row r="5663">
      <c r="A5663" s="4">
        <v>205.0</v>
      </c>
      <c r="B5663" s="4" t="s">
        <v>13990</v>
      </c>
      <c r="C5663" s="4"/>
      <c r="D5663" s="4" t="s">
        <v>12088</v>
      </c>
      <c r="E5663" s="4" t="s">
        <v>12069</v>
      </c>
      <c r="F5663" s="4" t="s">
        <v>12067</v>
      </c>
      <c r="G5663" s="5" t="str">
        <f>IFERROR(__xludf.DUMMYFUNCTION("GOOGLETRANSLATE(D5663,""fr"",""es"")"),"chip")</f>
        <v>chip</v>
      </c>
    </row>
    <row r="5664">
      <c r="A5664" s="4">
        <v>206.0</v>
      </c>
      <c r="B5664" s="4" t="s">
        <v>13990</v>
      </c>
      <c r="C5664" s="4"/>
      <c r="D5664" s="4" t="s">
        <v>12089</v>
      </c>
      <c r="E5664" s="4" t="s">
        <v>4687</v>
      </c>
      <c r="F5664" s="4" t="s">
        <v>287</v>
      </c>
      <c r="G5664" s="5" t="str">
        <f>IFERROR(__xludf.DUMMYFUNCTION("GOOGLETRANSLATE(D5664,""fr"",""es"")"),"chique")</f>
        <v>chique</v>
      </c>
      <c r="H5664" s="4" t="s">
        <v>8696</v>
      </c>
      <c r="I5664" s="4" t="s">
        <v>8694</v>
      </c>
      <c r="J5664" s="4" t="s">
        <v>4725</v>
      </c>
    </row>
    <row r="5665">
      <c r="A5665" s="4">
        <v>207.0</v>
      </c>
      <c r="B5665" s="4" t="s">
        <v>13990</v>
      </c>
      <c r="C5665" s="4"/>
      <c r="D5665" s="4" t="s">
        <v>12090</v>
      </c>
      <c r="E5665" s="4" t="s">
        <v>12091</v>
      </c>
      <c r="F5665" s="4" t="s">
        <v>12092</v>
      </c>
      <c r="G5665" s="5" t="str">
        <f>IFERROR(__xludf.DUMMYFUNCTION("GOOGLETRANSLATE(D5665,""fr"",""es"")"),"quitina")</f>
        <v>quitina</v>
      </c>
      <c r="H5665" s="4" t="s">
        <v>3842</v>
      </c>
    </row>
    <row r="5666">
      <c r="A5666" s="4">
        <v>208.0</v>
      </c>
      <c r="B5666" s="4" t="s">
        <v>13990</v>
      </c>
      <c r="C5666" s="4"/>
      <c r="D5666" s="4" t="s">
        <v>12093</v>
      </c>
      <c r="E5666" s="4" t="s">
        <v>12094</v>
      </c>
      <c r="F5666" s="4" t="s">
        <v>12095</v>
      </c>
      <c r="G5666" s="5" t="str">
        <f>IFERROR(__xludf.DUMMYFUNCTION("GOOGLETRANSLATE(D5666,""fr"",""es"")"),"repollo")</f>
        <v>repollo</v>
      </c>
      <c r="H5666" s="4" t="s">
        <v>6299</v>
      </c>
      <c r="I5666" s="4" t="s">
        <v>6300</v>
      </c>
      <c r="J5666" s="4" t="s">
        <v>6301</v>
      </c>
      <c r="K5666" s="4" t="s">
        <v>6302</v>
      </c>
      <c r="L5666" s="4" t="s">
        <v>6303</v>
      </c>
      <c r="M5666" s="4" t="s">
        <v>6304</v>
      </c>
      <c r="N5666" s="4" t="s">
        <v>6305</v>
      </c>
      <c r="O5666" s="4" t="s">
        <v>6278</v>
      </c>
      <c r="P5666" s="4" t="s">
        <v>6306</v>
      </c>
      <c r="Q5666" s="4" t="s">
        <v>6307</v>
      </c>
      <c r="R5666" s="4" t="s">
        <v>6308</v>
      </c>
      <c r="S5666" s="4" t="s">
        <v>1800</v>
      </c>
      <c r="T5666" s="4" t="s">
        <v>12096</v>
      </c>
      <c r="U5666" s="4" t="s">
        <v>6300</v>
      </c>
      <c r="V5666" s="4" t="s">
        <v>12093</v>
      </c>
      <c r="W5666" s="4" t="s">
        <v>12097</v>
      </c>
      <c r="X5666" s="4" t="s">
        <v>12098</v>
      </c>
      <c r="Y5666" s="4" t="s">
        <v>12099</v>
      </c>
      <c r="Z5666" s="4" t="s">
        <v>12100</v>
      </c>
      <c r="AA5666" s="4" t="s">
        <v>12101</v>
      </c>
      <c r="AB5666" s="4" t="s">
        <v>12102</v>
      </c>
      <c r="AC5666" s="4" t="s">
        <v>12103</v>
      </c>
      <c r="AD5666" s="4" t="s">
        <v>12104</v>
      </c>
      <c r="AE5666" s="4" t="s">
        <v>6300</v>
      </c>
      <c r="AF5666" s="4" t="s">
        <v>12105</v>
      </c>
      <c r="AG5666" s="4" t="s">
        <v>12104</v>
      </c>
      <c r="AH5666" s="4" t="s">
        <v>12106</v>
      </c>
      <c r="AI5666" s="4" t="s">
        <v>12107</v>
      </c>
      <c r="AJ5666" s="4" t="s">
        <v>12108</v>
      </c>
      <c r="AK5666" s="4" t="s">
        <v>12109</v>
      </c>
      <c r="AL5666" s="4" t="s">
        <v>12110</v>
      </c>
      <c r="AM5666" s="4" t="s">
        <v>12111</v>
      </c>
    </row>
    <row r="5667">
      <c r="A5667" s="4">
        <v>209.0</v>
      </c>
      <c r="B5667" s="4" t="s">
        <v>13990</v>
      </c>
      <c r="C5667" s="4"/>
      <c r="D5667" s="4" t="s">
        <v>12112</v>
      </c>
      <c r="E5667" s="4" t="s">
        <v>12113</v>
      </c>
      <c r="F5667" s="4" t="s">
        <v>12114</v>
      </c>
      <c r="G5667" s="5" t="str">
        <f>IFERROR(__xludf.DUMMYFUNCTION("GOOGLETRANSLATE(D5667,""fr"",""es"")"),"grajo")</f>
        <v>grajo</v>
      </c>
      <c r="H5667" s="4" t="s">
        <v>12115</v>
      </c>
      <c r="I5667" s="4" t="s">
        <v>12116</v>
      </c>
      <c r="J5667" s="4" t="s">
        <v>12117</v>
      </c>
    </row>
    <row r="5668">
      <c r="A5668" s="4">
        <v>210.0</v>
      </c>
      <c r="B5668" s="4" t="s">
        <v>13990</v>
      </c>
      <c r="C5668" s="4"/>
      <c r="D5668" s="4" t="s">
        <v>12118</v>
      </c>
      <c r="E5668" s="4" t="s">
        <v>12119</v>
      </c>
      <c r="F5668" s="4" t="s">
        <v>12120</v>
      </c>
      <c r="G5668" s="5" t="str">
        <f>IFERROR(__xludf.DUMMYFUNCTION("GOOGLETRANSLATE(D5668,""fr"",""es"")"),"chouchanik")</f>
        <v>chouchanik</v>
      </c>
    </row>
    <row r="5669">
      <c r="A5669" s="4">
        <v>211.0</v>
      </c>
      <c r="B5669" s="4" t="s">
        <v>13990</v>
      </c>
      <c r="C5669" s="4"/>
      <c r="D5669" s="4" t="s">
        <v>12121</v>
      </c>
      <c r="E5669" s="4" t="s">
        <v>12122</v>
      </c>
      <c r="F5669" s="4" t="s">
        <v>12123</v>
      </c>
      <c r="G5669" s="5" t="str">
        <f>IFERROR(__xludf.DUMMYFUNCTION("GOOGLETRANSLATE(D5669,""fr"",""es"")"),"chouchi")</f>
        <v>chouchi</v>
      </c>
    </row>
    <row r="5670">
      <c r="A5670" s="4">
        <v>212.0</v>
      </c>
      <c r="B5670" s="4" t="s">
        <v>13990</v>
      </c>
      <c r="C5670" s="4"/>
      <c r="D5670" s="4" t="s">
        <v>12124</v>
      </c>
      <c r="E5670" s="4" t="s">
        <v>4739</v>
      </c>
      <c r="F5670" s="4" t="s">
        <v>4740</v>
      </c>
      <c r="G5670" s="5" t="str">
        <f>IFERROR(__xludf.DUMMYFUNCTION("GOOGLETRANSLATE(D5670,""fr"",""es"")"),"mascota")</f>
        <v>mascota</v>
      </c>
      <c r="H5670" s="4" t="s">
        <v>12125</v>
      </c>
      <c r="I5670" s="4" t="s">
        <v>5681</v>
      </c>
      <c r="J5670" s="4" t="s">
        <v>5682</v>
      </c>
      <c r="K5670" s="4" t="s">
        <v>12126</v>
      </c>
      <c r="L5670" s="4" t="s">
        <v>5683</v>
      </c>
      <c r="M5670" s="4" t="s">
        <v>12127</v>
      </c>
      <c r="N5670" s="4" t="s">
        <v>12128</v>
      </c>
      <c r="O5670" s="4" t="s">
        <v>12129</v>
      </c>
      <c r="P5670" s="4" t="s">
        <v>12130</v>
      </c>
    </row>
    <row r="5671">
      <c r="A5671" s="4">
        <v>213.0</v>
      </c>
      <c r="B5671" s="4" t="s">
        <v>13990</v>
      </c>
      <c r="C5671" s="4"/>
      <c r="D5671" s="4" t="s">
        <v>12131</v>
      </c>
      <c r="E5671" s="4" t="s">
        <v>12132</v>
      </c>
      <c r="F5671" s="4" t="s">
        <v>12133</v>
      </c>
      <c r="G5671" s="5" t="str">
        <f>IFERROR(__xludf.DUMMYFUNCTION("GOOGLETRANSLATE(D5671,""fr"",""es"")"),"chouillat")</f>
        <v>chouillat</v>
      </c>
    </row>
    <row r="5672">
      <c r="A5672" s="4">
        <v>214.0</v>
      </c>
      <c r="B5672" s="4" t="s">
        <v>13990</v>
      </c>
      <c r="C5672" s="4"/>
      <c r="D5672" s="4" t="s">
        <v>8142</v>
      </c>
      <c r="E5672" s="4" t="s">
        <v>8143</v>
      </c>
      <c r="F5672" s="4" t="s">
        <v>8144</v>
      </c>
      <c r="G5672" s="5" t="str">
        <f>IFERROR(__xludf.DUMMYFUNCTION("GOOGLETRANSLATE(D5672,""fr"",""es"")"),"choupical")</f>
        <v>choupical</v>
      </c>
    </row>
    <row r="5673">
      <c r="A5673" s="4">
        <v>215.0</v>
      </c>
      <c r="B5673" s="4" t="s">
        <v>13990</v>
      </c>
      <c r="C5673" s="4"/>
      <c r="D5673" s="4" t="s">
        <v>12134</v>
      </c>
      <c r="E5673" s="4" t="s">
        <v>12135</v>
      </c>
      <c r="F5673" s="4" t="s">
        <v>7448</v>
      </c>
      <c r="G5673" s="5" t="str">
        <f>IFERROR(__xludf.DUMMYFUNCTION("GOOGLETRANSLATE(D5673,""fr"",""es"")"),"chiflarse")</f>
        <v>chiflarse</v>
      </c>
    </row>
    <row r="5674">
      <c r="A5674" s="4">
        <v>216.0</v>
      </c>
      <c r="B5674" s="4" t="s">
        <v>13990</v>
      </c>
      <c r="C5674" s="4"/>
      <c r="D5674" s="4" t="s">
        <v>12136</v>
      </c>
      <c r="E5674" s="4" t="s">
        <v>12132</v>
      </c>
      <c r="F5674" s="4" t="s">
        <v>12133</v>
      </c>
      <c r="G5674" s="5" t="str">
        <f>IFERROR(__xludf.DUMMYFUNCTION("GOOGLETRANSLATE(D5674,""fr"",""es"")"),"chouïa")</f>
        <v>chouïa</v>
      </c>
      <c r="H5674" s="4" t="s">
        <v>12137</v>
      </c>
      <c r="I5674" s="4" t="s">
        <v>12138</v>
      </c>
      <c r="J5674" s="4" t="s">
        <v>12139</v>
      </c>
      <c r="K5674" s="4" t="s">
        <v>12140</v>
      </c>
      <c r="L5674" s="4" t="s">
        <v>12141</v>
      </c>
      <c r="M5674" s="4" t="s">
        <v>12142</v>
      </c>
      <c r="N5674" s="4" t="s">
        <v>12143</v>
      </c>
      <c r="O5674" s="4" t="s">
        <v>12144</v>
      </c>
      <c r="P5674" s="4" t="s">
        <v>12145</v>
      </c>
    </row>
    <row r="5675">
      <c r="A5675" s="4">
        <v>217.0</v>
      </c>
      <c r="B5675" s="4" t="s">
        <v>13990</v>
      </c>
      <c r="C5675" s="4"/>
      <c r="D5675" s="4" t="s">
        <v>12146</v>
      </c>
      <c r="E5675" s="4" t="s">
        <v>12147</v>
      </c>
      <c r="F5675" s="4" t="s">
        <v>4681</v>
      </c>
      <c r="G5675" s="5" t="str">
        <f>IFERROR(__xludf.DUMMYFUNCTION("GOOGLETRANSLATE(D5675,""fr"",""es"")"),"chal")</f>
        <v>chal</v>
      </c>
      <c r="H5675" s="4" t="s">
        <v>4682</v>
      </c>
    </row>
    <row r="5676">
      <c r="A5676" s="4">
        <v>218.0</v>
      </c>
      <c r="B5676" s="4" t="s">
        <v>13990</v>
      </c>
      <c r="C5676" s="4"/>
      <c r="D5676" s="4" t="s">
        <v>12148</v>
      </c>
      <c r="E5676" s="4" t="s">
        <v>12149</v>
      </c>
      <c r="F5676" s="4" t="s">
        <v>6015</v>
      </c>
      <c r="G5676" s="5" t="str">
        <f>IFERROR(__xludf.DUMMYFUNCTION("GOOGLETRANSLATE(D5676,""fr"",""es"")"),"caza")</f>
        <v>caza</v>
      </c>
    </row>
    <row r="5677">
      <c r="A5677" s="4">
        <v>219.0</v>
      </c>
      <c r="B5677" s="4" t="s">
        <v>13990</v>
      </c>
      <c r="C5677" s="4"/>
      <c r="D5677" s="4" t="s">
        <v>12150</v>
      </c>
      <c r="E5677" s="4" t="s">
        <v>12149</v>
      </c>
      <c r="F5677" s="4" t="s">
        <v>6015</v>
      </c>
      <c r="G5677" s="5" t="str">
        <f>IFERROR(__xludf.DUMMYFUNCTION("GOOGLETRANSLATE(D5677,""fr"",""es"")"),"señales")</f>
        <v>señales</v>
      </c>
    </row>
    <row r="5678">
      <c r="A5678" s="4">
        <v>220.0</v>
      </c>
      <c r="B5678" s="4" t="s">
        <v>13990</v>
      </c>
      <c r="C5678" s="4"/>
      <c r="D5678" s="4" t="s">
        <v>12151</v>
      </c>
      <c r="E5678" s="4" t="s">
        <v>12152</v>
      </c>
      <c r="F5678" s="4" t="s">
        <v>6019</v>
      </c>
      <c r="G5678" s="5" t="str">
        <f>IFERROR(__xludf.DUMMYFUNCTION("GOOGLETRANSLATE(D5678,""fr"",""es"")"),"cuadro")</f>
        <v>cuadro</v>
      </c>
      <c r="H5678" s="4" t="s">
        <v>12153</v>
      </c>
      <c r="I5678" s="4" t="s">
        <v>12154</v>
      </c>
    </row>
    <row r="5679">
      <c r="A5679" s="4">
        <v>221.0</v>
      </c>
      <c r="B5679" s="4" t="s">
        <v>13990</v>
      </c>
      <c r="C5679" s="4"/>
      <c r="D5679" s="4" t="s">
        <v>12155</v>
      </c>
      <c r="E5679" s="4" t="s">
        <v>400</v>
      </c>
      <c r="F5679" s="4" t="s">
        <v>401</v>
      </c>
      <c r="G5679" s="5" t="str">
        <f>IFERROR(__xludf.DUMMYFUNCTION("GOOGLETRANSLATE(D5679,""fr"",""es"")"),"este")</f>
        <v>este</v>
      </c>
    </row>
    <row r="5680">
      <c r="A5680" s="4">
        <v>222.0</v>
      </c>
      <c r="B5680" s="4" t="s">
        <v>13990</v>
      </c>
      <c r="C5680" s="4"/>
      <c r="D5680" s="4" t="s">
        <v>12156</v>
      </c>
      <c r="E5680" s="4" t="s">
        <v>12157</v>
      </c>
      <c r="F5680" s="4" t="s">
        <v>7587</v>
      </c>
      <c r="G5680" s="5" t="str">
        <f>IFERROR(__xludf.DUMMYFUNCTION("GOOGLETRANSLATE(D5680,""fr"",""es"")"),"pestaña")</f>
        <v>pestaña</v>
      </c>
      <c r="H5680" s="4" t="s">
        <v>12158</v>
      </c>
      <c r="I5680" s="4" t="s">
        <v>12159</v>
      </c>
      <c r="J5680" s="4" t="s">
        <v>12160</v>
      </c>
      <c r="K5680" s="4" t="s">
        <v>12161</v>
      </c>
      <c r="L5680" s="4" t="s">
        <v>12162</v>
      </c>
      <c r="M5680" s="4" t="s">
        <v>6571</v>
      </c>
      <c r="N5680" s="4" t="s">
        <v>6520</v>
      </c>
      <c r="O5680" s="4" t="s">
        <v>6572</v>
      </c>
      <c r="P5680" s="4" t="s">
        <v>6571</v>
      </c>
      <c r="Q5680" s="4" t="s">
        <v>6520</v>
      </c>
      <c r="R5680" s="4" t="s">
        <v>6572</v>
      </c>
    </row>
    <row r="5681">
      <c r="A5681" s="4">
        <v>223.0</v>
      </c>
      <c r="B5681" s="4" t="s">
        <v>13990</v>
      </c>
      <c r="C5681" s="4"/>
      <c r="D5681" s="4" t="s">
        <v>12163</v>
      </c>
      <c r="E5681" s="4" t="s">
        <v>12164</v>
      </c>
      <c r="F5681" s="4" t="s">
        <v>12165</v>
      </c>
      <c r="G5681" s="5" t="str">
        <f>IFERROR(__xludf.DUMMYFUNCTION("GOOGLETRANSLATE(D5681,""fr"",""es"")"),"cila")</f>
        <v>cila</v>
      </c>
    </row>
    <row r="5682">
      <c r="A5682" s="4">
        <v>224.0</v>
      </c>
      <c r="B5682" s="4" t="s">
        <v>13990</v>
      </c>
      <c r="C5682" s="4"/>
      <c r="D5682" s="4" t="s">
        <v>12166</v>
      </c>
      <c r="E5682" s="4" t="s">
        <v>12164</v>
      </c>
      <c r="F5682" s="4" t="s">
        <v>12165</v>
      </c>
      <c r="G5682" s="5" t="str">
        <f>IFERROR(__xludf.DUMMYFUNCTION("GOOGLETRANSLATE(D5682,""fr"",""es"")"),"cilles")</f>
        <v>cilles</v>
      </c>
    </row>
    <row r="5683">
      <c r="A5683" s="4">
        <v>225.0</v>
      </c>
      <c r="B5683" s="4" t="s">
        <v>13990</v>
      </c>
      <c r="C5683" s="4"/>
      <c r="D5683" s="4" t="s">
        <v>12167</v>
      </c>
      <c r="E5683" s="4" t="s">
        <v>1398</v>
      </c>
      <c r="F5683" s="4" t="s">
        <v>1399</v>
      </c>
      <c r="G5683" s="5" t="str">
        <f>IFERROR(__xludf.DUMMYFUNCTION("GOOGLETRANSLATE(D5683,""fr"",""es"")"),"parte superior")</f>
        <v>parte superior</v>
      </c>
      <c r="H5683" s="4" t="s">
        <v>12168</v>
      </c>
      <c r="I5683" s="4" t="s">
        <v>12169</v>
      </c>
      <c r="J5683" s="4" t="s">
        <v>1406</v>
      </c>
      <c r="K5683" s="4" t="s">
        <v>12170</v>
      </c>
      <c r="L5683" s="4" t="s">
        <v>12171</v>
      </c>
      <c r="M5683" s="4" t="s">
        <v>1400</v>
      </c>
      <c r="N5683" s="4" t="s">
        <v>1401</v>
      </c>
      <c r="O5683" s="4" t="s">
        <v>1402</v>
      </c>
      <c r="P5683" s="4" t="s">
        <v>1403</v>
      </c>
      <c r="Q5683" s="4" t="s">
        <v>425</v>
      </c>
      <c r="R5683" s="4" t="s">
        <v>1404</v>
      </c>
      <c r="S5683" s="4" t="s">
        <v>1405</v>
      </c>
      <c r="T5683" s="4" t="s">
        <v>1400</v>
      </c>
      <c r="U5683" s="4" t="s">
        <v>1406</v>
      </c>
      <c r="V5683" s="4" t="s">
        <v>1407</v>
      </c>
      <c r="W5683" s="4" t="s">
        <v>12172</v>
      </c>
      <c r="X5683" s="4" t="s">
        <v>3705</v>
      </c>
      <c r="Y5683" s="4" t="s">
        <v>425</v>
      </c>
      <c r="Z5683" s="4" t="s">
        <v>1400</v>
      </c>
      <c r="AA5683" s="4" t="s">
        <v>1407</v>
      </c>
      <c r="AB5683" s="4" t="s">
        <v>1409</v>
      </c>
      <c r="AC5683" s="4" t="s">
        <v>1410</v>
      </c>
      <c r="AD5683" s="4" t="s">
        <v>1400</v>
      </c>
      <c r="AE5683" s="4" t="s">
        <v>1411</v>
      </c>
      <c r="AF5683" s="4" t="s">
        <v>1404</v>
      </c>
      <c r="AG5683" s="4" t="s">
        <v>1412</v>
      </c>
      <c r="AH5683" s="4" t="s">
        <v>1413</v>
      </c>
      <c r="AI5683" s="4" t="s">
        <v>1414</v>
      </c>
      <c r="AJ5683" s="4" t="s">
        <v>1403</v>
      </c>
    </row>
    <row r="5684">
      <c r="A5684" s="4">
        <v>226.0</v>
      </c>
      <c r="B5684" s="4" t="s">
        <v>13990</v>
      </c>
      <c r="C5684" s="4"/>
      <c r="D5684" s="4" t="s">
        <v>12173</v>
      </c>
      <c r="E5684" s="4" t="s">
        <v>1398</v>
      </c>
      <c r="F5684" s="4" t="s">
        <v>1399</v>
      </c>
      <c r="G5684" s="5" t="str">
        <f>IFERROR(__xludf.DUMMYFUNCTION("GOOGLETRANSLATE(D5684,""fr"",""es"")"),"picos")</f>
        <v>picos</v>
      </c>
    </row>
    <row r="5685">
      <c r="A5685" s="4">
        <v>227.0</v>
      </c>
      <c r="B5685" s="4" t="s">
        <v>13990</v>
      </c>
      <c r="C5685" s="4"/>
      <c r="D5685" s="4" t="s">
        <v>12174</v>
      </c>
      <c r="E5685" s="4" t="s">
        <v>12175</v>
      </c>
      <c r="F5685" s="4" t="s">
        <v>12176</v>
      </c>
      <c r="G5685" s="5" t="str">
        <f>IFERROR(__xludf.DUMMYFUNCTION("GOOGLETRANSLATE(D5685,""fr"",""es"")"),"cipaille")</f>
        <v>cipaille</v>
      </c>
    </row>
    <row r="5686">
      <c r="A5686" s="4">
        <v>228.0</v>
      </c>
      <c r="B5686" s="4" t="s">
        <v>13990</v>
      </c>
      <c r="C5686" s="4"/>
      <c r="D5686" s="4" t="s">
        <v>12177</v>
      </c>
      <c r="E5686" s="4" t="s">
        <v>12175</v>
      </c>
      <c r="F5686" s="4" t="s">
        <v>12176</v>
      </c>
      <c r="G5686" s="5" t="str">
        <f>IFERROR(__xludf.DUMMYFUNCTION("GOOGLETRANSLATE(D5686,""fr"",""es"")"),"cipayo")</f>
        <v>cipayo</v>
      </c>
    </row>
    <row r="5687">
      <c r="A5687" s="4">
        <v>229.0</v>
      </c>
      <c r="B5687" s="4" t="s">
        <v>13990</v>
      </c>
      <c r="C5687" s="4"/>
      <c r="D5687" s="4" t="s">
        <v>12178</v>
      </c>
      <c r="E5687" s="4" t="s">
        <v>12179</v>
      </c>
      <c r="F5687" s="4" t="s">
        <v>7626</v>
      </c>
      <c r="G5687" s="5" t="str">
        <f>IFERROR(__xludf.DUMMYFUNCTION("GOOGLETRANSLATE(D5687,""fr"",""es"")"),"cipurar")</f>
        <v>cipurar</v>
      </c>
    </row>
    <row r="5688">
      <c r="A5688" s="4">
        <v>230.0</v>
      </c>
      <c r="B5688" s="4" t="s">
        <v>13990</v>
      </c>
      <c r="C5688" s="4"/>
      <c r="D5688" s="4" t="s">
        <v>1423</v>
      </c>
      <c r="E5688" s="4" t="s">
        <v>1424</v>
      </c>
      <c r="F5688" s="4" t="s">
        <v>1425</v>
      </c>
      <c r="G5688" s="5" t="str">
        <f>IFERROR(__xludf.DUMMYFUNCTION("GOOGLETRANSLATE(D5688,""fr"",""es"")"),"urbano")</f>
        <v>urbano</v>
      </c>
    </row>
    <row r="5689">
      <c r="A5689" s="4">
        <v>231.0</v>
      </c>
      <c r="B5689" s="4" t="s">
        <v>13990</v>
      </c>
      <c r="C5689" s="4"/>
      <c r="D5689" s="4" t="s">
        <v>12180</v>
      </c>
      <c r="E5689" s="4" t="s">
        <v>1424</v>
      </c>
      <c r="F5689" s="4" t="s">
        <v>1425</v>
      </c>
      <c r="G5689" s="5" t="str">
        <f>IFERROR(__xludf.DUMMYFUNCTION("GOOGLETRANSLATE(D5689,""fr"",""es"")"),"cita")</f>
        <v>cita</v>
      </c>
    </row>
    <row r="5690">
      <c r="A5690" s="4">
        <v>232.0</v>
      </c>
      <c r="B5690" s="4" t="s">
        <v>13990</v>
      </c>
      <c r="C5690" s="4"/>
      <c r="D5690" s="4" t="s">
        <v>12181</v>
      </c>
      <c r="E5690" s="4" t="s">
        <v>12182</v>
      </c>
      <c r="F5690" s="4" t="s">
        <v>12183</v>
      </c>
      <c r="G5690" s="5" t="str">
        <f>IFERROR(__xludf.DUMMYFUNCTION("GOOGLETRANSLATE(D5690,""fr"",""es"")"),"florecer")</f>
        <v>florecer</v>
      </c>
    </row>
    <row r="5691">
      <c r="A5691" s="4">
        <v>233.0</v>
      </c>
      <c r="B5691" s="4" t="s">
        <v>13990</v>
      </c>
      <c r="C5691" s="4"/>
      <c r="D5691" s="4" t="s">
        <v>12184</v>
      </c>
      <c r="E5691" s="4" t="s">
        <v>12182</v>
      </c>
      <c r="F5691" s="4" t="s">
        <v>12183</v>
      </c>
      <c r="G5691" s="5" t="str">
        <f>IFERROR(__xludf.DUMMYFUNCTION("GOOGLETRANSLATE(D5691,""fr"",""es"")"),"cotas")</f>
        <v>cotas</v>
      </c>
    </row>
    <row r="5692">
      <c r="A5692" s="4">
        <v>234.0</v>
      </c>
      <c r="B5692" s="4" t="s">
        <v>13990</v>
      </c>
      <c r="C5692" s="4"/>
      <c r="D5692" s="4" t="s">
        <v>1554</v>
      </c>
      <c r="E5692" s="4" t="s">
        <v>1555</v>
      </c>
      <c r="F5692" s="4" t="s">
        <v>1556</v>
      </c>
      <c r="G5692" s="5" t="str">
        <f>IFERROR(__xludf.DUMMYFUNCTION("GOOGLETRANSLATE(D5692,""fr"",""es"")"),"Galleta")</f>
        <v>Galleta</v>
      </c>
    </row>
    <row r="5693">
      <c r="A5693" s="4">
        <v>235.0</v>
      </c>
      <c r="B5693" s="4" t="s">
        <v>13990</v>
      </c>
      <c r="C5693" s="4"/>
      <c r="D5693" s="4" t="s">
        <v>12185</v>
      </c>
      <c r="E5693" s="4" t="s">
        <v>1600</v>
      </c>
      <c r="F5693" s="4" t="s">
        <v>1601</v>
      </c>
      <c r="G5693" s="5" t="str">
        <f>IFERROR(__xludf.DUMMYFUNCTION("GOOGLETRANSLATE(D5693,""fr"",""es"")"),"Frío")</f>
        <v>Frío</v>
      </c>
      <c r="H5693" s="4" t="s">
        <v>12185</v>
      </c>
      <c r="I5693" s="4" t="s">
        <v>8110</v>
      </c>
      <c r="J5693" s="4" t="s">
        <v>12186</v>
      </c>
      <c r="K5693" s="4" t="s">
        <v>12185</v>
      </c>
      <c r="L5693" s="4" t="s">
        <v>12187</v>
      </c>
      <c r="M5693" s="4" t="s">
        <v>12188</v>
      </c>
      <c r="N5693" s="4" t="s">
        <v>12185</v>
      </c>
      <c r="O5693" s="4" t="s">
        <v>12185</v>
      </c>
      <c r="P5693" s="4" t="s">
        <v>12185</v>
      </c>
      <c r="Q5693" s="4" t="s">
        <v>12185</v>
      </c>
      <c r="R5693" s="4" t="s">
        <v>12189</v>
      </c>
      <c r="S5693" s="4" t="s">
        <v>12190</v>
      </c>
      <c r="T5693" s="4" t="s">
        <v>12185</v>
      </c>
      <c r="U5693" s="4" t="s">
        <v>12191</v>
      </c>
      <c r="V5693" s="4" t="s">
        <v>12192</v>
      </c>
      <c r="W5693" s="4" t="s">
        <v>12185</v>
      </c>
    </row>
    <row r="5694">
      <c r="A5694" s="4">
        <v>236.0</v>
      </c>
      <c r="B5694" s="4" t="s">
        <v>13990</v>
      </c>
      <c r="C5694" s="4"/>
      <c r="D5694" s="4" t="s">
        <v>12193</v>
      </c>
      <c r="E5694" s="4" t="s">
        <v>1581</v>
      </c>
      <c r="F5694" s="4" t="s">
        <v>1582</v>
      </c>
      <c r="G5694" s="5" t="str">
        <f>IFERROR(__xludf.DUMMYFUNCTION("GOOGLETRANSLATE(D5694,""fr"",""es"")"),"cuello")</f>
        <v>cuello</v>
      </c>
      <c r="H5694" s="4" t="s">
        <v>12194</v>
      </c>
      <c r="I5694" s="4" t="s">
        <v>12194</v>
      </c>
      <c r="J5694" s="4" t="s">
        <v>12195</v>
      </c>
      <c r="K5694" s="4" t="s">
        <v>3040</v>
      </c>
      <c r="L5694" s="4" t="s">
        <v>3041</v>
      </c>
      <c r="M5694" s="4" t="s">
        <v>3042</v>
      </c>
      <c r="N5694" s="4" t="s">
        <v>12194</v>
      </c>
      <c r="O5694" s="4" t="s">
        <v>12196</v>
      </c>
      <c r="P5694" s="4" t="s">
        <v>12197</v>
      </c>
      <c r="Q5694" s="4" t="s">
        <v>12198</v>
      </c>
      <c r="R5694" s="4" t="s">
        <v>12199</v>
      </c>
      <c r="S5694" s="4" t="s">
        <v>12200</v>
      </c>
    </row>
    <row r="5695">
      <c r="A5695" s="4">
        <v>237.0</v>
      </c>
      <c r="B5695" s="4" t="s">
        <v>13990</v>
      </c>
      <c r="C5695" s="4"/>
      <c r="D5695" s="4" t="s">
        <v>12201</v>
      </c>
      <c r="E5695" s="4" t="s">
        <v>12202</v>
      </c>
      <c r="F5695" s="4" t="s">
        <v>6099</v>
      </c>
      <c r="G5695" s="5" t="str">
        <f>IFERROR(__xludf.DUMMYFUNCTION("GOOGLETRANSLATE(D5695,""fr"",""es"")"),"capa")</f>
        <v>capa</v>
      </c>
      <c r="H5695" s="4" t="s">
        <v>6952</v>
      </c>
      <c r="I5695" s="4" t="s">
        <v>6953</v>
      </c>
      <c r="J5695" s="4" t="s">
        <v>6954</v>
      </c>
      <c r="K5695" s="4" t="s">
        <v>6955</v>
      </c>
      <c r="L5695" s="4" t="s">
        <v>6947</v>
      </c>
      <c r="M5695" s="4" t="s">
        <v>1237</v>
      </c>
      <c r="N5695" s="4" t="s">
        <v>6950</v>
      </c>
      <c r="O5695" s="4" t="s">
        <v>6947</v>
      </c>
      <c r="P5695" s="4" t="s">
        <v>6951</v>
      </c>
      <c r="Q5695" s="4" t="s">
        <v>6950</v>
      </c>
      <c r="R5695" s="4" t="s">
        <v>1237</v>
      </c>
      <c r="S5695" s="4" t="s">
        <v>1241</v>
      </c>
      <c r="T5695" s="4" t="s">
        <v>2187</v>
      </c>
      <c r="U5695" s="4" t="s">
        <v>1237</v>
      </c>
      <c r="V5695" s="4" t="s">
        <v>12203</v>
      </c>
      <c r="W5695" s="4" t="s">
        <v>10891</v>
      </c>
      <c r="X5695" s="4" t="s">
        <v>1237</v>
      </c>
      <c r="Y5695" s="4" t="s">
        <v>12203</v>
      </c>
    </row>
    <row r="5696">
      <c r="A5696" s="4">
        <v>238.0</v>
      </c>
      <c r="B5696" s="4" t="s">
        <v>13990</v>
      </c>
      <c r="C5696" s="4"/>
      <c r="D5696" s="4" t="s">
        <v>12204</v>
      </c>
      <c r="E5696" s="4" t="s">
        <v>9115</v>
      </c>
      <c r="F5696" s="4" t="s">
        <v>9114</v>
      </c>
      <c r="G5696" s="5" t="str">
        <f>IFERROR(__xludf.DUMMYFUNCTION("GOOGLETRANSLATE(D5696,""fr"",""es"")"),"Hola")</f>
        <v>Hola</v>
      </c>
      <c r="H5696" s="4" t="s">
        <v>9118</v>
      </c>
      <c r="I5696" s="4" t="s">
        <v>9118</v>
      </c>
      <c r="J5696" s="4" t="s">
        <v>10176</v>
      </c>
      <c r="K5696" s="4" t="s">
        <v>10177</v>
      </c>
      <c r="L5696" s="4" t="s">
        <v>12205</v>
      </c>
      <c r="M5696" s="4" t="s">
        <v>12206</v>
      </c>
      <c r="N5696" s="4" t="s">
        <v>7619</v>
      </c>
      <c r="O5696" s="4" t="s">
        <v>12207</v>
      </c>
      <c r="P5696" s="4" t="s">
        <v>9158</v>
      </c>
      <c r="Q5696" s="4" t="s">
        <v>12208</v>
      </c>
      <c r="R5696" s="4" t="s">
        <v>12209</v>
      </c>
      <c r="S5696" s="4" t="s">
        <v>9118</v>
      </c>
      <c r="T5696" s="4" t="s">
        <v>3435</v>
      </c>
      <c r="U5696" s="4" t="s">
        <v>7420</v>
      </c>
      <c r="V5696" s="4" t="s">
        <v>12210</v>
      </c>
      <c r="W5696" s="4" t="s">
        <v>12211</v>
      </c>
      <c r="X5696" s="4" t="s">
        <v>12212</v>
      </c>
    </row>
    <row r="5697">
      <c r="A5697" s="4">
        <v>239.0</v>
      </c>
      <c r="B5697" s="4" t="s">
        <v>13990</v>
      </c>
      <c r="C5697" s="4"/>
      <c r="D5697" s="4" t="s">
        <v>12213</v>
      </c>
      <c r="E5697" s="4" t="s">
        <v>12214</v>
      </c>
      <c r="F5697" s="4" t="s">
        <v>12215</v>
      </c>
      <c r="G5697" s="5" t="str">
        <f>IFERROR(__xludf.DUMMYFUNCTION("GOOGLETRANSLATE(D5697,""fr"",""es"")"),"cuco")</f>
        <v>cuco</v>
      </c>
    </row>
    <row r="5698">
      <c r="A5698" s="4">
        <v>240.0</v>
      </c>
      <c r="B5698" s="4" t="s">
        <v>13990</v>
      </c>
      <c r="C5698" s="4"/>
      <c r="D5698" s="4" t="s">
        <v>12216</v>
      </c>
      <c r="E5698" s="4" t="s">
        <v>1581</v>
      </c>
      <c r="F5698" s="4" t="s">
        <v>1582</v>
      </c>
      <c r="G5698" s="5" t="str">
        <f>IFERROR(__xludf.DUMMYFUNCTION("GOOGLETRANSLATE(D5698,""fr"",""es"")"),"coser")</f>
        <v>coser</v>
      </c>
    </row>
    <row r="5699">
      <c r="A5699" s="4">
        <v>241.0</v>
      </c>
      <c r="B5699" s="4" t="s">
        <v>13990</v>
      </c>
      <c r="C5699" s="4"/>
      <c r="D5699" s="4" t="s">
        <v>12217</v>
      </c>
      <c r="E5699" s="4" t="s">
        <v>1581</v>
      </c>
      <c r="F5699" s="4" t="s">
        <v>1582</v>
      </c>
      <c r="G5699" s="5" t="str">
        <f>IFERROR(__xludf.DUMMYFUNCTION("GOOGLETRANSLATE(D5699,""fr"",""es"")"),"coser")</f>
        <v>coser</v>
      </c>
    </row>
    <row r="5700">
      <c r="A5700" s="4">
        <v>242.0</v>
      </c>
      <c r="B5700" s="4" t="s">
        <v>13990</v>
      </c>
      <c r="C5700" s="4"/>
      <c r="D5700" s="4" t="s">
        <v>12218</v>
      </c>
      <c r="E5700" s="4" t="s">
        <v>12219</v>
      </c>
      <c r="F5700" s="4" t="s">
        <v>468</v>
      </c>
      <c r="G5700" s="5" t="str">
        <f>IFERROR(__xludf.DUMMYFUNCTION("GOOGLETRANSLATE(D5700,""fr"",""es"")"),"pelota")</f>
        <v>pelota</v>
      </c>
      <c r="H5700" s="4" t="s">
        <v>12220</v>
      </c>
      <c r="I5700" s="4" t="s">
        <v>12221</v>
      </c>
      <c r="J5700" s="4" t="s">
        <v>12222</v>
      </c>
      <c r="K5700" s="4" t="s">
        <v>1067</v>
      </c>
      <c r="L5700" s="4" t="s">
        <v>12223</v>
      </c>
      <c r="M5700" s="4" t="s">
        <v>12224</v>
      </c>
      <c r="N5700" s="4" t="s">
        <v>12225</v>
      </c>
      <c r="O5700" s="4" t="s">
        <v>12226</v>
      </c>
      <c r="P5700" s="4" t="s">
        <v>12227</v>
      </c>
      <c r="Q5700" s="4" t="s">
        <v>12220</v>
      </c>
      <c r="R5700" s="4" t="s">
        <v>12228</v>
      </c>
      <c r="S5700" s="4" t="s">
        <v>12221</v>
      </c>
      <c r="T5700" s="4" t="s">
        <v>12229</v>
      </c>
      <c r="U5700" s="4" t="s">
        <v>10601</v>
      </c>
      <c r="V5700" s="4" t="s">
        <v>12230</v>
      </c>
      <c r="W5700" s="4" t="s">
        <v>12231</v>
      </c>
      <c r="X5700" s="4" t="s">
        <v>12232</v>
      </c>
      <c r="Y5700" s="4" t="s">
        <v>1067</v>
      </c>
    </row>
    <row r="5701">
      <c r="A5701" s="4">
        <v>243.0</v>
      </c>
      <c r="B5701" s="4" t="s">
        <v>13990</v>
      </c>
      <c r="C5701" s="4"/>
      <c r="D5701" s="4" t="s">
        <v>12233</v>
      </c>
      <c r="E5701" s="4" t="s">
        <v>12219</v>
      </c>
      <c r="F5701" s="4" t="s">
        <v>468</v>
      </c>
      <c r="G5701" s="5" t="str">
        <f>IFERROR(__xludf.DUMMYFUNCTION("GOOGLETRANSLATE(D5701,""fr"",""es"")"),"pelotas")</f>
        <v>pelotas</v>
      </c>
    </row>
    <row r="5702">
      <c r="A5702" s="4">
        <v>244.0</v>
      </c>
      <c r="B5702" s="4" t="s">
        <v>13990</v>
      </c>
      <c r="C5702" s="4"/>
      <c r="D5702" s="4" t="s">
        <v>12234</v>
      </c>
      <c r="E5702" s="4" t="s">
        <v>1479</v>
      </c>
      <c r="F5702" s="4" t="s">
        <v>1480</v>
      </c>
      <c r="G5702" s="5" t="str">
        <f>IFERROR(__xludf.DUMMYFUNCTION("GOOGLETRANSLATE(D5702,""fr"",""es"")"),"coulis")</f>
        <v>coulis</v>
      </c>
    </row>
    <row r="5703">
      <c r="A5703" s="4">
        <v>245.0</v>
      </c>
      <c r="B5703" s="4" t="s">
        <v>13990</v>
      </c>
      <c r="C5703" s="4"/>
      <c r="D5703" s="4" t="s">
        <v>12235</v>
      </c>
      <c r="E5703" s="4" t="s">
        <v>1482</v>
      </c>
      <c r="F5703" s="4" t="s">
        <v>1483</v>
      </c>
      <c r="G5703" s="5" t="str">
        <f>IFERROR(__xludf.DUMMYFUNCTION("GOOGLETRANSLATE(D5703,""fr"",""es"")"),"deslizar")</f>
        <v>deslizar</v>
      </c>
      <c r="H5703" s="4" t="s">
        <v>12236</v>
      </c>
      <c r="I5703" s="4" t="s">
        <v>12237</v>
      </c>
    </row>
    <row r="5704">
      <c r="A5704" s="4">
        <v>246.0</v>
      </c>
      <c r="B5704" s="4" t="s">
        <v>13990</v>
      </c>
      <c r="C5704" s="4"/>
      <c r="D5704" s="4" t="s">
        <v>8272</v>
      </c>
      <c r="E5704" s="4" t="s">
        <v>1581</v>
      </c>
      <c r="F5704" s="4" t="s">
        <v>1582</v>
      </c>
      <c r="G5704" s="5" t="str">
        <f>IFERROR(__xludf.DUMMYFUNCTION("GOOGLETRANSLATE(D5704,""fr"",""es"")"),"Corte")</f>
        <v>Corte</v>
      </c>
      <c r="H5704" s="4" t="s">
        <v>856</v>
      </c>
      <c r="I5704" s="4" t="s">
        <v>8272</v>
      </c>
      <c r="J5704" s="4" t="s">
        <v>3462</v>
      </c>
      <c r="K5704" s="4" t="s">
        <v>8412</v>
      </c>
      <c r="L5704" s="4" t="s">
        <v>6486</v>
      </c>
      <c r="M5704" s="4" t="s">
        <v>8413</v>
      </c>
      <c r="N5704" s="4" t="s">
        <v>8414</v>
      </c>
      <c r="O5704" s="4" t="s">
        <v>7005</v>
      </c>
      <c r="P5704" s="4" t="s">
        <v>12238</v>
      </c>
      <c r="Q5704" s="4" t="s">
        <v>12239</v>
      </c>
      <c r="R5704" s="4" t="s">
        <v>3498</v>
      </c>
      <c r="S5704" s="4" t="s">
        <v>6602</v>
      </c>
      <c r="T5704" s="4" t="s">
        <v>3489</v>
      </c>
      <c r="U5704" s="4" t="s">
        <v>6566</v>
      </c>
      <c r="V5704" s="4" t="s">
        <v>6603</v>
      </c>
      <c r="W5704" s="4" t="s">
        <v>2170</v>
      </c>
      <c r="X5704" s="4" t="s">
        <v>12240</v>
      </c>
      <c r="Y5704" s="4" t="s">
        <v>12241</v>
      </c>
      <c r="Z5704" s="4" t="s">
        <v>639</v>
      </c>
      <c r="AA5704" s="4" t="s">
        <v>639</v>
      </c>
      <c r="AB5704" s="4" t="s">
        <v>903</v>
      </c>
      <c r="AC5704" s="4" t="s">
        <v>12242</v>
      </c>
      <c r="AD5704" s="4" t="s">
        <v>12240</v>
      </c>
      <c r="AE5704" s="4" t="s">
        <v>6998</v>
      </c>
      <c r="AF5704" s="4" t="s">
        <v>12243</v>
      </c>
      <c r="AG5704" s="4" t="s">
        <v>12244</v>
      </c>
      <c r="AH5704" s="4" t="s">
        <v>12245</v>
      </c>
      <c r="AI5704" s="4" t="s">
        <v>8273</v>
      </c>
      <c r="AJ5704" s="4" t="s">
        <v>8272</v>
      </c>
      <c r="AK5704" s="4" t="s">
        <v>8274</v>
      </c>
      <c r="AL5704" s="4" t="s">
        <v>8275</v>
      </c>
      <c r="AM5704" s="4" t="s">
        <v>4163</v>
      </c>
      <c r="AN5704" s="4" t="s">
        <v>12246</v>
      </c>
      <c r="AO5704" s="4" t="s">
        <v>4283</v>
      </c>
      <c r="AP5704" s="4" t="s">
        <v>12247</v>
      </c>
      <c r="AQ5704" s="4" t="s">
        <v>12248</v>
      </c>
      <c r="AR5704" s="4" t="s">
        <v>12240</v>
      </c>
      <c r="AS5704" s="4" t="s">
        <v>12249</v>
      </c>
      <c r="AT5704" s="4" t="s">
        <v>12250</v>
      </c>
      <c r="AU5704" s="4" t="s">
        <v>12240</v>
      </c>
      <c r="AV5704" s="4" t="s">
        <v>12251</v>
      </c>
      <c r="AW5704" s="4" t="s">
        <v>12252</v>
      </c>
      <c r="AX5704" s="4" t="s">
        <v>12253</v>
      </c>
      <c r="AY5704" s="4" t="s">
        <v>12240</v>
      </c>
      <c r="AZ5704" s="4" t="s">
        <v>12254</v>
      </c>
      <c r="BA5704" s="4" t="s">
        <v>3462</v>
      </c>
      <c r="BB5704" s="4" t="s">
        <v>3463</v>
      </c>
      <c r="BC5704" s="4" t="s">
        <v>8413</v>
      </c>
      <c r="BD5704" s="4" t="s">
        <v>6998</v>
      </c>
      <c r="BE5704" s="4" t="s">
        <v>12255</v>
      </c>
      <c r="BF5704" s="4" t="s">
        <v>12256</v>
      </c>
      <c r="BG5704" s="4" t="s">
        <v>12257</v>
      </c>
      <c r="BH5704" s="4" t="s">
        <v>910</v>
      </c>
      <c r="BI5704" s="4" t="s">
        <v>4163</v>
      </c>
    </row>
    <row r="5705">
      <c r="A5705" s="4">
        <v>247.0</v>
      </c>
      <c r="B5705" s="4" t="s">
        <v>13990</v>
      </c>
      <c r="C5705" s="4"/>
      <c r="D5705" s="4" t="s">
        <v>12258</v>
      </c>
      <c r="E5705" s="4" t="s">
        <v>324</v>
      </c>
      <c r="F5705" s="4" t="s">
        <v>325</v>
      </c>
      <c r="G5705" s="5" t="str">
        <f>IFERROR(__xludf.DUMMYFUNCTION("GOOGLETRANSLATE(D5705,""fr"",""es"")"),"cortado")</f>
        <v>cortado</v>
      </c>
      <c r="H5705" s="4" t="s">
        <v>12259</v>
      </c>
      <c r="I5705" s="4" t="s">
        <v>4278</v>
      </c>
      <c r="J5705" s="4" t="s">
        <v>1250</v>
      </c>
      <c r="K5705" s="4" t="s">
        <v>4267</v>
      </c>
      <c r="L5705" s="4" t="s">
        <v>4283</v>
      </c>
      <c r="M5705" s="4" t="s">
        <v>4272</v>
      </c>
      <c r="N5705" s="4" t="s">
        <v>12260</v>
      </c>
      <c r="O5705" s="4" t="s">
        <v>10891</v>
      </c>
      <c r="P5705" s="4" t="s">
        <v>12261</v>
      </c>
      <c r="Q5705" s="4" t="s">
        <v>4378</v>
      </c>
      <c r="R5705" s="4" t="s">
        <v>12262</v>
      </c>
      <c r="S5705" s="4" t="s">
        <v>4278</v>
      </c>
      <c r="T5705" s="4" t="s">
        <v>10891</v>
      </c>
      <c r="U5705" s="4" t="s">
        <v>12263</v>
      </c>
      <c r="V5705" s="4" t="s">
        <v>12264</v>
      </c>
      <c r="W5705" s="4" t="s">
        <v>1250</v>
      </c>
      <c r="X5705" s="4" t="s">
        <v>4272</v>
      </c>
      <c r="Y5705" s="4" t="s">
        <v>4283</v>
      </c>
      <c r="Z5705" s="4" t="s">
        <v>4281</v>
      </c>
    </row>
    <row r="5706">
      <c r="A5706" s="4">
        <v>248.0</v>
      </c>
      <c r="B5706" s="4" t="s">
        <v>13990</v>
      </c>
      <c r="C5706" s="4"/>
      <c r="D5706" s="4" t="s">
        <v>12265</v>
      </c>
      <c r="E5706" s="4" t="s">
        <v>1581</v>
      </c>
      <c r="F5706" s="4" t="s">
        <v>1582</v>
      </c>
      <c r="G5706" s="5" t="str">
        <f>IFERROR(__xludf.DUMMYFUNCTION("GOOGLETRANSLATE(D5706,""fr"",""es"")"),"costo")</f>
        <v>costo</v>
      </c>
    </row>
    <row r="5707">
      <c r="A5707" s="4">
        <v>249.0</v>
      </c>
      <c r="B5707" s="4" t="s">
        <v>13990</v>
      </c>
      <c r="C5707" s="4"/>
      <c r="D5707" s="4" t="s">
        <v>12266</v>
      </c>
      <c r="E5707" s="4" t="s">
        <v>10159</v>
      </c>
      <c r="F5707" s="4" t="s">
        <v>10158</v>
      </c>
      <c r="G5707" s="5" t="str">
        <f>IFERROR(__xludf.DUMMYFUNCTION("GOOGLETRANSLATE(D5707,""fr"",""es"")"),"cabaña")</f>
        <v>cabaña</v>
      </c>
    </row>
    <row r="5708">
      <c r="A5708" s="4">
        <v>250.0</v>
      </c>
      <c r="B5708" s="4" t="s">
        <v>13990</v>
      </c>
      <c r="C5708" s="4"/>
      <c r="D5708" s="4" t="s">
        <v>12267</v>
      </c>
      <c r="E5708" s="4" t="s">
        <v>1581</v>
      </c>
      <c r="F5708" s="4" t="s">
        <v>1582</v>
      </c>
      <c r="G5708" s="5" t="str">
        <f>IFERROR(__xludf.DUMMYFUNCTION("GOOGLETRANSLATE(D5708,""fr"",""es"")"),"costo")</f>
        <v>costo</v>
      </c>
      <c r="H5708" s="4" t="s">
        <v>5609</v>
      </c>
      <c r="I5708" s="4" t="s">
        <v>5608</v>
      </c>
      <c r="J5708" s="4" t="s">
        <v>5607</v>
      </c>
      <c r="K5708" s="4" t="s">
        <v>5609</v>
      </c>
      <c r="L5708" s="4" t="s">
        <v>5607</v>
      </c>
      <c r="M5708" s="4" t="s">
        <v>5609</v>
      </c>
      <c r="N5708" s="4" t="s">
        <v>4086</v>
      </c>
      <c r="O5708" s="4" t="s">
        <v>5609</v>
      </c>
    </row>
    <row r="5709">
      <c r="A5709" s="4">
        <v>251.0</v>
      </c>
      <c r="B5709" s="4" t="s">
        <v>13990</v>
      </c>
      <c r="C5709" s="4"/>
      <c r="D5709" s="4" t="s">
        <v>12268</v>
      </c>
      <c r="E5709" s="4" t="s">
        <v>12269</v>
      </c>
      <c r="F5709" s="4" t="s">
        <v>12270</v>
      </c>
      <c r="G5709" s="5" t="str">
        <f>IFERROR(__xludf.DUMMYFUNCTION("GOOGLETRANSLATE(D5709,""fr"",""es"")"),"cisne")</f>
        <v>cisne</v>
      </c>
      <c r="H5709" s="4" t="s">
        <v>12271</v>
      </c>
      <c r="I5709" s="4" t="s">
        <v>12272</v>
      </c>
      <c r="J5709" s="4" t="s">
        <v>12273</v>
      </c>
      <c r="K5709" s="4" t="s">
        <v>12274</v>
      </c>
      <c r="L5709" s="4" t="s">
        <v>12271</v>
      </c>
      <c r="M5709" s="4" t="s">
        <v>12273</v>
      </c>
    </row>
    <row r="5710">
      <c r="A5710" s="4">
        <v>252.0</v>
      </c>
      <c r="B5710" s="4" t="s">
        <v>13990</v>
      </c>
      <c r="C5710" s="4"/>
      <c r="D5710" s="4" t="s">
        <v>12275</v>
      </c>
      <c r="E5710" s="4" t="s">
        <v>12269</v>
      </c>
      <c r="F5710" s="4" t="s">
        <v>12270</v>
      </c>
      <c r="G5710" s="5" t="str">
        <f>IFERROR(__xludf.DUMMYFUNCTION("GOOGLETRANSLATE(D5710,""fr"",""es"")"),"cisnes")</f>
        <v>cisnes</v>
      </c>
    </row>
    <row r="5711">
      <c r="A5711" s="4">
        <v>253.0</v>
      </c>
      <c r="B5711" s="4" t="s">
        <v>13990</v>
      </c>
      <c r="C5711" s="4"/>
      <c r="D5711" s="4" t="s">
        <v>12276</v>
      </c>
      <c r="E5711" s="4" t="s">
        <v>1711</v>
      </c>
      <c r="F5711" s="4" t="s">
        <v>1712</v>
      </c>
      <c r="G5711" s="5" t="str">
        <f>IFERROR(__xludf.DUMMYFUNCTION("GOOGLETRANSLATE(D5711,""fr"",""es"")"),"cínico")</f>
        <v>cínico</v>
      </c>
      <c r="H5711" s="4" t="s">
        <v>1713</v>
      </c>
      <c r="I5711" s="4" t="s">
        <v>1714</v>
      </c>
      <c r="J5711" s="4" t="s">
        <v>1715</v>
      </c>
      <c r="K5711" s="4" t="s">
        <v>1716</v>
      </c>
      <c r="L5711" s="4" t="s">
        <v>1717</v>
      </c>
    </row>
    <row r="5712">
      <c r="A5712" s="4">
        <v>254.0</v>
      </c>
      <c r="B5712" s="4" t="s">
        <v>13990</v>
      </c>
      <c r="C5712" s="4"/>
      <c r="D5712" s="4" t="s">
        <v>12277</v>
      </c>
      <c r="E5712" s="4" t="s">
        <v>12278</v>
      </c>
      <c r="F5712" s="4" t="s">
        <v>12279</v>
      </c>
      <c r="G5712" s="5" t="str">
        <f>IFERROR(__xludf.DUMMYFUNCTION("GOOGLETRANSLATE(D5712,""fr"",""es"")"),"gnaque")</f>
        <v>gnaque</v>
      </c>
    </row>
    <row r="5713">
      <c r="A5713" s="4">
        <v>255.0</v>
      </c>
      <c r="B5713" s="4" t="s">
        <v>13990</v>
      </c>
      <c r="C5713" s="4"/>
      <c r="D5713" s="4" t="s">
        <v>12280</v>
      </c>
      <c r="E5713" s="4" t="s">
        <v>3065</v>
      </c>
      <c r="F5713" s="4" t="s">
        <v>3066</v>
      </c>
      <c r="G5713" s="5" t="str">
        <f>IFERROR(__xludf.DUMMYFUNCTION("GOOGLETRANSLATE(D5713,""fr"",""es"")"),"ñu")</f>
        <v>ñu</v>
      </c>
      <c r="H5713" s="4" t="s">
        <v>3067</v>
      </c>
      <c r="I5713" s="4" t="s">
        <v>3068</v>
      </c>
    </row>
    <row r="5714">
      <c r="A5714" s="4">
        <v>256.0</v>
      </c>
      <c r="B5714" s="4" t="s">
        <v>13990</v>
      </c>
      <c r="C5714" s="4"/>
      <c r="D5714" s="4" t="s">
        <v>12281</v>
      </c>
      <c r="E5714" s="4" t="s">
        <v>11592</v>
      </c>
      <c r="F5714" s="4" t="s">
        <v>5876</v>
      </c>
      <c r="G5714" s="5" t="str">
        <f>IFERROR(__xludf.DUMMYFUNCTION("GOOGLETRANSLATE(D5714,""fr"",""es"")"),"H")</f>
        <v>H</v>
      </c>
      <c r="H5714" s="4" t="s">
        <v>12282</v>
      </c>
      <c r="I5714" s="4" t="s">
        <v>12283</v>
      </c>
      <c r="J5714" s="4" t="s">
        <v>12284</v>
      </c>
      <c r="K5714" s="4" t="s">
        <v>12281</v>
      </c>
      <c r="L5714" s="4" t="s">
        <v>12285</v>
      </c>
      <c r="M5714" s="4" t="s">
        <v>12286</v>
      </c>
      <c r="N5714" s="4" t="s">
        <v>12287</v>
      </c>
      <c r="O5714" s="4" t="s">
        <v>12285</v>
      </c>
      <c r="P5714" s="4" t="s">
        <v>12286</v>
      </c>
      <c r="Q5714" s="4" t="s">
        <v>12287</v>
      </c>
    </row>
    <row r="5715">
      <c r="A5715" s="4">
        <v>257.0</v>
      </c>
      <c r="B5715" s="4" t="s">
        <v>13990</v>
      </c>
      <c r="C5715" s="4"/>
      <c r="D5715" s="4" t="s">
        <v>12288</v>
      </c>
      <c r="E5715" s="4" t="s">
        <v>11592</v>
      </c>
      <c r="F5715" s="4" t="s">
        <v>5876</v>
      </c>
      <c r="G5715" s="5" t="str">
        <f>IFERROR(__xludf.DUMMYFUNCTION("GOOGLETRANSLATE(D5715,""fr"",""es"")"),"Cortado")</f>
        <v>Cortado</v>
      </c>
      <c r="H5715" s="4" t="s">
        <v>12289</v>
      </c>
      <c r="I5715" s="4" t="s">
        <v>12290</v>
      </c>
      <c r="J5715" s="4" t="s">
        <v>12290</v>
      </c>
      <c r="K5715" s="4" t="s">
        <v>12289</v>
      </c>
      <c r="L5715" s="4" t="s">
        <v>12289</v>
      </c>
      <c r="M5715" s="4" t="s">
        <v>12290</v>
      </c>
      <c r="N5715" s="4" t="s">
        <v>12291</v>
      </c>
    </row>
    <row r="5716">
      <c r="A5716" s="4">
        <v>258.0</v>
      </c>
      <c r="B5716" s="4" t="s">
        <v>13990</v>
      </c>
      <c r="C5716" s="4"/>
      <c r="D5716" s="4" t="s">
        <v>12293</v>
      </c>
      <c r="E5716" s="4" t="s">
        <v>11592</v>
      </c>
      <c r="F5716" s="4" t="s">
        <v>5876</v>
      </c>
      <c r="G5716" s="5" t="str">
        <f>IFERROR(__xludf.DUMMYFUNCTION("GOOGLETRANSLATE(D5716,""fr"",""es"")"),"hacha")</f>
        <v>hacha</v>
      </c>
    </row>
    <row r="5717">
      <c r="A5717" s="4">
        <v>259.0</v>
      </c>
      <c r="B5717" s="4" t="s">
        <v>13990</v>
      </c>
      <c r="C5717" s="4"/>
      <c r="D5717" s="4" t="s">
        <v>12294</v>
      </c>
      <c r="E5717" s="4" t="s">
        <v>12295</v>
      </c>
      <c r="F5717" s="4" t="s">
        <v>5888</v>
      </c>
      <c r="G5717" s="5" t="str">
        <f>IFERROR(__xludf.DUMMYFUNCTION("GOOGLETRANSLATE(D5717,""fr"",""es"")"),"desmenuzar")</f>
        <v>desmenuzar</v>
      </c>
      <c r="H5717" s="4" t="s">
        <v>6172</v>
      </c>
    </row>
    <row r="5718">
      <c r="A5718" s="4">
        <v>260.0</v>
      </c>
      <c r="B5718" s="4" t="s">
        <v>13990</v>
      </c>
      <c r="C5718" s="4"/>
      <c r="D5718" s="4" t="s">
        <v>12296</v>
      </c>
      <c r="E5718" s="4" t="s">
        <v>12297</v>
      </c>
      <c r="F5718" s="4" t="s">
        <v>12298</v>
      </c>
      <c r="G5718" s="5" t="str">
        <f>IFERROR(__xludf.DUMMYFUNCTION("GOOGLETRANSLATE(D5718,""fr"",""es"")"),"hallali")</f>
        <v>hallali</v>
      </c>
    </row>
    <row r="5719">
      <c r="A5719" s="4">
        <v>261.0</v>
      </c>
      <c r="B5719" s="4" t="s">
        <v>13990</v>
      </c>
      <c r="C5719" s="4"/>
      <c r="D5719" s="4" t="s">
        <v>12299</v>
      </c>
      <c r="E5719" s="4" t="s">
        <v>507</v>
      </c>
      <c r="F5719" s="4" t="s">
        <v>506</v>
      </c>
      <c r="G5719" s="5" t="str">
        <f>IFERROR(__xludf.DUMMYFUNCTION("GOOGLETRANSLATE(D5719,""fr"",""es"")"),"salón")</f>
        <v>salón</v>
      </c>
      <c r="H5719" s="4" t="s">
        <v>12300</v>
      </c>
      <c r="I5719" s="4" t="s">
        <v>12301</v>
      </c>
      <c r="J5719" s="4" t="s">
        <v>12300</v>
      </c>
      <c r="K5719" s="4" t="s">
        <v>12301</v>
      </c>
      <c r="L5719" s="4" t="s">
        <v>12302</v>
      </c>
      <c r="M5719" s="4" t="s">
        <v>12303</v>
      </c>
    </row>
    <row r="5720">
      <c r="A5720" s="4">
        <v>262.0</v>
      </c>
      <c r="B5720" s="4" t="s">
        <v>13990</v>
      </c>
      <c r="C5720" s="4"/>
      <c r="D5720" s="4" t="s">
        <v>9452</v>
      </c>
      <c r="E5720" s="4" t="s">
        <v>567</v>
      </c>
      <c r="F5720" s="4" t="s">
        <v>566</v>
      </c>
      <c r="G5720" s="5" t="str">
        <f>IFERROR(__xludf.DUMMYFUNCTION("GOOGLETRANSLATE(D5720,""fr"",""es"")"),"jerga")</f>
        <v>jerga</v>
      </c>
    </row>
    <row r="5721">
      <c r="A5721" s="4">
        <v>263.0</v>
      </c>
      <c r="B5721" s="4" t="s">
        <v>13990</v>
      </c>
      <c r="C5721" s="4"/>
      <c r="D5721" s="4" t="s">
        <v>12304</v>
      </c>
      <c r="E5721" s="4" t="s">
        <v>12305</v>
      </c>
      <c r="F5721" s="4" t="s">
        <v>12306</v>
      </c>
      <c r="G5721" s="5" t="str">
        <f>IFERROR(__xludf.DUMMYFUNCTION("GOOGLETRANSLATE(D5721,""fr"",""es"")"),"hamaca")</f>
        <v>hamaca</v>
      </c>
      <c r="H5721" s="4" t="s">
        <v>1784</v>
      </c>
      <c r="I5721" s="4" t="s">
        <v>1785</v>
      </c>
      <c r="J5721" s="4" t="s">
        <v>10683</v>
      </c>
      <c r="K5721" s="4" t="s">
        <v>2824</v>
      </c>
      <c r="L5721" s="4" t="s">
        <v>10684</v>
      </c>
      <c r="M5721" s="4" t="s">
        <v>10685</v>
      </c>
      <c r="N5721" s="4" t="s">
        <v>1784</v>
      </c>
    </row>
    <row r="5722">
      <c r="A5722" s="4">
        <v>264.0</v>
      </c>
      <c r="B5722" s="4" t="s">
        <v>13990</v>
      </c>
      <c r="C5722" s="4"/>
      <c r="D5722" s="4" t="s">
        <v>12307</v>
      </c>
      <c r="E5722" s="4" t="s">
        <v>12305</v>
      </c>
      <c r="F5722" s="4" t="s">
        <v>12306</v>
      </c>
      <c r="G5722" s="5" t="str">
        <f>IFERROR(__xludf.DUMMYFUNCTION("GOOGLETRANSLATE(D5722,""fr"",""es"")"),"hamacas")</f>
        <v>hamacas</v>
      </c>
    </row>
    <row r="5723">
      <c r="A5723" s="4">
        <v>265.0</v>
      </c>
      <c r="B5723" s="4" t="s">
        <v>13990</v>
      </c>
      <c r="C5723" s="4"/>
      <c r="D5723" s="4" t="s">
        <v>12308</v>
      </c>
      <c r="E5723" s="4" t="s">
        <v>12309</v>
      </c>
      <c r="F5723" s="4" t="s">
        <v>12310</v>
      </c>
      <c r="G5723" s="5" t="str">
        <f>IFERROR(__xludf.DUMMYFUNCTION("GOOGLETRANSLATE(D5723,""fr"",""es"")"),"Hanap")</f>
        <v>Hanap</v>
      </c>
    </row>
    <row r="5724">
      <c r="A5724" s="4">
        <v>266.0</v>
      </c>
      <c r="B5724" s="4" t="s">
        <v>13990</v>
      </c>
      <c r="C5724" s="4"/>
      <c r="D5724" s="4" t="s">
        <v>12311</v>
      </c>
      <c r="E5724" s="4" t="s">
        <v>12312</v>
      </c>
      <c r="F5724" s="4" t="s">
        <v>12313</v>
      </c>
      <c r="G5724" s="5" t="str">
        <f>IFERROR(__xludf.DUMMYFUNCTION("GOOGLETRANSLATE(D5724,""fr"",""es"")"),"Hanukka")</f>
        <v>Hanukka</v>
      </c>
      <c r="H5724" s="4" t="s">
        <v>12314</v>
      </c>
      <c r="I5724" s="4" t="s">
        <v>12315</v>
      </c>
      <c r="J5724" s="4" t="s">
        <v>12316</v>
      </c>
      <c r="K5724" s="4" t="s">
        <v>12317</v>
      </c>
      <c r="L5724" s="4" t="s">
        <v>12318</v>
      </c>
      <c r="M5724" s="4" t="s">
        <v>12319</v>
      </c>
      <c r="N5724" s="4" t="s">
        <v>12320</v>
      </c>
      <c r="O5724" s="4" t="s">
        <v>12321</v>
      </c>
      <c r="P5724" s="4" t="s">
        <v>12322</v>
      </c>
      <c r="Q5724" s="4" t="s">
        <v>12323</v>
      </c>
      <c r="R5724" s="4" t="s">
        <v>12324</v>
      </c>
    </row>
    <row r="5725">
      <c r="A5725" s="4">
        <v>267.0</v>
      </c>
      <c r="B5725" s="4" t="s">
        <v>13990</v>
      </c>
      <c r="C5725" s="4"/>
      <c r="D5725" s="4" t="s">
        <v>12325</v>
      </c>
      <c r="E5725" s="4" t="s">
        <v>11592</v>
      </c>
      <c r="F5725" s="4" t="s">
        <v>5876</v>
      </c>
      <c r="G5725" s="5" t="str">
        <f>IFERROR(__xludf.DUMMYFUNCTION("GOOGLETRANSLATE(D5725,""fr"",""es"")"),"picadillo")</f>
        <v>picadillo</v>
      </c>
    </row>
    <row r="5726">
      <c r="A5726" s="4">
        <v>268.0</v>
      </c>
      <c r="B5726" s="4" t="s">
        <v>13990</v>
      </c>
      <c r="C5726" s="4"/>
      <c r="D5726" s="4" t="s">
        <v>12326</v>
      </c>
      <c r="E5726" s="4" t="s">
        <v>12327</v>
      </c>
      <c r="F5726" s="4" t="s">
        <v>12328</v>
      </c>
      <c r="G5726" s="5" t="str">
        <f>IFERROR(__xludf.DUMMYFUNCTION("GOOGLETRANSLATE(D5726,""fr"",""es"")"),"hachís")</f>
        <v>hachís</v>
      </c>
      <c r="H5726" s="4" t="s">
        <v>6174</v>
      </c>
      <c r="I5726" s="4" t="s">
        <v>6175</v>
      </c>
      <c r="J5726" s="4" t="s">
        <v>6176</v>
      </c>
      <c r="K5726" s="4" t="s">
        <v>6172</v>
      </c>
    </row>
    <row r="5727">
      <c r="A5727" s="4">
        <v>269.0</v>
      </c>
      <c r="B5727" s="4" t="s">
        <v>13990</v>
      </c>
      <c r="C5727" s="4"/>
      <c r="D5727" s="4" t="s">
        <v>12329</v>
      </c>
      <c r="E5727" s="4" t="s">
        <v>504</v>
      </c>
      <c r="F5727" s="4" t="s">
        <v>505</v>
      </c>
      <c r="G5727" s="5" t="str">
        <f>IFERROR(__xludf.DUMMYFUNCTION("GOOGLETRANSLATE(D5727,""fr"",""es"")"),"cobertura")</f>
        <v>cobertura</v>
      </c>
    </row>
    <row r="5728">
      <c r="A5728" s="4">
        <v>270.0</v>
      </c>
      <c r="B5728" s="4" t="s">
        <v>13990</v>
      </c>
      <c r="C5728" s="4"/>
      <c r="D5728" s="4" t="s">
        <v>12330</v>
      </c>
      <c r="E5728" s="4" t="s">
        <v>12331</v>
      </c>
      <c r="F5728" s="4" t="s">
        <v>12332</v>
      </c>
      <c r="G5728" s="5" t="str">
        <f>IFERROR(__xludf.DUMMYFUNCTION("GOOGLETRANSLATE(D5728,""fr"",""es"")"),"Hiatal")</f>
        <v>Hiatal</v>
      </c>
    </row>
    <row r="5729">
      <c r="A5729" s="4">
        <v>271.0</v>
      </c>
      <c r="B5729" s="4" t="s">
        <v>13990</v>
      </c>
      <c r="C5729" s="4"/>
      <c r="D5729" s="4" t="s">
        <v>8314</v>
      </c>
      <c r="E5729" s="4" t="s">
        <v>8295</v>
      </c>
      <c r="F5729" s="4" t="s">
        <v>6328</v>
      </c>
      <c r="G5729" s="5" t="str">
        <f>IFERROR(__xludf.DUMMYFUNCTION("GOOGLETRANSLATE(D5729,""fr"",""es"")"),"HIC")</f>
        <v>HIC</v>
      </c>
      <c r="H5729" s="4" t="s">
        <v>12333</v>
      </c>
      <c r="I5729" s="4" t="s">
        <v>1375</v>
      </c>
      <c r="J5729" s="4" t="s">
        <v>12334</v>
      </c>
    </row>
    <row r="5730">
      <c r="A5730" s="4">
        <v>272.0</v>
      </c>
      <c r="B5730" s="4" t="s">
        <v>13990</v>
      </c>
      <c r="C5730" s="4"/>
      <c r="D5730" s="4" t="s">
        <v>12335</v>
      </c>
      <c r="E5730" s="4" t="s">
        <v>9010</v>
      </c>
      <c r="F5730" s="4" t="s">
        <v>6341</v>
      </c>
      <c r="G5730" s="5" t="str">
        <f>IFERROR(__xludf.DUMMYFUNCTION("GOOGLETRANSLATE(D5730,""fr"",""es"")"),"hilio")</f>
        <v>hilio</v>
      </c>
    </row>
    <row r="5731">
      <c r="A5731" s="4">
        <v>273.0</v>
      </c>
      <c r="B5731" s="4" t="s">
        <v>13990</v>
      </c>
      <c r="C5731" s="4"/>
      <c r="D5731" s="4" t="s">
        <v>12336</v>
      </c>
      <c r="E5731" s="4" t="s">
        <v>12337</v>
      </c>
      <c r="F5731" s="4" t="s">
        <v>12338</v>
      </c>
      <c r="G5731" s="5" t="str">
        <f>IFERROR(__xludf.DUMMYFUNCTION("GOOGLETRANSLATE(D5731,""fr"",""es"")"),"Himalaya")</f>
        <v>Himalaya</v>
      </c>
      <c r="H5731" s="4" t="s">
        <v>12339</v>
      </c>
      <c r="I5731" s="4" t="s">
        <v>12340</v>
      </c>
      <c r="J5731" s="4" t="s">
        <v>12341</v>
      </c>
    </row>
    <row r="5732">
      <c r="A5732" s="4">
        <v>274.0</v>
      </c>
      <c r="B5732" s="4" t="s">
        <v>13990</v>
      </c>
      <c r="C5732" s="4"/>
      <c r="D5732" s="4" t="s">
        <v>12342</v>
      </c>
      <c r="E5732" s="4" t="s">
        <v>12343</v>
      </c>
      <c r="F5732" s="4" t="s">
        <v>12344</v>
      </c>
      <c r="G5732" s="5" t="str">
        <f>IFERROR(__xludf.DUMMYFUNCTION("GOOGLETRANSLATE(D5732,""fr"",""es"")"),"carbón")</f>
        <v>carbón</v>
      </c>
      <c r="H5732" s="4" t="s">
        <v>12345</v>
      </c>
      <c r="I5732" s="4" t="s">
        <v>12345</v>
      </c>
      <c r="J5732" s="4" t="s">
        <v>12346</v>
      </c>
      <c r="K5732" s="4" t="s">
        <v>12345</v>
      </c>
      <c r="L5732" s="4" t="s">
        <v>12347</v>
      </c>
      <c r="M5732" s="4" t="s">
        <v>12345</v>
      </c>
      <c r="N5732" s="4" t="s">
        <v>12345</v>
      </c>
      <c r="O5732" s="4" t="s">
        <v>12348</v>
      </c>
      <c r="P5732" s="4" t="s">
        <v>12349</v>
      </c>
    </row>
    <row r="5733">
      <c r="A5733" s="4">
        <v>275.0</v>
      </c>
      <c r="B5733" s="4" t="s">
        <v>13990</v>
      </c>
      <c r="C5733" s="4"/>
      <c r="D5733" s="4" t="s">
        <v>12350</v>
      </c>
      <c r="E5733" s="4" t="s">
        <v>12351</v>
      </c>
      <c r="F5733" s="4" t="s">
        <v>12352</v>
      </c>
      <c r="G5733" s="5" t="str">
        <f>IFERROR(__xludf.DUMMYFUNCTION("GOOGLETRANSLATE(D5733,""fr"",""es"")"),"houka")</f>
        <v>houka</v>
      </c>
      <c r="H5733" s="4" t="s">
        <v>12353</v>
      </c>
      <c r="I5733" s="4" t="s">
        <v>12354</v>
      </c>
      <c r="J5733" s="4" t="s">
        <v>12355</v>
      </c>
      <c r="K5733" s="4" t="s">
        <v>12356</v>
      </c>
      <c r="L5733" s="4" t="s">
        <v>12357</v>
      </c>
      <c r="M5733" s="4" t="s">
        <v>12358</v>
      </c>
      <c r="N5733" s="4" t="s">
        <v>12359</v>
      </c>
      <c r="O5733" s="4" t="s">
        <v>12360</v>
      </c>
      <c r="P5733" s="4" t="s">
        <v>12361</v>
      </c>
      <c r="Q5733" s="4" t="s">
        <v>12362</v>
      </c>
      <c r="R5733" s="4" t="s">
        <v>12363</v>
      </c>
    </row>
    <row r="5734">
      <c r="A5734" s="4">
        <v>276.0</v>
      </c>
      <c r="B5734" s="4" t="s">
        <v>13990</v>
      </c>
      <c r="C5734" s="4"/>
      <c r="D5734" s="4" t="s">
        <v>12364</v>
      </c>
      <c r="E5734" s="4" t="s">
        <v>12365</v>
      </c>
      <c r="F5734" s="4" t="s">
        <v>12366</v>
      </c>
      <c r="G5734" s="5" t="str">
        <f>IFERROR(__xludf.DUMMYFUNCTION("GOOGLETRANSLATE(D5734,""fr"",""es"")"),"hinchar")</f>
        <v>hinchar</v>
      </c>
    </row>
    <row r="5735">
      <c r="A5735" s="4">
        <v>277.0</v>
      </c>
      <c r="B5735" s="4" t="s">
        <v>13990</v>
      </c>
      <c r="C5735" s="4"/>
      <c r="D5735" s="4" t="s">
        <v>12367</v>
      </c>
      <c r="E5735" s="4" t="s">
        <v>12368</v>
      </c>
      <c r="F5735" s="4" t="s">
        <v>8033</v>
      </c>
      <c r="G5735" s="5" t="str">
        <f>IFERROR(__xludf.DUMMYFUNCTION("GOOGLETRANSLATE(D5735,""fr"",""es"")"),"Houlque")</f>
        <v>Houlque</v>
      </c>
      <c r="H5735" s="4" t="s">
        <v>12369</v>
      </c>
      <c r="I5735" s="4" t="s">
        <v>12370</v>
      </c>
    </row>
    <row r="5736">
      <c r="A5736" s="4">
        <v>278.0</v>
      </c>
      <c r="B5736" s="4" t="s">
        <v>13990</v>
      </c>
      <c r="C5736" s="4"/>
      <c r="D5736" s="4" t="s">
        <v>12371</v>
      </c>
      <c r="E5736" s="4" t="s">
        <v>12372</v>
      </c>
      <c r="F5736" s="4" t="s">
        <v>12373</v>
      </c>
      <c r="G5736" s="5" t="str">
        <f>IFERROR(__xludf.DUMMYFUNCTION("GOOGLETRANSLATE(D5736,""fr"",""es"")"),"Houmach")</f>
        <v>Houmach</v>
      </c>
    </row>
    <row r="5737">
      <c r="A5737" s="4">
        <v>279.0</v>
      </c>
      <c r="B5737" s="4" t="s">
        <v>13990</v>
      </c>
      <c r="C5737" s="4"/>
      <c r="D5737" s="4" t="s">
        <v>12374</v>
      </c>
      <c r="E5737" s="4" t="s">
        <v>12375</v>
      </c>
      <c r="F5737" s="4" t="s">
        <v>12376</v>
      </c>
      <c r="G5737" s="5" t="str">
        <f>IFERROR(__xludf.DUMMYFUNCTION("GOOGLETRANSLATE(D5737,""fr"",""es"")"),"Humus")</f>
        <v>Humus</v>
      </c>
      <c r="H5737" s="4" t="s">
        <v>12377</v>
      </c>
      <c r="I5737" s="4" t="s">
        <v>9554</v>
      </c>
      <c r="J5737" s="4" t="s">
        <v>12378</v>
      </c>
      <c r="K5737" s="4" t="s">
        <v>12379</v>
      </c>
      <c r="L5737" s="4" t="s">
        <v>12380</v>
      </c>
    </row>
    <row r="5738">
      <c r="A5738" s="4">
        <v>280.0</v>
      </c>
      <c r="B5738" s="4" t="s">
        <v>13990</v>
      </c>
      <c r="C5738" s="4"/>
      <c r="D5738" s="4" t="s">
        <v>12381</v>
      </c>
      <c r="E5738" s="4" t="s">
        <v>12382</v>
      </c>
      <c r="F5738" s="4" t="s">
        <v>7041</v>
      </c>
      <c r="G5738" s="5" t="str">
        <f>IFERROR(__xludf.DUMMYFUNCTION("GOOGLETRANSLATE(D5738,""fr"",""es"")"),"soplo")</f>
        <v>soplo</v>
      </c>
    </row>
    <row r="5739">
      <c r="A5739" s="4">
        <v>281.0</v>
      </c>
      <c r="B5739" s="4" t="s">
        <v>13990</v>
      </c>
      <c r="C5739" s="4"/>
      <c r="D5739" s="4" t="s">
        <v>12383</v>
      </c>
      <c r="E5739" s="4" t="s">
        <v>4669</v>
      </c>
      <c r="F5739" s="4" t="s">
        <v>4668</v>
      </c>
      <c r="G5739" s="5" t="str">
        <f>IFERROR(__xludf.DUMMYFUNCTION("GOOGLETRANSLATE(D5739,""fr"",""es"")"),"cubrir")</f>
        <v>cubrir</v>
      </c>
    </row>
    <row r="5740">
      <c r="A5740" s="4">
        <v>282.0</v>
      </c>
      <c r="B5740" s="4" t="s">
        <v>13990</v>
      </c>
      <c r="C5740" s="4"/>
      <c r="D5740" s="4" t="s">
        <v>12384</v>
      </c>
      <c r="E5740" s="4" t="s">
        <v>12385</v>
      </c>
      <c r="F5740" s="4" t="s">
        <v>12386</v>
      </c>
      <c r="G5740" s="5" t="str">
        <f>IFERROR(__xludf.DUMMYFUNCTION("GOOGLETRANSLATE(D5740,""fr"",""es"")"),"hutí")</f>
        <v>hutí</v>
      </c>
    </row>
    <row r="5741">
      <c r="A5741" s="4">
        <v>283.0</v>
      </c>
      <c r="B5741" s="4" t="s">
        <v>13990</v>
      </c>
      <c r="C5741" s="4"/>
      <c r="D5741" s="4" t="s">
        <v>12387</v>
      </c>
      <c r="E5741" s="4" t="s">
        <v>9705</v>
      </c>
      <c r="F5741" s="4" t="s">
        <v>9704</v>
      </c>
      <c r="G5741" s="5" t="str">
        <f>IFERROR(__xludf.DUMMYFUNCTION("GOOGLETRANSLATE(D5741,""fr"",""es"")"),"aquí")</f>
        <v>aquí</v>
      </c>
      <c r="H5741" s="4" t="s">
        <v>12388</v>
      </c>
      <c r="I5741" s="4" t="s">
        <v>12389</v>
      </c>
      <c r="J5741" s="4" t="s">
        <v>12389</v>
      </c>
      <c r="K5741" s="4" t="s">
        <v>12390</v>
      </c>
      <c r="L5741" s="4" t="s">
        <v>12389</v>
      </c>
      <c r="M5741" s="4" t="s">
        <v>12389</v>
      </c>
      <c r="N5741" s="4" t="s">
        <v>12391</v>
      </c>
      <c r="O5741" s="4" t="s">
        <v>12392</v>
      </c>
      <c r="P5741" s="4" t="s">
        <v>12389</v>
      </c>
      <c r="Q5741" s="4" t="s">
        <v>12389</v>
      </c>
      <c r="R5741" s="4" t="s">
        <v>12393</v>
      </c>
      <c r="S5741" s="4" t="s">
        <v>12394</v>
      </c>
    </row>
    <row r="5742">
      <c r="A5742" s="4">
        <v>284.0</v>
      </c>
      <c r="B5742" s="4" t="s">
        <v>13990</v>
      </c>
      <c r="C5742" s="4"/>
      <c r="D5742" s="4" t="s">
        <v>12395</v>
      </c>
      <c r="E5742" s="4" t="s">
        <v>12396</v>
      </c>
      <c r="F5742" s="4" t="s">
        <v>12397</v>
      </c>
      <c r="G5742" s="5" t="str">
        <f>IFERROR(__xludf.DUMMYFUNCTION("GOOGLETRANSLATE(D5742,""fr"",""es"")"),"Ignicio")</f>
        <v>Ignicio</v>
      </c>
      <c r="H5742" s="4" t="s">
        <v>12398</v>
      </c>
      <c r="I5742" s="4" t="s">
        <v>12399</v>
      </c>
      <c r="J5742" s="4" t="s">
        <v>12400</v>
      </c>
    </row>
    <row r="5743">
      <c r="A5743" s="4">
        <v>285.0</v>
      </c>
      <c r="B5743" s="4" t="s">
        <v>13990</v>
      </c>
      <c r="C5743" s="4"/>
      <c r="D5743" s="4" t="s">
        <v>12401</v>
      </c>
      <c r="E5743" s="4" t="s">
        <v>12402</v>
      </c>
      <c r="F5743" s="4" t="s">
        <v>12403</v>
      </c>
      <c r="G5743" s="5" t="str">
        <f>IFERROR(__xludf.DUMMYFUNCTION("GOOGLETRANSLATE(D5743,""fr"",""es"")"),"batata")</f>
        <v>batata</v>
      </c>
      <c r="H5743" s="4" t="s">
        <v>3056</v>
      </c>
      <c r="I5743" s="4" t="s">
        <v>3056</v>
      </c>
      <c r="J5743" s="4" t="s">
        <v>3056</v>
      </c>
      <c r="K5743" s="4" t="s">
        <v>7986</v>
      </c>
      <c r="L5743" s="4" t="s">
        <v>3056</v>
      </c>
    </row>
    <row r="5744">
      <c r="A5744" s="4">
        <v>286.0</v>
      </c>
      <c r="B5744" s="4" t="s">
        <v>13990</v>
      </c>
      <c r="C5744" s="4"/>
      <c r="D5744" s="4" t="s">
        <v>12404</v>
      </c>
      <c r="E5744" s="4" t="s">
        <v>12402</v>
      </c>
      <c r="F5744" s="4" t="s">
        <v>12403</v>
      </c>
      <c r="G5744" s="5" t="str">
        <f>IFERROR(__xludf.DUMMYFUNCTION("GOOGLETRANSLATE(D5744,""fr"",""es"")"),"batatas")</f>
        <v>batatas</v>
      </c>
    </row>
    <row r="5745">
      <c r="A5745" s="4">
        <v>287.0</v>
      </c>
      <c r="B5745" s="4" t="s">
        <v>13990</v>
      </c>
      <c r="C5745" s="4"/>
      <c r="D5745" s="4" t="s">
        <v>6341</v>
      </c>
      <c r="E5745" s="4" t="s">
        <v>9010</v>
      </c>
      <c r="F5745" s="4" t="s">
        <v>6341</v>
      </c>
      <c r="G5745" s="5" t="str">
        <f>IFERROR(__xludf.DUMMYFUNCTION("GOOGLETRANSLATE(D5745,""fr"",""es"")"),"Él")</f>
        <v>Él</v>
      </c>
      <c r="H5745" s="4" t="s">
        <v>6180</v>
      </c>
      <c r="I5745" s="4" t="s">
        <v>12405</v>
      </c>
      <c r="J5745" s="4" t="s">
        <v>12406</v>
      </c>
      <c r="K5745" s="4" t="s">
        <v>12407</v>
      </c>
      <c r="L5745" s="4" t="s">
        <v>12408</v>
      </c>
    </row>
    <row r="5746">
      <c r="A5746" s="4">
        <v>288.0</v>
      </c>
      <c r="B5746" s="4" t="s">
        <v>13990</v>
      </c>
      <c r="C5746" s="4"/>
      <c r="D5746" s="4" t="s">
        <v>12409</v>
      </c>
      <c r="E5746" s="4" t="s">
        <v>9010</v>
      </c>
      <c r="F5746" s="4" t="s">
        <v>6341</v>
      </c>
      <c r="G5746" s="5" t="str">
        <f>IFERROR(__xludf.DUMMYFUNCTION("GOOGLETRANSLATE(D5746,""fr"",""es"")"),"desaliñado")</f>
        <v>desaliñado</v>
      </c>
    </row>
    <row r="5747">
      <c r="A5747" s="4">
        <v>289.0</v>
      </c>
      <c r="B5747" s="4" t="s">
        <v>13990</v>
      </c>
      <c r="C5747" s="4"/>
      <c r="D5747" s="4" t="s">
        <v>12410</v>
      </c>
      <c r="E5747" s="4" t="s">
        <v>9010</v>
      </c>
      <c r="F5747" s="4" t="s">
        <v>6341</v>
      </c>
      <c r="G5747" s="5" t="str">
        <f>IFERROR(__xludf.DUMMYFUNCTION("GOOGLETRANSLATE(D5747,""fr"",""es"")"),"ellos")</f>
        <v>ellos</v>
      </c>
    </row>
    <row r="5748">
      <c r="A5748" s="4">
        <v>290.0</v>
      </c>
      <c r="B5748" s="4" t="s">
        <v>13990</v>
      </c>
      <c r="C5748" s="4"/>
      <c r="D5748" s="4" t="s">
        <v>310</v>
      </c>
      <c r="E5748" s="4" t="s">
        <v>309</v>
      </c>
      <c r="F5748" s="4" t="s">
        <v>310</v>
      </c>
      <c r="G5748" s="5" t="str">
        <f>IFERROR(__xludf.DUMMYFUNCTION("GOOGLETRANSLATE(D5748,""fr"",""es"")"),"imán")</f>
        <v>imán</v>
      </c>
      <c r="H5748" s="4" t="s">
        <v>310</v>
      </c>
      <c r="I5748" s="4" t="s">
        <v>1900</v>
      </c>
    </row>
    <row r="5749">
      <c r="A5749" s="4">
        <v>291.0</v>
      </c>
      <c r="B5749" s="4" t="s">
        <v>13990</v>
      </c>
      <c r="C5749" s="4"/>
      <c r="D5749" s="4" t="s">
        <v>12411</v>
      </c>
      <c r="E5749" s="4" t="s">
        <v>12412</v>
      </c>
      <c r="F5749" s="4" t="s">
        <v>12413</v>
      </c>
      <c r="G5749" s="5" t="str">
        <f>IFERROR(__xludf.DUMMYFUNCTION("GOOGLETRANSLATE(D5749,""fr"",""es"")"),"imamat")</f>
        <v>imamat</v>
      </c>
    </row>
    <row r="5750">
      <c r="A5750" s="4">
        <v>292.0</v>
      </c>
      <c r="B5750" s="4" t="s">
        <v>13990</v>
      </c>
      <c r="C5750" s="4"/>
      <c r="D5750" s="4" t="s">
        <v>12414</v>
      </c>
      <c r="E5750" s="4" t="s">
        <v>12412</v>
      </c>
      <c r="F5750" s="4" t="s">
        <v>12413</v>
      </c>
      <c r="G5750" s="5" t="str">
        <f>IFERROR(__xludf.DUMMYFUNCTION("GOOGLETRANSLATE(D5750,""fr"",""es"")"),"imamats")</f>
        <v>imamats</v>
      </c>
    </row>
    <row r="5751">
      <c r="A5751" s="4">
        <v>293.0</v>
      </c>
      <c r="B5751" s="4" t="s">
        <v>13990</v>
      </c>
      <c r="C5751" s="4"/>
      <c r="D5751" s="4" t="s">
        <v>12415</v>
      </c>
      <c r="E5751" s="4" t="s">
        <v>12416</v>
      </c>
      <c r="F5751" s="4" t="s">
        <v>12417</v>
      </c>
      <c r="G5751" s="5" t="str">
        <f>IFERROR(__xludf.DUMMYFUNCTION("GOOGLETRANSLATE(D5751,""fr"",""es"")"),"inmiscencia")</f>
        <v>inmiscencia</v>
      </c>
    </row>
    <row r="5752">
      <c r="A5752" s="4">
        <v>294.0</v>
      </c>
      <c r="B5752" s="4" t="s">
        <v>13990</v>
      </c>
      <c r="C5752" s="4"/>
      <c r="D5752" s="4" t="s">
        <v>12418</v>
      </c>
      <c r="E5752" s="4" t="s">
        <v>12416</v>
      </c>
      <c r="F5752" s="4" t="s">
        <v>12417</v>
      </c>
      <c r="G5752" s="5" t="str">
        <f>IFERROR(__xludf.DUMMYFUNCTION("GOOGLETRANSLATE(D5752,""fr"",""es"")"),"interferir")</f>
        <v>interferir</v>
      </c>
    </row>
    <row r="5753">
      <c r="A5753" s="4">
        <v>295.0</v>
      </c>
      <c r="B5753" s="4" t="s">
        <v>13990</v>
      </c>
      <c r="C5753" s="4"/>
      <c r="D5753" s="4" t="s">
        <v>12419</v>
      </c>
      <c r="E5753" s="4" t="s">
        <v>12416</v>
      </c>
      <c r="F5753" s="4" t="s">
        <v>12417</v>
      </c>
      <c r="G5753" s="5" t="str">
        <f>IFERROR(__xludf.DUMMYFUNCTION("GOOGLETRANSLATE(D5753,""fr"",""es"")"),"inmersión")</f>
        <v>inmersión</v>
      </c>
    </row>
    <row r="5754">
      <c r="A5754" s="4">
        <v>296.0</v>
      </c>
      <c r="B5754" s="4" t="s">
        <v>13990</v>
      </c>
      <c r="C5754" s="4"/>
      <c r="D5754" s="4" t="s">
        <v>12420</v>
      </c>
      <c r="E5754" s="4" t="s">
        <v>12421</v>
      </c>
      <c r="F5754" s="4" t="s">
        <v>9685</v>
      </c>
      <c r="G5754" s="5" t="str">
        <f>IFERROR(__xludf.DUMMYFUNCTION("GOOGLETRANSLATE(D5754,""fr"",""es"")"),"inmerso")</f>
        <v>inmerso</v>
      </c>
    </row>
    <row r="5755">
      <c r="A5755" s="4">
        <v>297.0</v>
      </c>
      <c r="B5755" s="4" t="s">
        <v>13990</v>
      </c>
      <c r="C5755" s="4"/>
      <c r="D5755" s="4" t="s">
        <v>12422</v>
      </c>
      <c r="E5755" s="4" t="s">
        <v>12423</v>
      </c>
      <c r="F5755" s="4" t="s">
        <v>9685</v>
      </c>
      <c r="G5755" s="5" t="str">
        <f>IFERROR(__xludf.DUMMYFUNCTION("GOOGLETRANSLATE(D5755,""fr"",""es"")"),"imbids")</f>
        <v>imbids</v>
      </c>
    </row>
    <row r="5756">
      <c r="A5756" s="4">
        <v>298.0</v>
      </c>
      <c r="B5756" s="4" t="s">
        <v>13990</v>
      </c>
      <c r="C5756" s="4"/>
      <c r="D5756" s="4" t="s">
        <v>12424</v>
      </c>
      <c r="E5756" s="4" t="s">
        <v>12425</v>
      </c>
      <c r="F5756" s="4" t="s">
        <v>12426</v>
      </c>
      <c r="G5756" s="5" t="str">
        <f>IFERROR(__xludf.DUMMYFUNCTION("GOOGLETRANSLATE(D5756,""fr"",""es"")"),"imbids")</f>
        <v>imbids</v>
      </c>
    </row>
    <row r="5757">
      <c r="A5757" s="4">
        <v>299.0</v>
      </c>
      <c r="B5757" s="4" t="s">
        <v>13990</v>
      </c>
      <c r="C5757" s="4"/>
      <c r="D5757" s="4" t="s">
        <v>12427</v>
      </c>
      <c r="E5757" s="4" t="s">
        <v>12425</v>
      </c>
      <c r="F5757" s="4" t="s">
        <v>12426</v>
      </c>
      <c r="G5757" s="5" t="str">
        <f>IFERROR(__xludf.DUMMYFUNCTION("GOOGLETRANSLATE(D5757,""fr"",""es"")"),"Inmiscasa")</f>
        <v>Inmiscasa</v>
      </c>
    </row>
    <row r="5758">
      <c r="A5758" s="4">
        <v>300.0</v>
      </c>
      <c r="B5758" s="4" t="s">
        <v>13990</v>
      </c>
      <c r="C5758" s="4"/>
      <c r="D5758" s="4" t="s">
        <v>12428</v>
      </c>
      <c r="E5758" s="4" t="s">
        <v>12425</v>
      </c>
      <c r="F5758" s="4" t="s">
        <v>12426</v>
      </c>
      <c r="G5758" s="5" t="str">
        <f>IFERROR(__xludf.DUMMYFUNCTION("GOOGLETRANSLATE(D5758,""fr"",""es"")"),"inmisigencia")</f>
        <v>inmisigencia</v>
      </c>
    </row>
    <row r="5759">
      <c r="A5759" s="4">
        <v>301.0</v>
      </c>
      <c r="B5759" s="4" t="s">
        <v>13990</v>
      </c>
      <c r="C5759" s="4"/>
      <c r="D5759" s="4" t="s">
        <v>12429</v>
      </c>
      <c r="E5759" s="4" t="s">
        <v>12430</v>
      </c>
      <c r="F5759" s="4" t="s">
        <v>12431</v>
      </c>
      <c r="G5759" s="5" t="str">
        <f>IFERROR(__xludf.DUMMYFUNCTION("GOOGLETRANSLATE(D5759,""fr"",""es"")"),"inmerso")</f>
        <v>inmerso</v>
      </c>
    </row>
    <row r="5760">
      <c r="A5760" s="4">
        <v>302.0</v>
      </c>
      <c r="B5760" s="4" t="s">
        <v>13990</v>
      </c>
      <c r="C5760" s="4"/>
      <c r="D5760" s="4" t="s">
        <v>12432</v>
      </c>
      <c r="E5760" s="4" t="s">
        <v>12423</v>
      </c>
      <c r="F5760" s="4" t="s">
        <v>9685</v>
      </c>
      <c r="G5760" s="5" t="str">
        <f>IFERROR(__xludf.DUMMYFUNCTION("GOOGLETRANSLATE(D5760,""fr"",""es"")"),"inmerso")</f>
        <v>inmerso</v>
      </c>
    </row>
    <row r="5761">
      <c r="A5761" s="4">
        <v>303.0</v>
      </c>
      <c r="B5761" s="4" t="s">
        <v>13990</v>
      </c>
      <c r="C5761" s="4"/>
      <c r="D5761" s="4" t="s">
        <v>12433</v>
      </c>
      <c r="E5761" s="4" t="s">
        <v>12434</v>
      </c>
      <c r="F5761" s="4" t="s">
        <v>12435</v>
      </c>
      <c r="G5761" s="5" t="str">
        <f>IFERROR(__xludf.DUMMYFUNCTION("GOOGLETRANSLATE(D5761,""fr"",""es"")"),"inicuo")</f>
        <v>inicuo</v>
      </c>
      <c r="H5761" s="4" t="s">
        <v>12436</v>
      </c>
      <c r="I5761" s="4" t="s">
        <v>10832</v>
      </c>
      <c r="J5761" s="4" t="s">
        <v>12437</v>
      </c>
    </row>
    <row r="5762">
      <c r="A5762" s="4">
        <v>304.0</v>
      </c>
      <c r="B5762" s="4" t="s">
        <v>13990</v>
      </c>
      <c r="C5762" s="4"/>
      <c r="D5762" s="4" t="s">
        <v>12438</v>
      </c>
      <c r="E5762" s="4" t="s">
        <v>1797</v>
      </c>
      <c r="F5762" s="4" t="s">
        <v>1798</v>
      </c>
      <c r="G5762" s="5" t="str">
        <f>IFERROR(__xludf.DUMMYFUNCTION("GOOGLETRANSLATE(D5762,""fr"",""es"")"),"ISSA")</f>
        <v>ISSA</v>
      </c>
    </row>
    <row r="5763">
      <c r="A5763" s="4">
        <v>305.0</v>
      </c>
      <c r="B5763" s="4" t="s">
        <v>13990</v>
      </c>
      <c r="C5763" s="4"/>
      <c r="D5763" s="4" t="s">
        <v>12439</v>
      </c>
      <c r="E5763" s="4" t="s">
        <v>12440</v>
      </c>
      <c r="F5763" s="4" t="s">
        <v>12441</v>
      </c>
      <c r="G5763" s="5" t="str">
        <f>IFERROR(__xludf.DUMMYFUNCTION("GOOGLETRANSLATE(D5763,""fr"",""es"")"),"Italia")</f>
        <v>Italia</v>
      </c>
      <c r="H5763" s="4" t="s">
        <v>12442</v>
      </c>
      <c r="I5763" s="4" t="s">
        <v>12443</v>
      </c>
      <c r="J5763" s="4" t="s">
        <v>12444</v>
      </c>
    </row>
    <row r="5764">
      <c r="A5764" s="4">
        <v>306.0</v>
      </c>
      <c r="B5764" s="4" t="s">
        <v>13990</v>
      </c>
      <c r="C5764" s="4"/>
      <c r="D5764" s="4" t="s">
        <v>12445</v>
      </c>
      <c r="E5764" s="4" t="s">
        <v>9732</v>
      </c>
      <c r="F5764" s="4" t="s">
        <v>9731</v>
      </c>
      <c r="G5764" s="5" t="str">
        <f>IFERROR(__xludf.DUMMYFUNCTION("GOOGLETRANSLATE(D5764,""fr"",""es"")"),"itou")</f>
        <v>itou</v>
      </c>
      <c r="H5764" s="4" t="s">
        <v>8855</v>
      </c>
      <c r="I5764" s="4" t="s">
        <v>8851</v>
      </c>
      <c r="J5764" s="4" t="s">
        <v>8856</v>
      </c>
      <c r="K5764" s="4" t="s">
        <v>8857</v>
      </c>
      <c r="L5764" s="4" t="s">
        <v>8858</v>
      </c>
    </row>
    <row r="5765">
      <c r="A5765" s="4">
        <v>307.0</v>
      </c>
      <c r="B5765" s="4" t="s">
        <v>13990</v>
      </c>
      <c r="C5765" s="4"/>
      <c r="D5765" s="4" t="s">
        <v>12446</v>
      </c>
      <c r="E5765" s="4" t="s">
        <v>9705</v>
      </c>
      <c r="F5765" s="4" t="s">
        <v>9704</v>
      </c>
      <c r="G5765" s="5" t="str">
        <f>IFERROR(__xludf.DUMMYFUNCTION("GOOGLETRANSLATE(D5765,""fr"",""es"")"),"aquí")</f>
        <v>aquí</v>
      </c>
    </row>
    <row r="5766">
      <c r="A5766" s="4">
        <v>308.0</v>
      </c>
      <c r="B5766" s="4" t="s">
        <v>13990</v>
      </c>
      <c r="C5766" s="4"/>
      <c r="D5766" s="4" t="s">
        <v>2627</v>
      </c>
      <c r="E5766" s="4" t="s">
        <v>961</v>
      </c>
      <c r="F5766" s="4" t="s">
        <v>962</v>
      </c>
      <c r="G5766" s="5" t="str">
        <f>IFERROR(__xludf.DUMMYFUNCTION("GOOGLETRANSLATE(D5766,""fr"",""es"")"),"k")</f>
        <v>k</v>
      </c>
      <c r="H5766" s="4" t="s">
        <v>3809</v>
      </c>
      <c r="I5766" s="4" t="s">
        <v>3810</v>
      </c>
      <c r="J5766" s="4" t="s">
        <v>3811</v>
      </c>
      <c r="K5766" s="4" t="s">
        <v>3668</v>
      </c>
      <c r="L5766" s="4" t="s">
        <v>2629</v>
      </c>
      <c r="M5766" s="4" t="s">
        <v>3669</v>
      </c>
      <c r="N5766" s="4" t="s">
        <v>3668</v>
      </c>
      <c r="O5766" s="4" t="s">
        <v>2629</v>
      </c>
      <c r="P5766" s="4" t="s">
        <v>3669</v>
      </c>
    </row>
    <row r="5767">
      <c r="A5767" s="4">
        <v>309.0</v>
      </c>
      <c r="B5767" s="4" t="s">
        <v>13990</v>
      </c>
      <c r="C5767" s="4"/>
      <c r="D5767" s="4" t="s">
        <v>962</v>
      </c>
      <c r="E5767" s="4" t="s">
        <v>9868</v>
      </c>
      <c r="F5767" s="4" t="s">
        <v>962</v>
      </c>
      <c r="G5767" s="5" t="str">
        <f>IFERROR(__xludf.DUMMYFUNCTION("GOOGLETRANSLATE(D5767,""fr"",""es"")"),"ka")</f>
        <v>ka</v>
      </c>
      <c r="H5767" s="4" t="s">
        <v>9869</v>
      </c>
    </row>
    <row r="5768">
      <c r="A5768" s="4">
        <v>310.0</v>
      </c>
      <c r="B5768" s="4" t="s">
        <v>13990</v>
      </c>
      <c r="C5768" s="4"/>
      <c r="D5768" s="4" t="s">
        <v>1297</v>
      </c>
      <c r="E5768" s="4" t="s">
        <v>1296</v>
      </c>
      <c r="F5768" s="4" t="s">
        <v>1297</v>
      </c>
      <c r="G5768" s="5" t="str">
        <f>IFERROR(__xludf.DUMMYFUNCTION("GOOGLETRANSLATE(D5768,""fr"",""es"")"),"caqui")</f>
        <v>caqui</v>
      </c>
      <c r="H5768" s="4" t="s">
        <v>1298</v>
      </c>
      <c r="I5768" s="4" t="s">
        <v>1298</v>
      </c>
      <c r="J5768" s="4" t="s">
        <v>1299</v>
      </c>
      <c r="K5768" s="4" t="s">
        <v>1299</v>
      </c>
      <c r="L5768" s="4" t="s">
        <v>1300</v>
      </c>
    </row>
    <row r="5769">
      <c r="A5769" s="4">
        <v>311.0</v>
      </c>
      <c r="B5769" s="4" t="s">
        <v>13990</v>
      </c>
      <c r="C5769" s="4"/>
      <c r="D5769" s="4" t="s">
        <v>11870</v>
      </c>
      <c r="E5769" s="4" t="s">
        <v>11869</v>
      </c>
      <c r="F5769" s="4" t="s">
        <v>11870</v>
      </c>
      <c r="G5769" s="5" t="str">
        <f>IFERROR(__xludf.DUMMYFUNCTION("GOOGLETRANSLATE(D5769,""fr"",""es"")"),"kanak")</f>
        <v>kanak</v>
      </c>
    </row>
    <row r="5770">
      <c r="A5770" s="4">
        <v>312.0</v>
      </c>
      <c r="B5770" s="4" t="s">
        <v>13990</v>
      </c>
      <c r="C5770" s="4"/>
      <c r="D5770" s="4" t="s">
        <v>12447</v>
      </c>
      <c r="E5770" s="4" t="s">
        <v>11869</v>
      </c>
      <c r="F5770" s="4" t="s">
        <v>11870</v>
      </c>
      <c r="G5770" s="5" t="str">
        <f>IFERROR(__xludf.DUMMYFUNCTION("GOOGLETRANSLATE(D5770,""fr"",""es"")"),"kanake")</f>
        <v>kanake</v>
      </c>
    </row>
    <row r="5771">
      <c r="A5771" s="4">
        <v>313.0</v>
      </c>
      <c r="B5771" s="4" t="s">
        <v>13990</v>
      </c>
      <c r="C5771" s="4"/>
      <c r="D5771" s="4" t="s">
        <v>12448</v>
      </c>
      <c r="E5771" s="4" t="s">
        <v>1232</v>
      </c>
      <c r="F5771" s="4" t="s">
        <v>1233</v>
      </c>
      <c r="G5771" s="5" t="str">
        <f>IFERROR(__xludf.DUMMYFUNCTION("GOOGLETRANSLATE(D5771,""fr"",""es"")"),"kappa")</f>
        <v>kappa</v>
      </c>
      <c r="H5771" s="4" t="s">
        <v>12448</v>
      </c>
    </row>
    <row r="5772">
      <c r="A5772" s="4">
        <v>314.0</v>
      </c>
      <c r="B5772" s="4" t="s">
        <v>13990</v>
      </c>
      <c r="C5772" s="4"/>
      <c r="D5772" s="4" t="s">
        <v>12449</v>
      </c>
      <c r="E5772" s="4" t="s">
        <v>12450</v>
      </c>
      <c r="F5772" s="4" t="s">
        <v>12449</v>
      </c>
      <c r="G5772" s="5" t="str">
        <f>IFERROR(__xludf.DUMMYFUNCTION("GOOGLETRANSLATE(D5772,""fr"",""es"")"),"kasumi")</f>
        <v>kasumi</v>
      </c>
    </row>
    <row r="5773">
      <c r="A5773" s="4">
        <v>315.0</v>
      </c>
      <c r="B5773" s="4" t="s">
        <v>13990</v>
      </c>
      <c r="C5773" s="4"/>
      <c r="D5773" s="4" t="s">
        <v>12451</v>
      </c>
      <c r="E5773" s="4" t="s">
        <v>12452</v>
      </c>
      <c r="F5773" s="4" t="s">
        <v>12451</v>
      </c>
      <c r="G5773" s="5" t="str">
        <f>IFERROR(__xludf.DUMMYFUNCTION("GOOGLETRANSLATE(D5773,""fr"",""es"")"),"Katana")</f>
        <v>Katana</v>
      </c>
    </row>
    <row r="5774">
      <c r="A5774" s="4">
        <v>316.0</v>
      </c>
      <c r="B5774" s="4" t="s">
        <v>13990</v>
      </c>
      <c r="C5774" s="4"/>
      <c r="D5774" s="4" t="s">
        <v>968</v>
      </c>
      <c r="E5774" s="4" t="s">
        <v>967</v>
      </c>
      <c r="F5774" s="4" t="s">
        <v>968</v>
      </c>
      <c r="G5774" s="5" t="str">
        <f>IFERROR(__xludf.DUMMYFUNCTION("GOOGLETRANSLATE(D5774,""fr"",""es"")"),"kayac")</f>
        <v>kayac</v>
      </c>
      <c r="H5774" s="4" t="s">
        <v>968</v>
      </c>
      <c r="I5774" s="4" t="s">
        <v>969</v>
      </c>
      <c r="J5774" s="4" t="s">
        <v>968</v>
      </c>
    </row>
    <row r="5775">
      <c r="A5775" s="4">
        <v>317.0</v>
      </c>
      <c r="B5775" s="4" t="s">
        <v>13990</v>
      </c>
      <c r="C5775" s="4"/>
      <c r="D5775" s="4" t="s">
        <v>12453</v>
      </c>
      <c r="E5775" s="4" t="s">
        <v>12454</v>
      </c>
      <c r="F5775" s="4" t="s">
        <v>12453</v>
      </c>
      <c r="G5775" s="5" t="str">
        <f>IFERROR(__xludf.DUMMYFUNCTION("GOOGLETRANSLATE(D5775,""fr"",""es"")"),"kayaka")</f>
        <v>kayaka</v>
      </c>
    </row>
    <row r="5776">
      <c r="A5776" s="4">
        <v>318.0</v>
      </c>
      <c r="B5776" s="4" t="s">
        <v>13990</v>
      </c>
      <c r="C5776" s="4"/>
      <c r="D5776" s="4" t="s">
        <v>12455</v>
      </c>
      <c r="E5776" s="4" t="s">
        <v>12456</v>
      </c>
      <c r="F5776" s="4" t="s">
        <v>12453</v>
      </c>
      <c r="G5776" s="5" t="str">
        <f>IFERROR(__xludf.DUMMYFUNCTION("GOOGLETRANSLATE(D5776,""fr"",""es"")"),"kayakas")</f>
        <v>kayakas</v>
      </c>
    </row>
    <row r="5777">
      <c r="A5777" s="4">
        <v>319.0</v>
      </c>
      <c r="B5777" s="4" t="s">
        <v>13990</v>
      </c>
      <c r="C5777" s="4"/>
      <c r="D5777" s="4" t="s">
        <v>12457</v>
      </c>
      <c r="E5777" s="4" t="s">
        <v>12458</v>
      </c>
      <c r="F5777" s="4" t="s">
        <v>12455</v>
      </c>
      <c r="G5777" s="5" t="str">
        <f>IFERROR(__xludf.DUMMYFUNCTION("GOOGLETRANSLATE(D5777,""fr"",""es"")"),"kayakasse")</f>
        <v>kayakasse</v>
      </c>
    </row>
    <row r="5778">
      <c r="A5778" s="4">
        <v>320.0</v>
      </c>
      <c r="B5778" s="4" t="s">
        <v>13990</v>
      </c>
      <c r="C5778" s="4"/>
      <c r="D5778" s="4" t="s">
        <v>12459</v>
      </c>
      <c r="E5778" s="4" t="s">
        <v>12458</v>
      </c>
      <c r="F5778" s="4" t="s">
        <v>12455</v>
      </c>
      <c r="G5778" s="5" t="str">
        <f>IFERROR(__xludf.DUMMYFUNCTION("GOOGLETRANSLATE(D5778,""fr"",""es"")"),"kayakassent")</f>
        <v>kayakassent</v>
      </c>
    </row>
    <row r="5779">
      <c r="A5779" s="4">
        <v>321.0</v>
      </c>
      <c r="B5779" s="4" t="s">
        <v>13990</v>
      </c>
      <c r="C5779" s="4"/>
      <c r="D5779" s="4" t="s">
        <v>12460</v>
      </c>
      <c r="E5779" s="4" t="s">
        <v>12458</v>
      </c>
      <c r="F5779" s="4" t="s">
        <v>12455</v>
      </c>
      <c r="G5779" s="5" t="str">
        <f>IFERROR(__xludf.DUMMYFUNCTION("GOOGLETRANSLATE(D5779,""fr"",""es"")"),"kayakasses")</f>
        <v>kayakasses</v>
      </c>
    </row>
    <row r="5780">
      <c r="A5780" s="4">
        <v>322.0</v>
      </c>
      <c r="B5780" s="4" t="s">
        <v>13990</v>
      </c>
      <c r="C5780" s="4"/>
      <c r="D5780" s="4" t="s">
        <v>12461</v>
      </c>
      <c r="E5780" s="4" t="s">
        <v>967</v>
      </c>
      <c r="F5780" s="4" t="s">
        <v>968</v>
      </c>
      <c r="G5780" s="5" t="str">
        <f>IFERROR(__xludf.DUMMYFUNCTION("GOOGLETRANSLATE(D5780,""fr"",""es"")"),"kayake")</f>
        <v>kayake</v>
      </c>
    </row>
    <row r="5781">
      <c r="A5781" s="4">
        <v>323.0</v>
      </c>
      <c r="B5781" s="4" t="s">
        <v>13990</v>
      </c>
      <c r="C5781" s="4"/>
      <c r="D5781" s="4" t="s">
        <v>12462</v>
      </c>
      <c r="E5781" s="4" t="s">
        <v>967</v>
      </c>
      <c r="F5781" s="4" t="s">
        <v>968</v>
      </c>
      <c r="G5781" s="5" t="str">
        <f>IFERROR(__xludf.DUMMYFUNCTION("GOOGLETRANSLATE(D5781,""fr"",""es"")"),"kayac")</f>
        <v>kayac</v>
      </c>
    </row>
    <row r="5782">
      <c r="A5782" s="4">
        <v>324.0</v>
      </c>
      <c r="B5782" s="4" t="s">
        <v>13990</v>
      </c>
      <c r="C5782" s="4"/>
      <c r="D5782" s="4" t="s">
        <v>12463</v>
      </c>
      <c r="E5782" s="4" t="s">
        <v>967</v>
      </c>
      <c r="F5782" s="4" t="s">
        <v>968</v>
      </c>
      <c r="G5782" s="5" t="str">
        <f>IFERROR(__xludf.DUMMYFUNCTION("GOOGLETRANSLATE(D5782,""fr"",""es"")"),"kayakes")</f>
        <v>kayakes</v>
      </c>
    </row>
    <row r="5783">
      <c r="A5783" s="4">
        <v>325.0</v>
      </c>
      <c r="B5783" s="4" t="s">
        <v>13990</v>
      </c>
      <c r="C5783" s="4"/>
      <c r="D5783" s="4" t="s">
        <v>12464</v>
      </c>
      <c r="E5783" s="4" t="s">
        <v>967</v>
      </c>
      <c r="F5783" s="4" t="s">
        <v>968</v>
      </c>
      <c r="G5783" s="5" t="str">
        <f>IFERROR(__xludf.DUMMYFUNCTION("GOOGLETRANSLATE(D5783,""fr"",""es"")"),"kayaks")</f>
        <v>kayaks</v>
      </c>
    </row>
    <row r="5784">
      <c r="A5784" s="4">
        <v>326.0</v>
      </c>
      <c r="B5784" s="4" t="s">
        <v>13990</v>
      </c>
      <c r="C5784" s="4"/>
      <c r="D5784" s="4" t="s">
        <v>12465</v>
      </c>
      <c r="E5784" s="4" t="s">
        <v>12466</v>
      </c>
      <c r="F5784" s="4" t="s">
        <v>12467</v>
      </c>
      <c r="G5784" s="5" t="str">
        <f>IFERROR(__xludf.DUMMYFUNCTION("GOOGLETRANSLATE(D5784,""fr"",""es"")"),"kayakâme")</f>
        <v>kayakâme</v>
      </c>
    </row>
    <row r="5785">
      <c r="A5785" s="4">
        <v>327.0</v>
      </c>
      <c r="B5785" s="4" t="s">
        <v>13990</v>
      </c>
      <c r="C5785" s="4"/>
      <c r="D5785" s="4" t="s">
        <v>12468</v>
      </c>
      <c r="E5785" s="4" t="s">
        <v>12456</v>
      </c>
      <c r="F5785" s="4" t="s">
        <v>12453</v>
      </c>
      <c r="G5785" s="5" t="str">
        <f>IFERROR(__xludf.DUMMYFUNCTION("GOOGLETRANSLATE(D5785,""fr"",""es"")"),"kayakât")</f>
        <v>kayakât</v>
      </c>
    </row>
    <row r="5786">
      <c r="A5786" s="4">
        <v>328.0</v>
      </c>
      <c r="B5786" s="4" t="s">
        <v>13990</v>
      </c>
      <c r="C5786" s="4"/>
      <c r="D5786" s="4" t="s">
        <v>1298</v>
      </c>
      <c r="E5786" s="4" t="s">
        <v>1296</v>
      </c>
      <c r="F5786" s="4" t="s">
        <v>1297</v>
      </c>
      <c r="G5786" s="5" t="str">
        <f>IFERROR(__xludf.DUMMYFUNCTION("GOOGLETRANSLATE(D5786,""fr"",""es"")"),"caqui")</f>
        <v>caqui</v>
      </c>
    </row>
    <row r="5787">
      <c r="A5787" s="4">
        <v>329.0</v>
      </c>
      <c r="B5787" s="4" t="s">
        <v>13990</v>
      </c>
      <c r="C5787" s="4"/>
      <c r="D5787" s="4" t="s">
        <v>2012</v>
      </c>
      <c r="E5787" s="4" t="s">
        <v>2013</v>
      </c>
      <c r="F5787" s="4" t="s">
        <v>2014</v>
      </c>
      <c r="G5787" s="5" t="str">
        <f>IFERROR(__xludf.DUMMYFUNCTION("GOOGLETRANSLATE(D5787,""fr"",""es"")"),"khi")</f>
        <v>khi</v>
      </c>
      <c r="H5787" s="4" t="s">
        <v>12469</v>
      </c>
      <c r="I5787" s="4" t="s">
        <v>2012</v>
      </c>
    </row>
    <row r="5788">
      <c r="A5788" s="4">
        <v>330.0</v>
      </c>
      <c r="B5788" s="4" t="s">
        <v>13990</v>
      </c>
      <c r="C5788" s="4"/>
      <c r="D5788" s="4" t="s">
        <v>12470</v>
      </c>
      <c r="E5788" s="4" t="s">
        <v>12471</v>
      </c>
      <c r="F5788" s="4" t="s">
        <v>12472</v>
      </c>
      <c r="G5788" s="5" t="str">
        <f>IFERROR(__xludf.DUMMYFUNCTION("GOOGLETRANSLATE(D5788,""fr"",""es"")"),"khâgne")</f>
        <v>khâgne</v>
      </c>
    </row>
    <row r="5789">
      <c r="A5789" s="4">
        <v>331.0</v>
      </c>
      <c r="B5789" s="4" t="s">
        <v>13990</v>
      </c>
      <c r="C5789" s="4"/>
      <c r="D5789" s="4" t="s">
        <v>12473</v>
      </c>
      <c r="E5789" s="4" t="s">
        <v>12474</v>
      </c>
      <c r="F5789" s="4" t="s">
        <v>12473</v>
      </c>
      <c r="G5789" s="5" t="str">
        <f>IFERROR(__xludf.DUMMYFUNCTION("GOOGLETRANSLATE(D5789,""fr"",""es"")"),"kiki")</f>
        <v>kiki</v>
      </c>
    </row>
    <row r="5790">
      <c r="A5790" s="4">
        <v>332.0</v>
      </c>
      <c r="B5790" s="4" t="s">
        <v>13990</v>
      </c>
      <c r="C5790" s="4"/>
      <c r="D5790" s="4" t="s">
        <v>10033</v>
      </c>
      <c r="E5790" s="4" t="s">
        <v>10032</v>
      </c>
      <c r="F5790" s="4" t="s">
        <v>10033</v>
      </c>
      <c r="G5790" s="5" t="str">
        <f>IFERROR(__xludf.DUMMYFUNCTION("GOOGLETRANSLATE(D5790,""fr"",""es"")"),"kikuyu")</f>
        <v>kikuyu</v>
      </c>
    </row>
    <row r="5791">
      <c r="A5791" s="4">
        <v>333.0</v>
      </c>
      <c r="B5791" s="4" t="s">
        <v>13990</v>
      </c>
      <c r="C5791" s="4"/>
      <c r="D5791" s="4" t="s">
        <v>12475</v>
      </c>
      <c r="E5791" s="4" t="s">
        <v>12476</v>
      </c>
      <c r="F5791" s="4" t="s">
        <v>12477</v>
      </c>
      <c r="G5791" s="5" t="str">
        <f>IFERROR(__xludf.DUMMYFUNCTION("GOOGLETRANSLATE(D5791,""fr"",""es"")"),"kippa")</f>
        <v>kippa</v>
      </c>
      <c r="H5791" s="4" t="s">
        <v>12478</v>
      </c>
      <c r="I5791" s="4" t="s">
        <v>12479</v>
      </c>
      <c r="J5791" s="4" t="s">
        <v>12480</v>
      </c>
      <c r="K5791" s="4" t="s">
        <v>12481</v>
      </c>
    </row>
    <row r="5792">
      <c r="A5792" s="4">
        <v>334.0</v>
      </c>
      <c r="B5792" s="4" t="s">
        <v>13990</v>
      </c>
      <c r="C5792" s="4"/>
      <c r="D5792" s="4" t="s">
        <v>12482</v>
      </c>
      <c r="E5792" s="4" t="s">
        <v>12483</v>
      </c>
      <c r="F5792" s="4" t="s">
        <v>8425</v>
      </c>
      <c r="G5792" s="5" t="str">
        <f>IFERROR(__xludf.DUMMYFUNCTION("GOOGLETRANSLATE(D5792,""fr"",""es"")"),"kulak")</f>
        <v>kulak</v>
      </c>
    </row>
    <row r="5793">
      <c r="A5793" s="4">
        <v>335.0</v>
      </c>
      <c r="B5793" s="4" t="s">
        <v>13990</v>
      </c>
      <c r="C5793" s="4"/>
      <c r="D5793" s="4" t="s">
        <v>12484</v>
      </c>
      <c r="E5793" s="4" t="s">
        <v>12485</v>
      </c>
      <c r="F5793" s="4" t="s">
        <v>12486</v>
      </c>
      <c r="G5793" s="5" t="str">
        <f>IFERROR(__xludf.DUMMYFUNCTION("GOOGLETRANSLATE(D5793,""fr"",""es"")"),"kumis")</f>
        <v>kumis</v>
      </c>
    </row>
    <row r="5794">
      <c r="A5794" s="4">
        <v>336.0</v>
      </c>
      <c r="B5794" s="4" t="s">
        <v>13990</v>
      </c>
      <c r="C5794" s="4"/>
      <c r="D5794" s="4" t="s">
        <v>2015</v>
      </c>
      <c r="E5794" s="4" t="s">
        <v>2016</v>
      </c>
      <c r="F5794" s="4" t="s">
        <v>2015</v>
      </c>
      <c r="G5794" s="5" t="str">
        <f>IFERROR(__xludf.DUMMYFUNCTION("GOOGLETRANSLATE(D5794,""fr"",""es"")"),"la")</f>
        <v>la</v>
      </c>
      <c r="H5794" s="4" t="s">
        <v>12487</v>
      </c>
      <c r="I5794" s="4" t="s">
        <v>12487</v>
      </c>
      <c r="J5794" s="4" t="s">
        <v>12488</v>
      </c>
      <c r="K5794" s="4" t="s">
        <v>2015</v>
      </c>
      <c r="L5794" s="4" t="s">
        <v>2017</v>
      </c>
      <c r="M5794" s="4" t="s">
        <v>2015</v>
      </c>
      <c r="N5794" s="4" t="s">
        <v>2017</v>
      </c>
      <c r="O5794" s="4" t="s">
        <v>12489</v>
      </c>
      <c r="P5794" s="4" t="s">
        <v>12490</v>
      </c>
      <c r="Q5794" s="4" t="s">
        <v>12491</v>
      </c>
      <c r="R5794" s="4" t="s">
        <v>12492</v>
      </c>
      <c r="S5794" s="4" t="s">
        <v>12493</v>
      </c>
      <c r="T5794" s="4" t="s">
        <v>12494</v>
      </c>
      <c r="U5794" s="4" t="s">
        <v>12492</v>
      </c>
      <c r="V5794" s="4" t="s">
        <v>12493</v>
      </c>
      <c r="W5794" s="4" t="s">
        <v>12494</v>
      </c>
      <c r="X5794" s="4" t="s">
        <v>12492</v>
      </c>
      <c r="Y5794" s="4" t="s">
        <v>12493</v>
      </c>
      <c r="Z5794" s="4" t="s">
        <v>12494</v>
      </c>
    </row>
    <row r="5795">
      <c r="A5795" s="4">
        <v>337.0</v>
      </c>
      <c r="B5795" s="4" t="s">
        <v>13990</v>
      </c>
      <c r="C5795" s="4"/>
      <c r="D5795" s="4" t="s">
        <v>6514</v>
      </c>
      <c r="E5795" s="4" t="s">
        <v>4832</v>
      </c>
      <c r="F5795" s="4" t="s">
        <v>4831</v>
      </c>
      <c r="G5795" s="5" t="str">
        <f>IFERROR(__xludf.DUMMYFUNCTION("GOOGLETRANSLATE(D5795,""fr"",""es"")"),"lago")</f>
        <v>lago</v>
      </c>
      <c r="H5795" s="4" t="s">
        <v>2091</v>
      </c>
      <c r="I5795" s="4" t="s">
        <v>8442</v>
      </c>
      <c r="J5795" s="4" t="s">
        <v>2098</v>
      </c>
      <c r="K5795" s="4" t="s">
        <v>6514</v>
      </c>
      <c r="L5795" s="4" t="s">
        <v>2091</v>
      </c>
      <c r="M5795" s="4" t="s">
        <v>2091</v>
      </c>
    </row>
    <row r="5796">
      <c r="A5796" s="4">
        <v>338.0</v>
      </c>
      <c r="B5796" s="4" t="s">
        <v>13990</v>
      </c>
      <c r="C5796" s="4"/>
      <c r="D5796" s="4" t="s">
        <v>6525</v>
      </c>
      <c r="E5796" s="4" t="s">
        <v>2019</v>
      </c>
      <c r="F5796" s="4" t="s">
        <v>2020</v>
      </c>
      <c r="G5796" s="5" t="str">
        <f>IFERROR(__xludf.DUMMYFUNCTION("GOOGLETRANSLATE(D5796,""fr"",""es"")"),"lacis")</f>
        <v>lacis</v>
      </c>
    </row>
    <row r="5797">
      <c r="A5797" s="4">
        <v>339.0</v>
      </c>
      <c r="B5797" s="4" t="s">
        <v>13990</v>
      </c>
      <c r="C5797" s="4"/>
      <c r="D5797" s="4" t="s">
        <v>12495</v>
      </c>
      <c r="E5797" s="4" t="s">
        <v>2016</v>
      </c>
      <c r="F5797" s="4" t="s">
        <v>2015</v>
      </c>
      <c r="G5797" s="5" t="str">
        <f>IFERROR(__xludf.DUMMYFUNCTION("GOOGLETRANSLATE(D5797,""fr"",""es"")"),"lagos")</f>
        <v>lagos</v>
      </c>
    </row>
    <row r="5798">
      <c r="A5798" s="4">
        <v>340.0</v>
      </c>
      <c r="B5798" s="4" t="s">
        <v>13990</v>
      </c>
      <c r="C5798" s="4"/>
      <c r="D5798" s="4" t="s">
        <v>12495</v>
      </c>
      <c r="E5798" s="4" t="s">
        <v>4832</v>
      </c>
      <c r="F5798" s="4" t="s">
        <v>4831</v>
      </c>
      <c r="G5798" s="5" t="str">
        <f>IFERROR(__xludf.DUMMYFUNCTION("GOOGLETRANSLATE(D5798,""fr"",""es"")"),"lagos")</f>
        <v>lagos</v>
      </c>
    </row>
    <row r="5799">
      <c r="A5799" s="4">
        <v>341.0</v>
      </c>
      <c r="B5799" s="4" t="s">
        <v>13990</v>
      </c>
      <c r="C5799" s="4"/>
      <c r="D5799" s="4" t="s">
        <v>12496</v>
      </c>
      <c r="E5799" s="4" t="s">
        <v>12497</v>
      </c>
      <c r="F5799" s="4" t="s">
        <v>12498</v>
      </c>
      <c r="G5799" s="5" t="str">
        <f>IFERROR(__xludf.DUMMYFUNCTION("GOOGLETRANSLATE(D5799,""fr"",""es"")"),"Lagniappe")</f>
        <v>Lagniappe</v>
      </c>
    </row>
    <row r="5800">
      <c r="A5800" s="4">
        <v>342.0</v>
      </c>
      <c r="B5800" s="4" t="s">
        <v>13990</v>
      </c>
      <c r="C5800" s="4"/>
      <c r="D5800" s="4" t="s">
        <v>8427</v>
      </c>
      <c r="E5800" s="4" t="s">
        <v>4832</v>
      </c>
      <c r="F5800" s="4" t="s">
        <v>4831</v>
      </c>
      <c r="G5800" s="5" t="str">
        <f>IFERROR(__xludf.DUMMYFUNCTION("GOOGLETRANSLATE(D5800,""fr"",""es"")"),"lakh")</f>
        <v>lakh</v>
      </c>
      <c r="H5800" s="4" t="s">
        <v>8428</v>
      </c>
      <c r="I5800" s="4">
        <v>100000.0</v>
      </c>
      <c r="J5800" s="4" t="s">
        <v>8427</v>
      </c>
    </row>
    <row r="5801">
      <c r="A5801" s="4">
        <v>343.0</v>
      </c>
      <c r="B5801" s="4" t="s">
        <v>13990</v>
      </c>
      <c r="C5801" s="4"/>
      <c r="D5801" s="4" t="s">
        <v>10244</v>
      </c>
      <c r="E5801" s="4" t="s">
        <v>12499</v>
      </c>
      <c r="F5801" s="4" t="s">
        <v>10244</v>
      </c>
      <c r="G5801" s="5" t="str">
        <f>IFERROR(__xludf.DUMMYFUNCTION("GOOGLETRANSLATE(D5801,""fr"",""es"")"),"lama")</f>
        <v>lama</v>
      </c>
      <c r="H5801" s="4" t="s">
        <v>2099</v>
      </c>
      <c r="I5801" s="4" t="s">
        <v>10246</v>
      </c>
      <c r="J5801" s="4" t="s">
        <v>10247</v>
      </c>
      <c r="K5801" s="4" t="s">
        <v>10246</v>
      </c>
      <c r="L5801" s="4" t="s">
        <v>10247</v>
      </c>
      <c r="M5801" s="4" t="s">
        <v>10244</v>
      </c>
    </row>
    <row r="5802">
      <c r="A5802" s="4">
        <v>344.0</v>
      </c>
      <c r="B5802" s="4" t="s">
        <v>13990</v>
      </c>
      <c r="C5802" s="4"/>
      <c r="D5802" s="4" t="s">
        <v>12500</v>
      </c>
      <c r="E5802" s="4" t="s">
        <v>4837</v>
      </c>
      <c r="F5802" s="4" t="s">
        <v>4836</v>
      </c>
      <c r="G5802" s="5" t="str">
        <f>IFERROR(__xludf.DUMMYFUNCTION("GOOGLETRANSLATE(D5802,""fr"",""es"")"),"espada")</f>
        <v>espada</v>
      </c>
      <c r="H5802" s="4" t="s">
        <v>10259</v>
      </c>
      <c r="I5802" s="4" t="s">
        <v>12501</v>
      </c>
      <c r="J5802" s="4" t="s">
        <v>12502</v>
      </c>
      <c r="K5802" s="4" t="s">
        <v>10259</v>
      </c>
      <c r="L5802" s="4" t="s">
        <v>2260</v>
      </c>
    </row>
    <row r="5803">
      <c r="A5803" s="4">
        <v>345.0</v>
      </c>
      <c r="B5803" s="4" t="s">
        <v>13990</v>
      </c>
      <c r="C5803" s="4"/>
      <c r="D5803" s="4" t="s">
        <v>12503</v>
      </c>
      <c r="E5803" s="4" t="s">
        <v>12504</v>
      </c>
      <c r="F5803" s="4" t="s">
        <v>12505</v>
      </c>
      <c r="G5803" s="5" t="str">
        <f>IFERROR(__xludf.DUMMYFUNCTION("GOOGLETRANSLATE(D5803,""fr"",""es"")"),"golpe")</f>
        <v>golpe</v>
      </c>
    </row>
    <row r="5804">
      <c r="A5804" s="4">
        <v>346.0</v>
      </c>
      <c r="B5804" s="4" t="s">
        <v>13990</v>
      </c>
      <c r="C5804" s="4"/>
      <c r="D5804" s="4" t="s">
        <v>10257</v>
      </c>
      <c r="E5804" s="4" t="s">
        <v>12506</v>
      </c>
      <c r="F5804" s="4" t="s">
        <v>10257</v>
      </c>
      <c r="G5804" s="5" t="str">
        <f>IFERROR(__xludf.DUMMYFUNCTION("GOOGLETRANSLATE(D5804,""fr"",""es"")"),"lapa")</f>
        <v>lapa</v>
      </c>
    </row>
    <row r="5805">
      <c r="A5805" s="4">
        <v>347.0</v>
      </c>
      <c r="B5805" s="4" t="s">
        <v>13990</v>
      </c>
      <c r="C5805" s="4"/>
      <c r="D5805" s="4" t="s">
        <v>12507</v>
      </c>
      <c r="E5805" s="4" t="s">
        <v>12508</v>
      </c>
      <c r="F5805" s="4" t="s">
        <v>10257</v>
      </c>
      <c r="G5805" s="5" t="str">
        <f>IFERROR(__xludf.DUMMYFUNCTION("GOOGLETRANSLATE(D5805,""fr"",""es"")"),"el paso")</f>
        <v>el paso</v>
      </c>
    </row>
    <row r="5806">
      <c r="A5806" s="4">
        <v>348.0</v>
      </c>
      <c r="B5806" s="4" t="s">
        <v>13990</v>
      </c>
      <c r="C5806" s="4"/>
      <c r="D5806" s="4" t="s">
        <v>12509</v>
      </c>
      <c r="E5806" s="4" t="s">
        <v>12510</v>
      </c>
      <c r="F5806" s="4" t="s">
        <v>12507</v>
      </c>
      <c r="G5806" s="5" t="str">
        <f>IFERROR(__xludf.DUMMYFUNCTION("GOOGLETRANSLATE(D5806,""fr"",""es"")"),"El permiso")</f>
        <v>El permiso</v>
      </c>
    </row>
    <row r="5807">
      <c r="A5807" s="4">
        <v>349.0</v>
      </c>
      <c r="B5807" s="4" t="s">
        <v>13990</v>
      </c>
      <c r="C5807" s="4"/>
      <c r="D5807" s="4" t="s">
        <v>12511</v>
      </c>
      <c r="E5807" s="4" t="s">
        <v>12510</v>
      </c>
      <c r="F5807" s="4" t="s">
        <v>12507</v>
      </c>
      <c r="G5807" s="5" t="str">
        <f>IFERROR(__xludf.DUMMYFUNCTION("GOOGLETRANSLATE(D5807,""fr"",""es"")"),"lapasé")</f>
        <v>lapasé</v>
      </c>
    </row>
    <row r="5808">
      <c r="A5808" s="4">
        <v>350.0</v>
      </c>
      <c r="B5808" s="4" t="s">
        <v>13990</v>
      </c>
      <c r="C5808" s="4"/>
      <c r="D5808" s="4" t="s">
        <v>12512</v>
      </c>
      <c r="E5808" s="4" t="s">
        <v>12510</v>
      </c>
      <c r="F5808" s="4" t="s">
        <v>12507</v>
      </c>
      <c r="G5808" s="5" t="str">
        <f>IFERROR(__xludf.DUMMYFUNCTION("GOOGLETRANSLATE(D5808,""fr"",""es"")"),"lapasses")</f>
        <v>lapasses</v>
      </c>
    </row>
    <row r="5809">
      <c r="A5809" s="4">
        <v>351.0</v>
      </c>
      <c r="B5809" s="4" t="s">
        <v>13990</v>
      </c>
      <c r="C5809" s="4"/>
      <c r="D5809" s="4" t="s">
        <v>12513</v>
      </c>
      <c r="E5809" s="4" t="s">
        <v>12514</v>
      </c>
      <c r="F5809" s="4" t="s">
        <v>4724</v>
      </c>
      <c r="G5809" s="5" t="str">
        <f>IFERROR(__xludf.DUMMYFUNCTION("GOOGLETRANSLATE(D5809,""fr"",""es"")"),"atar")</f>
        <v>atar</v>
      </c>
    </row>
    <row r="5810">
      <c r="A5810" s="4">
        <v>352.0</v>
      </c>
      <c r="B5810" s="4" t="s">
        <v>13990</v>
      </c>
      <c r="C5810" s="4"/>
      <c r="D5810" s="4" t="s">
        <v>12515</v>
      </c>
      <c r="E5810" s="4" t="s">
        <v>12514</v>
      </c>
      <c r="F5810" s="4" t="s">
        <v>4724</v>
      </c>
      <c r="G5810" s="5" t="str">
        <f>IFERROR(__xludf.DUMMYFUNCTION("GOOGLETRANSLATE(D5810,""fr"",""es"")"),"lapent")</f>
        <v>lapent</v>
      </c>
    </row>
    <row r="5811">
      <c r="A5811" s="4">
        <v>353.0</v>
      </c>
      <c r="B5811" s="4" t="s">
        <v>13990</v>
      </c>
      <c r="C5811" s="4"/>
      <c r="D5811" s="4" t="s">
        <v>12516</v>
      </c>
      <c r="E5811" s="4" t="s">
        <v>12514</v>
      </c>
      <c r="F5811" s="4" t="s">
        <v>4724</v>
      </c>
      <c r="G5811" s="5" t="str">
        <f>IFERROR(__xludf.DUMMYFUNCTION("GOOGLETRANSLATE(D5811,""fr"",""es"")"),"lapas")</f>
        <v>lapas</v>
      </c>
    </row>
    <row r="5812">
      <c r="A5812" s="4">
        <v>354.0</v>
      </c>
      <c r="B5812" s="4" t="s">
        <v>13990</v>
      </c>
      <c r="C5812" s="4"/>
      <c r="D5812" s="4" t="s">
        <v>12517</v>
      </c>
      <c r="E5812" s="4" t="s">
        <v>12518</v>
      </c>
      <c r="F5812" s="4" t="s">
        <v>9976</v>
      </c>
      <c r="G5812" s="5" t="str">
        <f>IFERROR(__xludf.DUMMYFUNCTION("GOOGLETRANSLATE(D5812,""fr"",""es"")"),"Conejo")</f>
        <v>Conejo</v>
      </c>
      <c r="H5812" s="4" t="s">
        <v>12519</v>
      </c>
    </row>
    <row r="5813">
      <c r="A5813" s="4">
        <v>355.0</v>
      </c>
      <c r="B5813" s="4" t="s">
        <v>13990</v>
      </c>
      <c r="C5813" s="4"/>
      <c r="D5813" s="4" t="s">
        <v>12520</v>
      </c>
      <c r="E5813" s="4" t="s">
        <v>12518</v>
      </c>
      <c r="F5813" s="4" t="s">
        <v>9976</v>
      </c>
      <c r="G5813" s="5" t="str">
        <f>IFERROR(__xludf.DUMMYFUNCTION("GOOGLETRANSLATE(D5813,""fr"",""es"")"),"conejos")</f>
        <v>conejos</v>
      </c>
    </row>
    <row r="5814">
      <c r="A5814" s="4">
        <v>356.0</v>
      </c>
      <c r="B5814" s="4" t="s">
        <v>13990</v>
      </c>
      <c r="C5814" s="4"/>
      <c r="D5814" s="4" t="s">
        <v>12521</v>
      </c>
      <c r="E5814" s="4" t="s">
        <v>12522</v>
      </c>
      <c r="F5814" s="4" t="s">
        <v>12523</v>
      </c>
      <c r="G5814" s="5" t="str">
        <f>IFERROR(__xludf.DUMMYFUNCTION("GOOGLETRANSLATE(D5814,""fr"",""es"")"),"lóbulo")</f>
        <v>lóbulo</v>
      </c>
    </row>
    <row r="5815">
      <c r="A5815" s="4">
        <v>357.0</v>
      </c>
      <c r="B5815" s="4" t="s">
        <v>13990</v>
      </c>
      <c r="C5815" s="4"/>
      <c r="D5815" s="4" t="s">
        <v>12524</v>
      </c>
      <c r="E5815" s="4" t="s">
        <v>12508</v>
      </c>
      <c r="F5815" s="4" t="s">
        <v>10257</v>
      </c>
      <c r="G5815" s="5" t="str">
        <f>IFERROR(__xludf.DUMMYFUNCTION("GOOGLETRANSLATE(D5815,""fr"",""es"")"),"estatón")</f>
        <v>estatón</v>
      </c>
    </row>
    <row r="5816">
      <c r="A5816" s="4">
        <v>358.0</v>
      </c>
      <c r="B5816" s="4" t="s">
        <v>13990</v>
      </c>
      <c r="C5816" s="4"/>
      <c r="D5816" s="4" t="s">
        <v>12525</v>
      </c>
      <c r="E5816" s="4" t="s">
        <v>4832</v>
      </c>
      <c r="F5816" s="4" t="s">
        <v>4831</v>
      </c>
      <c r="G5816" s="5" t="str">
        <f>IFERROR(__xludf.DUMMYFUNCTION("GOOGLETRANSLATE(D5816,""fr"",""es"")"),"barniz")</f>
        <v>barniz</v>
      </c>
      <c r="H5816" s="4" t="s">
        <v>10273</v>
      </c>
      <c r="I5816" s="4" t="s">
        <v>12526</v>
      </c>
      <c r="J5816" s="4" t="s">
        <v>12527</v>
      </c>
      <c r="K5816" s="4" t="s">
        <v>2091</v>
      </c>
      <c r="L5816" s="4" t="s">
        <v>6514</v>
      </c>
      <c r="M5816" s="4" t="s">
        <v>12528</v>
      </c>
    </row>
    <row r="5817">
      <c r="A5817" s="4">
        <v>359.0</v>
      </c>
      <c r="B5817" s="4" t="s">
        <v>13990</v>
      </c>
      <c r="C5817" s="4"/>
      <c r="D5817" s="4" t="s">
        <v>6517</v>
      </c>
      <c r="E5817" s="4" t="s">
        <v>12529</v>
      </c>
      <c r="F5817" s="4" t="s">
        <v>6517</v>
      </c>
      <c r="G5817" s="5" t="str">
        <f>IFERROR(__xludf.DUMMYFUNCTION("GOOGLETRANSLATE(D5817,""fr"",""es"")"),"el as")</f>
        <v>el as</v>
      </c>
    </row>
    <row r="5818">
      <c r="A5818" s="4">
        <v>360.0</v>
      </c>
      <c r="B5818" s="4" t="s">
        <v>13990</v>
      </c>
      <c r="C5818" s="4"/>
      <c r="D5818" s="4" t="s">
        <v>6517</v>
      </c>
      <c r="E5818" s="4" t="s">
        <v>4888</v>
      </c>
      <c r="F5818" s="4" t="s">
        <v>2015</v>
      </c>
      <c r="G5818" s="5" t="str">
        <f>IFERROR(__xludf.DUMMYFUNCTION("GOOGLETRANSLATE(D5818,""fr"",""es"")"),"el as")</f>
        <v>el as</v>
      </c>
    </row>
    <row r="5819">
      <c r="A5819" s="4">
        <v>361.0</v>
      </c>
      <c r="B5819" s="4" t="s">
        <v>13990</v>
      </c>
      <c r="C5819" s="4"/>
      <c r="D5819" s="4" t="s">
        <v>2028</v>
      </c>
      <c r="E5819" s="4" t="s">
        <v>2029</v>
      </c>
      <c r="F5819" s="4" t="s">
        <v>2030</v>
      </c>
      <c r="G5819" s="5" t="str">
        <f>IFERROR(__xludf.DUMMYFUNCTION("GOOGLETRANSLATE(D5819,""fr"",""es"")"),"lassa")</f>
        <v>lassa</v>
      </c>
    </row>
    <row r="5820">
      <c r="A5820" s="4">
        <v>362.0</v>
      </c>
      <c r="B5820" s="4" t="s">
        <v>13990</v>
      </c>
      <c r="C5820" s="4"/>
      <c r="D5820" s="4" t="s">
        <v>12530</v>
      </c>
      <c r="E5820" s="4" t="s">
        <v>12531</v>
      </c>
      <c r="F5820" s="4" t="s">
        <v>6589</v>
      </c>
      <c r="G5820" s="5" t="str">
        <f>IFERROR(__xludf.DUMMYFUNCTION("GOOGLETRANSLATE(D5820,""fr"",""es"")"),"latín")</f>
        <v>latín</v>
      </c>
    </row>
    <row r="5821">
      <c r="A5821" s="4">
        <v>363.0</v>
      </c>
      <c r="B5821" s="4" t="s">
        <v>13990</v>
      </c>
      <c r="C5821" s="4"/>
      <c r="D5821" s="4" t="s">
        <v>12532</v>
      </c>
      <c r="E5821" s="4" t="s">
        <v>12531</v>
      </c>
      <c r="F5821" s="4" t="s">
        <v>6589</v>
      </c>
      <c r="G5821" s="5" t="str">
        <f>IFERROR(__xludf.DUMMYFUNCTION("GOOGLETRANSLATE(D5821,""fr"",""es"")"),"latín")</f>
        <v>latín</v>
      </c>
    </row>
    <row r="5822">
      <c r="A5822" s="4">
        <v>364.0</v>
      </c>
      <c r="B5822" s="4" t="s">
        <v>13990</v>
      </c>
      <c r="C5822" s="4"/>
      <c r="D5822" s="4" t="s">
        <v>12533</v>
      </c>
      <c r="E5822" s="4" t="s">
        <v>12534</v>
      </c>
      <c r="F5822" s="4" t="s">
        <v>12535</v>
      </c>
      <c r="G5822" s="5" t="str">
        <f>IFERROR(__xludf.DUMMYFUNCTION("GOOGLETRANSLATE(D5822,""fr"",""es"")"),"lattis")</f>
        <v>lattis</v>
      </c>
    </row>
    <row r="5823">
      <c r="A5823" s="4">
        <v>365.0</v>
      </c>
      <c r="B5823" s="4" t="s">
        <v>13990</v>
      </c>
      <c r="C5823" s="4"/>
      <c r="D5823" s="4" t="s">
        <v>2037</v>
      </c>
      <c r="E5823" s="4" t="s">
        <v>2038</v>
      </c>
      <c r="F5823" s="4" t="s">
        <v>2037</v>
      </c>
      <c r="G5823" s="5" t="str">
        <f>IFERROR(__xludf.DUMMYFUNCTION("GOOGLETRANSLATE(D5823,""fr"",""es"")"),"li")</f>
        <v>li</v>
      </c>
      <c r="H5823" s="4" t="s">
        <v>2037</v>
      </c>
      <c r="I5823" s="4" t="s">
        <v>2085</v>
      </c>
      <c r="J5823" s="4" t="s">
        <v>2086</v>
      </c>
      <c r="K5823" s="4" t="s">
        <v>2087</v>
      </c>
    </row>
    <row r="5824">
      <c r="A5824" s="4">
        <v>366.0</v>
      </c>
      <c r="B5824" s="4" t="s">
        <v>13990</v>
      </c>
      <c r="C5824" s="4"/>
      <c r="D5824" s="4" t="s">
        <v>12536</v>
      </c>
      <c r="E5824" s="4" t="s">
        <v>12537</v>
      </c>
      <c r="F5824" s="4" t="s">
        <v>12538</v>
      </c>
      <c r="G5824" s="5" t="str">
        <f>IFERROR(__xludf.DUMMYFUNCTION("GOOGLETRANSLATE(D5824,""fr"",""es"")"),"pérdida")</f>
        <v>pérdida</v>
      </c>
    </row>
    <row r="5825">
      <c r="A5825" s="4">
        <v>367.0</v>
      </c>
      <c r="B5825" s="4" t="s">
        <v>13990</v>
      </c>
      <c r="C5825" s="4"/>
      <c r="D5825" s="4" t="s">
        <v>12539</v>
      </c>
      <c r="E5825" s="4" t="s">
        <v>12540</v>
      </c>
      <c r="F5825" s="4" t="s">
        <v>12541</v>
      </c>
      <c r="G5825" s="5" t="str">
        <f>IFERROR(__xludf.DUMMYFUNCTION("GOOGLETRANSLATE(D5825,""fr"",""es"")"),"cabestro")</f>
        <v>cabestro</v>
      </c>
    </row>
    <row r="5826">
      <c r="A5826" s="4">
        <v>368.0</v>
      </c>
      <c r="B5826" s="4" t="s">
        <v>13990</v>
      </c>
      <c r="C5826" s="4"/>
      <c r="D5826" s="4" t="s">
        <v>12542</v>
      </c>
      <c r="E5826" s="4" t="s">
        <v>12543</v>
      </c>
      <c r="F5826" s="4" t="s">
        <v>12544</v>
      </c>
      <c r="G5826" s="5" t="str">
        <f>IFERROR(__xludf.DUMMYFUNCTION("GOOGLETRANSLATE(D5826,""fr"",""es"")"),"ligna")</f>
        <v>ligna</v>
      </c>
    </row>
    <row r="5827">
      <c r="A5827" s="4">
        <v>369.0</v>
      </c>
      <c r="B5827" s="4" t="s">
        <v>13990</v>
      </c>
      <c r="C5827" s="4"/>
      <c r="D5827" s="4" t="s">
        <v>12545</v>
      </c>
      <c r="E5827" s="4" t="s">
        <v>12546</v>
      </c>
      <c r="F5827" s="4" t="s">
        <v>12544</v>
      </c>
      <c r="G5827" s="5" t="str">
        <f>IFERROR(__xludf.DUMMYFUNCTION("GOOGLETRANSLATE(D5827,""fr"",""es"")"),"lignas")</f>
        <v>lignas</v>
      </c>
    </row>
    <row r="5828">
      <c r="A5828" s="4">
        <v>370.0</v>
      </c>
      <c r="B5828" s="4" t="s">
        <v>13990</v>
      </c>
      <c r="C5828" s="4"/>
      <c r="D5828" s="4" t="s">
        <v>12547</v>
      </c>
      <c r="E5828" s="4" t="s">
        <v>12548</v>
      </c>
      <c r="F5828" s="4" t="s">
        <v>12549</v>
      </c>
      <c r="G5828" s="5" t="str">
        <f>IFERROR(__xludf.DUMMYFUNCTION("GOOGLETRANSLATE(D5828,""fr"",""es"")"),"linaje")</f>
        <v>linaje</v>
      </c>
    </row>
    <row r="5829">
      <c r="A5829" s="4">
        <v>371.0</v>
      </c>
      <c r="B5829" s="4" t="s">
        <v>13990</v>
      </c>
      <c r="C5829" s="4"/>
      <c r="D5829" s="4" t="s">
        <v>12550</v>
      </c>
      <c r="E5829" s="4" t="s">
        <v>12548</v>
      </c>
      <c r="F5829" s="4" t="s">
        <v>12549</v>
      </c>
      <c r="G5829" s="5" t="str">
        <f>IFERROR(__xludf.DUMMYFUNCTION("GOOGLETRANSLATE(D5829,""fr"",""es"")"),"línea")</f>
        <v>línea</v>
      </c>
    </row>
    <row r="5830">
      <c r="A5830" s="4">
        <v>372.0</v>
      </c>
      <c r="B5830" s="4" t="s">
        <v>13990</v>
      </c>
      <c r="C5830" s="4"/>
      <c r="D5830" s="4" t="s">
        <v>12551</v>
      </c>
      <c r="E5830" s="4" t="s">
        <v>12548</v>
      </c>
      <c r="F5830" s="4" t="s">
        <v>12549</v>
      </c>
      <c r="G5830" s="5" t="str">
        <f>IFERROR(__xludf.DUMMYFUNCTION("GOOGLETRANSLATE(D5830,""fr"",""es"")"),"linaje")</f>
        <v>linaje</v>
      </c>
    </row>
    <row r="5831">
      <c r="A5831" s="4">
        <v>373.0</v>
      </c>
      <c r="B5831" s="4" t="s">
        <v>13990</v>
      </c>
      <c r="C5831" s="4"/>
      <c r="D5831" s="4" t="s">
        <v>12552</v>
      </c>
      <c r="E5831" s="4" t="s">
        <v>12553</v>
      </c>
      <c r="F5831" s="4" t="s">
        <v>12554</v>
      </c>
      <c r="G5831" s="5" t="str">
        <f>IFERROR(__xludf.DUMMYFUNCTION("GOOGLETRANSLATE(D5831,""fr"",""es"")"),"línea")</f>
        <v>línea</v>
      </c>
      <c r="H5831" s="4" t="s">
        <v>1681</v>
      </c>
      <c r="I5831" s="4" t="s">
        <v>1681</v>
      </c>
      <c r="J5831" s="4" t="s">
        <v>1681</v>
      </c>
      <c r="K5831" s="4" t="s">
        <v>12555</v>
      </c>
      <c r="L5831" s="4" t="s">
        <v>12556</v>
      </c>
      <c r="M5831" s="4" t="s">
        <v>12557</v>
      </c>
      <c r="N5831" s="4" t="s">
        <v>12558</v>
      </c>
      <c r="O5831" s="4" t="s">
        <v>9226</v>
      </c>
      <c r="P5831" s="4" t="s">
        <v>12559</v>
      </c>
      <c r="Q5831" s="4" t="s">
        <v>12560</v>
      </c>
      <c r="R5831" s="4" t="s">
        <v>12561</v>
      </c>
      <c r="S5831" s="4" t="s">
        <v>12562</v>
      </c>
      <c r="T5831" s="4" t="s">
        <v>1681</v>
      </c>
      <c r="U5831" s="4" t="s">
        <v>10059</v>
      </c>
      <c r="V5831" s="4" t="s">
        <v>1681</v>
      </c>
      <c r="W5831" s="4" t="s">
        <v>12563</v>
      </c>
      <c r="X5831" s="4" t="s">
        <v>12564</v>
      </c>
      <c r="Y5831" s="4" t="s">
        <v>12565</v>
      </c>
      <c r="Z5831" s="4" t="s">
        <v>1136</v>
      </c>
      <c r="AA5831" s="4" t="s">
        <v>12566</v>
      </c>
      <c r="AB5831" s="4" t="s">
        <v>1681</v>
      </c>
      <c r="AC5831" s="4" t="s">
        <v>9186</v>
      </c>
      <c r="AD5831" s="4" t="s">
        <v>9187</v>
      </c>
      <c r="AE5831" s="4" t="s">
        <v>1209</v>
      </c>
      <c r="AF5831" s="4" t="s">
        <v>1681</v>
      </c>
      <c r="AG5831" s="4" t="s">
        <v>1681</v>
      </c>
      <c r="AH5831" s="4" t="s">
        <v>1681</v>
      </c>
      <c r="AI5831" s="4" t="s">
        <v>1681</v>
      </c>
      <c r="AJ5831" s="4" t="s">
        <v>10059</v>
      </c>
      <c r="AK5831" s="4" t="s">
        <v>10059</v>
      </c>
      <c r="AL5831" s="4" t="s">
        <v>12567</v>
      </c>
      <c r="AM5831" s="4" t="s">
        <v>1681</v>
      </c>
      <c r="AN5831" s="4" t="s">
        <v>1681</v>
      </c>
      <c r="AO5831" s="4" t="s">
        <v>1681</v>
      </c>
      <c r="AP5831" s="4" t="s">
        <v>3618</v>
      </c>
      <c r="AQ5831" s="4" t="s">
        <v>10059</v>
      </c>
      <c r="AR5831" s="4" t="s">
        <v>12568</v>
      </c>
      <c r="AS5831" s="4" t="s">
        <v>12569</v>
      </c>
      <c r="AT5831" s="4" t="s">
        <v>12570</v>
      </c>
      <c r="AU5831" s="4" t="s">
        <v>1681</v>
      </c>
      <c r="AV5831" s="4" t="s">
        <v>12571</v>
      </c>
      <c r="AW5831" s="4" t="s">
        <v>12572</v>
      </c>
      <c r="AX5831" s="4" t="s">
        <v>12552</v>
      </c>
      <c r="AY5831" s="4" t="s">
        <v>12573</v>
      </c>
      <c r="AZ5831" s="4" t="s">
        <v>1681</v>
      </c>
      <c r="BA5831" s="4" t="s">
        <v>1681</v>
      </c>
      <c r="BB5831" s="4" t="s">
        <v>12574</v>
      </c>
      <c r="BC5831" s="4" t="s">
        <v>12575</v>
      </c>
      <c r="BD5831" s="4" t="s">
        <v>12576</v>
      </c>
      <c r="BE5831" s="4" t="s">
        <v>12577</v>
      </c>
      <c r="BF5831" s="4" t="s">
        <v>12578</v>
      </c>
      <c r="BG5831" s="4" t="s">
        <v>12579</v>
      </c>
      <c r="BH5831" s="4" t="s">
        <v>1681</v>
      </c>
      <c r="BI5831" s="4" t="s">
        <v>1209</v>
      </c>
    </row>
    <row r="5832">
      <c r="A5832" s="4">
        <v>374.0</v>
      </c>
      <c r="B5832" s="4" t="s">
        <v>13990</v>
      </c>
      <c r="C5832" s="4"/>
      <c r="D5832" s="4" t="s">
        <v>12580</v>
      </c>
      <c r="E5832" s="4" t="s">
        <v>12553</v>
      </c>
      <c r="F5832" s="4" t="s">
        <v>12554</v>
      </c>
      <c r="G5832" s="5" t="str">
        <f>IFERROR(__xludf.DUMMYFUNCTION("GOOGLETRANSLATE(D5832,""fr"",""es"")"),"línea")</f>
        <v>línea</v>
      </c>
    </row>
    <row r="5833">
      <c r="A5833" s="4">
        <v>375.0</v>
      </c>
      <c r="B5833" s="4" t="s">
        <v>13990</v>
      </c>
      <c r="C5833" s="4"/>
      <c r="D5833" s="4" t="s">
        <v>12581</v>
      </c>
      <c r="E5833" s="4" t="s">
        <v>12582</v>
      </c>
      <c r="F5833" s="4" t="s">
        <v>12583</v>
      </c>
      <c r="G5833" s="5" t="str">
        <f>IFERROR(__xludf.DUMMYFUNCTION("GOOGLETRANSLATE(D5833,""fr"",""es"")"),"lignante")</f>
        <v>lignante</v>
      </c>
    </row>
    <row r="5834">
      <c r="A5834" s="4">
        <v>376.0</v>
      </c>
      <c r="B5834" s="4" t="s">
        <v>13990</v>
      </c>
      <c r="C5834" s="4"/>
      <c r="D5834" s="4" t="s">
        <v>12584</v>
      </c>
      <c r="E5834" s="4" t="s">
        <v>12546</v>
      </c>
      <c r="F5834" s="4" t="s">
        <v>12544</v>
      </c>
      <c r="G5834" s="5" t="str">
        <f>IFERROR(__xludf.DUMMYFUNCTION("GOOGLETRANSLATE(D5834,""fr"",""es"")"),"lign")</f>
        <v>lign</v>
      </c>
    </row>
    <row r="5835">
      <c r="A5835" s="4">
        <v>377.0</v>
      </c>
      <c r="B5835" s="4" t="s">
        <v>13990</v>
      </c>
      <c r="C5835" s="4"/>
      <c r="D5835" s="4" t="s">
        <v>2048</v>
      </c>
      <c r="E5835" s="4" t="s">
        <v>12585</v>
      </c>
      <c r="F5835" s="4" t="s">
        <v>12586</v>
      </c>
      <c r="G5835" s="5" t="str">
        <f>IFERROR(__xludf.DUMMYFUNCTION("GOOGLETRANSLATE(D5835,""fr"",""es"")"),"lila")</f>
        <v>lila</v>
      </c>
    </row>
    <row r="5836">
      <c r="A5836" s="4">
        <v>378.0</v>
      </c>
      <c r="B5836" s="4" t="s">
        <v>13990</v>
      </c>
      <c r="C5836" s="4"/>
      <c r="D5836" s="4" t="s">
        <v>12587</v>
      </c>
      <c r="E5836" s="4" t="s">
        <v>2046</v>
      </c>
      <c r="F5836" s="4" t="s">
        <v>2045</v>
      </c>
      <c r="G5836" s="5" t="str">
        <f>IFERROR(__xludf.DUMMYFUNCTION("GOOGLETRANSLATE(D5836,""fr"",""es"")"),"lila")</f>
        <v>lila</v>
      </c>
      <c r="H5836" s="4" t="s">
        <v>2047</v>
      </c>
      <c r="I5836" s="4" t="s">
        <v>2048</v>
      </c>
      <c r="J5836" s="4" t="s">
        <v>2049</v>
      </c>
      <c r="K5836" s="4" t="s">
        <v>2048</v>
      </c>
    </row>
    <row r="5837">
      <c r="A5837" s="4">
        <v>379.0</v>
      </c>
      <c r="B5837" s="4" t="s">
        <v>13990</v>
      </c>
      <c r="C5837" s="4"/>
      <c r="D5837" s="4" t="s">
        <v>12587</v>
      </c>
      <c r="E5837" s="4" t="s">
        <v>12588</v>
      </c>
      <c r="F5837" s="4" t="s">
        <v>2045</v>
      </c>
      <c r="G5837" s="5" t="str">
        <f>IFERROR(__xludf.DUMMYFUNCTION("GOOGLETRANSLATE(D5837,""fr"",""es"")"),"lila")</f>
        <v>lila</v>
      </c>
      <c r="H5837" s="4" t="s">
        <v>2047</v>
      </c>
      <c r="I5837" s="4" t="s">
        <v>2048</v>
      </c>
      <c r="J5837" s="4" t="s">
        <v>2049</v>
      </c>
      <c r="K5837" s="4" t="s">
        <v>2048</v>
      </c>
    </row>
    <row r="5838">
      <c r="A5838" s="4">
        <v>380.0</v>
      </c>
      <c r="B5838" s="4" t="s">
        <v>13990</v>
      </c>
      <c r="C5838" s="4"/>
      <c r="D5838" s="4" t="s">
        <v>8439</v>
      </c>
      <c r="E5838" s="4" t="s">
        <v>8440</v>
      </c>
      <c r="F5838" s="4" t="s">
        <v>6615</v>
      </c>
      <c r="G5838" s="5" t="str">
        <f>IFERROR(__xludf.DUMMYFUNCTION("GOOGLETRANSLATE(D5838,""fr"",""es"")"),"Lille")</f>
        <v>Lille</v>
      </c>
      <c r="H5838" s="4" t="s">
        <v>8441</v>
      </c>
    </row>
    <row r="5839">
      <c r="A5839" s="4">
        <v>381.0</v>
      </c>
      <c r="B5839" s="4" t="s">
        <v>13990</v>
      </c>
      <c r="C5839" s="4"/>
      <c r="D5839" s="4" t="s">
        <v>10313</v>
      </c>
      <c r="E5839" s="4" t="s">
        <v>12589</v>
      </c>
      <c r="F5839" s="4" t="s">
        <v>10313</v>
      </c>
      <c r="G5839" s="5" t="str">
        <f>IFERROR(__xludf.DUMMYFUNCTION("GOOGLETRANSLATE(D5839,""fr"",""es"")"),"lima")</f>
        <v>lima</v>
      </c>
      <c r="H5839" s="4" t="s">
        <v>10319</v>
      </c>
      <c r="I5839" s="4" t="s">
        <v>10320</v>
      </c>
    </row>
    <row r="5840">
      <c r="A5840" s="4">
        <v>382.0</v>
      </c>
      <c r="B5840" s="4" t="s">
        <v>13990</v>
      </c>
      <c r="C5840" s="4"/>
      <c r="D5840" s="4" t="s">
        <v>12590</v>
      </c>
      <c r="E5840" s="4" t="s">
        <v>12591</v>
      </c>
      <c r="F5840" s="4" t="s">
        <v>12592</v>
      </c>
      <c r="G5840" s="5" t="str">
        <f>IFERROR(__xludf.DUMMYFUNCTION("GOOGLETRANSLATE(D5840,""fr"",""es"")"),"babosa")</f>
        <v>babosa</v>
      </c>
      <c r="H5840" s="4" t="s">
        <v>2170</v>
      </c>
      <c r="I5840" s="4" t="s">
        <v>12593</v>
      </c>
      <c r="J5840" s="4" t="s">
        <v>12594</v>
      </c>
      <c r="K5840" s="4" t="s">
        <v>12595</v>
      </c>
      <c r="L5840" s="4" t="s">
        <v>12596</v>
      </c>
      <c r="M5840" s="4" t="s">
        <v>2170</v>
      </c>
      <c r="N5840" s="4" t="s">
        <v>12597</v>
      </c>
      <c r="O5840" s="4" t="s">
        <v>12598</v>
      </c>
      <c r="P5840" s="4" t="s">
        <v>2170</v>
      </c>
      <c r="Q5840" s="4" t="s">
        <v>2170</v>
      </c>
    </row>
    <row r="5841">
      <c r="A5841" s="4">
        <v>383.0</v>
      </c>
      <c r="B5841" s="4" t="s">
        <v>13990</v>
      </c>
      <c r="C5841" s="4"/>
      <c r="D5841" s="4" t="s">
        <v>12599</v>
      </c>
      <c r="E5841" s="4" t="s">
        <v>12600</v>
      </c>
      <c r="F5841" s="4" t="s">
        <v>12601</v>
      </c>
      <c r="G5841" s="5" t="str">
        <f>IFERROR(__xludf.DUMMYFUNCTION("GOOGLETRANSLATE(D5841,""fr"",""es"")"),"presentación")</f>
        <v>presentación</v>
      </c>
    </row>
    <row r="5842">
      <c r="A5842" s="4">
        <v>384.0</v>
      </c>
      <c r="B5842" s="4" t="s">
        <v>13990</v>
      </c>
      <c r="C5842" s="4"/>
      <c r="D5842" s="4" t="s">
        <v>2166</v>
      </c>
      <c r="E5842" s="4" t="s">
        <v>12602</v>
      </c>
      <c r="F5842" s="4" t="s">
        <v>6623</v>
      </c>
      <c r="G5842" s="5" t="str">
        <f>IFERROR(__xludf.DUMMYFUNCTION("GOOGLETRANSLATE(D5842,""fr"",""es"")"),"Lima")</f>
        <v>Lima</v>
      </c>
    </row>
    <row r="5843">
      <c r="A5843" s="4">
        <v>385.0</v>
      </c>
      <c r="B5843" s="4" t="s">
        <v>13990</v>
      </c>
      <c r="C5843" s="4"/>
      <c r="D5843" s="4" t="s">
        <v>12603</v>
      </c>
      <c r="E5843" s="4" t="s">
        <v>12602</v>
      </c>
      <c r="F5843" s="4" t="s">
        <v>6623</v>
      </c>
      <c r="G5843" s="5" t="str">
        <f>IFERROR(__xludf.DUMMYFUNCTION("GOOGLETRANSLATE(D5843,""fr"",""es"")"),"limas")</f>
        <v>limas</v>
      </c>
    </row>
    <row r="5844">
      <c r="A5844" s="4">
        <v>386.0</v>
      </c>
      <c r="B5844" s="4" t="s">
        <v>13990</v>
      </c>
      <c r="C5844" s="4"/>
      <c r="D5844" s="4" t="s">
        <v>12604</v>
      </c>
      <c r="E5844" s="4" t="s">
        <v>12605</v>
      </c>
      <c r="F5844" s="4" t="s">
        <v>6650</v>
      </c>
      <c r="G5844" s="5" t="str">
        <f>IFERROR(__xludf.DUMMYFUNCTION("GOOGLETRANSLATE(D5844,""fr"",""es"")"),"lippe")</f>
        <v>lippe</v>
      </c>
    </row>
    <row r="5845">
      <c r="A5845" s="4">
        <v>387.0</v>
      </c>
      <c r="B5845" s="4" t="s">
        <v>13990</v>
      </c>
      <c r="C5845" s="4"/>
      <c r="D5845" s="4" t="s">
        <v>12538</v>
      </c>
      <c r="E5845" s="4" t="s">
        <v>2038</v>
      </c>
      <c r="F5845" s="4" t="s">
        <v>2037</v>
      </c>
      <c r="G5845" s="5" t="str">
        <f>IFERROR(__xludf.DUMMYFUNCTION("GOOGLETRANSLATE(D5845,""fr"",""es"")"),"Lirio")</f>
        <v>Lirio</v>
      </c>
      <c r="H5845" s="4" t="s">
        <v>12606</v>
      </c>
      <c r="I5845" s="4" t="s">
        <v>12607</v>
      </c>
      <c r="J5845" s="4" t="s">
        <v>6618</v>
      </c>
    </row>
    <row r="5846">
      <c r="A5846" s="4">
        <v>388.0</v>
      </c>
      <c r="B5846" s="4" t="s">
        <v>13990</v>
      </c>
      <c r="C5846" s="4"/>
      <c r="D5846" s="4" t="s">
        <v>12538</v>
      </c>
      <c r="E5846" s="4" t="s">
        <v>12537</v>
      </c>
      <c r="F5846" s="4" t="s">
        <v>12538</v>
      </c>
      <c r="G5846" s="5" t="str">
        <f>IFERROR(__xludf.DUMMYFUNCTION("GOOGLETRANSLATE(D5846,""fr"",""es"")"),"Lirio")</f>
        <v>Lirio</v>
      </c>
      <c r="H5846" s="4" t="s">
        <v>12606</v>
      </c>
      <c r="I5846" s="4" t="s">
        <v>12607</v>
      </c>
      <c r="J5846" s="4" t="s">
        <v>6618</v>
      </c>
    </row>
    <row r="5847">
      <c r="A5847" s="4">
        <v>389.0</v>
      </c>
      <c r="B5847" s="4" t="s">
        <v>13990</v>
      </c>
      <c r="C5847" s="4"/>
      <c r="D5847" s="4" t="s">
        <v>12608</v>
      </c>
      <c r="E5847" s="4" t="s">
        <v>12537</v>
      </c>
      <c r="F5847" s="4" t="s">
        <v>12538</v>
      </c>
      <c r="G5847" s="5" t="str">
        <f>IFERROR(__xludf.DUMMYFUNCTION("GOOGLETRANSLATE(D5847,""fr"",""es"")"),"suave")</f>
        <v>suave</v>
      </c>
      <c r="H5847" s="4" t="s">
        <v>2185</v>
      </c>
      <c r="I5847" s="4" t="s">
        <v>3625</v>
      </c>
      <c r="J5847" s="4" t="s">
        <v>12609</v>
      </c>
      <c r="K5847" s="4" t="s">
        <v>3625</v>
      </c>
      <c r="L5847" s="4" t="s">
        <v>12610</v>
      </c>
      <c r="M5847" s="4" t="s">
        <v>12611</v>
      </c>
      <c r="N5847" s="4" t="s">
        <v>12612</v>
      </c>
      <c r="O5847" s="4" t="s">
        <v>12613</v>
      </c>
      <c r="P5847" s="4" t="s">
        <v>12614</v>
      </c>
      <c r="Q5847" s="4" t="s">
        <v>3625</v>
      </c>
      <c r="R5847" s="4" t="s">
        <v>3625</v>
      </c>
      <c r="S5847" s="4" t="s">
        <v>3625</v>
      </c>
      <c r="T5847" s="4" t="s">
        <v>3625</v>
      </c>
      <c r="U5847" s="4" t="s">
        <v>3625</v>
      </c>
      <c r="V5847" s="4" t="s">
        <v>3625</v>
      </c>
      <c r="W5847" s="4" t="s">
        <v>12615</v>
      </c>
    </row>
    <row r="5848">
      <c r="A5848" s="4">
        <v>390.0</v>
      </c>
      <c r="B5848" s="4" t="s">
        <v>13990</v>
      </c>
      <c r="C5848" s="4"/>
      <c r="D5848" s="4" t="s">
        <v>12616</v>
      </c>
      <c r="E5848" s="4" t="s">
        <v>12537</v>
      </c>
      <c r="F5848" s="4" t="s">
        <v>12538</v>
      </c>
      <c r="G5848" s="5" t="str">
        <f>IFERROR(__xludf.DUMMYFUNCTION("GOOGLETRANSLATE(D5848,""fr"",""es"")"),"suave")</f>
        <v>suave</v>
      </c>
    </row>
    <row r="5849">
      <c r="A5849" s="4">
        <v>391.0</v>
      </c>
      <c r="B5849" s="4" t="s">
        <v>13990</v>
      </c>
      <c r="C5849" s="4"/>
      <c r="D5849" s="4" t="s">
        <v>12617</v>
      </c>
      <c r="E5849" s="4" t="s">
        <v>2038</v>
      </c>
      <c r="F5849" s="4" t="s">
        <v>2037</v>
      </c>
      <c r="G5849" s="5" t="str">
        <f>IFERROR(__xludf.DUMMYFUNCTION("GOOGLETRANSLATE(D5849,""fr"",""es"")"),"cama")</f>
        <v>cama</v>
      </c>
      <c r="H5849" s="4" t="s">
        <v>12618</v>
      </c>
      <c r="I5849" s="4" t="s">
        <v>12619</v>
      </c>
      <c r="J5849" s="4" t="s">
        <v>1241</v>
      </c>
      <c r="K5849" s="4" t="s">
        <v>12620</v>
      </c>
      <c r="L5849" s="4" t="s">
        <v>12621</v>
      </c>
      <c r="M5849" s="4" t="s">
        <v>12622</v>
      </c>
      <c r="N5849" s="4" t="s">
        <v>12623</v>
      </c>
      <c r="O5849" s="4" t="s">
        <v>12624</v>
      </c>
      <c r="P5849" s="4" t="s">
        <v>12625</v>
      </c>
      <c r="Q5849" s="4" t="s">
        <v>12626</v>
      </c>
      <c r="R5849" s="4" t="s">
        <v>1241</v>
      </c>
      <c r="S5849" s="4" t="s">
        <v>1241</v>
      </c>
      <c r="T5849" s="4" t="s">
        <v>1241</v>
      </c>
      <c r="U5849" s="4" t="s">
        <v>1241</v>
      </c>
      <c r="V5849" s="4" t="s">
        <v>1241</v>
      </c>
      <c r="W5849" s="4" t="s">
        <v>1241</v>
      </c>
      <c r="X5849" s="4" t="s">
        <v>1241</v>
      </c>
      <c r="Y5849" s="4" t="s">
        <v>1061</v>
      </c>
      <c r="Z5849" s="4" t="s">
        <v>10059</v>
      </c>
      <c r="AA5849" s="4" t="s">
        <v>1237</v>
      </c>
      <c r="AB5849" s="4" t="s">
        <v>1241</v>
      </c>
      <c r="AC5849" s="4" t="s">
        <v>12579</v>
      </c>
      <c r="AD5849" s="4" t="s">
        <v>1241</v>
      </c>
      <c r="AE5849" s="4" t="s">
        <v>1241</v>
      </c>
      <c r="AF5849" s="4" t="s">
        <v>1623</v>
      </c>
      <c r="AG5849" s="4" t="s">
        <v>1241</v>
      </c>
    </row>
    <row r="5850">
      <c r="A5850" s="4">
        <v>392.0</v>
      </c>
      <c r="B5850" s="4" t="s">
        <v>13990</v>
      </c>
      <c r="C5850" s="4"/>
      <c r="D5850" s="4" t="s">
        <v>12627</v>
      </c>
      <c r="E5850" s="4" t="s">
        <v>12628</v>
      </c>
      <c r="F5850" s="4" t="s">
        <v>12629</v>
      </c>
      <c r="G5850" s="5" t="str">
        <f>IFERROR(__xludf.DUMMYFUNCTION("GOOGLETRANSLATE(D5850,""fr"",""es"")"),"letanía")</f>
        <v>letanía</v>
      </c>
      <c r="H5850" s="4" t="s">
        <v>12630</v>
      </c>
      <c r="I5850" s="4" t="s">
        <v>12631</v>
      </c>
    </row>
    <row r="5851">
      <c r="A5851" s="4">
        <v>393.0</v>
      </c>
      <c r="B5851" s="4" t="s">
        <v>13990</v>
      </c>
      <c r="C5851" s="4"/>
      <c r="D5851" s="4" t="s">
        <v>12632</v>
      </c>
      <c r="E5851" s="4" t="s">
        <v>12633</v>
      </c>
      <c r="F5851" s="4" t="s">
        <v>6671</v>
      </c>
      <c r="G5851" s="5" t="str">
        <f>IFERROR(__xludf.DUMMYFUNCTION("GOOGLETRANSLATE(D5851,""fr"",""es"")"),"bocina")</f>
        <v>bocina</v>
      </c>
    </row>
    <row r="5852">
      <c r="A5852" s="4">
        <v>394.0</v>
      </c>
      <c r="B5852" s="4" t="s">
        <v>13990</v>
      </c>
      <c r="C5852" s="4"/>
      <c r="D5852" s="4" t="s">
        <v>6669</v>
      </c>
      <c r="E5852" s="4" t="s">
        <v>12633</v>
      </c>
      <c r="F5852" s="4" t="s">
        <v>6671</v>
      </c>
      <c r="G5852" s="5" t="str">
        <f>IFERROR(__xludf.DUMMYFUNCTION("GOOGLETRANSLATE(D5852,""fr"",""es"")"),"Mira")</f>
        <v>Mira</v>
      </c>
    </row>
    <row r="5853">
      <c r="A5853" s="4">
        <v>395.0</v>
      </c>
      <c r="B5853" s="4" t="s">
        <v>13990</v>
      </c>
      <c r="C5853" s="4"/>
      <c r="D5853" s="4" t="s">
        <v>12634</v>
      </c>
      <c r="E5853" s="4" t="s">
        <v>2240</v>
      </c>
      <c r="F5853" s="4" t="s">
        <v>2241</v>
      </c>
      <c r="G5853" s="5" t="str">
        <f>IFERROR(__xludf.DUMMYFUNCTION("GOOGLETRANSLATE(D5853,""fr"",""es"")"),"Lou")</f>
        <v>Lou</v>
      </c>
    </row>
    <row r="5854">
      <c r="A5854" s="4">
        <v>396.0</v>
      </c>
      <c r="B5854" s="4" t="s">
        <v>13990</v>
      </c>
      <c r="C5854" s="4"/>
      <c r="D5854" s="4" t="s">
        <v>8495</v>
      </c>
      <c r="E5854" s="4" t="s">
        <v>8496</v>
      </c>
      <c r="F5854" s="4" t="s">
        <v>8497</v>
      </c>
      <c r="G5854" s="5" t="str">
        <f>IFERROR(__xludf.DUMMYFUNCTION("GOOGLETRANSLATE(D5854,""fr"",""es"")"),"sospechoso")</f>
        <v>sospechoso</v>
      </c>
      <c r="H5854" s="4" t="s">
        <v>5205</v>
      </c>
      <c r="I5854" s="4" t="s">
        <v>4886</v>
      </c>
      <c r="J5854" s="4" t="s">
        <v>12635</v>
      </c>
      <c r="K5854" s="4" t="s">
        <v>5205</v>
      </c>
      <c r="L5854" s="4" t="s">
        <v>12636</v>
      </c>
      <c r="M5854" s="4" t="s">
        <v>8181</v>
      </c>
      <c r="N5854" s="4" t="s">
        <v>8498</v>
      </c>
      <c r="O5854" s="4" t="s">
        <v>12637</v>
      </c>
      <c r="P5854" s="4" t="s">
        <v>12638</v>
      </c>
      <c r="Q5854" s="4" t="s">
        <v>12639</v>
      </c>
      <c r="R5854" s="4" t="s">
        <v>12640</v>
      </c>
      <c r="S5854" s="4" t="s">
        <v>7877</v>
      </c>
      <c r="T5854" s="4" t="s">
        <v>12641</v>
      </c>
      <c r="U5854" s="4" t="s">
        <v>12642</v>
      </c>
      <c r="V5854" s="4" t="s">
        <v>5205</v>
      </c>
    </row>
    <row r="5855">
      <c r="A5855" s="4">
        <v>397.0</v>
      </c>
      <c r="B5855" s="4" t="s">
        <v>13990</v>
      </c>
      <c r="C5855" s="4"/>
      <c r="D5855" s="4" t="s">
        <v>12643</v>
      </c>
      <c r="E5855" s="4" t="s">
        <v>2240</v>
      </c>
      <c r="F5855" s="4" t="s">
        <v>2241</v>
      </c>
      <c r="G5855" s="5" t="str">
        <f>IFERROR(__xludf.DUMMYFUNCTION("GOOGLETRANSLATE(D5855,""fr"",""es"")"),"alquilado")</f>
        <v>alquilado</v>
      </c>
    </row>
    <row r="5856">
      <c r="A5856" s="4">
        <v>398.0</v>
      </c>
      <c r="B5856" s="4" t="s">
        <v>13990</v>
      </c>
      <c r="C5856" s="4"/>
      <c r="D5856" s="4" t="s">
        <v>12644</v>
      </c>
      <c r="E5856" s="4" t="s">
        <v>12645</v>
      </c>
      <c r="F5856" s="4" t="s">
        <v>12646</v>
      </c>
      <c r="G5856" s="5" t="str">
        <f>IFERROR(__xludf.DUMMYFUNCTION("GOOGLETRANSLATE(D5856,""fr"",""es"")"),"Loukoum")</f>
        <v>Loukoum</v>
      </c>
      <c r="H5856" s="4" t="s">
        <v>12647</v>
      </c>
    </row>
    <row r="5857">
      <c r="A5857" s="4">
        <v>399.0</v>
      </c>
      <c r="B5857" s="4" t="s">
        <v>13990</v>
      </c>
      <c r="C5857" s="4"/>
      <c r="D5857" s="4" t="s">
        <v>12648</v>
      </c>
      <c r="E5857" s="4" t="s">
        <v>2240</v>
      </c>
      <c r="F5857" s="4" t="s">
        <v>2241</v>
      </c>
      <c r="G5857" s="5" t="str">
        <f>IFERROR(__xludf.DUMMYFUNCTION("GOOGLETRANSLATE(D5857,""fr"",""es"")"),"lobo")</f>
        <v>lobo</v>
      </c>
      <c r="H5857" s="4" t="s">
        <v>664</v>
      </c>
      <c r="I5857" s="4" t="s">
        <v>12649</v>
      </c>
      <c r="J5857" s="4" t="s">
        <v>664</v>
      </c>
      <c r="K5857" s="4" t="s">
        <v>12650</v>
      </c>
      <c r="L5857" s="4" t="s">
        <v>12651</v>
      </c>
      <c r="M5857" s="4" t="s">
        <v>12652</v>
      </c>
      <c r="N5857" s="4" t="s">
        <v>12653</v>
      </c>
      <c r="O5857" s="4" t="s">
        <v>11296</v>
      </c>
      <c r="P5857" s="4" t="s">
        <v>657</v>
      </c>
      <c r="Q5857" s="4" t="s">
        <v>664</v>
      </c>
      <c r="R5857" s="4" t="s">
        <v>665</v>
      </c>
      <c r="S5857" s="4" t="s">
        <v>658</v>
      </c>
      <c r="T5857" s="4" t="s">
        <v>666</v>
      </c>
      <c r="U5857" s="4" t="s">
        <v>664</v>
      </c>
      <c r="V5857" s="4" t="s">
        <v>12654</v>
      </c>
      <c r="W5857" s="4" t="s">
        <v>12655</v>
      </c>
      <c r="X5857" s="4" t="s">
        <v>12656</v>
      </c>
      <c r="Y5857" s="4" t="s">
        <v>2256</v>
      </c>
    </row>
    <row r="5858">
      <c r="A5858" s="4">
        <v>400.0</v>
      </c>
      <c r="B5858" s="4" t="s">
        <v>13990</v>
      </c>
      <c r="C5858" s="4"/>
      <c r="D5858" s="4" t="s">
        <v>12657</v>
      </c>
      <c r="E5858" s="4" t="s">
        <v>12658</v>
      </c>
      <c r="F5858" s="4" t="s">
        <v>12659</v>
      </c>
      <c r="G5858" s="5" t="str">
        <f>IFERROR(__xludf.DUMMYFUNCTION("GOOGLETRANSLATE(D5858,""fr"",""es"")"),"lupa")</f>
        <v>lupa</v>
      </c>
      <c r="H5858" s="4" t="s">
        <v>2253</v>
      </c>
      <c r="I5858" s="4" t="s">
        <v>2254</v>
      </c>
      <c r="J5858" s="4" t="s">
        <v>2255</v>
      </c>
      <c r="K5858" s="4" t="s">
        <v>12657</v>
      </c>
      <c r="L5858" s="4" t="s">
        <v>12660</v>
      </c>
      <c r="M5858" s="4" t="s">
        <v>12661</v>
      </c>
      <c r="N5858" s="4" t="s">
        <v>12662</v>
      </c>
      <c r="O5858" s="4" t="s">
        <v>12663</v>
      </c>
      <c r="P5858" s="4" t="s">
        <v>12664</v>
      </c>
    </row>
    <row r="5859">
      <c r="A5859" s="4">
        <v>401.0</v>
      </c>
      <c r="B5859" s="4" t="s">
        <v>13990</v>
      </c>
      <c r="C5859" s="4"/>
      <c r="D5859" s="4" t="s">
        <v>12665</v>
      </c>
      <c r="E5859" s="4" t="s">
        <v>12537</v>
      </c>
      <c r="F5859" s="4" t="s">
        <v>12538</v>
      </c>
      <c r="G5859" s="5" t="str">
        <f>IFERROR(__xludf.DUMMYFUNCTION("GOOGLETRANSLATE(D5859,""fr"",""es"")"),"lirio")</f>
        <v>lirio</v>
      </c>
      <c r="H5859" s="4" t="s">
        <v>12606</v>
      </c>
      <c r="I5859" s="4" t="s">
        <v>12607</v>
      </c>
      <c r="J5859" s="4" t="s">
        <v>6618</v>
      </c>
    </row>
    <row r="5860">
      <c r="A5860" s="4">
        <v>402.0</v>
      </c>
      <c r="B5860" s="4" t="s">
        <v>13990</v>
      </c>
      <c r="C5860" s="4"/>
      <c r="D5860" s="4" t="s">
        <v>12666</v>
      </c>
      <c r="E5860" s="4" t="s">
        <v>2016</v>
      </c>
      <c r="F5860" s="4" t="s">
        <v>2015</v>
      </c>
      <c r="G5860" s="5" t="str">
        <f>IFERROR(__xludf.DUMMYFUNCTION("GOOGLETRANSLATE(D5860,""fr"",""es"")"),"la")</f>
        <v>la</v>
      </c>
      <c r="H5860" s="4" t="s">
        <v>12667</v>
      </c>
      <c r="I5860" s="4" t="s">
        <v>12668</v>
      </c>
      <c r="J5860" s="4" t="s">
        <v>12669</v>
      </c>
      <c r="K5860" s="4" t="s">
        <v>12670</v>
      </c>
      <c r="L5860" s="4" t="s">
        <v>12671</v>
      </c>
      <c r="M5860" s="4" t="s">
        <v>12672</v>
      </c>
      <c r="N5860" s="4" t="s">
        <v>12670</v>
      </c>
      <c r="O5860" s="4" t="s">
        <v>12673</v>
      </c>
      <c r="P5860" s="4" t="s">
        <v>12670</v>
      </c>
      <c r="Q5860" s="4" t="s">
        <v>12674</v>
      </c>
      <c r="R5860" s="4" t="s">
        <v>12675</v>
      </c>
      <c r="S5860" s="4" t="s">
        <v>12670</v>
      </c>
    </row>
    <row r="5861">
      <c r="A5861" s="4">
        <v>403.0</v>
      </c>
      <c r="B5861" s="4" t="s">
        <v>13990</v>
      </c>
      <c r="C5861" s="4"/>
      <c r="D5861" s="4" t="s">
        <v>12666</v>
      </c>
      <c r="E5861" s="4" t="s">
        <v>4888</v>
      </c>
      <c r="F5861" s="4" t="s">
        <v>2015</v>
      </c>
      <c r="G5861" s="5" t="str">
        <f>IFERROR(__xludf.DUMMYFUNCTION("GOOGLETRANSLATE(D5861,""fr"",""es"")"),"la")</f>
        <v>la</v>
      </c>
      <c r="H5861" s="4" t="s">
        <v>12667</v>
      </c>
      <c r="I5861" s="4" t="s">
        <v>12668</v>
      </c>
      <c r="J5861" s="4" t="s">
        <v>12669</v>
      </c>
      <c r="K5861" s="4" t="s">
        <v>12670</v>
      </c>
      <c r="L5861" s="4" t="s">
        <v>12671</v>
      </c>
      <c r="M5861" s="4" t="s">
        <v>12672</v>
      </c>
      <c r="N5861" s="4" t="s">
        <v>12670</v>
      </c>
      <c r="O5861" s="4" t="s">
        <v>12673</v>
      </c>
      <c r="P5861" s="4" t="s">
        <v>12670</v>
      </c>
      <c r="Q5861" s="4" t="s">
        <v>12674</v>
      </c>
      <c r="R5861" s="4" t="s">
        <v>12675</v>
      </c>
      <c r="S5861" s="4" t="s">
        <v>12670</v>
      </c>
    </row>
    <row r="5862">
      <c r="A5862" s="4">
        <v>404.0</v>
      </c>
      <c r="B5862" s="4" t="s">
        <v>13990</v>
      </c>
      <c r="C5862" s="4"/>
      <c r="D5862" s="4" t="s">
        <v>12676</v>
      </c>
      <c r="E5862" s="4" t="s">
        <v>12677</v>
      </c>
      <c r="F5862" s="4" t="s">
        <v>6520</v>
      </c>
      <c r="G5862" s="5" t="str">
        <f>IFERROR(__xludf.DUMMYFUNCTION("GOOGLETRANSLATE(D5862,""fr"",""es"")"),"cobardemente")</f>
        <v>cobardemente</v>
      </c>
      <c r="H5862" s="4" t="s">
        <v>12678</v>
      </c>
      <c r="I5862" s="4" t="s">
        <v>12679</v>
      </c>
      <c r="J5862" s="4" t="s">
        <v>12680</v>
      </c>
      <c r="K5862" s="4" t="s">
        <v>3654</v>
      </c>
      <c r="L5862" s="4" t="s">
        <v>3653</v>
      </c>
      <c r="M5862" s="4" t="s">
        <v>12681</v>
      </c>
      <c r="N5862" s="4" t="s">
        <v>1839</v>
      </c>
      <c r="O5862" s="4" t="s">
        <v>12682</v>
      </c>
      <c r="P5862" s="4" t="s">
        <v>12683</v>
      </c>
      <c r="Q5862" s="4" t="s">
        <v>12684</v>
      </c>
      <c r="R5862" s="4" t="s">
        <v>12685</v>
      </c>
      <c r="S5862" s="4" t="s">
        <v>12686</v>
      </c>
      <c r="T5862" s="4" t="s">
        <v>12687</v>
      </c>
      <c r="U5862" s="4" t="s">
        <v>12688</v>
      </c>
      <c r="V5862" s="4" t="s">
        <v>12689</v>
      </c>
      <c r="W5862" s="4" t="s">
        <v>12690</v>
      </c>
      <c r="X5862" s="4" t="s">
        <v>12691</v>
      </c>
      <c r="Y5862" s="4" t="s">
        <v>12692</v>
      </c>
    </row>
    <row r="5863">
      <c r="A5863" s="4">
        <v>405.0</v>
      </c>
      <c r="B5863" s="4" t="s">
        <v>13990</v>
      </c>
      <c r="C5863" s="4"/>
      <c r="D5863" s="4" t="s">
        <v>12693</v>
      </c>
      <c r="E5863" s="4" t="s">
        <v>12677</v>
      </c>
      <c r="F5863" s="4" t="s">
        <v>6520</v>
      </c>
      <c r="G5863" s="5" t="str">
        <f>IFERROR(__xludf.DUMMYFUNCTION("GOOGLETRANSLATE(D5863,""fr"",""es"")"),"cobardemente")</f>
        <v>cobardemente</v>
      </c>
    </row>
    <row r="5864">
      <c r="A5864" s="4">
        <v>406.0</v>
      </c>
      <c r="B5864" s="4" t="s">
        <v>13990</v>
      </c>
      <c r="C5864" s="4"/>
      <c r="D5864" s="4" t="s">
        <v>12694</v>
      </c>
      <c r="E5864" s="4" t="s">
        <v>10466</v>
      </c>
      <c r="F5864" s="4" t="s">
        <v>2278</v>
      </c>
      <c r="G5864" s="5" t="str">
        <f>IFERROR(__xludf.DUMMYFUNCTION("GOOGLETRANSLATE(D5864,""fr"",""es"")"),"Me tengo")</f>
        <v>Me tengo</v>
      </c>
    </row>
    <row r="5865">
      <c r="A5865" s="4">
        <v>407.0</v>
      </c>
      <c r="B5865" s="4" t="s">
        <v>13990</v>
      </c>
      <c r="C5865" s="4"/>
      <c r="D5865" s="4" t="s">
        <v>2278</v>
      </c>
      <c r="E5865" s="4" t="s">
        <v>2279</v>
      </c>
      <c r="F5865" s="4" t="s">
        <v>2278</v>
      </c>
      <c r="G5865" s="5" t="str">
        <f>IFERROR(__xludf.DUMMYFUNCTION("GOOGLETRANSLATE(D5865,""fr"",""es"")"),"mi")</f>
        <v>mi</v>
      </c>
      <c r="H5865" s="4" t="s">
        <v>10470</v>
      </c>
      <c r="I5865" s="4" t="s">
        <v>10471</v>
      </c>
    </row>
    <row r="5866">
      <c r="A5866" s="4">
        <v>408.0</v>
      </c>
      <c r="B5866" s="4" t="s">
        <v>13990</v>
      </c>
      <c r="C5866" s="4"/>
      <c r="D5866" s="4" t="s">
        <v>12695</v>
      </c>
      <c r="E5866" s="4" t="s">
        <v>12696</v>
      </c>
      <c r="F5866" s="4" t="s">
        <v>6701</v>
      </c>
      <c r="G5866" s="5" t="str">
        <f>IFERROR(__xludf.DUMMYFUNCTION("GOOGLETRANSLATE(D5866,""fr"",""es"")"),"ma'ame")</f>
        <v>ma'ame</v>
      </c>
    </row>
    <row r="5867">
      <c r="A5867" s="4">
        <v>409.0</v>
      </c>
      <c r="B5867" s="4" t="s">
        <v>13990</v>
      </c>
      <c r="C5867" s="4"/>
      <c r="D5867" s="4" t="s">
        <v>6706</v>
      </c>
      <c r="E5867" s="4" t="s">
        <v>2300</v>
      </c>
      <c r="F5867" s="4" t="s">
        <v>2301</v>
      </c>
      <c r="G5867" s="5" t="str">
        <f>IFERROR(__xludf.DUMMYFUNCTION("GOOGLETRANSLATE(D5867,""fr"",""es"")"),"Mac")</f>
        <v>Mac</v>
      </c>
    </row>
    <row r="5868">
      <c r="A5868" s="4">
        <v>410.0</v>
      </c>
      <c r="B5868" s="4" t="s">
        <v>13990</v>
      </c>
      <c r="C5868" s="4"/>
      <c r="D5868" s="4" t="s">
        <v>12697</v>
      </c>
      <c r="E5868" s="4" t="s">
        <v>12698</v>
      </c>
      <c r="F5868" s="4" t="s">
        <v>12699</v>
      </c>
      <c r="G5868" s="5" t="str">
        <f>IFERROR(__xludf.DUMMYFUNCTION("GOOGLETRANSLATE(D5868,""fr"",""es"")"),"macaco")</f>
        <v>macaco</v>
      </c>
      <c r="H5868" s="4" t="s">
        <v>12697</v>
      </c>
    </row>
    <row r="5869">
      <c r="A5869" s="4">
        <v>411.0</v>
      </c>
      <c r="B5869" s="4" t="s">
        <v>13990</v>
      </c>
      <c r="C5869" s="4"/>
      <c r="D5869" s="4" t="s">
        <v>12700</v>
      </c>
      <c r="E5869" s="4" t="s">
        <v>12701</v>
      </c>
      <c r="F5869" s="4" t="s">
        <v>12702</v>
      </c>
      <c r="G5869" s="5" t="str">
        <f>IFERROR(__xludf.DUMMYFUNCTION("GOOGLETRANSLATE(D5869,""fr"",""es"")"),"machina")</f>
        <v>machina</v>
      </c>
    </row>
    <row r="5870">
      <c r="A5870" s="4">
        <v>412.0</v>
      </c>
      <c r="B5870" s="4" t="s">
        <v>13990</v>
      </c>
      <c r="C5870" s="4"/>
      <c r="D5870" s="4" t="s">
        <v>12703</v>
      </c>
      <c r="E5870" s="4" t="s">
        <v>12704</v>
      </c>
      <c r="F5870" s="4" t="s">
        <v>12702</v>
      </c>
      <c r="G5870" s="5" t="str">
        <f>IFERROR(__xludf.DUMMYFUNCTION("GOOGLETRANSLATE(D5870,""fr"",""es"")"),"machinas")</f>
        <v>machinas</v>
      </c>
    </row>
    <row r="5871">
      <c r="A5871" s="4">
        <v>413.0</v>
      </c>
      <c r="B5871" s="4" t="s">
        <v>13990</v>
      </c>
      <c r="C5871" s="4"/>
      <c r="D5871" s="4" t="s">
        <v>12705</v>
      </c>
      <c r="E5871" s="4" t="s">
        <v>12706</v>
      </c>
      <c r="F5871" s="4" t="s">
        <v>12707</v>
      </c>
      <c r="G5871" s="5" t="str">
        <f>IFERROR(__xludf.DUMMYFUNCTION("GOOGLETRANSLATE(D5871,""fr"",""es"")"),"machinasse")</f>
        <v>machinasse</v>
      </c>
    </row>
    <row r="5872">
      <c r="A5872" s="4">
        <v>414.0</v>
      </c>
      <c r="B5872" s="4" t="s">
        <v>13990</v>
      </c>
      <c r="C5872" s="4"/>
      <c r="D5872" s="4" t="s">
        <v>12708</v>
      </c>
      <c r="E5872" s="4" t="s">
        <v>12706</v>
      </c>
      <c r="F5872" s="4" t="s">
        <v>12707</v>
      </c>
      <c r="G5872" s="5" t="str">
        <f>IFERROR(__xludf.DUMMYFUNCTION("GOOGLETRANSLATE(D5872,""fr"",""es"")"),"machinasse")</f>
        <v>machinasse</v>
      </c>
    </row>
    <row r="5873">
      <c r="A5873" s="4">
        <v>415.0</v>
      </c>
      <c r="B5873" s="4" t="s">
        <v>13990</v>
      </c>
      <c r="C5873" s="4"/>
      <c r="D5873" s="4" t="s">
        <v>12709</v>
      </c>
      <c r="E5873" s="4" t="s">
        <v>12706</v>
      </c>
      <c r="F5873" s="4" t="s">
        <v>12707</v>
      </c>
      <c r="G5873" s="5" t="str">
        <f>IFERROR(__xludf.DUMMYFUNCTION("GOOGLETRANSLATE(D5873,""fr"",""es"")"),"machinasas")</f>
        <v>machinasas</v>
      </c>
    </row>
    <row r="5874">
      <c r="A5874" s="4">
        <v>416.0</v>
      </c>
      <c r="B5874" s="4" t="s">
        <v>13990</v>
      </c>
      <c r="C5874" s="4"/>
      <c r="D5874" s="4" t="s">
        <v>2874</v>
      </c>
      <c r="E5874" s="4" t="s">
        <v>12710</v>
      </c>
      <c r="F5874" s="4" t="s">
        <v>12711</v>
      </c>
      <c r="G5874" s="5" t="str">
        <f>IFERROR(__xludf.DUMMYFUNCTION("GOOGLETRANSLATE(D5874,""fr"",""es"")"),"máquina")</f>
        <v>máquina</v>
      </c>
      <c r="H5874" s="4" t="s">
        <v>2874</v>
      </c>
      <c r="I5874" s="4" t="s">
        <v>2874</v>
      </c>
      <c r="J5874" s="4" t="s">
        <v>2874</v>
      </c>
      <c r="K5874" s="4" t="s">
        <v>2874</v>
      </c>
      <c r="L5874" s="4" t="s">
        <v>2875</v>
      </c>
      <c r="M5874" s="4" t="s">
        <v>12712</v>
      </c>
      <c r="N5874" s="4" t="s">
        <v>2874</v>
      </c>
      <c r="O5874" s="4" t="s">
        <v>12713</v>
      </c>
      <c r="P5874" s="4" t="s">
        <v>2874</v>
      </c>
      <c r="Q5874" s="4" t="s">
        <v>12712</v>
      </c>
      <c r="R5874" s="4" t="s">
        <v>12714</v>
      </c>
      <c r="S5874" s="4" t="s">
        <v>2874</v>
      </c>
    </row>
    <row r="5875">
      <c r="A5875" s="4">
        <v>417.0</v>
      </c>
      <c r="B5875" s="4" t="s">
        <v>13990</v>
      </c>
      <c r="C5875" s="4"/>
      <c r="D5875" s="4" t="s">
        <v>12715</v>
      </c>
      <c r="E5875" s="4" t="s">
        <v>12710</v>
      </c>
      <c r="F5875" s="4" t="s">
        <v>12711</v>
      </c>
      <c r="G5875" s="5" t="str">
        <f>IFERROR(__xludf.DUMMYFUNCTION("GOOGLETRANSLATE(D5875,""fr"",""es"")"),"máquina")</f>
        <v>máquina</v>
      </c>
    </row>
    <row r="5876">
      <c r="A5876" s="4">
        <v>418.0</v>
      </c>
      <c r="B5876" s="4" t="s">
        <v>13990</v>
      </c>
      <c r="C5876" s="4"/>
      <c r="D5876" s="4" t="s">
        <v>12716</v>
      </c>
      <c r="E5876" s="4" t="s">
        <v>12717</v>
      </c>
      <c r="F5876" s="4" t="s">
        <v>12718</v>
      </c>
      <c r="G5876" s="5" t="str">
        <f>IFERROR(__xludf.DUMMYFUNCTION("GOOGLETRANSLATE(D5876,""fr"",""es"")"),"cosa")</f>
        <v>cosa</v>
      </c>
    </row>
    <row r="5877">
      <c r="A5877" s="4">
        <v>419.0</v>
      </c>
      <c r="B5877" s="4" t="s">
        <v>13990</v>
      </c>
      <c r="C5877" s="4"/>
      <c r="D5877" s="4" t="s">
        <v>12719</v>
      </c>
      <c r="E5877" s="4" t="s">
        <v>12704</v>
      </c>
      <c r="F5877" s="4" t="s">
        <v>12702</v>
      </c>
      <c r="G5877" s="5" t="str">
        <f>IFERROR(__xludf.DUMMYFUNCTION("GOOGLETRANSLATE(D5877,""fr"",""es"")"),"cosa")</f>
        <v>cosa</v>
      </c>
    </row>
    <row r="5878">
      <c r="A5878" s="4">
        <v>420.0</v>
      </c>
      <c r="B5878" s="4" t="s">
        <v>13990</v>
      </c>
      <c r="C5878" s="4"/>
      <c r="D5878" s="4" t="s">
        <v>12720</v>
      </c>
      <c r="E5878" s="4" t="s">
        <v>12721</v>
      </c>
      <c r="F5878" s="4" t="s">
        <v>8508</v>
      </c>
      <c r="G5878" s="5" t="str">
        <f>IFERROR(__xludf.DUMMYFUNCTION("GOOGLETRANSLATE(D5878,""fr"",""es"")"),"Mazo")</f>
        <v>Mazo</v>
      </c>
      <c r="H5878" s="4" t="s">
        <v>2598</v>
      </c>
      <c r="I5878" s="4" t="s">
        <v>2598</v>
      </c>
      <c r="J5878" s="4" t="s">
        <v>12722</v>
      </c>
      <c r="K5878" s="4" t="s">
        <v>2598</v>
      </c>
      <c r="L5878" s="4" t="s">
        <v>12723</v>
      </c>
      <c r="M5878" s="4" t="s">
        <v>12724</v>
      </c>
      <c r="N5878" s="4" t="s">
        <v>12725</v>
      </c>
    </row>
    <row r="5879">
      <c r="A5879" s="4">
        <v>421.0</v>
      </c>
      <c r="B5879" s="4" t="s">
        <v>13990</v>
      </c>
      <c r="C5879" s="4"/>
      <c r="D5879" s="4" t="s">
        <v>12726</v>
      </c>
      <c r="E5879" s="4" t="s">
        <v>12727</v>
      </c>
      <c r="F5879" s="4" t="s">
        <v>12728</v>
      </c>
      <c r="G5879" s="5" t="str">
        <f>IFERROR(__xludf.DUMMYFUNCTION("GOOGLETRANSLATE(D5879,""fr"",""es"")"),"magnánimo")</f>
        <v>magnánimo</v>
      </c>
      <c r="H5879" s="4" t="s">
        <v>10830</v>
      </c>
      <c r="I5879" s="4" t="s">
        <v>12729</v>
      </c>
      <c r="J5879" s="4" t="s">
        <v>12730</v>
      </c>
      <c r="K5879" s="4" t="s">
        <v>12731</v>
      </c>
      <c r="L5879" s="4" t="s">
        <v>12730</v>
      </c>
    </row>
    <row r="5880">
      <c r="A5880" s="4">
        <v>422.0</v>
      </c>
      <c r="B5880" s="4" t="s">
        <v>13990</v>
      </c>
      <c r="C5880" s="4"/>
      <c r="D5880" s="4" t="s">
        <v>12732</v>
      </c>
      <c r="E5880" s="4" t="s">
        <v>2444</v>
      </c>
      <c r="F5880" s="4" t="s">
        <v>2445</v>
      </c>
      <c r="G5880" s="5" t="str">
        <f>IFERROR(__xludf.DUMMYFUNCTION("GOOGLETRANSLATE(D5880,""fr"",""es"")"),"magnate")</f>
        <v>magnate</v>
      </c>
      <c r="H5880" s="4" t="s">
        <v>12733</v>
      </c>
      <c r="I5880" s="4" t="s">
        <v>12734</v>
      </c>
      <c r="J5880" s="4" t="s">
        <v>12735</v>
      </c>
      <c r="K5880" s="4" t="s">
        <v>12736</v>
      </c>
      <c r="L5880" s="4" t="s">
        <v>12737</v>
      </c>
      <c r="M5880" s="4" t="s">
        <v>12738</v>
      </c>
      <c r="N5880" s="4" t="s">
        <v>8934</v>
      </c>
      <c r="O5880" s="4" t="s">
        <v>12739</v>
      </c>
      <c r="P5880" s="4" t="s">
        <v>12740</v>
      </c>
      <c r="Q5880" s="4" t="s">
        <v>12733</v>
      </c>
      <c r="R5880" s="4" t="s">
        <v>12734</v>
      </c>
      <c r="S5880" s="4" t="s">
        <v>12735</v>
      </c>
      <c r="T5880" s="4" t="s">
        <v>12736</v>
      </c>
      <c r="U5880" s="4" t="s">
        <v>12737</v>
      </c>
      <c r="V5880" s="4" t="s">
        <v>12738</v>
      </c>
      <c r="W5880" s="4" t="s">
        <v>8934</v>
      </c>
      <c r="X5880" s="4" t="s">
        <v>12739</v>
      </c>
      <c r="Y5880" s="4" t="s">
        <v>12740</v>
      </c>
      <c r="Z5880" s="4" t="s">
        <v>12741</v>
      </c>
      <c r="AA5880" s="4" t="s">
        <v>12742</v>
      </c>
    </row>
    <row r="5881">
      <c r="A5881" s="4">
        <v>423.0</v>
      </c>
      <c r="B5881" s="4" t="s">
        <v>13990</v>
      </c>
      <c r="C5881" s="4"/>
      <c r="D5881" s="4" t="s">
        <v>12743</v>
      </c>
      <c r="E5881" s="4" t="s">
        <v>12744</v>
      </c>
      <c r="F5881" s="4" t="s">
        <v>12745</v>
      </c>
      <c r="G5881" s="5" t="str">
        <f>IFERROR(__xludf.DUMMYFUNCTION("GOOGLETRANSLATE(D5881,""fr"",""es"")"),"magia")</f>
        <v>magia</v>
      </c>
    </row>
    <row r="5882">
      <c r="A5882" s="4">
        <v>424.0</v>
      </c>
      <c r="B5882" s="4" t="s">
        <v>13990</v>
      </c>
      <c r="C5882" s="4"/>
      <c r="D5882" s="4" t="s">
        <v>4428</v>
      </c>
      <c r="E5882" s="4" t="s">
        <v>332</v>
      </c>
      <c r="F5882" s="4" t="s">
        <v>333</v>
      </c>
      <c r="G5882" s="5" t="str">
        <f>IFERROR(__xludf.DUMMYFUNCTION("GOOGLETRANSLATE(D5882,""fr"",""es"")"),"Email")</f>
        <v>Email</v>
      </c>
    </row>
    <row r="5883">
      <c r="A5883" s="4">
        <v>425.0</v>
      </c>
      <c r="B5883" s="4" t="s">
        <v>13990</v>
      </c>
      <c r="C5883" s="4"/>
      <c r="D5883" s="4" t="s">
        <v>12746</v>
      </c>
      <c r="E5883" s="4" t="s">
        <v>332</v>
      </c>
      <c r="F5883" s="4" t="s">
        <v>333</v>
      </c>
      <c r="G5883" s="5" t="str">
        <f>IFERROR(__xludf.DUMMYFUNCTION("GOOGLETRANSLATE(D5883,""fr"",""es"")"),"tejer")</f>
        <v>tejer</v>
      </c>
      <c r="H5883" s="4" t="s">
        <v>7376</v>
      </c>
      <c r="I5883" s="4" t="s">
        <v>3704</v>
      </c>
      <c r="J5883" s="4" t="s">
        <v>12747</v>
      </c>
      <c r="K5883" s="4" t="s">
        <v>12748</v>
      </c>
      <c r="L5883" s="4" t="s">
        <v>4648</v>
      </c>
      <c r="M5883" s="4" t="s">
        <v>3704</v>
      </c>
    </row>
    <row r="5884">
      <c r="A5884" s="4">
        <v>426.0</v>
      </c>
      <c r="B5884" s="4" t="s">
        <v>13990</v>
      </c>
      <c r="C5884" s="4"/>
      <c r="D5884" s="4" t="s">
        <v>2322</v>
      </c>
      <c r="E5884" s="4" t="s">
        <v>2323</v>
      </c>
      <c r="F5884" s="4" t="s">
        <v>2322</v>
      </c>
      <c r="G5884" s="5" t="str">
        <f>IFERROR(__xludf.DUMMYFUNCTION("GOOGLETRANSLATE(D5884,""fr"",""es"")"),"mal")</f>
        <v>mal</v>
      </c>
      <c r="H5884" s="4" t="s">
        <v>2345</v>
      </c>
      <c r="I5884" s="4" t="s">
        <v>6344</v>
      </c>
      <c r="J5884" s="4" t="s">
        <v>6345</v>
      </c>
      <c r="K5884" s="4" t="s">
        <v>6344</v>
      </c>
      <c r="L5884" s="4" t="s">
        <v>2345</v>
      </c>
      <c r="M5884" s="4" t="s">
        <v>6344</v>
      </c>
      <c r="N5884" s="4" t="s">
        <v>6344</v>
      </c>
      <c r="O5884" s="4" t="s">
        <v>12749</v>
      </c>
      <c r="P5884" s="4" t="s">
        <v>6344</v>
      </c>
      <c r="Q5884" s="4" t="s">
        <v>6344</v>
      </c>
      <c r="R5884" s="4" t="s">
        <v>12750</v>
      </c>
      <c r="S5884" s="4" t="s">
        <v>12751</v>
      </c>
      <c r="T5884" s="4" t="s">
        <v>12752</v>
      </c>
      <c r="U5884" s="4" t="s">
        <v>6344</v>
      </c>
      <c r="V5884" s="4" t="s">
        <v>2328</v>
      </c>
      <c r="W5884" s="4" t="s">
        <v>6344</v>
      </c>
      <c r="X5884" s="4" t="s">
        <v>2328</v>
      </c>
      <c r="Y5884" s="4" t="s">
        <v>6344</v>
      </c>
      <c r="Z5884" s="4" t="s">
        <v>12753</v>
      </c>
      <c r="AA5884" s="4" t="s">
        <v>12754</v>
      </c>
      <c r="AB5884" s="4" t="s">
        <v>6344</v>
      </c>
      <c r="AC5884" s="4" t="s">
        <v>12755</v>
      </c>
      <c r="AD5884" s="4" t="s">
        <v>12756</v>
      </c>
      <c r="AE5884" s="4" t="s">
        <v>12757</v>
      </c>
      <c r="AF5884" s="4" t="s">
        <v>10811</v>
      </c>
      <c r="AG5884" s="4" t="s">
        <v>10812</v>
      </c>
      <c r="AH5884" s="4" t="s">
        <v>10813</v>
      </c>
      <c r="AI5884" s="4" t="s">
        <v>2332</v>
      </c>
      <c r="AJ5884" s="4" t="s">
        <v>2328</v>
      </c>
      <c r="AK5884" s="4" t="s">
        <v>10814</v>
      </c>
      <c r="AL5884" s="4" t="s">
        <v>12758</v>
      </c>
      <c r="AM5884" s="4" t="s">
        <v>2332</v>
      </c>
      <c r="AN5884" s="4" t="s">
        <v>12759</v>
      </c>
      <c r="AO5884" s="4" t="s">
        <v>7611</v>
      </c>
      <c r="AP5884" s="4" t="s">
        <v>12760</v>
      </c>
      <c r="AQ5884" s="4" t="s">
        <v>2328</v>
      </c>
      <c r="AR5884" s="4" t="s">
        <v>2329</v>
      </c>
      <c r="AS5884" s="4" t="s">
        <v>2330</v>
      </c>
      <c r="AT5884" s="4" t="s">
        <v>2328</v>
      </c>
      <c r="AU5884" s="4" t="s">
        <v>2331</v>
      </c>
      <c r="AV5884" s="4" t="s">
        <v>2328</v>
      </c>
      <c r="AW5884" s="4" t="s">
        <v>12761</v>
      </c>
      <c r="AX5884" s="4" t="s">
        <v>2328</v>
      </c>
      <c r="AY5884" s="4" t="s">
        <v>2328</v>
      </c>
      <c r="AZ5884" s="4" t="s">
        <v>12762</v>
      </c>
      <c r="BA5884" s="4" t="s">
        <v>12763</v>
      </c>
      <c r="BB5884" s="4" t="s">
        <v>2328</v>
      </c>
      <c r="BC5884" s="4" t="s">
        <v>2328</v>
      </c>
      <c r="BD5884" s="4" t="s">
        <v>2328</v>
      </c>
      <c r="BE5884" s="4" t="s">
        <v>2333</v>
      </c>
      <c r="BF5884" s="4" t="s">
        <v>2334</v>
      </c>
      <c r="BG5884" s="4" t="s">
        <v>2328</v>
      </c>
      <c r="BH5884" s="4" t="s">
        <v>2328</v>
      </c>
      <c r="BI5884" s="4" t="s">
        <v>12764</v>
      </c>
      <c r="BJ5884" s="4" t="s">
        <v>2332</v>
      </c>
      <c r="BK5884" s="4" t="s">
        <v>10834</v>
      </c>
      <c r="BL5884" s="4" t="s">
        <v>12765</v>
      </c>
      <c r="BM5884" s="4" t="s">
        <v>12766</v>
      </c>
      <c r="BN5884" s="4" t="s">
        <v>2332</v>
      </c>
      <c r="BO5884" s="4" t="s">
        <v>10835</v>
      </c>
      <c r="BP5884" s="4" t="s">
        <v>2328</v>
      </c>
      <c r="BQ5884" s="4" t="s">
        <v>10836</v>
      </c>
      <c r="BR5884" s="4" t="s">
        <v>2332</v>
      </c>
      <c r="BS5884" s="4" t="s">
        <v>9618</v>
      </c>
      <c r="BT5884" s="4" t="s">
        <v>12767</v>
      </c>
      <c r="BU5884" s="4" t="s">
        <v>12768</v>
      </c>
      <c r="BV5884" s="4" t="s">
        <v>12769</v>
      </c>
      <c r="BW5884" s="4" t="s">
        <v>2343</v>
      </c>
      <c r="BX5884" s="4" t="s">
        <v>2344</v>
      </c>
      <c r="BY5884" s="4" t="s">
        <v>2345</v>
      </c>
      <c r="BZ5884" s="4" t="s">
        <v>12770</v>
      </c>
      <c r="CA5884" s="4" t="s">
        <v>3501</v>
      </c>
      <c r="CB5884" s="4" t="s">
        <v>2346</v>
      </c>
      <c r="CC5884" s="4" t="s">
        <v>2326</v>
      </c>
      <c r="CD5884" s="4" t="s">
        <v>2325</v>
      </c>
      <c r="CE5884" s="4" t="s">
        <v>2347</v>
      </c>
      <c r="CF5884" s="4" t="s">
        <v>12765</v>
      </c>
    </row>
    <row r="5885">
      <c r="A5885" s="4">
        <v>427.0</v>
      </c>
      <c r="B5885" s="4" t="s">
        <v>13990</v>
      </c>
      <c r="C5885" s="4"/>
      <c r="D5885" s="4" t="s">
        <v>12771</v>
      </c>
      <c r="E5885" s="4" t="s">
        <v>12772</v>
      </c>
      <c r="F5885" s="4" t="s">
        <v>12773</v>
      </c>
      <c r="G5885" s="5" t="str">
        <f>IFERROR(__xludf.DUMMYFUNCTION("GOOGLETRANSLATE(D5885,""fr"",""es"")"),"malaz")</f>
        <v>malaz</v>
      </c>
    </row>
    <row r="5886">
      <c r="A5886" s="4">
        <v>428.0</v>
      </c>
      <c r="B5886" s="4" t="s">
        <v>13990</v>
      </c>
      <c r="C5886" s="4"/>
      <c r="D5886" s="4" t="s">
        <v>12774</v>
      </c>
      <c r="E5886" s="4" t="s">
        <v>12775</v>
      </c>
      <c r="F5886" s="4" t="s">
        <v>12774</v>
      </c>
      <c r="G5886" s="5" t="str">
        <f>IFERROR(__xludf.DUMMYFUNCTION("GOOGLETRANSLATE(D5886,""fr"",""es"")"),"malayalam")</f>
        <v>malayalam</v>
      </c>
      <c r="H5886" s="4" t="s">
        <v>12776</v>
      </c>
      <c r="I5886" s="4" t="s">
        <v>12776</v>
      </c>
    </row>
    <row r="5887">
      <c r="A5887" s="4">
        <v>429.0</v>
      </c>
      <c r="B5887" s="4" t="s">
        <v>13990</v>
      </c>
      <c r="C5887" s="4"/>
      <c r="D5887" s="4" t="s">
        <v>5314</v>
      </c>
      <c r="E5887" s="4" t="s">
        <v>5313</v>
      </c>
      <c r="F5887" s="4" t="s">
        <v>5314</v>
      </c>
      <c r="G5887" s="5" t="str">
        <f>IFERROR(__xludf.DUMMYFUNCTION("GOOGLETRANSLATE(D5887,""fr"",""es"")"),"Malí")</f>
        <v>Malí</v>
      </c>
      <c r="H5887" s="4" t="s">
        <v>5347</v>
      </c>
      <c r="I5887" s="4" t="s">
        <v>5348</v>
      </c>
      <c r="J5887" s="4" t="s">
        <v>5349</v>
      </c>
    </row>
    <row r="5888">
      <c r="A5888" s="4">
        <v>430.0</v>
      </c>
      <c r="B5888" s="4" t="s">
        <v>13990</v>
      </c>
      <c r="C5888" s="4"/>
      <c r="D5888" s="4" t="s">
        <v>6725</v>
      </c>
      <c r="E5888" s="4" t="s">
        <v>12777</v>
      </c>
      <c r="F5888" s="4" t="s">
        <v>6727</v>
      </c>
      <c r="G5888" s="5" t="str">
        <f>IFERROR(__xludf.DUMMYFUNCTION("GOOGLETRANSLATE(D5888,""fr"",""es"")"),"malicia")</f>
        <v>malicia</v>
      </c>
    </row>
    <row r="5889">
      <c r="A5889" s="4">
        <v>431.0</v>
      </c>
      <c r="B5889" s="4" t="s">
        <v>13990</v>
      </c>
      <c r="C5889" s="4"/>
      <c r="D5889" s="4" t="s">
        <v>12778</v>
      </c>
      <c r="E5889" s="4" t="s">
        <v>12779</v>
      </c>
      <c r="F5889" s="4" t="s">
        <v>12780</v>
      </c>
      <c r="G5889" s="5" t="str">
        <f>IFERROR(__xludf.DUMMYFUNCTION("GOOGLETRANSLATE(D5889,""fr"",""es"")"),"inteligente")</f>
        <v>inteligente</v>
      </c>
    </row>
    <row r="5890">
      <c r="A5890" s="4">
        <v>432.0</v>
      </c>
      <c r="B5890" s="4" t="s">
        <v>13990</v>
      </c>
      <c r="C5890" s="4"/>
      <c r="D5890" s="4" t="s">
        <v>12781</v>
      </c>
      <c r="E5890" s="4" t="s">
        <v>9128</v>
      </c>
      <c r="F5890" s="4" t="s">
        <v>9127</v>
      </c>
      <c r="G5890" s="5" t="str">
        <f>IFERROR(__xludf.DUMMYFUNCTION("GOOGLETRANSLATE(D5890,""fr"",""es"")"),"travieso")</f>
        <v>travieso</v>
      </c>
    </row>
    <row r="5891">
      <c r="A5891" s="4">
        <v>433.0</v>
      </c>
      <c r="B5891" s="4" t="s">
        <v>13990</v>
      </c>
      <c r="C5891" s="4"/>
      <c r="D5891" s="4" t="s">
        <v>12782</v>
      </c>
      <c r="E5891" s="4" t="s">
        <v>2323</v>
      </c>
      <c r="F5891" s="4" t="s">
        <v>2322</v>
      </c>
      <c r="G5891" s="5" t="str">
        <f>IFERROR(__xludf.DUMMYFUNCTION("GOOGLETRANSLATE(D5891,""fr"",""es"")"),"tronco")</f>
        <v>tronco</v>
      </c>
    </row>
    <row r="5892">
      <c r="A5892" s="4">
        <v>434.0</v>
      </c>
      <c r="B5892" s="4" t="s">
        <v>13990</v>
      </c>
      <c r="C5892" s="4"/>
      <c r="D5892" s="4" t="s">
        <v>12783</v>
      </c>
      <c r="E5892" s="4" t="s">
        <v>2323</v>
      </c>
      <c r="F5892" s="4" t="s">
        <v>2322</v>
      </c>
      <c r="G5892" s="5" t="str">
        <f>IFERROR(__xludf.DUMMYFUNCTION("GOOGLETRANSLATE(D5892,""fr"",""es"")"),"bañador")</f>
        <v>bañador</v>
      </c>
    </row>
    <row r="5893">
      <c r="A5893" s="4">
        <v>435.0</v>
      </c>
      <c r="B5893" s="4" t="s">
        <v>13990</v>
      </c>
      <c r="C5893" s="4"/>
      <c r="D5893" s="4" t="s">
        <v>12784</v>
      </c>
      <c r="E5893" s="4" t="s">
        <v>12785</v>
      </c>
      <c r="F5893" s="4" t="s">
        <v>12786</v>
      </c>
      <c r="G5893" s="5" t="str">
        <f>IFERROR(__xludf.DUMMYFUNCTION("GOOGLETRANSLATE(D5893,""fr"",""es"")"),"Malu")</f>
        <v>Malu</v>
      </c>
    </row>
    <row r="5894">
      <c r="A5894" s="4">
        <v>436.0</v>
      </c>
      <c r="B5894" s="4" t="s">
        <v>13990</v>
      </c>
      <c r="C5894" s="4"/>
      <c r="D5894" s="4" t="s">
        <v>12787</v>
      </c>
      <c r="E5894" s="4" t="s">
        <v>12788</v>
      </c>
      <c r="F5894" s="4" t="s">
        <v>12789</v>
      </c>
      <c r="G5894" s="5" t="str">
        <f>IFERROR(__xludf.DUMMYFUNCTION("GOOGLETRANSLATE(D5894,""fr"",""es"")"),"abuelita")</f>
        <v>abuelita</v>
      </c>
      <c r="H5894" s="4" t="s">
        <v>12790</v>
      </c>
      <c r="I5894" s="4" t="s">
        <v>1880</v>
      </c>
      <c r="J5894" s="4" t="s">
        <v>1878</v>
      </c>
      <c r="K5894" s="4" t="s">
        <v>1879</v>
      </c>
      <c r="L5894" s="4" t="s">
        <v>1880</v>
      </c>
      <c r="M5894" s="4" t="s">
        <v>1881</v>
      </c>
      <c r="N5894" s="4" t="s">
        <v>1882</v>
      </c>
      <c r="P5894" s="4" t="s">
        <v>1883</v>
      </c>
      <c r="Q5894" s="4" t="s">
        <v>1880</v>
      </c>
    </row>
    <row r="5895">
      <c r="A5895" s="4">
        <v>437.0</v>
      </c>
      <c r="B5895" s="4" t="s">
        <v>13990</v>
      </c>
      <c r="C5895" s="4"/>
      <c r="D5895" s="4" t="s">
        <v>12791</v>
      </c>
      <c r="E5895" s="4" t="s">
        <v>12788</v>
      </c>
      <c r="F5895" s="4" t="s">
        <v>12789</v>
      </c>
      <c r="G5895" s="5" t="str">
        <f>IFERROR(__xludf.DUMMYFUNCTION("GOOGLETRANSLATE(D5895,""fr"",""es"")"),"abuelas")</f>
        <v>abuelas</v>
      </c>
    </row>
    <row r="5896">
      <c r="A5896" s="4">
        <v>438.0</v>
      </c>
      <c r="B5896" s="4" t="s">
        <v>13990</v>
      </c>
      <c r="C5896" s="4"/>
      <c r="D5896" s="4" t="s">
        <v>12792</v>
      </c>
      <c r="E5896" s="4" t="s">
        <v>12793</v>
      </c>
      <c r="F5896" s="4" t="s">
        <v>12794</v>
      </c>
      <c r="G5896" s="5" t="str">
        <f>IFERROR(__xludf.DUMMYFUNCTION("GOOGLETRANSLATE(D5896,""fr"",""es"")"),"Manico")</f>
        <v>Manico</v>
      </c>
      <c r="H5896" s="4" t="s">
        <v>12795</v>
      </c>
      <c r="I5896" s="4" t="s">
        <v>12796</v>
      </c>
      <c r="J5896" s="4" t="s">
        <v>12797</v>
      </c>
    </row>
    <row r="5897">
      <c r="A5897" s="4">
        <v>439.0</v>
      </c>
      <c r="B5897" s="4" t="s">
        <v>13990</v>
      </c>
      <c r="C5897" s="4"/>
      <c r="D5897" s="4" t="s">
        <v>12798</v>
      </c>
      <c r="E5897" s="4" t="s">
        <v>2415</v>
      </c>
      <c r="F5897" s="4" t="s">
        <v>2414</v>
      </c>
      <c r="G5897" s="5" t="str">
        <f>IFERROR(__xludf.DUMMYFUNCTION("GOOGLETRANSLATE(D5897,""fr"",""es"")"),"manía")</f>
        <v>manía</v>
      </c>
      <c r="H5897" s="4" t="s">
        <v>12799</v>
      </c>
      <c r="I5897" s="4" t="s">
        <v>5679</v>
      </c>
      <c r="J5897" s="4" t="s">
        <v>12800</v>
      </c>
      <c r="K5897" s="4" t="s">
        <v>12799</v>
      </c>
      <c r="L5897" s="4" t="s">
        <v>12801</v>
      </c>
    </row>
    <row r="5898">
      <c r="A5898" s="4">
        <v>440.0</v>
      </c>
      <c r="B5898" s="4" t="s">
        <v>13990</v>
      </c>
      <c r="C5898" s="4"/>
      <c r="D5898" s="4" t="s">
        <v>12802</v>
      </c>
      <c r="E5898" s="4" t="s">
        <v>12803</v>
      </c>
      <c r="F5898" s="4" t="s">
        <v>12804</v>
      </c>
      <c r="G5898" s="5" t="str">
        <f>IFERROR(__xludf.DUMMYFUNCTION("GOOGLETRANSLATE(D5898,""fr"",""es"")"),"Manila")</f>
        <v>Manila</v>
      </c>
      <c r="H5898" s="4" t="s">
        <v>12805</v>
      </c>
      <c r="I5898" s="4" t="s">
        <v>12806</v>
      </c>
      <c r="J5898" s="4" t="s">
        <v>12807</v>
      </c>
      <c r="K5898" s="4" t="s">
        <v>12806</v>
      </c>
      <c r="L5898" s="4" t="s">
        <v>12806</v>
      </c>
      <c r="M5898" s="4" t="s">
        <v>9189</v>
      </c>
      <c r="N5898" s="4" t="s">
        <v>12808</v>
      </c>
      <c r="O5898" s="4" t="s">
        <v>2057</v>
      </c>
      <c r="P5898" s="4" t="s">
        <v>12806</v>
      </c>
      <c r="Q5898" s="4" t="s">
        <v>12809</v>
      </c>
      <c r="R5898" s="4" t="s">
        <v>12810</v>
      </c>
      <c r="S5898" s="4" t="s">
        <v>12811</v>
      </c>
      <c r="T5898" s="4" t="s">
        <v>12812</v>
      </c>
      <c r="U5898" s="4" t="s">
        <v>2416</v>
      </c>
      <c r="V5898" s="4" t="s">
        <v>12813</v>
      </c>
    </row>
    <row r="5899">
      <c r="A5899" s="4">
        <v>441.0</v>
      </c>
      <c r="B5899" s="4" t="s">
        <v>13990</v>
      </c>
      <c r="C5899" s="4"/>
      <c r="D5899" s="4" t="s">
        <v>12814</v>
      </c>
      <c r="E5899" s="4" t="s">
        <v>12815</v>
      </c>
      <c r="F5899" s="4" t="s">
        <v>12814</v>
      </c>
      <c r="G5899" s="5" t="str">
        <f>IFERROR(__xludf.DUMMYFUNCTION("GOOGLETRANSLATE(D5899,""fr"",""es"")"),"manipulación")</f>
        <v>manipulación</v>
      </c>
    </row>
    <row r="5900">
      <c r="A5900" s="4">
        <v>442.0</v>
      </c>
      <c r="B5900" s="4" t="s">
        <v>13990</v>
      </c>
      <c r="C5900" s="4"/>
      <c r="D5900" s="4" t="s">
        <v>12816</v>
      </c>
      <c r="E5900" s="4" t="s">
        <v>12817</v>
      </c>
      <c r="F5900" s="4" t="s">
        <v>12818</v>
      </c>
      <c r="G5900" s="5" t="str">
        <f>IFERROR(__xludf.DUMMYFUNCTION("GOOGLETRANSLATE(D5900,""fr"",""es"")"),"manitou")</f>
        <v>manitou</v>
      </c>
    </row>
    <row r="5901">
      <c r="A5901" s="4">
        <v>443.0</v>
      </c>
      <c r="B5901" s="4" t="s">
        <v>13990</v>
      </c>
      <c r="C5901" s="4"/>
      <c r="D5901" s="4" t="s">
        <v>12819</v>
      </c>
      <c r="E5901" s="4" t="s">
        <v>4841</v>
      </c>
      <c r="F5901" s="4" t="s">
        <v>1856</v>
      </c>
      <c r="G5901" s="5" t="str">
        <f>IFERROR(__xludf.DUMMYFUNCTION("GOOGLETRANSLATE(D5901,""fr"",""es"")"),"maná")</f>
        <v>maná</v>
      </c>
      <c r="H5901" s="4" t="s">
        <v>12820</v>
      </c>
      <c r="I5901" s="4" t="s">
        <v>12821</v>
      </c>
      <c r="J5901" s="4" t="s">
        <v>11310</v>
      </c>
      <c r="K5901" s="4" t="s">
        <v>12821</v>
      </c>
    </row>
    <row r="5902">
      <c r="A5902" s="4">
        <v>444.0</v>
      </c>
      <c r="B5902" s="4" t="s">
        <v>13990</v>
      </c>
      <c r="C5902" s="4"/>
      <c r="D5902" s="4" t="s">
        <v>12822</v>
      </c>
      <c r="E5902" s="4" t="s">
        <v>12823</v>
      </c>
      <c r="F5902" s="4" t="s">
        <v>12824</v>
      </c>
      <c r="G5902" s="5" t="str">
        <f>IFERROR(__xludf.DUMMYFUNCTION("GOOGLETRANSLATE(D5902,""fr"",""es"")"),"gitano")</f>
        <v>gitano</v>
      </c>
    </row>
    <row r="5903">
      <c r="A5903" s="4">
        <v>445.0</v>
      </c>
      <c r="B5903" s="4" t="s">
        <v>13990</v>
      </c>
      <c r="C5903" s="4"/>
      <c r="D5903" s="4" t="s">
        <v>12825</v>
      </c>
      <c r="E5903" s="4" t="s">
        <v>2462</v>
      </c>
      <c r="F5903" s="4" t="s">
        <v>2463</v>
      </c>
      <c r="G5903" s="5" t="str">
        <f>IFERROR(__xludf.DUMMYFUNCTION("GOOGLETRANSLATE(D5903,""fr"",""es"")"),"maquios")</f>
        <v>maquios</v>
      </c>
      <c r="H5903" s="4" t="s">
        <v>11298</v>
      </c>
      <c r="I5903" s="4" t="s">
        <v>12826</v>
      </c>
      <c r="J5903" s="4" t="s">
        <v>12827</v>
      </c>
      <c r="K5903" s="4" t="s">
        <v>12828</v>
      </c>
      <c r="L5903" s="4" t="s">
        <v>12829</v>
      </c>
      <c r="M5903" s="4" t="s">
        <v>12830</v>
      </c>
      <c r="N5903" s="4" t="s">
        <v>12831</v>
      </c>
      <c r="O5903" s="4" t="s">
        <v>2556</v>
      </c>
      <c r="P5903" s="4" t="s">
        <v>12832</v>
      </c>
      <c r="Q5903" s="4" t="s">
        <v>12833</v>
      </c>
      <c r="R5903" s="4" t="s">
        <v>12834</v>
      </c>
      <c r="S5903" s="4" t="s">
        <v>2555</v>
      </c>
      <c r="T5903" s="4" t="s">
        <v>2556</v>
      </c>
    </row>
    <row r="5904">
      <c r="A5904" s="4">
        <v>446.0</v>
      </c>
      <c r="B5904" s="4" t="s">
        <v>13990</v>
      </c>
      <c r="C5904" s="4"/>
      <c r="D5904" s="4" t="s">
        <v>339</v>
      </c>
      <c r="E5904" s="4" t="s">
        <v>10466</v>
      </c>
      <c r="F5904" s="4" t="s">
        <v>2278</v>
      </c>
      <c r="G5904" s="5" t="str">
        <f>IFERROR(__xludf.DUMMYFUNCTION("GOOGLETRANSLATE(D5904,""fr"",""es"")"),"masa")</f>
        <v>masa</v>
      </c>
    </row>
    <row r="5905">
      <c r="A5905" s="4">
        <v>447.0</v>
      </c>
      <c r="B5905" s="4" t="s">
        <v>13990</v>
      </c>
      <c r="C5905" s="4"/>
      <c r="D5905" s="4" t="s">
        <v>339</v>
      </c>
      <c r="E5905" s="4" t="s">
        <v>12835</v>
      </c>
      <c r="F5905" s="4" t="s">
        <v>339</v>
      </c>
      <c r="G5905" s="5" t="str">
        <f>IFERROR(__xludf.DUMMYFUNCTION("GOOGLETRANSLATE(D5905,""fr"",""es"")"),"masa")</f>
        <v>masa</v>
      </c>
    </row>
    <row r="5906">
      <c r="A5906" s="4">
        <v>448.0</v>
      </c>
      <c r="B5906" s="4" t="s">
        <v>13990</v>
      </c>
      <c r="C5906" s="4"/>
      <c r="D5906" s="4" t="s">
        <v>12836</v>
      </c>
      <c r="E5906" s="4" t="s">
        <v>2524</v>
      </c>
      <c r="F5906" s="4" t="s">
        <v>2525</v>
      </c>
      <c r="G5906" s="5" t="str">
        <f>IFERROR(__xludf.DUMMYFUNCTION("GOOGLETRANSLATE(D5906,""fr"",""es"")"),"masatrar")</f>
        <v>masatrar</v>
      </c>
    </row>
    <row r="5907">
      <c r="A5907" s="4">
        <v>449.0</v>
      </c>
      <c r="B5907" s="4" t="s">
        <v>13990</v>
      </c>
      <c r="C5907" s="4"/>
      <c r="D5907" s="4" t="s">
        <v>12837</v>
      </c>
      <c r="E5907" s="4" t="s">
        <v>338</v>
      </c>
      <c r="F5907" s="4" t="s">
        <v>339</v>
      </c>
      <c r="G5907" s="5" t="str">
        <f>IFERROR(__xludf.DUMMYFUNCTION("GOOGLETRANSLATE(D5907,""fr"",""es"")"),"masa")</f>
        <v>masa</v>
      </c>
      <c r="H5907" s="4" t="s">
        <v>2367</v>
      </c>
      <c r="I5907" s="4" t="s">
        <v>2368</v>
      </c>
      <c r="J5907" s="4" t="s">
        <v>2369</v>
      </c>
      <c r="K5907" s="4" t="s">
        <v>12838</v>
      </c>
      <c r="L5907" s="4" t="s">
        <v>12839</v>
      </c>
      <c r="M5907" s="4" t="s">
        <v>1743</v>
      </c>
      <c r="N5907" s="4" t="s">
        <v>2526</v>
      </c>
      <c r="O5907" s="4" t="s">
        <v>12840</v>
      </c>
      <c r="P5907" s="4" t="s">
        <v>12838</v>
      </c>
      <c r="Q5907" s="4" t="s">
        <v>12839</v>
      </c>
      <c r="R5907" s="4" t="s">
        <v>12841</v>
      </c>
      <c r="S5907" s="4" t="s">
        <v>12842</v>
      </c>
      <c r="T5907" s="4" t="s">
        <v>2526</v>
      </c>
      <c r="U5907" s="4" t="s">
        <v>1743</v>
      </c>
      <c r="V5907" s="4" t="s">
        <v>2527</v>
      </c>
      <c r="W5907" s="4" t="s">
        <v>483</v>
      </c>
      <c r="X5907" s="4" t="s">
        <v>484</v>
      </c>
      <c r="Y5907" s="4" t="s">
        <v>2824</v>
      </c>
      <c r="Z5907" s="4" t="s">
        <v>2825</v>
      </c>
      <c r="AA5907" s="4" t="s">
        <v>2826</v>
      </c>
      <c r="AB5907" s="4" t="s">
        <v>1734</v>
      </c>
      <c r="AC5907" s="4" t="s">
        <v>1743</v>
      </c>
      <c r="AD5907" s="4" t="s">
        <v>2532</v>
      </c>
      <c r="AE5907" s="4" t="s">
        <v>2533</v>
      </c>
      <c r="AF5907" s="4" t="s">
        <v>1743</v>
      </c>
      <c r="AG5907" s="4" t="s">
        <v>2534</v>
      </c>
      <c r="AH5907" s="4" t="s">
        <v>2535</v>
      </c>
      <c r="AI5907" s="4" t="s">
        <v>2536</v>
      </c>
      <c r="AJ5907" s="4" t="s">
        <v>1743</v>
      </c>
      <c r="AK5907" s="4" t="s">
        <v>12843</v>
      </c>
      <c r="AL5907" s="4" t="s">
        <v>1736</v>
      </c>
      <c r="AM5907" s="4" t="s">
        <v>1737</v>
      </c>
      <c r="AN5907" s="4" t="s">
        <v>1738</v>
      </c>
      <c r="AO5907" s="4" t="s">
        <v>1739</v>
      </c>
      <c r="AP5907" s="4" t="s">
        <v>1740</v>
      </c>
      <c r="AQ5907" s="4" t="s">
        <v>1741</v>
      </c>
      <c r="AR5907" s="4" t="s">
        <v>484</v>
      </c>
      <c r="AS5907" s="4" t="s">
        <v>1742</v>
      </c>
      <c r="AT5907" s="4" t="s">
        <v>1743</v>
      </c>
      <c r="AU5907" s="4" t="s">
        <v>1744</v>
      </c>
      <c r="AV5907" s="4" t="s">
        <v>1745</v>
      </c>
      <c r="AW5907" s="4" t="s">
        <v>1746</v>
      </c>
      <c r="AX5907" s="4" t="s">
        <v>1747</v>
      </c>
      <c r="AY5907" s="4" t="s">
        <v>1748</v>
      </c>
      <c r="AZ5907" s="4" t="s">
        <v>1749</v>
      </c>
      <c r="BA5907" s="4" t="s">
        <v>1750</v>
      </c>
      <c r="BB5907" s="4" t="s">
        <v>483</v>
      </c>
      <c r="BC5907" s="4" t="s">
        <v>1751</v>
      </c>
      <c r="BD5907" s="4" t="s">
        <v>1752</v>
      </c>
      <c r="BE5907" s="4" t="s">
        <v>1753</v>
      </c>
      <c r="BF5907" s="4" t="s">
        <v>1754</v>
      </c>
      <c r="BG5907" s="4" t="s">
        <v>1755</v>
      </c>
      <c r="BH5907" s="4" t="s">
        <v>1756</v>
      </c>
      <c r="BI5907" s="4" t="s">
        <v>1757</v>
      </c>
      <c r="BJ5907" s="4" t="s">
        <v>482</v>
      </c>
      <c r="BK5907" s="4" t="s">
        <v>1758</v>
      </c>
      <c r="BL5907" s="4" t="s">
        <v>780</v>
      </c>
      <c r="BM5907" s="4" t="s">
        <v>12724</v>
      </c>
      <c r="BN5907" s="4" t="s">
        <v>12725</v>
      </c>
    </row>
    <row r="5908">
      <c r="A5908" s="4">
        <v>450.0</v>
      </c>
      <c r="B5908" s="4" t="s">
        <v>13990</v>
      </c>
      <c r="C5908" s="4"/>
      <c r="D5908" s="4" t="s">
        <v>2533</v>
      </c>
      <c r="E5908" s="4" t="s">
        <v>338</v>
      </c>
      <c r="F5908" s="4" t="s">
        <v>339</v>
      </c>
      <c r="G5908" s="5" t="str">
        <f>IFERROR(__xludf.DUMMYFUNCTION("GOOGLETRANSLATE(D5908,""fr"",""es"")"),"masas")</f>
        <v>masas</v>
      </c>
    </row>
    <row r="5909">
      <c r="A5909" s="4">
        <v>451.0</v>
      </c>
      <c r="B5909" s="4" t="s">
        <v>13990</v>
      </c>
      <c r="C5909" s="4"/>
      <c r="D5909" s="4" t="s">
        <v>12844</v>
      </c>
      <c r="E5909" s="4" t="s">
        <v>2279</v>
      </c>
      <c r="F5909" s="4" t="s">
        <v>2278</v>
      </c>
      <c r="G5909" s="5" t="str">
        <f>IFERROR(__xludf.DUMMYFUNCTION("GOOGLETRANSLATE(D5909,""fr"",""es"")"),"mástil")</f>
        <v>mástil</v>
      </c>
      <c r="H5909" s="4" t="s">
        <v>2186</v>
      </c>
      <c r="I5909" s="4" t="s">
        <v>12844</v>
      </c>
      <c r="J5909" s="4" t="s">
        <v>12845</v>
      </c>
      <c r="K5909" s="4" t="s">
        <v>12846</v>
      </c>
      <c r="L5909" s="4" t="s">
        <v>12847</v>
      </c>
      <c r="M5909" s="4" t="s">
        <v>12848</v>
      </c>
      <c r="N5909" s="4" t="s">
        <v>12849</v>
      </c>
      <c r="O5909" s="4" t="s">
        <v>473</v>
      </c>
      <c r="P5909" s="4" t="s">
        <v>12850</v>
      </c>
      <c r="Q5909" s="4" t="s">
        <v>12851</v>
      </c>
      <c r="R5909" s="4" t="s">
        <v>12852</v>
      </c>
      <c r="S5909" s="4" t="s">
        <v>8582</v>
      </c>
      <c r="T5909" s="4" t="s">
        <v>8583</v>
      </c>
      <c r="U5909" s="4" t="s">
        <v>8584</v>
      </c>
      <c r="V5909" s="4" t="s">
        <v>12853</v>
      </c>
      <c r="W5909" s="4" t="s">
        <v>12854</v>
      </c>
    </row>
    <row r="5910">
      <c r="A5910" s="4">
        <v>452.0</v>
      </c>
      <c r="B5910" s="4" t="s">
        <v>13990</v>
      </c>
      <c r="C5910" s="4"/>
      <c r="D5910" s="4" t="s">
        <v>12855</v>
      </c>
      <c r="E5910" s="4" t="s">
        <v>2581</v>
      </c>
      <c r="F5910" s="4" t="s">
        <v>2582</v>
      </c>
      <c r="G5910" s="5" t="str">
        <f>IFERROR(__xludf.DUMMYFUNCTION("GOOGLETRANSLATE(D5910,""fr"",""es"")"),"Mathis")</f>
        <v>Mathis</v>
      </c>
    </row>
    <row r="5911">
      <c r="A5911" s="4">
        <v>453.0</v>
      </c>
      <c r="B5911" s="4" t="s">
        <v>13990</v>
      </c>
      <c r="C5911" s="4"/>
      <c r="D5911" s="4" t="s">
        <v>12856</v>
      </c>
      <c r="E5911" s="4" t="s">
        <v>12857</v>
      </c>
      <c r="F5911" s="4" t="s">
        <v>12856</v>
      </c>
      <c r="G5911" s="5" t="str">
        <f>IFERROR(__xludf.DUMMYFUNCTION("GOOGLETRANSLATE(D5911,""fr"",""es"")"),"Matina")</f>
        <v>Matina</v>
      </c>
    </row>
    <row r="5912">
      <c r="A5912" s="4">
        <v>454.0</v>
      </c>
      <c r="B5912" s="4" t="s">
        <v>13990</v>
      </c>
      <c r="C5912" s="4"/>
      <c r="D5912" s="4" t="s">
        <v>12858</v>
      </c>
      <c r="E5912" s="4" t="s">
        <v>12859</v>
      </c>
      <c r="F5912" s="4" t="s">
        <v>12858</v>
      </c>
      <c r="G5912" s="5" t="str">
        <f>IFERROR(__xludf.DUMMYFUNCTION("GOOGLETRANSLATE(D5912,""fr"",""es"")"),"Mañana")</f>
        <v>Mañana</v>
      </c>
    </row>
    <row r="5913">
      <c r="A5913" s="4">
        <v>455.0</v>
      </c>
      <c r="B5913" s="4" t="s">
        <v>13990</v>
      </c>
      <c r="C5913" s="4"/>
      <c r="D5913" s="4" t="s">
        <v>12860</v>
      </c>
      <c r="E5913" s="4" t="s">
        <v>12861</v>
      </c>
      <c r="F5913" s="4" t="s">
        <v>12862</v>
      </c>
      <c r="G5913" s="5" t="str">
        <f>IFERROR(__xludf.DUMMYFUNCTION("GOOGLETRANSLATE(D5913,""fr"",""es"")"),"maitines")</f>
        <v>maitines</v>
      </c>
      <c r="H5913" s="4" t="s">
        <v>12863</v>
      </c>
      <c r="I5913" s="4" t="s">
        <v>12864</v>
      </c>
    </row>
    <row r="5914">
      <c r="A5914" s="4">
        <v>456.0</v>
      </c>
      <c r="B5914" s="4" t="s">
        <v>13990</v>
      </c>
      <c r="C5914" s="4"/>
      <c r="D5914" s="4" t="s">
        <v>12865</v>
      </c>
      <c r="E5914" s="4" t="s">
        <v>12866</v>
      </c>
      <c r="F5914" s="4" t="s">
        <v>12867</v>
      </c>
      <c r="G5914" s="5" t="str">
        <f>IFERROR(__xludf.DUMMYFUNCTION("GOOGLETRANSLATE(D5914,""fr"",""es"")"),"Matou")</f>
        <v>Matou</v>
      </c>
      <c r="H5914" s="4" t="s">
        <v>8842</v>
      </c>
      <c r="I5914" s="4" t="s">
        <v>8843</v>
      </c>
      <c r="J5914" s="4" t="s">
        <v>8837</v>
      </c>
      <c r="K5914" s="4" t="s">
        <v>8844</v>
      </c>
      <c r="L5914" s="4" t="s">
        <v>8837</v>
      </c>
      <c r="M5914" s="4" t="s">
        <v>8841</v>
      </c>
    </row>
    <row r="5915">
      <c r="A5915" s="4">
        <v>457.0</v>
      </c>
      <c r="B5915" s="4" t="s">
        <v>13990</v>
      </c>
      <c r="C5915" s="4"/>
      <c r="D5915" s="4" t="s">
        <v>2315</v>
      </c>
      <c r="E5915" s="4" t="s">
        <v>2314</v>
      </c>
      <c r="F5915" s="4" t="s">
        <v>2315</v>
      </c>
      <c r="G5915" s="5" t="str">
        <f>IFERROR(__xludf.DUMMYFUNCTION("GOOGLETRANSLATE(D5915,""fr"",""es"")"),"maya")</f>
        <v>maya</v>
      </c>
    </row>
    <row r="5916">
      <c r="A5916" s="4">
        <v>458.0</v>
      </c>
      <c r="B5916" s="4" t="s">
        <v>13990</v>
      </c>
      <c r="C5916" s="4"/>
      <c r="D5916" s="4" t="s">
        <v>342</v>
      </c>
      <c r="E5916" s="4" t="s">
        <v>341</v>
      </c>
      <c r="F5916" s="4" t="s">
        <v>342</v>
      </c>
      <c r="G5916" s="5" t="str">
        <f>IFERROR(__xludf.DUMMYFUNCTION("GOOGLETRANSLATE(D5916,""fr"",""es"")"),"medio")</f>
        <v>medio</v>
      </c>
      <c r="H5916" s="4" t="s">
        <v>342</v>
      </c>
      <c r="I5916" s="4" t="s">
        <v>2653</v>
      </c>
      <c r="J5916" s="4" t="s">
        <v>2654</v>
      </c>
      <c r="K5916" s="4" t="s">
        <v>2655</v>
      </c>
      <c r="L5916" s="4" t="s">
        <v>2656</v>
      </c>
      <c r="M5916" s="4" t="s">
        <v>2657</v>
      </c>
      <c r="N5916" s="4" t="s">
        <v>342</v>
      </c>
      <c r="O5916" s="4" t="s">
        <v>2660</v>
      </c>
      <c r="P5916" s="4" t="s">
        <v>2661</v>
      </c>
      <c r="Q5916" s="4" t="s">
        <v>2653</v>
      </c>
      <c r="R5916" s="4" t="s">
        <v>342</v>
      </c>
      <c r="S5916" s="4" t="s">
        <v>2664</v>
      </c>
      <c r="T5916" s="4" t="s">
        <v>2665</v>
      </c>
    </row>
    <row r="5917">
      <c r="A5917" s="4">
        <v>459.0</v>
      </c>
      <c r="B5917" s="4" t="s">
        <v>13990</v>
      </c>
      <c r="C5917" s="4"/>
      <c r="D5917" s="4" t="s">
        <v>12868</v>
      </c>
      <c r="E5917" s="4" t="s">
        <v>12869</v>
      </c>
      <c r="F5917" s="4" t="s">
        <v>12870</v>
      </c>
      <c r="G5917" s="5" t="str">
        <f>IFERROR(__xludf.DUMMYFUNCTION("GOOGLETRANSLATE(D5917,""fr"",""es"")"),"Miami")</f>
        <v>Miami</v>
      </c>
    </row>
    <row r="5918">
      <c r="A5918" s="4">
        <v>460.0</v>
      </c>
      <c r="B5918" s="4" t="s">
        <v>13990</v>
      </c>
      <c r="C5918" s="4"/>
      <c r="D5918" s="4" t="s">
        <v>12868</v>
      </c>
      <c r="E5918" s="4" t="s">
        <v>12871</v>
      </c>
      <c r="F5918" s="4" t="s">
        <v>12872</v>
      </c>
      <c r="G5918" s="5" t="str">
        <f>IFERROR(__xludf.DUMMYFUNCTION("GOOGLETRANSLATE(D5918,""fr"",""es"")"),"Miami")</f>
        <v>Miami</v>
      </c>
    </row>
    <row r="5919">
      <c r="A5919" s="4">
        <v>461.0</v>
      </c>
      <c r="B5919" s="4" t="s">
        <v>13990</v>
      </c>
      <c r="C5919" s="4"/>
      <c r="D5919" s="4" t="s">
        <v>12873</v>
      </c>
      <c r="E5919" s="4" t="s">
        <v>2720</v>
      </c>
      <c r="F5919" s="4" t="s">
        <v>2721</v>
      </c>
      <c r="G5919" s="5" t="str">
        <f>IFERROR(__xludf.DUMMYFUNCTION("GOOGLETRANSLATE(D5919,""fr"",""es"")"),"Micé")</f>
        <v>Micé</v>
      </c>
      <c r="H5919" s="4" t="s">
        <v>12874</v>
      </c>
      <c r="I5919" s="4" t="s">
        <v>8469</v>
      </c>
    </row>
    <row r="5920">
      <c r="A5920" s="4">
        <v>462.0</v>
      </c>
      <c r="B5920" s="4" t="s">
        <v>13990</v>
      </c>
      <c r="C5920" s="4"/>
      <c r="D5920" s="4" t="s">
        <v>12875</v>
      </c>
      <c r="E5920" s="4" t="s">
        <v>341</v>
      </c>
      <c r="F5920" s="4" t="s">
        <v>342</v>
      </c>
      <c r="G5920" s="5" t="str">
        <f>IFERROR(__xludf.DUMMYFUNCTION("GOOGLETRANSLATE(D5920,""fr"",""es"")"),"miga")</f>
        <v>miga</v>
      </c>
      <c r="H5920" s="4" t="s">
        <v>1149</v>
      </c>
      <c r="I5920" s="4" t="s">
        <v>1149</v>
      </c>
      <c r="J5920" s="4" t="s">
        <v>1149</v>
      </c>
      <c r="K5920" s="4" t="s">
        <v>1149</v>
      </c>
      <c r="L5920" s="4" t="s">
        <v>1149</v>
      </c>
    </row>
    <row r="5921">
      <c r="A5921" s="4">
        <v>463.0</v>
      </c>
      <c r="B5921" s="4" t="s">
        <v>13990</v>
      </c>
      <c r="C5921" s="4"/>
      <c r="D5921" s="4" t="s">
        <v>12876</v>
      </c>
      <c r="E5921" s="4" t="s">
        <v>341</v>
      </c>
      <c r="F5921" s="4" t="s">
        <v>342</v>
      </c>
      <c r="G5921" s="5" t="str">
        <f>IFERROR(__xludf.DUMMYFUNCTION("GOOGLETRANSLATE(D5921,""fr"",""es"")"),"mies")</f>
        <v>mies</v>
      </c>
    </row>
    <row r="5922">
      <c r="A5922" s="4">
        <v>464.0</v>
      </c>
      <c r="B5922" s="4" t="s">
        <v>13990</v>
      </c>
      <c r="C5922" s="4"/>
      <c r="D5922" s="4" t="s">
        <v>2601</v>
      </c>
      <c r="E5922" s="4" t="s">
        <v>2600</v>
      </c>
      <c r="F5922" s="4" t="s">
        <v>2601</v>
      </c>
      <c r="G5922" s="5" t="str">
        <f>IFERROR(__xludf.DUMMYFUNCTION("GOOGLETRANSLATE(D5922,""fr"",""es"")"),"mika")</f>
        <v>mika</v>
      </c>
    </row>
    <row r="5923">
      <c r="A5923" s="4">
        <v>465.0</v>
      </c>
      <c r="B5923" s="4" t="s">
        <v>13990</v>
      </c>
      <c r="C5923" s="4"/>
      <c r="D5923" s="4" t="s">
        <v>2622</v>
      </c>
      <c r="E5923" s="4" t="s">
        <v>12877</v>
      </c>
      <c r="F5923" s="4" t="s">
        <v>12878</v>
      </c>
      <c r="G5923" s="5" t="str">
        <f>IFERROR(__xludf.DUMMYFUNCTION("GOOGLETRANSLATE(D5923,""fr"",""es"")"),"mijo")</f>
        <v>mijo</v>
      </c>
    </row>
    <row r="5924">
      <c r="A5924" s="4">
        <v>466.0</v>
      </c>
      <c r="B5924" s="4" t="s">
        <v>13990</v>
      </c>
      <c r="C5924" s="4"/>
      <c r="D5924" s="4" t="s">
        <v>2622</v>
      </c>
      <c r="E5924" s="4" t="s">
        <v>2623</v>
      </c>
      <c r="F5924" s="4" t="s">
        <v>2622</v>
      </c>
      <c r="G5924" s="5" t="str">
        <f>IFERROR(__xludf.DUMMYFUNCTION("GOOGLETRANSLATE(D5924,""fr"",""es"")"),"mijo")</f>
        <v>mijo</v>
      </c>
    </row>
    <row r="5925">
      <c r="A5925" s="4">
        <v>467.0</v>
      </c>
      <c r="B5925" s="4" t="s">
        <v>13990</v>
      </c>
      <c r="C5925" s="4"/>
      <c r="D5925" s="4" t="s">
        <v>2653</v>
      </c>
      <c r="E5925" s="4" t="s">
        <v>2623</v>
      </c>
      <c r="F5925" s="4" t="s">
        <v>2622</v>
      </c>
      <c r="G5925" s="5" t="str">
        <f>IFERROR(__xludf.DUMMYFUNCTION("GOOGLETRANSLATE(D5925,""fr"",""es"")"),"milla")</f>
        <v>milla</v>
      </c>
      <c r="H5925" s="4" t="s">
        <v>2653</v>
      </c>
      <c r="I5925" s="4" t="s">
        <v>2653</v>
      </c>
      <c r="J5925" s="4" t="s">
        <v>2654</v>
      </c>
      <c r="K5925" s="4" t="s">
        <v>2655</v>
      </c>
      <c r="L5925" s="4" t="s">
        <v>2656</v>
      </c>
      <c r="M5925" s="4" t="s">
        <v>2657</v>
      </c>
      <c r="N5925" s="4" t="s">
        <v>342</v>
      </c>
    </row>
    <row r="5926">
      <c r="A5926" s="4">
        <v>468.0</v>
      </c>
      <c r="B5926" s="4" t="s">
        <v>13990</v>
      </c>
      <c r="C5926" s="4"/>
      <c r="D5926" s="4" t="s">
        <v>12879</v>
      </c>
      <c r="E5926" s="4" t="s">
        <v>12880</v>
      </c>
      <c r="F5926" s="4" t="s">
        <v>12881</v>
      </c>
      <c r="G5926" s="5" t="str">
        <f>IFERROR(__xludf.DUMMYFUNCTION("GOOGLETRANSLATE(D5926,""fr"",""es"")"),"milicia")</f>
        <v>milicia</v>
      </c>
      <c r="H5926" s="4" t="s">
        <v>12882</v>
      </c>
      <c r="I5926" s="4" t="s">
        <v>12883</v>
      </c>
      <c r="J5926" s="4" t="s">
        <v>12882</v>
      </c>
    </row>
    <row r="5927">
      <c r="A5927" s="4">
        <v>469.0</v>
      </c>
      <c r="B5927" s="4" t="s">
        <v>13990</v>
      </c>
      <c r="C5927" s="4"/>
      <c r="D5927" s="4" t="s">
        <v>12884</v>
      </c>
      <c r="E5927" s="4" t="s">
        <v>2623</v>
      </c>
      <c r="F5927" s="4" t="s">
        <v>2622</v>
      </c>
      <c r="G5927" s="5" t="str">
        <f>IFERROR(__xludf.DUMMYFUNCTION("GOOGLETRANSLATE(D5927,""fr"",""es"")"),"mil")</f>
        <v>mil</v>
      </c>
      <c r="H5927" s="4" t="s">
        <v>2624</v>
      </c>
      <c r="I5927" s="4" t="s">
        <v>2625</v>
      </c>
      <c r="J5927" s="4">
        <v>1000.0</v>
      </c>
      <c r="K5927" s="4" t="s">
        <v>2626</v>
      </c>
      <c r="L5927" s="4" t="s">
        <v>2627</v>
      </c>
      <c r="M5927" s="4" t="s">
        <v>2653</v>
      </c>
      <c r="N5927" s="4" t="s">
        <v>2653</v>
      </c>
      <c r="O5927" s="4" t="s">
        <v>2654</v>
      </c>
      <c r="P5927" s="4" t="s">
        <v>2655</v>
      </c>
      <c r="Q5927" s="4" t="s">
        <v>2656</v>
      </c>
      <c r="R5927" s="4" t="s">
        <v>2657</v>
      </c>
      <c r="S5927" s="4" t="s">
        <v>342</v>
      </c>
      <c r="T5927" s="4" t="s">
        <v>2653</v>
      </c>
      <c r="U5927" s="4" t="s">
        <v>2622</v>
      </c>
      <c r="V5927" s="4" t="s">
        <v>2658</v>
      </c>
      <c r="W5927" s="4" t="s">
        <v>2653</v>
      </c>
      <c r="X5927" s="4" t="s">
        <v>2659</v>
      </c>
      <c r="Y5927" s="4" t="s">
        <v>2660</v>
      </c>
      <c r="Z5927" s="4" t="s">
        <v>2653</v>
      </c>
      <c r="AA5927" s="4" t="s">
        <v>342</v>
      </c>
      <c r="AB5927" s="4" t="s">
        <v>2661</v>
      </c>
      <c r="AC5927" s="4" t="s">
        <v>2145</v>
      </c>
      <c r="AD5927" s="4" t="s">
        <v>2662</v>
      </c>
      <c r="AE5927" s="4" t="s">
        <v>2663</v>
      </c>
      <c r="AF5927" s="4" t="s">
        <v>2660</v>
      </c>
      <c r="AG5927" s="4" t="s">
        <v>2661</v>
      </c>
      <c r="AH5927" s="4" t="s">
        <v>2653</v>
      </c>
      <c r="AI5927" s="4" t="s">
        <v>342</v>
      </c>
      <c r="AJ5927" s="4" t="s">
        <v>2664</v>
      </c>
      <c r="AK5927" s="4" t="s">
        <v>2665</v>
      </c>
      <c r="AL5927" s="4" t="s">
        <v>2666</v>
      </c>
      <c r="AM5927" s="4" t="s">
        <v>2653</v>
      </c>
      <c r="AN5927" s="4" t="s">
        <v>2624</v>
      </c>
      <c r="AO5927" s="4" t="s">
        <v>2625</v>
      </c>
      <c r="AP5927" s="4">
        <v>1000.0</v>
      </c>
      <c r="AQ5927" s="4" t="s">
        <v>2628</v>
      </c>
      <c r="AR5927" s="4" t="s">
        <v>2629</v>
      </c>
      <c r="AS5927" s="4" t="s">
        <v>2630</v>
      </c>
      <c r="AT5927" s="4" t="s">
        <v>2631</v>
      </c>
      <c r="AU5927" s="4" t="s">
        <v>2632</v>
      </c>
      <c r="AV5927" s="4" t="s">
        <v>2633</v>
      </c>
      <c r="AW5927" s="4" t="s">
        <v>2634</v>
      </c>
      <c r="AX5927" s="4" t="s">
        <v>2653</v>
      </c>
    </row>
    <row r="5928">
      <c r="A5928" s="4">
        <v>470.0</v>
      </c>
      <c r="B5928" s="4" t="s">
        <v>13990</v>
      </c>
      <c r="C5928" s="4"/>
      <c r="D5928" s="4" t="s">
        <v>12885</v>
      </c>
      <c r="E5928" s="4" t="s">
        <v>12886</v>
      </c>
      <c r="F5928" s="4" t="s">
        <v>12887</v>
      </c>
      <c r="G5928" s="5" t="str">
        <f>IFERROR(__xludf.DUMMYFUNCTION("GOOGLETRANSLATE(D5928,""fr"",""es"")"),"milikatal")</f>
        <v>milikatal</v>
      </c>
    </row>
    <row r="5929">
      <c r="A5929" s="4">
        <v>471.0</v>
      </c>
      <c r="B5929" s="4" t="s">
        <v>13990</v>
      </c>
      <c r="C5929" s="4"/>
      <c r="D5929" s="4" t="s">
        <v>12888</v>
      </c>
      <c r="E5929" s="4" t="s">
        <v>12889</v>
      </c>
      <c r="F5929" s="4" t="s">
        <v>12890</v>
      </c>
      <c r="G5929" s="5" t="str">
        <f>IFERROR(__xludf.DUMMYFUNCTION("GOOGLETRANSLATE(D5929,""fr"",""es"")"),"miltil")</f>
        <v>miltil</v>
      </c>
    </row>
    <row r="5930">
      <c r="A5930" s="4">
        <v>472.0</v>
      </c>
      <c r="B5930" s="4" t="s">
        <v>13990</v>
      </c>
      <c r="C5930" s="4"/>
      <c r="D5930" s="4" t="s">
        <v>2690</v>
      </c>
      <c r="E5930" s="4" t="s">
        <v>2689</v>
      </c>
      <c r="F5930" s="4" t="s">
        <v>2688</v>
      </c>
      <c r="G5930" s="5" t="str">
        <f>IFERROR(__xludf.DUMMYFUNCTION("GOOGLETRANSLATE(D5930,""fr"",""es"")"),"mímica")</f>
        <v>mímica</v>
      </c>
      <c r="H5930" s="4" t="s">
        <v>2690</v>
      </c>
      <c r="I5930" s="4" t="s">
        <v>2882</v>
      </c>
      <c r="J5930" s="4" t="s">
        <v>2883</v>
      </c>
      <c r="K5930" s="4" t="s">
        <v>2690</v>
      </c>
      <c r="L5930" s="4" t="s">
        <v>2882</v>
      </c>
      <c r="M5930" s="4" t="s">
        <v>6838</v>
      </c>
      <c r="N5930" s="4" t="s">
        <v>2690</v>
      </c>
      <c r="O5930" s="4" t="s">
        <v>2690</v>
      </c>
      <c r="P5930" s="4" t="s">
        <v>2691</v>
      </c>
      <c r="Q5930" s="4" t="s">
        <v>2692</v>
      </c>
      <c r="R5930" s="4" t="s">
        <v>2693</v>
      </c>
      <c r="S5930" s="4" t="s">
        <v>2694</v>
      </c>
    </row>
    <row r="5931">
      <c r="A5931" s="4">
        <v>473.0</v>
      </c>
      <c r="B5931" s="4" t="s">
        <v>13990</v>
      </c>
      <c r="C5931" s="4"/>
      <c r="D5931" s="4" t="s">
        <v>2695</v>
      </c>
      <c r="E5931" s="4" t="s">
        <v>2696</v>
      </c>
      <c r="F5931" s="4" t="s">
        <v>2695</v>
      </c>
      <c r="G5931" s="5" t="str">
        <f>IFERROR(__xludf.DUMMYFUNCTION("GOOGLETRANSLATE(D5931,""fr"",""es"")"),"mina")</f>
        <v>mina</v>
      </c>
    </row>
    <row r="5932">
      <c r="A5932" s="4">
        <v>474.0</v>
      </c>
      <c r="B5932" s="4" t="s">
        <v>13990</v>
      </c>
      <c r="C5932" s="4"/>
      <c r="D5932" s="4" t="s">
        <v>12891</v>
      </c>
      <c r="E5932" s="4" t="s">
        <v>10564</v>
      </c>
      <c r="F5932" s="4" t="s">
        <v>2695</v>
      </c>
      <c r="G5932" s="5" t="str">
        <f>IFERROR(__xludf.DUMMYFUNCTION("GOOGLETRANSLATE(D5932,""fr"",""es"")"),"minas")</f>
        <v>minas</v>
      </c>
    </row>
    <row r="5933">
      <c r="A5933" s="4">
        <v>475.0</v>
      </c>
      <c r="B5933" s="4" t="s">
        <v>13990</v>
      </c>
      <c r="C5933" s="4"/>
      <c r="D5933" s="4" t="s">
        <v>12892</v>
      </c>
      <c r="E5933" s="4" t="s">
        <v>12893</v>
      </c>
      <c r="F5933" s="4" t="s">
        <v>12891</v>
      </c>
      <c r="G5933" s="5" t="str">
        <f>IFERROR(__xludf.DUMMYFUNCTION("GOOGLETRANSLATE(D5933,""fr"",""es"")"),"Minassus")</f>
        <v>Minassus</v>
      </c>
    </row>
    <row r="5934">
      <c r="A5934" s="4">
        <v>476.0</v>
      </c>
      <c r="B5934" s="4" t="s">
        <v>13990</v>
      </c>
      <c r="C5934" s="4"/>
      <c r="D5934" s="4" t="s">
        <v>12894</v>
      </c>
      <c r="E5934" s="4" t="s">
        <v>12893</v>
      </c>
      <c r="F5934" s="4" t="s">
        <v>12891</v>
      </c>
      <c r="G5934" s="5" t="str">
        <f>IFERROR(__xludf.DUMMYFUNCTION("GOOGLETRANSLATE(D5934,""fr"",""es"")"),"minuto")</f>
        <v>minuto</v>
      </c>
    </row>
    <row r="5935">
      <c r="A5935" s="4">
        <v>477.0</v>
      </c>
      <c r="B5935" s="4" t="s">
        <v>13990</v>
      </c>
      <c r="C5935" s="4"/>
      <c r="D5935" s="4" t="s">
        <v>12895</v>
      </c>
      <c r="E5935" s="4" t="s">
        <v>12893</v>
      </c>
      <c r="F5935" s="4" t="s">
        <v>12891</v>
      </c>
      <c r="G5935" s="5" t="str">
        <f>IFERROR(__xludf.DUMMYFUNCTION("GOOGLETRANSLATE(D5935,""fr"",""es"")"),"Minassus")</f>
        <v>Minassus</v>
      </c>
    </row>
    <row r="5936">
      <c r="A5936" s="4">
        <v>478.0</v>
      </c>
      <c r="B5936" s="4" t="s">
        <v>13990</v>
      </c>
      <c r="C5936" s="4"/>
      <c r="D5936" s="4" t="s">
        <v>2698</v>
      </c>
      <c r="E5936" s="4" t="s">
        <v>9129</v>
      </c>
      <c r="F5936" s="4" t="s">
        <v>6841</v>
      </c>
      <c r="G5936" s="5" t="str">
        <f>IFERROR(__xludf.DUMMYFUNCTION("GOOGLETRANSLATE(D5936,""fr"",""es"")"),"mía")</f>
        <v>mía</v>
      </c>
      <c r="H5936" s="4" t="s">
        <v>12896</v>
      </c>
      <c r="I5936" s="4" t="s">
        <v>12897</v>
      </c>
      <c r="J5936" s="4" t="s">
        <v>12896</v>
      </c>
      <c r="K5936" s="4" t="s">
        <v>12898</v>
      </c>
      <c r="L5936" s="4" t="s">
        <v>2698</v>
      </c>
      <c r="M5936" s="4" t="s">
        <v>2698</v>
      </c>
      <c r="N5936" s="4" t="s">
        <v>12899</v>
      </c>
      <c r="O5936" s="4" t="s">
        <v>12900</v>
      </c>
      <c r="P5936" s="4" t="s">
        <v>12901</v>
      </c>
      <c r="Q5936" s="4" t="s">
        <v>12902</v>
      </c>
      <c r="R5936" s="4" t="s">
        <v>12903</v>
      </c>
      <c r="S5936" s="4" t="s">
        <v>12904</v>
      </c>
    </row>
    <row r="5937">
      <c r="A5937" s="4">
        <v>479.0</v>
      </c>
      <c r="B5937" s="4" t="s">
        <v>13990</v>
      </c>
      <c r="C5937" s="4"/>
      <c r="D5937" s="4" t="s">
        <v>12905</v>
      </c>
      <c r="E5937" s="4" t="s">
        <v>9129</v>
      </c>
      <c r="F5937" s="4" t="s">
        <v>6841</v>
      </c>
      <c r="G5937" s="5" t="str">
        <f>IFERROR(__xludf.DUMMYFUNCTION("GOOGLETRANSLATE(D5937,""fr"",""es"")"),"mía")</f>
        <v>mía</v>
      </c>
    </row>
    <row r="5938">
      <c r="A5938" s="4">
        <v>480.0</v>
      </c>
      <c r="B5938" s="4" t="s">
        <v>13990</v>
      </c>
      <c r="C5938" s="4"/>
      <c r="D5938" s="4" t="s">
        <v>12906</v>
      </c>
      <c r="E5938" s="4" t="s">
        <v>9129</v>
      </c>
      <c r="F5938" s="4" t="s">
        <v>6841</v>
      </c>
      <c r="G5938" s="5" t="str">
        <f>IFERROR(__xludf.DUMMYFUNCTION("GOOGLETRANSLATE(D5938,""fr"",""es"")"),"minas")</f>
        <v>minas</v>
      </c>
    </row>
    <row r="5939">
      <c r="A5939" s="4">
        <v>481.0</v>
      </c>
      <c r="B5939" s="4" t="s">
        <v>13990</v>
      </c>
      <c r="C5939" s="4"/>
      <c r="D5939" s="4" t="s">
        <v>6851</v>
      </c>
      <c r="E5939" s="4" t="s">
        <v>12907</v>
      </c>
      <c r="F5939" s="4" t="s">
        <v>6851</v>
      </c>
      <c r="G5939" s="5" t="str">
        <f>IFERROR(__xludf.DUMMYFUNCTION("GOOGLETRANSLATE(D5939,""fr"",""es"")"),"mini")</f>
        <v>mini</v>
      </c>
    </row>
    <row r="5940">
      <c r="A5940" s="4">
        <v>482.0</v>
      </c>
      <c r="B5940" s="4" t="s">
        <v>13990</v>
      </c>
      <c r="C5940" s="4"/>
      <c r="D5940" s="4" t="s">
        <v>2896</v>
      </c>
      <c r="E5940" s="4" t="s">
        <v>12908</v>
      </c>
      <c r="F5940" s="4" t="s">
        <v>2896</v>
      </c>
      <c r="G5940" s="5" t="str">
        <f>IFERROR(__xludf.DUMMYFUNCTION("GOOGLETRANSLATE(D5940,""fr"",""es"")"),"mínimo")</f>
        <v>mínimo</v>
      </c>
      <c r="H5940" s="4" t="s">
        <v>2896</v>
      </c>
      <c r="I5940" s="4" t="s">
        <v>2897</v>
      </c>
    </row>
    <row r="5941">
      <c r="A5941" s="4">
        <v>483.0</v>
      </c>
      <c r="B5941" s="4" t="s">
        <v>13990</v>
      </c>
      <c r="C5941" s="4"/>
      <c r="D5941" s="4" t="s">
        <v>12909</v>
      </c>
      <c r="E5941" s="4" t="s">
        <v>12910</v>
      </c>
      <c r="F5941" s="4" t="s">
        <v>12911</v>
      </c>
      <c r="G5941" s="5" t="str">
        <f>IFERROR(__xludf.DUMMYFUNCTION("GOOGLETRANSLATE(D5941,""fr"",""es"")"),"gatito")</f>
        <v>gatito</v>
      </c>
      <c r="H5941" s="4" t="s">
        <v>2722</v>
      </c>
      <c r="I5941" s="4" t="s">
        <v>2723</v>
      </c>
      <c r="J5941" s="4" t="s">
        <v>2724</v>
      </c>
      <c r="K5941" s="4" t="s">
        <v>2725</v>
      </c>
      <c r="L5941" s="4" t="s">
        <v>2726</v>
      </c>
      <c r="M5941" s="4" t="s">
        <v>6481</v>
      </c>
      <c r="N5941" s="4" t="s">
        <v>2722</v>
      </c>
      <c r="O5941" s="4" t="s">
        <v>3432</v>
      </c>
      <c r="P5941" s="4" t="s">
        <v>2724</v>
      </c>
      <c r="Q5941" s="4" t="s">
        <v>2725</v>
      </c>
      <c r="R5941" s="4" t="s">
        <v>3433</v>
      </c>
      <c r="S5941" s="4" t="s">
        <v>3434</v>
      </c>
      <c r="T5941" s="4" t="s">
        <v>3435</v>
      </c>
      <c r="U5941" s="4" t="s">
        <v>10719</v>
      </c>
      <c r="V5941" s="4" t="s">
        <v>12912</v>
      </c>
      <c r="W5941" s="4" t="s">
        <v>8108</v>
      </c>
      <c r="X5941" s="4" t="s">
        <v>12913</v>
      </c>
    </row>
    <row r="5942">
      <c r="A5942" s="4">
        <v>484.0</v>
      </c>
      <c r="B5942" s="4" t="s">
        <v>13990</v>
      </c>
      <c r="C5942" s="4"/>
      <c r="D5942" s="4" t="s">
        <v>12914</v>
      </c>
      <c r="E5942" s="4" t="s">
        <v>10566</v>
      </c>
      <c r="F5942" s="4" t="s">
        <v>10565</v>
      </c>
      <c r="G5942" s="5" t="str">
        <f>IFERROR(__xludf.DUMMYFUNCTION("GOOGLETRANSLATE(D5942,""fr"",""es"")"),"gatito")</f>
        <v>gatito</v>
      </c>
    </row>
    <row r="5943">
      <c r="A5943" s="4">
        <v>485.0</v>
      </c>
      <c r="B5943" s="4" t="s">
        <v>13990</v>
      </c>
      <c r="C5943" s="4"/>
      <c r="D5943" s="4" t="s">
        <v>12915</v>
      </c>
      <c r="E5943" s="4" t="s">
        <v>12916</v>
      </c>
      <c r="F5943" s="4" t="s">
        <v>12917</v>
      </c>
      <c r="G5943" s="5" t="str">
        <f>IFERROR(__xludf.DUMMYFUNCTION("GOOGLETRANSLATE(D5943,""fr"",""es"")"),"mi nombre")</f>
        <v>mi nombre</v>
      </c>
    </row>
    <row r="5944">
      <c r="A5944" s="4">
        <v>486.0</v>
      </c>
      <c r="B5944" s="4" t="s">
        <v>13990</v>
      </c>
      <c r="C5944" s="4"/>
      <c r="D5944" s="4" t="s">
        <v>12918</v>
      </c>
      <c r="E5944" s="4" t="s">
        <v>10564</v>
      </c>
      <c r="F5944" s="4" t="s">
        <v>2695</v>
      </c>
      <c r="G5944" s="5" t="str">
        <f>IFERROR(__xludf.DUMMYFUNCTION("GOOGLETRANSLATE(D5944,""fr"",""es"")"),"minatista")</f>
        <v>minatista</v>
      </c>
    </row>
    <row r="5945">
      <c r="A5945" s="4">
        <v>487.0</v>
      </c>
      <c r="B5945" s="4" t="s">
        <v>13990</v>
      </c>
      <c r="C5945" s="4"/>
      <c r="D5945" s="4" t="s">
        <v>2711</v>
      </c>
      <c r="E5945" s="4" t="s">
        <v>341</v>
      </c>
      <c r="F5945" s="4" t="s">
        <v>342</v>
      </c>
      <c r="G5945" s="5" t="str">
        <f>IFERROR(__xludf.DUMMYFUNCTION("GOOGLETRANSLATE(D5945,""fr"",""es"")"),"poner")</f>
        <v>poner</v>
      </c>
    </row>
    <row r="5946">
      <c r="A5946" s="4">
        <v>488.0</v>
      </c>
      <c r="B5946" s="4" t="s">
        <v>13990</v>
      </c>
      <c r="C5946" s="4"/>
      <c r="D5946" s="4" t="s">
        <v>12919</v>
      </c>
      <c r="E5946" s="4" t="s">
        <v>12920</v>
      </c>
      <c r="F5946" s="4" t="s">
        <v>12921</v>
      </c>
      <c r="G5946" s="5" t="str">
        <f>IFERROR(__xludf.DUMMYFUNCTION("GOOGLETRANSLATE(D5946,""fr"",""es"")"),"misil")</f>
        <v>misil</v>
      </c>
      <c r="H5946" s="4" t="s">
        <v>12919</v>
      </c>
      <c r="I5946" s="4" t="s">
        <v>12922</v>
      </c>
      <c r="J5946" s="4" t="s">
        <v>12923</v>
      </c>
    </row>
    <row r="5947">
      <c r="A5947" s="4">
        <v>489.0</v>
      </c>
      <c r="B5947" s="4" t="s">
        <v>13990</v>
      </c>
      <c r="C5947" s="4"/>
      <c r="D5947" s="4" t="s">
        <v>12924</v>
      </c>
      <c r="E5947" s="4" t="s">
        <v>341</v>
      </c>
      <c r="F5947" s="4" t="s">
        <v>342</v>
      </c>
      <c r="G5947" s="5" t="str">
        <f>IFERROR(__xludf.DUMMYFUNCTION("GOOGLETRANSLATE(D5947,""fr"",""es"")"),"poner")</f>
        <v>poner</v>
      </c>
      <c r="H5947" s="4" t="s">
        <v>12925</v>
      </c>
      <c r="I5947" s="4" t="s">
        <v>12926</v>
      </c>
    </row>
    <row r="5948">
      <c r="A5948" s="4">
        <v>490.0</v>
      </c>
      <c r="B5948" s="4" t="s">
        <v>13990</v>
      </c>
      <c r="C5948" s="4"/>
      <c r="D5948" s="4" t="s">
        <v>12927</v>
      </c>
      <c r="E5948" s="4" t="s">
        <v>12928</v>
      </c>
      <c r="F5948" s="4" t="s">
        <v>12927</v>
      </c>
      <c r="G5948" s="5" t="str">
        <f>IFERROR(__xludf.DUMMYFUNCTION("GOOGLETRANSLATE(D5948,""fr"",""es"")"),"mita")</f>
        <v>mita</v>
      </c>
    </row>
    <row r="5949">
      <c r="A5949" s="4">
        <v>491.0</v>
      </c>
      <c r="B5949" s="4" t="s">
        <v>13990</v>
      </c>
      <c r="C5949" s="4"/>
      <c r="D5949" s="4" t="s">
        <v>10583</v>
      </c>
      <c r="E5949" s="4" t="s">
        <v>12929</v>
      </c>
      <c r="F5949" s="4" t="s">
        <v>12927</v>
      </c>
      <c r="G5949" s="5" t="str">
        <f>IFERROR(__xludf.DUMMYFUNCTION("GOOGLETRANSLATE(D5949,""fr"",""es"")"),"mitas")</f>
        <v>mitas</v>
      </c>
    </row>
    <row r="5950">
      <c r="A5950" s="4">
        <v>492.0</v>
      </c>
      <c r="B5950" s="4" t="s">
        <v>13990</v>
      </c>
      <c r="C5950" s="4"/>
      <c r="D5950" s="4" t="s">
        <v>12930</v>
      </c>
      <c r="E5950" s="4" t="s">
        <v>12931</v>
      </c>
      <c r="F5950" s="4" t="s">
        <v>10583</v>
      </c>
      <c r="G5950" s="5" t="str">
        <f>IFERROR(__xludf.DUMMYFUNCTION("GOOGLETRANSLATE(D5950,""fr"",""es"")"),"mitasse")</f>
        <v>mitasse</v>
      </c>
    </row>
    <row r="5951">
      <c r="A5951" s="4">
        <v>493.0</v>
      </c>
      <c r="B5951" s="4" t="s">
        <v>13990</v>
      </c>
      <c r="C5951" s="4"/>
      <c r="D5951" s="4" t="s">
        <v>12932</v>
      </c>
      <c r="E5951" s="4" t="s">
        <v>12931</v>
      </c>
      <c r="F5951" s="4" t="s">
        <v>10583</v>
      </c>
      <c r="G5951" s="5" t="str">
        <f>IFERROR(__xludf.DUMMYFUNCTION("GOOGLETRANSLATE(D5951,""fr"",""es"")"),"mitassent")</f>
        <v>mitassent</v>
      </c>
    </row>
    <row r="5952">
      <c r="A5952" s="4">
        <v>494.0</v>
      </c>
      <c r="B5952" s="4" t="s">
        <v>13990</v>
      </c>
      <c r="C5952" s="4"/>
      <c r="D5952" s="4" t="s">
        <v>12933</v>
      </c>
      <c r="E5952" s="4" t="s">
        <v>12931</v>
      </c>
      <c r="F5952" s="4" t="s">
        <v>10583</v>
      </c>
      <c r="G5952" s="5" t="str">
        <f>IFERROR(__xludf.DUMMYFUNCTION("GOOGLETRANSLATE(D5952,""fr"",""es"")"),"mitasse")</f>
        <v>mitasse</v>
      </c>
    </row>
    <row r="5953">
      <c r="A5953" s="4">
        <v>495.0</v>
      </c>
      <c r="B5953" s="4" t="s">
        <v>13990</v>
      </c>
      <c r="C5953" s="4"/>
      <c r="D5953" s="4" t="s">
        <v>12934</v>
      </c>
      <c r="E5953" s="4" t="s">
        <v>12935</v>
      </c>
      <c r="F5953" s="4" t="s">
        <v>12936</v>
      </c>
      <c r="G5953" s="5" t="str">
        <f>IFERROR(__xludf.DUMMYFUNCTION("GOOGLETRANSLATE(D5953,""fr"",""es"")"),"mitées")</f>
        <v>mitées</v>
      </c>
    </row>
    <row r="5954">
      <c r="A5954" s="4">
        <v>496.0</v>
      </c>
      <c r="B5954" s="4" t="s">
        <v>13990</v>
      </c>
      <c r="C5954" s="4"/>
      <c r="D5954" s="4" t="s">
        <v>12937</v>
      </c>
      <c r="E5954" s="4" t="s">
        <v>12929</v>
      </c>
      <c r="F5954" s="4" t="s">
        <v>12927</v>
      </c>
      <c r="G5954" s="5" t="str">
        <f>IFERROR(__xludf.DUMMYFUNCTION("GOOGLETRANSLATE(D5954,""fr"",""es"")"),"mitât")</f>
        <v>mitât</v>
      </c>
    </row>
    <row r="5955">
      <c r="A5955" s="4">
        <v>497.0</v>
      </c>
      <c r="B5955" s="4" t="s">
        <v>13990</v>
      </c>
      <c r="C5955" s="4"/>
      <c r="D5955" s="4" t="s">
        <v>12938</v>
      </c>
      <c r="E5955" s="4" t="s">
        <v>12939</v>
      </c>
      <c r="F5955" s="4" t="s">
        <v>12938</v>
      </c>
      <c r="G5955" s="5" t="str">
        <f>IFERROR(__xludf.DUMMYFUNCTION("GOOGLETRANSLATE(D5955,""fr"",""es"")"),"miyu")</f>
        <v>miyu</v>
      </c>
    </row>
    <row r="5956">
      <c r="A5956" s="4">
        <v>498.0</v>
      </c>
      <c r="B5956" s="4" t="s">
        <v>13990</v>
      </c>
      <c r="C5956" s="4"/>
      <c r="D5956" s="4" t="s">
        <v>12940</v>
      </c>
      <c r="E5956" s="4" t="s">
        <v>12941</v>
      </c>
      <c r="F5956" s="4" t="s">
        <v>12940</v>
      </c>
      <c r="G5956" s="5" t="str">
        <f>IFERROR(__xludf.DUMMYFUNCTION("GOOGLETRANSLATE(D5956,""fr"",""es"")"),"miyuki")</f>
        <v>miyuki</v>
      </c>
    </row>
    <row r="5957">
      <c r="A5957" s="4">
        <v>499.0</v>
      </c>
      <c r="B5957" s="4" t="s">
        <v>13990</v>
      </c>
      <c r="C5957" s="4"/>
      <c r="D5957" s="4" t="s">
        <v>12942</v>
      </c>
      <c r="E5957" s="4" t="s">
        <v>366</v>
      </c>
      <c r="F5957" s="4" t="s">
        <v>367</v>
      </c>
      <c r="G5957" s="5" t="str">
        <f>IFERROR(__xludf.DUMMYFUNCTION("GOOGLETRANSLATE(D5957,""fr"",""es"")"),"suave")</f>
        <v>suave</v>
      </c>
      <c r="H5957" s="4" t="s">
        <v>12943</v>
      </c>
      <c r="I5957" s="4" t="s">
        <v>6102</v>
      </c>
      <c r="J5957" s="4" t="s">
        <v>6100</v>
      </c>
      <c r="K5957" s="4" t="s">
        <v>6102</v>
      </c>
      <c r="L5957" s="4" t="s">
        <v>6103</v>
      </c>
      <c r="M5957" s="4" t="s">
        <v>6102</v>
      </c>
      <c r="N5957" s="4" t="s">
        <v>6102</v>
      </c>
      <c r="O5957" s="4" t="s">
        <v>12944</v>
      </c>
      <c r="P5957" s="4" t="s">
        <v>12943</v>
      </c>
      <c r="Q5957" s="4" t="s">
        <v>12945</v>
      </c>
      <c r="R5957" s="4" t="s">
        <v>6102</v>
      </c>
      <c r="S5957" s="4" t="s">
        <v>6102</v>
      </c>
      <c r="T5957" s="4" t="s">
        <v>12946</v>
      </c>
      <c r="U5957" s="4" t="s">
        <v>6102</v>
      </c>
      <c r="V5957" s="4" t="s">
        <v>12947</v>
      </c>
      <c r="W5957" s="4" t="s">
        <v>7702</v>
      </c>
      <c r="X5957" s="4" t="s">
        <v>6102</v>
      </c>
      <c r="Y5957" s="4" t="s">
        <v>12948</v>
      </c>
      <c r="Z5957" s="4" t="s">
        <v>12949</v>
      </c>
      <c r="AA5957" s="4" t="s">
        <v>6102</v>
      </c>
      <c r="AB5957" s="4" t="s">
        <v>12950</v>
      </c>
      <c r="AC5957" s="4" t="s">
        <v>6102</v>
      </c>
      <c r="AD5957" s="4" t="s">
        <v>804</v>
      </c>
      <c r="AE5957" s="4" t="s">
        <v>803</v>
      </c>
    </row>
    <row r="5958">
      <c r="A5958" s="4">
        <v>500.0</v>
      </c>
      <c r="B5958" s="4" t="s">
        <v>13990</v>
      </c>
      <c r="C5958" s="4"/>
      <c r="D5958" s="4" t="s">
        <v>12951</v>
      </c>
      <c r="E5958" s="4" t="s">
        <v>12952</v>
      </c>
      <c r="F5958" s="4" t="s">
        <v>6895</v>
      </c>
      <c r="G5958" s="5" t="str">
        <f>IFERROR(__xludf.DUMMYFUNCTION("GOOGLETRANSLATE(D5958,""fr"",""es"")"),"mosca")</f>
        <v>mosca</v>
      </c>
      <c r="H5958" s="4" t="s">
        <v>371</v>
      </c>
      <c r="I5958" s="4" t="s">
        <v>371</v>
      </c>
      <c r="J5958" s="4" t="s">
        <v>12953</v>
      </c>
      <c r="K5958" s="4" t="s">
        <v>12954</v>
      </c>
      <c r="L5958" s="4" t="s">
        <v>371</v>
      </c>
      <c r="M5958" s="4" t="s">
        <v>12955</v>
      </c>
      <c r="N5958" s="4" t="s">
        <v>371</v>
      </c>
      <c r="O5958" s="4" t="s">
        <v>371</v>
      </c>
      <c r="P5958" s="4" t="s">
        <v>371</v>
      </c>
      <c r="Q5958" s="4" t="s">
        <v>371</v>
      </c>
      <c r="R5958" s="4" t="s">
        <v>371</v>
      </c>
      <c r="S5958" s="4" t="s">
        <v>371</v>
      </c>
      <c r="T5958" s="4" t="s">
        <v>371</v>
      </c>
      <c r="U5958" s="4" t="s">
        <v>371</v>
      </c>
      <c r="V5958" s="4" t="s">
        <v>12956</v>
      </c>
      <c r="W5958" s="4" t="s">
        <v>12954</v>
      </c>
      <c r="X5958" s="4" t="s">
        <v>12957</v>
      </c>
      <c r="Y5958" s="4" t="s">
        <v>371</v>
      </c>
      <c r="Z5958" s="4" t="s">
        <v>12958</v>
      </c>
      <c r="AA5958" s="4" t="s">
        <v>371</v>
      </c>
      <c r="AB5958" s="4" t="s">
        <v>371</v>
      </c>
      <c r="AC5958" s="4" t="s">
        <v>12959</v>
      </c>
      <c r="AD5958" s="4" t="s">
        <v>12960</v>
      </c>
      <c r="AE5958" s="4" t="s">
        <v>371</v>
      </c>
      <c r="AF5958" s="4" t="s">
        <v>12961</v>
      </c>
      <c r="AG5958" s="4" t="s">
        <v>371</v>
      </c>
      <c r="AH5958" s="4" t="s">
        <v>12962</v>
      </c>
      <c r="AI5958" s="4" t="s">
        <v>12963</v>
      </c>
      <c r="AJ5958" s="4" t="s">
        <v>12964</v>
      </c>
      <c r="AK5958" s="4" t="s">
        <v>371</v>
      </c>
      <c r="AL5958" s="4" t="s">
        <v>12965</v>
      </c>
      <c r="AM5958" s="4" t="s">
        <v>12959</v>
      </c>
    </row>
    <row r="5959">
      <c r="A5959" s="4">
        <v>501.0</v>
      </c>
      <c r="B5959" s="4" t="s">
        <v>13990</v>
      </c>
      <c r="C5959" s="4"/>
      <c r="D5959" s="4" t="s">
        <v>12966</v>
      </c>
      <c r="E5959" s="4" t="s">
        <v>12952</v>
      </c>
      <c r="F5959" s="4" t="s">
        <v>6895</v>
      </c>
      <c r="G5959" s="5" t="str">
        <f>IFERROR(__xludf.DUMMYFUNCTION("GOOGLETRANSLATE(D5959,""fr"",""es"")"),"moscas")</f>
        <v>moscas</v>
      </c>
    </row>
    <row r="5960">
      <c r="A5960" s="4">
        <v>502.0</v>
      </c>
      <c r="B5960" s="4" t="s">
        <v>13990</v>
      </c>
      <c r="C5960" s="4"/>
      <c r="D5960" s="4" t="s">
        <v>12967</v>
      </c>
      <c r="E5960" s="4" t="s">
        <v>366</v>
      </c>
      <c r="F5960" s="4" t="s">
        <v>367</v>
      </c>
      <c r="G5960" s="5" t="str">
        <f>IFERROR(__xludf.DUMMYFUNCTION("GOOGLETRANSLATE(D5960,""fr"",""es"")"),"abadejo")</f>
        <v>abadejo</v>
      </c>
      <c r="H5960" s="4" t="s">
        <v>8544</v>
      </c>
      <c r="I5960" s="4" t="s">
        <v>12967</v>
      </c>
      <c r="J5960" s="4" t="s">
        <v>12968</v>
      </c>
    </row>
    <row r="5961">
      <c r="A5961" s="4">
        <v>503.0</v>
      </c>
      <c r="B5961" s="4" t="s">
        <v>13990</v>
      </c>
      <c r="C5961" s="4"/>
      <c r="D5961" s="4" t="s">
        <v>12969</v>
      </c>
      <c r="E5961" s="4" t="s">
        <v>12970</v>
      </c>
      <c r="F5961" s="4" t="s">
        <v>12971</v>
      </c>
      <c r="G5961" s="5" t="str">
        <f>IFERROR(__xludf.DUMMYFUNCTION("GOOGLETRANSLATE(D5961,""fr"",""es"")"),"mojado")</f>
        <v>mojado</v>
      </c>
    </row>
    <row r="5962">
      <c r="A5962" s="4">
        <v>504.0</v>
      </c>
      <c r="B5962" s="4" t="s">
        <v>13990</v>
      </c>
      <c r="C5962" s="4"/>
      <c r="D5962" s="4" t="s">
        <v>12972</v>
      </c>
      <c r="E5962" s="4" t="s">
        <v>2787</v>
      </c>
      <c r="F5962" s="4" t="s">
        <v>2786</v>
      </c>
      <c r="G5962" s="5" t="str">
        <f>IFERROR(__xludf.DUMMYFUNCTION("GOOGLETRANSLATE(D5962,""fr"",""es"")"),"moula")</f>
        <v>moula</v>
      </c>
    </row>
    <row r="5963">
      <c r="A5963" s="4">
        <v>505.0</v>
      </c>
      <c r="B5963" s="4" t="s">
        <v>13990</v>
      </c>
      <c r="C5963" s="4"/>
      <c r="D5963" s="4" t="s">
        <v>12973</v>
      </c>
      <c r="E5963" s="4" t="s">
        <v>12974</v>
      </c>
      <c r="F5963" s="4" t="s">
        <v>2786</v>
      </c>
      <c r="G5963" s="5" t="str">
        <f>IFERROR(__xludf.DUMMYFUNCTION("GOOGLETRANSLATE(D5963,""fr"",""es"")"),"Moulas")</f>
        <v>Moulas</v>
      </c>
    </row>
    <row r="5964">
      <c r="A5964" s="4">
        <v>506.0</v>
      </c>
      <c r="B5964" s="4" t="s">
        <v>13990</v>
      </c>
      <c r="C5964" s="4"/>
      <c r="D5964" s="4" t="s">
        <v>12975</v>
      </c>
      <c r="E5964" s="4" t="s">
        <v>12976</v>
      </c>
      <c r="F5964" s="4" t="s">
        <v>12977</v>
      </c>
      <c r="G5964" s="5" t="str">
        <f>IFERROR(__xludf.DUMMYFUNCTION("GOOGLETRANSLATE(D5964,""fr"",""es"")"),"moldura")</f>
        <v>moldura</v>
      </c>
    </row>
    <row r="5965">
      <c r="A5965" s="4">
        <v>507.0</v>
      </c>
      <c r="B5965" s="4" t="s">
        <v>13990</v>
      </c>
      <c r="C5965" s="4"/>
      <c r="D5965" s="4" t="s">
        <v>12978</v>
      </c>
      <c r="E5965" s="4" t="s">
        <v>12976</v>
      </c>
      <c r="F5965" s="4" t="s">
        <v>12977</v>
      </c>
      <c r="G5965" s="5" t="str">
        <f>IFERROR(__xludf.DUMMYFUNCTION("GOOGLETRANSLATE(D5965,""fr"",""es"")"),"moho")</f>
        <v>moho</v>
      </c>
    </row>
    <row r="5966">
      <c r="A5966" s="4">
        <v>508.0</v>
      </c>
      <c r="B5966" s="4" t="s">
        <v>13990</v>
      </c>
      <c r="C5966" s="4"/>
      <c r="D5966" s="4" t="s">
        <v>12979</v>
      </c>
      <c r="E5966" s="4" t="s">
        <v>12976</v>
      </c>
      <c r="F5966" s="4" t="s">
        <v>12977</v>
      </c>
      <c r="G5966" s="5" t="str">
        <f>IFERROR(__xludf.DUMMYFUNCTION("GOOGLETRANSLATE(D5966,""fr"",""es"")"),"muda")</f>
        <v>muda</v>
      </c>
    </row>
    <row r="5967">
      <c r="A5967" s="4">
        <v>509.0</v>
      </c>
      <c r="B5967" s="4" t="s">
        <v>13990</v>
      </c>
      <c r="C5967" s="4"/>
      <c r="D5967" s="4" t="s">
        <v>12980</v>
      </c>
      <c r="E5967" s="4" t="s">
        <v>2784</v>
      </c>
      <c r="F5967" s="4" t="s">
        <v>2783</v>
      </c>
      <c r="G5967" s="5" t="str">
        <f>IFERROR(__xludf.DUMMYFUNCTION("GOOGLETRANSLATE(D5967,""fr"",""es"")"),"mejillón")</f>
        <v>mejillón</v>
      </c>
      <c r="H5967" s="4" t="s">
        <v>12981</v>
      </c>
      <c r="I5967" s="4" t="s">
        <v>5156</v>
      </c>
      <c r="J5967" s="4" t="s">
        <v>5157</v>
      </c>
      <c r="K5967" s="4" t="s">
        <v>5158</v>
      </c>
      <c r="L5967" s="4" t="s">
        <v>5156</v>
      </c>
      <c r="M5967" s="4" t="s">
        <v>5157</v>
      </c>
      <c r="N5967" s="4" t="s">
        <v>12982</v>
      </c>
      <c r="O5967" s="4" t="s">
        <v>12983</v>
      </c>
      <c r="P5967" s="4" t="s">
        <v>12984</v>
      </c>
      <c r="Q5967" s="4" t="s">
        <v>12985</v>
      </c>
      <c r="R5967" s="4" t="s">
        <v>3973</v>
      </c>
      <c r="S5967" s="4" t="s">
        <v>3974</v>
      </c>
      <c r="T5967" s="4" t="s">
        <v>12981</v>
      </c>
    </row>
    <row r="5968">
      <c r="A5968" s="4">
        <v>510.0</v>
      </c>
      <c r="B5968" s="4" t="s">
        <v>13990</v>
      </c>
      <c r="C5968" s="4"/>
      <c r="D5968" s="4" t="s">
        <v>12986</v>
      </c>
      <c r="E5968" s="4" t="s">
        <v>366</v>
      </c>
      <c r="F5968" s="4" t="s">
        <v>367</v>
      </c>
      <c r="G5968" s="5" t="str">
        <f>IFERROR(__xludf.DUMMYFUNCTION("GOOGLETRANSLATE(D5968,""fr"",""es"")"),"muda")</f>
        <v>muda</v>
      </c>
      <c r="H5968" s="4" t="s">
        <v>8505</v>
      </c>
    </row>
    <row r="5969">
      <c r="A5969" s="4">
        <v>511.0</v>
      </c>
      <c r="B5969" s="4" t="s">
        <v>13990</v>
      </c>
      <c r="C5969" s="4"/>
      <c r="D5969" s="4" t="s">
        <v>12986</v>
      </c>
      <c r="E5969" s="4" t="s">
        <v>2784</v>
      </c>
      <c r="F5969" s="4" t="s">
        <v>2783</v>
      </c>
      <c r="G5969" s="5" t="str">
        <f>IFERROR(__xludf.DUMMYFUNCTION("GOOGLETRANSLATE(D5969,""fr"",""es"")"),"muda")</f>
        <v>muda</v>
      </c>
      <c r="H5969" s="4" t="s">
        <v>8505</v>
      </c>
    </row>
    <row r="5970">
      <c r="A5970" s="4">
        <v>512.0</v>
      </c>
      <c r="B5970" s="4" t="s">
        <v>13990</v>
      </c>
      <c r="C5970" s="4"/>
      <c r="D5970" s="4" t="s">
        <v>12987</v>
      </c>
      <c r="E5970" s="4" t="s">
        <v>12988</v>
      </c>
      <c r="F5970" s="4" t="s">
        <v>12989</v>
      </c>
      <c r="G5970" s="5" t="str">
        <f>IFERROR(__xludf.DUMMYFUNCTION("GOOGLETRANSLATE(D5970,""fr"",""es"")"),"apretado")</f>
        <v>apretado</v>
      </c>
    </row>
    <row r="5971">
      <c r="A5971" s="4">
        <v>513.0</v>
      </c>
      <c r="B5971" s="4" t="s">
        <v>13990</v>
      </c>
      <c r="C5971" s="4"/>
      <c r="D5971" s="4" t="s">
        <v>12990</v>
      </c>
      <c r="E5971" s="4" t="s">
        <v>12974</v>
      </c>
      <c r="F5971" s="4" t="s">
        <v>2786</v>
      </c>
      <c r="G5971" s="5" t="str">
        <f>IFERROR(__xludf.DUMMYFUNCTION("GOOGLETRANSLATE(D5971,""fr"",""es"")"),"apretado")</f>
        <v>apretado</v>
      </c>
    </row>
    <row r="5972">
      <c r="A5972" s="4">
        <v>514.0</v>
      </c>
      <c r="B5972" s="4" t="s">
        <v>13990</v>
      </c>
      <c r="C5972" s="4"/>
      <c r="D5972" s="4" t="s">
        <v>12991</v>
      </c>
      <c r="E5972" s="4" t="s">
        <v>12992</v>
      </c>
      <c r="F5972" s="4" t="s">
        <v>12993</v>
      </c>
      <c r="G5972" s="5" t="str">
        <f>IFERROR(__xludf.DUMMYFUNCTION("GOOGLETRANSLATE(D5972,""fr"",""es"")"),"moumoune")</f>
        <v>moumoune</v>
      </c>
    </row>
    <row r="5973">
      <c r="A5973" s="4">
        <v>515.0</v>
      </c>
      <c r="B5973" s="4" t="s">
        <v>13990</v>
      </c>
      <c r="C5973" s="4"/>
      <c r="D5973" s="4" t="s">
        <v>12994</v>
      </c>
      <c r="E5973" s="4" t="s">
        <v>2846</v>
      </c>
      <c r="F5973" s="4" t="s">
        <v>2847</v>
      </c>
      <c r="G5973" s="5" t="str">
        <f>IFERROR(__xludf.DUMMYFUNCTION("GOOGLETRANSLATE(D5973,""fr"",""es"")"),"moussa")</f>
        <v>moussa</v>
      </c>
    </row>
    <row r="5974">
      <c r="A5974" s="4">
        <v>516.0</v>
      </c>
      <c r="B5974" s="4" t="s">
        <v>13990</v>
      </c>
      <c r="C5974" s="4"/>
      <c r="D5974" s="4" t="s">
        <v>12995</v>
      </c>
      <c r="E5974" s="4" t="s">
        <v>10615</v>
      </c>
      <c r="F5974" s="4" t="s">
        <v>2847</v>
      </c>
      <c r="G5974" s="5" t="str">
        <f>IFERROR(__xludf.DUMMYFUNCTION("GOOGLETRANSLATE(D5974,""fr"",""es"")"),"Moussas")</f>
        <v>Moussas</v>
      </c>
    </row>
    <row r="5975">
      <c r="A5975" s="4">
        <v>517.0</v>
      </c>
      <c r="B5975" s="4" t="s">
        <v>13990</v>
      </c>
      <c r="C5975" s="4"/>
      <c r="D5975" s="4" t="s">
        <v>12996</v>
      </c>
      <c r="E5975" s="4" t="s">
        <v>12997</v>
      </c>
      <c r="F5975" s="4" t="s">
        <v>12998</v>
      </c>
      <c r="G5975" s="5" t="str">
        <f>IFERROR(__xludf.DUMMYFUNCTION("GOOGLETRANSLATE(D5975,""fr"",""es"")"),"musgo")</f>
        <v>musgo</v>
      </c>
    </row>
    <row r="5976">
      <c r="A5976" s="4">
        <v>518.0</v>
      </c>
      <c r="B5976" s="4" t="s">
        <v>13990</v>
      </c>
      <c r="C5976" s="4"/>
      <c r="D5976" s="4" t="s">
        <v>12999</v>
      </c>
      <c r="E5976" s="4" t="s">
        <v>12997</v>
      </c>
      <c r="F5976" s="4" t="s">
        <v>12998</v>
      </c>
      <c r="G5976" s="5" t="str">
        <f>IFERROR(__xludf.DUMMYFUNCTION("GOOGLETRANSLATE(D5976,""fr"",""es"")"),"Mossasse")</f>
        <v>Mossasse</v>
      </c>
    </row>
    <row r="5977">
      <c r="A5977" s="4">
        <v>519.0</v>
      </c>
      <c r="B5977" s="4" t="s">
        <v>13990</v>
      </c>
      <c r="C5977" s="4"/>
      <c r="D5977" s="4" t="s">
        <v>13000</v>
      </c>
      <c r="E5977" s="4" t="s">
        <v>12997</v>
      </c>
      <c r="F5977" s="4" t="s">
        <v>12998</v>
      </c>
      <c r="G5977" s="5" t="str">
        <f>IFERROR(__xludf.DUMMYFUNCTION("GOOGLETRANSLATE(D5977,""fr"",""es"")"),"musgo")</f>
        <v>musgo</v>
      </c>
    </row>
    <row r="5978">
      <c r="A5978" s="4">
        <v>520.0</v>
      </c>
      <c r="B5978" s="4" t="s">
        <v>13990</v>
      </c>
      <c r="C5978" s="4"/>
      <c r="D5978" s="4" t="s">
        <v>13001</v>
      </c>
      <c r="E5978" s="4" t="s">
        <v>13002</v>
      </c>
      <c r="F5978" s="4" t="s">
        <v>13003</v>
      </c>
      <c r="G5978" s="5" t="str">
        <f>IFERROR(__xludf.DUMMYFUNCTION("GOOGLETRANSLATE(D5978,""fr"",""es"")"),"espuma")</f>
        <v>espuma</v>
      </c>
      <c r="H5978" s="4" t="s">
        <v>13004</v>
      </c>
      <c r="I5978" s="4" t="s">
        <v>13005</v>
      </c>
      <c r="J5978" s="4" t="s">
        <v>13006</v>
      </c>
      <c r="K5978" s="4" t="s">
        <v>13007</v>
      </c>
      <c r="L5978" s="4" t="s">
        <v>13004</v>
      </c>
      <c r="M5978" s="4" t="s">
        <v>13008</v>
      </c>
      <c r="N5978" s="4" t="s">
        <v>13009</v>
      </c>
      <c r="O5978" s="4" t="s">
        <v>692</v>
      </c>
      <c r="P5978" s="4" t="s">
        <v>13010</v>
      </c>
      <c r="Q5978" s="4" t="s">
        <v>13007</v>
      </c>
      <c r="R5978" s="4" t="s">
        <v>13004</v>
      </c>
      <c r="S5978" s="4" t="s">
        <v>13011</v>
      </c>
      <c r="T5978" s="4" t="s">
        <v>13006</v>
      </c>
      <c r="U5978" s="4" t="s">
        <v>6578</v>
      </c>
      <c r="V5978" s="4" t="s">
        <v>13012</v>
      </c>
      <c r="W5978" s="4" t="s">
        <v>13013</v>
      </c>
      <c r="X5978" s="4" t="s">
        <v>13014</v>
      </c>
      <c r="Y5978" s="4" t="s">
        <v>13015</v>
      </c>
      <c r="Z5978" s="4" t="s">
        <v>13007</v>
      </c>
    </row>
    <row r="5979">
      <c r="A5979" s="4">
        <v>521.0</v>
      </c>
      <c r="B5979" s="4" t="s">
        <v>13990</v>
      </c>
      <c r="C5979" s="4"/>
      <c r="D5979" s="4" t="s">
        <v>13016</v>
      </c>
      <c r="E5979" s="4" t="s">
        <v>13002</v>
      </c>
      <c r="F5979" s="4" t="s">
        <v>13003</v>
      </c>
      <c r="G5979" s="5" t="str">
        <f>IFERROR(__xludf.DUMMYFUNCTION("GOOGLETRANSLATE(D5979,""fr"",""es"")"),"látigo")</f>
        <v>látigo</v>
      </c>
    </row>
    <row r="5980">
      <c r="A5980" s="4">
        <v>522.0</v>
      </c>
      <c r="B5980" s="4" t="s">
        <v>13990</v>
      </c>
      <c r="C5980" s="4"/>
      <c r="D5980" s="4" t="s">
        <v>13017</v>
      </c>
      <c r="E5980" s="4" t="s">
        <v>13002</v>
      </c>
      <c r="F5980" s="4" t="s">
        <v>13003</v>
      </c>
      <c r="G5980" s="5" t="str">
        <f>IFERROR(__xludf.DUMMYFUNCTION("GOOGLETRANSLATE(D5980,""fr"",""es"")"),"musgo")</f>
        <v>musgo</v>
      </c>
    </row>
    <row r="5981">
      <c r="A5981" s="4">
        <v>523.0</v>
      </c>
      <c r="B5981" s="4" t="s">
        <v>13990</v>
      </c>
      <c r="C5981" s="4"/>
      <c r="D5981" s="4" t="s">
        <v>13018</v>
      </c>
      <c r="E5981" s="4" t="s">
        <v>13019</v>
      </c>
      <c r="F5981" s="4" t="s">
        <v>13020</v>
      </c>
      <c r="G5981" s="5" t="str">
        <f>IFERROR(__xludf.DUMMYFUNCTION("GOOGLETRANSLATE(D5981,""fr"",""es"")"),"moussâme")</f>
        <v>moussâme</v>
      </c>
    </row>
    <row r="5982">
      <c r="A5982" s="4">
        <v>524.0</v>
      </c>
      <c r="B5982" s="4" t="s">
        <v>13990</v>
      </c>
      <c r="C5982" s="4"/>
      <c r="D5982" s="4" t="s">
        <v>13021</v>
      </c>
      <c r="E5982" s="4" t="s">
        <v>10615</v>
      </c>
      <c r="F5982" s="4" t="s">
        <v>2847</v>
      </c>
      <c r="G5982" s="5" t="str">
        <f>IFERROR(__xludf.DUMMYFUNCTION("GOOGLETRANSLATE(D5982,""fr"",""es"")"),"moussât")</f>
        <v>moussât</v>
      </c>
    </row>
    <row r="5983">
      <c r="A5983" s="4">
        <v>525.0</v>
      </c>
      <c r="B5983" s="4" t="s">
        <v>13990</v>
      </c>
      <c r="C5983" s="4"/>
      <c r="D5983" s="4" t="s">
        <v>13022</v>
      </c>
      <c r="E5983" s="4" t="s">
        <v>366</v>
      </c>
      <c r="F5983" s="4" t="s">
        <v>367</v>
      </c>
      <c r="G5983" s="5" t="str">
        <f>IFERROR(__xludf.DUMMYFUNCTION("GOOGLETRANSLATE(D5983,""fr"",""es"")"),"deber")</f>
        <v>deber</v>
      </c>
      <c r="H5983" s="4" t="s">
        <v>13023</v>
      </c>
      <c r="I5983" s="4" t="s">
        <v>13024</v>
      </c>
      <c r="J5983" s="4" t="s">
        <v>13023</v>
      </c>
      <c r="K5983" s="4" t="s">
        <v>13025</v>
      </c>
      <c r="L5983" s="4" t="s">
        <v>13023</v>
      </c>
      <c r="M5983" s="4" t="s">
        <v>13023</v>
      </c>
    </row>
    <row r="5984">
      <c r="A5984" s="4">
        <v>526.0</v>
      </c>
      <c r="B5984" s="4" t="s">
        <v>13990</v>
      </c>
      <c r="C5984" s="4"/>
      <c r="D5984" s="4" t="s">
        <v>13026</v>
      </c>
      <c r="E5984" s="4" t="s">
        <v>2906</v>
      </c>
      <c r="F5984" s="4" t="s">
        <v>2907</v>
      </c>
      <c r="G5984" s="5" t="str">
        <f>IFERROR(__xludf.DUMMYFUNCTION("GOOGLETRANSLATE(D5984,""fr"",""es"")"),"mítico")</f>
        <v>mítico</v>
      </c>
      <c r="H5984" s="4" t="s">
        <v>6923</v>
      </c>
      <c r="I5984" s="4" t="s">
        <v>6920</v>
      </c>
      <c r="J5984" s="4" t="s">
        <v>6924</v>
      </c>
      <c r="K5984" s="4" t="s">
        <v>6925</v>
      </c>
      <c r="L5984" s="4" t="s">
        <v>6926</v>
      </c>
    </row>
    <row r="5985">
      <c r="A5985" s="4">
        <v>527.0</v>
      </c>
      <c r="B5985" s="4" t="s">
        <v>13990</v>
      </c>
      <c r="C5985" s="4"/>
      <c r="D5985" s="4" t="s">
        <v>13027</v>
      </c>
      <c r="E5985" s="4" t="s">
        <v>13028</v>
      </c>
      <c r="F5985" s="4" t="s">
        <v>13029</v>
      </c>
      <c r="G5985" s="5" t="str">
        <f>IFERROR(__xludf.DUMMYFUNCTION("GOOGLETRANSLATE(D5985,""fr"",""es"")"),"mandíbula")</f>
        <v>mandíbula</v>
      </c>
      <c r="H5985" s="4" t="s">
        <v>13030</v>
      </c>
    </row>
    <row r="5986">
      <c r="A5986" s="4">
        <v>528.0</v>
      </c>
      <c r="B5986" s="4" t="s">
        <v>13990</v>
      </c>
      <c r="C5986" s="4"/>
      <c r="D5986" s="4" t="s">
        <v>13031</v>
      </c>
      <c r="E5986" s="4" t="s">
        <v>13032</v>
      </c>
      <c r="F5986" s="4" t="s">
        <v>2322</v>
      </c>
      <c r="G5986" s="5" t="str">
        <f>IFERROR(__xludf.DUMMYFUNCTION("GOOGLETRANSLATE(D5986,""fr"",""es"")"),"masculino")</f>
        <v>masculino</v>
      </c>
      <c r="H5986" s="4" t="s">
        <v>1856</v>
      </c>
      <c r="I5986" s="4" t="s">
        <v>13033</v>
      </c>
      <c r="J5986" s="4" t="s">
        <v>13033</v>
      </c>
      <c r="K5986" s="4" t="s">
        <v>13033</v>
      </c>
      <c r="L5986" s="4" t="s">
        <v>13034</v>
      </c>
      <c r="M5986" s="4" t="s">
        <v>13035</v>
      </c>
      <c r="N5986" s="4" t="s">
        <v>13036</v>
      </c>
      <c r="O5986" s="4" t="s">
        <v>13037</v>
      </c>
      <c r="P5986" s="4" t="s">
        <v>13038</v>
      </c>
      <c r="Q5986" s="4" t="s">
        <v>1856</v>
      </c>
      <c r="R5986" s="4" t="s">
        <v>1856</v>
      </c>
      <c r="S5986" s="4" t="s">
        <v>3486</v>
      </c>
      <c r="T5986" s="4" t="s">
        <v>13039</v>
      </c>
      <c r="U5986" s="4" t="s">
        <v>13033</v>
      </c>
      <c r="V5986" s="4" t="s">
        <v>13040</v>
      </c>
      <c r="W5986" s="4" t="s">
        <v>8839</v>
      </c>
      <c r="X5986" s="4" t="s">
        <v>8840</v>
      </c>
      <c r="Y5986" s="4" t="s">
        <v>13041</v>
      </c>
      <c r="Z5986" s="4" t="s">
        <v>1856</v>
      </c>
      <c r="AA5986" s="4" t="s">
        <v>6743</v>
      </c>
      <c r="AB5986" s="4" t="s">
        <v>6744</v>
      </c>
      <c r="AC5986" s="4" t="s">
        <v>6745</v>
      </c>
      <c r="AD5986" s="4" t="s">
        <v>6746</v>
      </c>
      <c r="AE5986" s="4" t="s">
        <v>1856</v>
      </c>
    </row>
    <row r="5987">
      <c r="A5987" s="4">
        <v>529.0</v>
      </c>
      <c r="B5987" s="4" t="s">
        <v>13990</v>
      </c>
      <c r="C5987" s="4"/>
      <c r="D5987" s="4" t="s">
        <v>13042</v>
      </c>
      <c r="E5987" s="4" t="s">
        <v>8529</v>
      </c>
      <c r="F5987" s="4" t="s">
        <v>1856</v>
      </c>
      <c r="G5987" s="5" t="str">
        <f>IFERROR(__xludf.DUMMYFUNCTION("GOOGLETRANSLATE(D5987,""fr"",""es"")"),"cremanes")</f>
        <v>cremanes</v>
      </c>
      <c r="H5987" s="4" t="s">
        <v>13043</v>
      </c>
    </row>
    <row r="5988">
      <c r="A5988" s="4">
        <v>530.0</v>
      </c>
      <c r="B5988" s="4" t="s">
        <v>13990</v>
      </c>
      <c r="C5988" s="4"/>
      <c r="D5988" s="4" t="s">
        <v>13044</v>
      </c>
      <c r="E5988" s="4" t="s">
        <v>10466</v>
      </c>
      <c r="F5988" s="4" t="s">
        <v>2278</v>
      </c>
      <c r="G5988" s="5" t="str">
        <f>IFERROR(__xludf.DUMMYFUNCTION("GOOGLETRANSLATE(D5988,""fr"",""es"")"),"mástil")</f>
        <v>mástil</v>
      </c>
      <c r="H5988" s="4" t="s">
        <v>13045</v>
      </c>
      <c r="I5988" s="4" t="s">
        <v>13046</v>
      </c>
      <c r="J5988" s="4" t="s">
        <v>13047</v>
      </c>
      <c r="K5988" s="4" t="s">
        <v>13047</v>
      </c>
      <c r="L5988" s="4" t="s">
        <v>13047</v>
      </c>
      <c r="M5988" s="4" t="s">
        <v>13048</v>
      </c>
      <c r="N5988" s="4" t="s">
        <v>13047</v>
      </c>
    </row>
    <row r="5989">
      <c r="A5989" s="4">
        <v>531.0</v>
      </c>
      <c r="B5989" s="4" t="s">
        <v>13990</v>
      </c>
      <c r="C5989" s="4"/>
      <c r="D5989" s="4" t="s">
        <v>2923</v>
      </c>
      <c r="E5989" s="4" t="s">
        <v>2924</v>
      </c>
      <c r="F5989" s="4" t="s">
        <v>2923</v>
      </c>
      <c r="G5989" s="5" t="str">
        <f>IFERROR(__xludf.DUMMYFUNCTION("GOOGLETRANSLATE(D5989,""fr"",""es"")"),"chica")</f>
        <v>chica</v>
      </c>
      <c r="H5989" s="4" t="s">
        <v>11435</v>
      </c>
      <c r="I5989" s="4" t="s">
        <v>9966</v>
      </c>
      <c r="J5989" s="4" t="s">
        <v>6702</v>
      </c>
      <c r="K5989" s="4" t="s">
        <v>2984</v>
      </c>
      <c r="L5989" s="4" t="s">
        <v>11436</v>
      </c>
      <c r="M5989" s="4" t="s">
        <v>11437</v>
      </c>
      <c r="N5989" s="4" t="s">
        <v>11435</v>
      </c>
      <c r="O5989" s="4" t="s">
        <v>5515</v>
      </c>
    </row>
    <row r="5990">
      <c r="A5990" s="4">
        <v>532.0</v>
      </c>
      <c r="B5990" s="4" t="s">
        <v>13990</v>
      </c>
      <c r="C5990" s="4"/>
      <c r="D5990" s="4" t="s">
        <v>13049</v>
      </c>
      <c r="E5990" s="4" t="s">
        <v>13050</v>
      </c>
      <c r="F5990" s="4" t="s">
        <v>13049</v>
      </c>
      <c r="G5990" s="5" t="str">
        <f>IFERROR(__xludf.DUMMYFUNCTION("GOOGLETRANSLATE(D5990,""fr"",""es"")"),"nanami")</f>
        <v>nanami</v>
      </c>
    </row>
    <row r="5991">
      <c r="A5991" s="4">
        <v>533.0</v>
      </c>
      <c r="B5991" s="4" t="s">
        <v>13990</v>
      </c>
      <c r="C5991" s="4"/>
      <c r="D5991" s="4" t="s">
        <v>13051</v>
      </c>
      <c r="E5991" s="4" t="s">
        <v>13052</v>
      </c>
      <c r="F5991" s="4" t="s">
        <v>2923</v>
      </c>
      <c r="G5991" s="5" t="str">
        <f>IFERROR(__xludf.DUMMYFUNCTION("GOOGLETRANSLATE(D5991,""fr"",""es"")"),"nanas")</f>
        <v>nanas</v>
      </c>
    </row>
    <row r="5992">
      <c r="A5992" s="4">
        <v>534.0</v>
      </c>
      <c r="B5992" s="4" t="s">
        <v>13990</v>
      </c>
      <c r="C5992" s="4"/>
      <c r="D5992" s="4" t="s">
        <v>6946</v>
      </c>
      <c r="E5992" s="4" t="s">
        <v>2929</v>
      </c>
      <c r="F5992" s="4" t="s">
        <v>2928</v>
      </c>
      <c r="G5992" s="5" t="str">
        <f>IFERROR(__xludf.DUMMYFUNCTION("GOOGLETRANSLATE(D5992,""fr"",""es"")"),"capa")</f>
        <v>capa</v>
      </c>
      <c r="H5992" s="4" t="s">
        <v>13053</v>
      </c>
      <c r="I5992" s="4" t="s">
        <v>13054</v>
      </c>
      <c r="J5992" s="4" t="s">
        <v>907</v>
      </c>
      <c r="K5992" s="4" t="s">
        <v>7245</v>
      </c>
    </row>
    <row r="5993">
      <c r="A5993" s="4">
        <v>535.0</v>
      </c>
      <c r="B5993" s="4" t="s">
        <v>13990</v>
      </c>
      <c r="C5993" s="4"/>
      <c r="D5993" s="4" t="s">
        <v>13055</v>
      </c>
      <c r="E5993" s="4" t="s">
        <v>13056</v>
      </c>
      <c r="F5993" s="4" t="s">
        <v>13057</v>
      </c>
      <c r="G5993" s="5" t="str">
        <f>IFERROR(__xludf.DUMMYFUNCTION("GOOGLETRANSLATE(D5993,""fr"",""es"")"),"noches")</f>
        <v>noches</v>
      </c>
    </row>
    <row r="5994">
      <c r="A5994" s="4">
        <v>536.0</v>
      </c>
      <c r="B5994" s="4" t="s">
        <v>13990</v>
      </c>
      <c r="C5994" s="4"/>
      <c r="D5994" s="4" t="s">
        <v>13058</v>
      </c>
      <c r="E5994" s="4" t="s">
        <v>13059</v>
      </c>
      <c r="F5994" s="4" t="s">
        <v>13060</v>
      </c>
      <c r="G5994" s="5" t="str">
        <f>IFERROR(__xludf.DUMMYFUNCTION("GOOGLETRANSLATE(D5994,""fr"",""es"")"),"naufisse")</f>
        <v>naufisse</v>
      </c>
    </row>
    <row r="5995">
      <c r="A5995" s="4">
        <v>537.0</v>
      </c>
      <c r="B5995" s="4" t="s">
        <v>13990</v>
      </c>
      <c r="C5995" s="4"/>
      <c r="D5995" s="4" t="s">
        <v>13061</v>
      </c>
      <c r="E5995" s="4" t="s">
        <v>13056</v>
      </c>
      <c r="F5995" s="4" t="s">
        <v>13057</v>
      </c>
      <c r="G5995" s="5" t="str">
        <f>IFERROR(__xludf.DUMMYFUNCTION("GOOGLETRANSLATE(D5995,""fr"",""es"")"),"nacimiento")</f>
        <v>nacimiento</v>
      </c>
    </row>
    <row r="5996">
      <c r="A5996" s="4">
        <v>538.0</v>
      </c>
      <c r="B5996" s="4" t="s">
        <v>13990</v>
      </c>
      <c r="C5996" s="4"/>
      <c r="D5996" s="4" t="s">
        <v>13062</v>
      </c>
      <c r="E5996" s="4" t="s">
        <v>13056</v>
      </c>
      <c r="F5996" s="4" t="s">
        <v>13057</v>
      </c>
      <c r="G5996" s="5" t="str">
        <f>IFERROR(__xludf.DUMMYFUNCTION("GOOGLETRANSLATE(D5996,""fr"",""es"")"),"nacido")</f>
        <v>nacido</v>
      </c>
    </row>
    <row r="5997">
      <c r="A5997" s="4">
        <v>539.0</v>
      </c>
      <c r="B5997" s="4" t="s">
        <v>13990</v>
      </c>
      <c r="C5997" s="4"/>
      <c r="D5997" s="4" t="s">
        <v>13063</v>
      </c>
      <c r="E5997" s="4" t="s">
        <v>379</v>
      </c>
      <c r="F5997" s="4" t="s">
        <v>380</v>
      </c>
      <c r="G5997" s="5" t="str">
        <f>IFERROR(__xludf.DUMMYFUNCTION("GOOGLETRANSLATE(D5997,""fr"",""es"")"),"siesta")</f>
        <v>siesta</v>
      </c>
    </row>
    <row r="5998">
      <c r="A5998" s="4">
        <v>540.0</v>
      </c>
      <c r="B5998" s="4" t="s">
        <v>13990</v>
      </c>
      <c r="C5998" s="4"/>
      <c r="D5998" s="4" t="s">
        <v>13064</v>
      </c>
      <c r="E5998" s="4" t="s">
        <v>13065</v>
      </c>
      <c r="F5998" s="4" t="s">
        <v>13066</v>
      </c>
      <c r="G5998" s="5" t="str">
        <f>IFERROR(__xludf.DUMMYFUNCTION("GOOGLETRANSLATE(D5998,""fr"",""es"")"),"Natacha")</f>
        <v>Natacha</v>
      </c>
    </row>
    <row r="5999">
      <c r="A5999" s="4">
        <v>541.0</v>
      </c>
      <c r="B5999" s="4" t="s">
        <v>13990</v>
      </c>
      <c r="C5999" s="4"/>
      <c r="D5999" s="4" t="s">
        <v>2938</v>
      </c>
      <c r="E5999" s="4" t="s">
        <v>2939</v>
      </c>
      <c r="F5999" s="4" t="s">
        <v>2938</v>
      </c>
      <c r="G5999" s="5" t="str">
        <f>IFERROR(__xludf.DUMMYFUNCTION("GOOGLETRANSLATE(D5999,""fr"",""es"")"),"nativo")</f>
        <v>nativo</v>
      </c>
    </row>
    <row r="6000">
      <c r="A6000" s="4">
        <v>542.0</v>
      </c>
      <c r="B6000" s="4" t="s">
        <v>13990</v>
      </c>
      <c r="C6000" s="4"/>
      <c r="D6000" s="4" t="s">
        <v>13067</v>
      </c>
      <c r="E6000" s="4" t="s">
        <v>2939</v>
      </c>
      <c r="F6000" s="4" t="s">
        <v>2938</v>
      </c>
      <c r="G6000" s="5" t="str">
        <f>IFERROR(__xludf.DUMMYFUNCTION("GOOGLETRANSLATE(D6000,""fr"",""es"")"),"nativo")</f>
        <v>nativo</v>
      </c>
    </row>
    <row r="6001">
      <c r="A6001" s="4">
        <v>543.0</v>
      </c>
      <c r="B6001" s="4" t="s">
        <v>13990</v>
      </c>
      <c r="C6001" s="4"/>
      <c r="D6001" s="4" t="s">
        <v>13068</v>
      </c>
      <c r="E6001" s="4" t="s">
        <v>2939</v>
      </c>
      <c r="F6001" s="4" t="s">
        <v>2938</v>
      </c>
      <c r="G6001" s="5" t="str">
        <f>IFERROR(__xludf.DUMMYFUNCTION("GOOGLETRANSLATE(D6001,""fr"",""es"")"),"nativo")</f>
        <v>nativo</v>
      </c>
    </row>
    <row r="6002">
      <c r="A6002" s="4">
        <v>544.0</v>
      </c>
      <c r="B6002" s="4" t="s">
        <v>13990</v>
      </c>
      <c r="C6002" s="4"/>
      <c r="D6002" s="4" t="s">
        <v>13069</v>
      </c>
      <c r="E6002" s="4" t="s">
        <v>13070</v>
      </c>
      <c r="F6002" s="4" t="s">
        <v>13071</v>
      </c>
      <c r="G6002" s="5" t="str">
        <f>IFERROR(__xludf.DUMMYFUNCTION("GOOGLETRANSLATE(D6002,""fr"",""es"")"),"Nathalie")</f>
        <v>Nathalie</v>
      </c>
    </row>
    <row r="6003">
      <c r="A6003" s="4">
        <v>545.0</v>
      </c>
      <c r="B6003" s="4" t="s">
        <v>13990</v>
      </c>
      <c r="C6003" s="4"/>
      <c r="D6003" s="4" t="s">
        <v>13072</v>
      </c>
      <c r="E6003" s="4" t="s">
        <v>13073</v>
      </c>
      <c r="F6003" s="4" t="s">
        <v>6934</v>
      </c>
      <c r="G6003" s="5" t="str">
        <f>IFERROR(__xludf.DUMMYFUNCTION("GOOGLETRANSLATE(D6003,""fr"",""es"")"),"Nenni")</f>
        <v>Nenni</v>
      </c>
    </row>
    <row r="6004">
      <c r="A6004" s="4">
        <v>546.0</v>
      </c>
      <c r="B6004" s="4" t="s">
        <v>13990</v>
      </c>
      <c r="C6004" s="4"/>
      <c r="D6004" s="4" t="s">
        <v>389</v>
      </c>
      <c r="E6004" s="4" t="s">
        <v>388</v>
      </c>
      <c r="F6004" s="4" t="s">
        <v>389</v>
      </c>
      <c r="G6004" s="5" t="str">
        <f>IFERROR(__xludf.DUMMYFUNCTION("GOOGLETRANSLATE(D6004,""fr"",""es"")"),"ninguno de los dos")</f>
        <v>ninguno de los dos</v>
      </c>
      <c r="H6004" s="4" t="s">
        <v>13074</v>
      </c>
      <c r="I6004" s="4" t="s">
        <v>13075</v>
      </c>
      <c r="J6004" s="4" t="s">
        <v>13076</v>
      </c>
    </row>
    <row r="6005">
      <c r="A6005" s="4">
        <v>547.0</v>
      </c>
      <c r="B6005" s="4" t="s">
        <v>13990</v>
      </c>
      <c r="C6005" s="4"/>
      <c r="D6005" s="4" t="s">
        <v>2289</v>
      </c>
      <c r="E6005" s="4" t="s">
        <v>8563</v>
      </c>
      <c r="F6005" s="4" t="s">
        <v>8564</v>
      </c>
      <c r="G6005" s="5" t="str">
        <f>IFERROR(__xludf.DUMMYFUNCTION("GOOGLETRANSLATE(D6005,""fr"",""es"")"),"agradable")</f>
        <v>agradable</v>
      </c>
      <c r="H6005" s="4" t="s">
        <v>13077</v>
      </c>
    </row>
    <row r="6006">
      <c r="A6006" s="4">
        <v>548.0</v>
      </c>
      <c r="B6006" s="4" t="s">
        <v>13990</v>
      </c>
      <c r="C6006" s="4"/>
      <c r="D6006" s="4" t="s">
        <v>8556</v>
      </c>
      <c r="E6006" s="4" t="s">
        <v>8557</v>
      </c>
      <c r="F6006" s="4" t="s">
        <v>8558</v>
      </c>
      <c r="G6006" s="5" t="str">
        <f>IFERROR(__xludf.DUMMYFUNCTION("GOOGLETRANSLATE(D6006,""fr"",""es"")"),"nicho")</f>
        <v>nicho</v>
      </c>
      <c r="H6006" s="4" t="s">
        <v>13078</v>
      </c>
      <c r="I6006" s="4" t="s">
        <v>13079</v>
      </c>
      <c r="J6006" s="4" t="s">
        <v>13080</v>
      </c>
      <c r="K6006" s="4" t="s">
        <v>983</v>
      </c>
      <c r="L6006" s="4" t="s">
        <v>8556</v>
      </c>
      <c r="M6006" s="4" t="s">
        <v>13079</v>
      </c>
      <c r="N6006" s="4" t="s">
        <v>983</v>
      </c>
      <c r="O6006" s="4" t="s">
        <v>8559</v>
      </c>
      <c r="P6006" s="4" t="s">
        <v>8556</v>
      </c>
      <c r="Q6006" s="4" t="s">
        <v>7029</v>
      </c>
    </row>
    <row r="6007">
      <c r="A6007" s="4">
        <v>549.0</v>
      </c>
      <c r="B6007" s="4" t="s">
        <v>13990</v>
      </c>
      <c r="C6007" s="4"/>
      <c r="D6007" s="4" t="s">
        <v>13081</v>
      </c>
      <c r="E6007" s="4" t="s">
        <v>388</v>
      </c>
      <c r="F6007" s="4" t="s">
        <v>389</v>
      </c>
      <c r="G6007" s="5" t="str">
        <f>IFERROR(__xludf.DUMMYFUNCTION("GOOGLETRANSLATE(D6007,""fr"",""es"")"),"nido")</f>
        <v>nido</v>
      </c>
      <c r="H6007" s="4" t="s">
        <v>13082</v>
      </c>
      <c r="I6007" s="4" t="s">
        <v>13083</v>
      </c>
      <c r="J6007" s="4" t="s">
        <v>13084</v>
      </c>
      <c r="K6007" s="4" t="s">
        <v>13085</v>
      </c>
      <c r="L6007" s="4" t="s">
        <v>13082</v>
      </c>
      <c r="M6007" s="4" t="s">
        <v>13086</v>
      </c>
      <c r="N6007" s="4" t="s">
        <v>13087</v>
      </c>
      <c r="O6007" s="4" t="s">
        <v>13082</v>
      </c>
      <c r="P6007" s="4" t="s">
        <v>13082</v>
      </c>
      <c r="Q6007" s="4" t="s">
        <v>13082</v>
      </c>
      <c r="R6007" s="4" t="s">
        <v>13082</v>
      </c>
      <c r="S6007" s="4" t="s">
        <v>13082</v>
      </c>
      <c r="T6007" s="4" t="s">
        <v>13088</v>
      </c>
      <c r="U6007" s="4" t="s">
        <v>11803</v>
      </c>
      <c r="V6007" s="4" t="s">
        <v>13082</v>
      </c>
      <c r="W6007" s="4" t="s">
        <v>13082</v>
      </c>
    </row>
    <row r="6008">
      <c r="A6008" s="4">
        <v>550.0</v>
      </c>
      <c r="B6008" s="4" t="s">
        <v>13990</v>
      </c>
      <c r="C6008" s="4"/>
      <c r="D6008" s="4" t="s">
        <v>13089</v>
      </c>
      <c r="E6008" s="4" t="s">
        <v>388</v>
      </c>
      <c r="F6008" s="4" t="s">
        <v>389</v>
      </c>
      <c r="G6008" s="5" t="str">
        <f>IFERROR(__xludf.DUMMYFUNCTION("GOOGLETRANSLATE(D6008,""fr"",""es"")"),"nie")</f>
        <v>nie</v>
      </c>
    </row>
    <row r="6009">
      <c r="A6009" s="4">
        <v>551.0</v>
      </c>
      <c r="B6009" s="4" t="s">
        <v>13990</v>
      </c>
      <c r="C6009" s="4"/>
      <c r="D6009" s="4" t="s">
        <v>13090</v>
      </c>
      <c r="E6009" s="4" t="s">
        <v>13091</v>
      </c>
      <c r="F6009" s="4" t="s">
        <v>13090</v>
      </c>
      <c r="G6009" s="5" t="str">
        <f>IFERROR(__xludf.DUMMYFUNCTION("GOOGLETRANSLATE(D6009,""fr"",""es"")"),"Nikita")</f>
        <v>Nikita</v>
      </c>
    </row>
    <row r="6010">
      <c r="A6010" s="4">
        <v>552.0</v>
      </c>
      <c r="B6010" s="4" t="s">
        <v>13990</v>
      </c>
      <c r="C6010" s="4"/>
      <c r="D6010" s="4" t="s">
        <v>2976</v>
      </c>
      <c r="E6010" s="4" t="s">
        <v>2977</v>
      </c>
      <c r="F6010" s="4" t="s">
        <v>2976</v>
      </c>
      <c r="G6010" s="5" t="str">
        <f>IFERROR(__xludf.DUMMYFUNCTION("GOOGLETRANSLATE(D6010,""fr"",""es"")"),"Nilo")</f>
        <v>Nilo</v>
      </c>
      <c r="H6010" s="4" t="s">
        <v>2978</v>
      </c>
      <c r="I6010" s="4" t="s">
        <v>2979</v>
      </c>
    </row>
    <row r="6011">
      <c r="A6011" s="4">
        <v>553.0</v>
      </c>
      <c r="B6011" s="4" t="s">
        <v>13990</v>
      </c>
      <c r="C6011" s="4"/>
      <c r="D6011" s="4" t="s">
        <v>2982</v>
      </c>
      <c r="E6011" s="4" t="s">
        <v>2983</v>
      </c>
      <c r="F6011" s="4" t="s">
        <v>2982</v>
      </c>
      <c r="G6011" s="5" t="str">
        <f>IFERROR(__xludf.DUMMYFUNCTION("GOOGLETRANSLATE(D6011,""fr"",""es"")"),"Nina")</f>
        <v>Nina</v>
      </c>
      <c r="H6011" s="4" t="s">
        <v>13092</v>
      </c>
    </row>
    <row r="6012">
      <c r="A6012" s="4">
        <v>554.0</v>
      </c>
      <c r="B6012" s="4" t="s">
        <v>13990</v>
      </c>
      <c r="C6012" s="4"/>
      <c r="D6012" s="4" t="s">
        <v>2008</v>
      </c>
      <c r="E6012" s="4" t="s">
        <v>2981</v>
      </c>
      <c r="F6012" s="4" t="s">
        <v>2980</v>
      </c>
      <c r="G6012" s="5" t="str">
        <f>IFERROR(__xludf.DUMMYFUNCTION("GOOGLETRANSLATE(D6012,""fr"",""es"")"),"nueve")</f>
        <v>nueve</v>
      </c>
    </row>
    <row r="6013">
      <c r="A6013" s="4">
        <v>555.0</v>
      </c>
      <c r="B6013" s="4" t="s">
        <v>13990</v>
      </c>
      <c r="C6013" s="4"/>
      <c r="D6013" s="4" t="s">
        <v>6994</v>
      </c>
      <c r="E6013" s="4" t="s">
        <v>13093</v>
      </c>
      <c r="F6013" s="4" t="s">
        <v>6994</v>
      </c>
      <c r="G6013" s="5" t="str">
        <f>IFERROR(__xludf.DUMMYFUNCTION("GOOGLETRANSLATE(D6013,""fr"",""es"")"),"ni ni")</f>
        <v>ni ni</v>
      </c>
    </row>
    <row r="6014">
      <c r="A6014" s="4">
        <v>556.0</v>
      </c>
      <c r="B6014" s="4" t="s">
        <v>13990</v>
      </c>
      <c r="C6014" s="4"/>
      <c r="D6014" s="4" t="s">
        <v>13094</v>
      </c>
      <c r="E6014" s="4" t="s">
        <v>9162</v>
      </c>
      <c r="F6014" s="4" t="s">
        <v>6970</v>
      </c>
      <c r="G6014" s="5" t="str">
        <f>IFERROR(__xludf.DUMMYFUNCTION("GOOGLETRANSLATE(D6014,""fr"",""es"")"),"niñera")</f>
        <v>niñera</v>
      </c>
    </row>
    <row r="6015">
      <c r="A6015" s="4">
        <v>557.0</v>
      </c>
      <c r="B6015" s="4" t="s">
        <v>13990</v>
      </c>
      <c r="C6015" s="4"/>
      <c r="D6015" s="4" t="s">
        <v>13095</v>
      </c>
      <c r="E6015" s="4" t="s">
        <v>3018</v>
      </c>
      <c r="F6015" s="4" t="s">
        <v>2972</v>
      </c>
      <c r="G6015" s="5" t="str">
        <f>IFERROR(__xludf.DUMMYFUNCTION("GOOGLETRANSLATE(D6015,""fr"",""es"")"),"noue")</f>
        <v>noue</v>
      </c>
    </row>
    <row r="6016">
      <c r="A6016" s="4">
        <v>558.0</v>
      </c>
      <c r="B6016" s="4" t="s">
        <v>13990</v>
      </c>
      <c r="C6016" s="4"/>
      <c r="D6016" s="4" t="s">
        <v>13096</v>
      </c>
      <c r="E6016" s="4" t="s">
        <v>3018</v>
      </c>
      <c r="F6016" s="4" t="s">
        <v>2972</v>
      </c>
      <c r="G6016" s="5" t="str">
        <f>IFERROR(__xludf.DUMMYFUNCTION("GOOGLETRANSLATE(D6016,""fr"",""es"")"),"toques")</f>
        <v>toques</v>
      </c>
    </row>
    <row r="6017">
      <c r="A6017" s="4">
        <v>559.0</v>
      </c>
      <c r="B6017" s="4" t="s">
        <v>13990</v>
      </c>
      <c r="C6017" s="4"/>
      <c r="D6017" s="4" t="s">
        <v>13097</v>
      </c>
      <c r="E6017" s="4" t="s">
        <v>13098</v>
      </c>
      <c r="F6017" s="4" t="s">
        <v>13099</v>
      </c>
      <c r="G6017" s="5" t="str">
        <f>IFERROR(__xludf.DUMMYFUNCTION("GOOGLETRANSLATE(D6017,""fr"",""es"")"),"fideos")</f>
        <v>fideos</v>
      </c>
      <c r="H6017" s="4" t="s">
        <v>13100</v>
      </c>
      <c r="I6017" s="4" t="s">
        <v>5913</v>
      </c>
      <c r="J6017" s="4" t="s">
        <v>5916</v>
      </c>
      <c r="K6017" s="4" t="s">
        <v>5917</v>
      </c>
      <c r="L6017" s="4" t="s">
        <v>5918</v>
      </c>
      <c r="M6017" s="4" t="s">
        <v>5919</v>
      </c>
      <c r="N6017" s="4" t="s">
        <v>5920</v>
      </c>
      <c r="O6017" s="4" t="s">
        <v>5918</v>
      </c>
    </row>
    <row r="6018">
      <c r="A6018" s="4">
        <v>560.0</v>
      </c>
      <c r="B6018" s="4" t="s">
        <v>13990</v>
      </c>
      <c r="C6018" s="4"/>
      <c r="D6018" s="4" t="s">
        <v>13101</v>
      </c>
      <c r="E6018" s="4" t="s">
        <v>13102</v>
      </c>
      <c r="F6018" s="4" t="s">
        <v>7032</v>
      </c>
      <c r="G6018" s="5" t="str">
        <f>IFERROR(__xludf.DUMMYFUNCTION("GOOGLETRANSLATE(D6018,""fr"",""es"")"),"sustantivo")</f>
        <v>sustantivo</v>
      </c>
    </row>
    <row r="6019">
      <c r="A6019" s="4">
        <v>561.0</v>
      </c>
      <c r="B6019" s="4" t="s">
        <v>13990</v>
      </c>
      <c r="C6019" s="4"/>
      <c r="D6019" s="4" t="s">
        <v>13103</v>
      </c>
      <c r="E6019" s="4" t="s">
        <v>13104</v>
      </c>
      <c r="F6019" s="4" t="s">
        <v>13105</v>
      </c>
      <c r="G6019" s="5" t="str">
        <f>IFERROR(__xludf.DUMMYFUNCTION("GOOGLETRANSLATE(D6019,""fr"",""es"")"),"niñera")</f>
        <v>niñera</v>
      </c>
      <c r="H6019" s="4" t="s">
        <v>6932</v>
      </c>
      <c r="I6019" s="4" t="s">
        <v>6937</v>
      </c>
      <c r="J6019" s="4" t="s">
        <v>6938</v>
      </c>
      <c r="K6019" s="4" t="s">
        <v>6932</v>
      </c>
      <c r="L6019" s="4" t="s">
        <v>6935</v>
      </c>
      <c r="M6019" s="4" t="s">
        <v>6936</v>
      </c>
    </row>
    <row r="6020">
      <c r="A6020" s="4">
        <v>562.0</v>
      </c>
      <c r="B6020" s="4" t="s">
        <v>13990</v>
      </c>
      <c r="C6020" s="4"/>
      <c r="D6020" s="4" t="s">
        <v>1215</v>
      </c>
      <c r="E6020" s="4" t="s">
        <v>3018</v>
      </c>
      <c r="F6020" s="4" t="s">
        <v>2972</v>
      </c>
      <c r="G6020" s="5" t="str">
        <f>IFERROR(__xludf.DUMMYFUNCTION("GOOGLETRANSLATE(D6020,""fr"",""es"")"),"nosotros")</f>
        <v>nosotros</v>
      </c>
    </row>
    <row r="6021">
      <c r="A6021" s="4">
        <v>563.0</v>
      </c>
      <c r="B6021" s="4" t="s">
        <v>13990</v>
      </c>
      <c r="C6021" s="4"/>
      <c r="D6021" s="4" t="s">
        <v>13106</v>
      </c>
      <c r="E6021" s="4" t="s">
        <v>13107</v>
      </c>
      <c r="F6021" s="4" t="s">
        <v>7028</v>
      </c>
      <c r="G6021" s="5" t="str">
        <f>IFERROR(__xludf.DUMMYFUNCTION("GOOGLETRANSLATE(D6021,""fr"",""es"")"),"desnudo")</f>
        <v>desnudo</v>
      </c>
    </row>
    <row r="6022">
      <c r="A6022" s="4">
        <v>564.0</v>
      </c>
      <c r="B6022" s="4" t="s">
        <v>13990</v>
      </c>
      <c r="C6022" s="4"/>
      <c r="D6022" s="4" t="s">
        <v>13108</v>
      </c>
      <c r="E6022" s="4" t="s">
        <v>10758</v>
      </c>
      <c r="F6022" s="4" t="s">
        <v>6988</v>
      </c>
      <c r="G6022" s="5" t="str">
        <f>IFERROR(__xludf.DUMMYFUNCTION("GOOGLETRANSLATE(D6022,""fr"",""es"")"),"nîmes")</f>
        <v>nîmes</v>
      </c>
    </row>
    <row r="6023">
      <c r="A6023" s="4">
        <v>565.0</v>
      </c>
      <c r="B6023" s="4" t="s">
        <v>13990</v>
      </c>
      <c r="C6023" s="4"/>
      <c r="D6023" s="4" t="s">
        <v>13109</v>
      </c>
      <c r="E6023" s="4" t="s">
        <v>13110</v>
      </c>
      <c r="F6023" s="4" t="s">
        <v>13111</v>
      </c>
      <c r="G6023" s="5" t="str">
        <f>IFERROR(__xludf.DUMMYFUNCTION("GOOGLETRANSLATE(D6023,""fr"",""es"")"),"Ay")</f>
        <v>Ay</v>
      </c>
    </row>
    <row r="6024">
      <c r="A6024" s="4">
        <v>566.0</v>
      </c>
      <c r="B6024" s="4" t="s">
        <v>13990</v>
      </c>
      <c r="C6024" s="4"/>
      <c r="D6024" s="4" t="s">
        <v>13112</v>
      </c>
      <c r="E6024" s="4" t="s">
        <v>13113</v>
      </c>
      <c r="F6024" s="4" t="s">
        <v>13114</v>
      </c>
      <c r="G6024" s="5" t="str">
        <f>IFERROR(__xludf.DUMMYFUNCTION("GOOGLETRANSLATE(D6024,""fr"",""es"")"),"ouilla")</f>
        <v>ouilla</v>
      </c>
    </row>
    <row r="6025">
      <c r="A6025" s="4">
        <v>567.0</v>
      </c>
      <c r="B6025" s="4" t="s">
        <v>13990</v>
      </c>
      <c r="C6025" s="4"/>
      <c r="D6025" s="4" t="s">
        <v>13115</v>
      </c>
      <c r="E6025" s="4" t="s">
        <v>13116</v>
      </c>
      <c r="F6025" s="4" t="s">
        <v>13114</v>
      </c>
      <c r="G6025" s="5" t="str">
        <f>IFERROR(__xludf.DUMMYFUNCTION("GOOGLETRANSLATE(D6025,""fr"",""es"")"),"ouillas")</f>
        <v>ouillas</v>
      </c>
    </row>
    <row r="6026">
      <c r="A6026" s="4">
        <v>568.0</v>
      </c>
      <c r="B6026" s="4" t="s">
        <v>13990</v>
      </c>
      <c r="C6026" s="4"/>
      <c r="D6026" s="4" t="s">
        <v>13117</v>
      </c>
      <c r="E6026" s="4" t="s">
        <v>13118</v>
      </c>
      <c r="F6026" s="4" t="s">
        <v>13119</v>
      </c>
      <c r="G6026" s="5" t="str">
        <f>IFERROR(__xludf.DUMMYFUNCTION("GOOGLETRANSLATE(D6026,""fr"",""es"")"),"ouillasse")</f>
        <v>ouillasse</v>
      </c>
    </row>
    <row r="6027">
      <c r="A6027" s="4">
        <v>569.0</v>
      </c>
      <c r="B6027" s="4" t="s">
        <v>13990</v>
      </c>
      <c r="C6027" s="4"/>
      <c r="D6027" s="4" t="s">
        <v>13120</v>
      </c>
      <c r="E6027" s="4" t="s">
        <v>13118</v>
      </c>
      <c r="F6027" s="4" t="s">
        <v>13119</v>
      </c>
      <c r="G6027" s="5" t="str">
        <f>IFERROR(__xludf.DUMMYFUNCTION("GOOGLETRANSLATE(D6027,""fr"",""es"")"),"naufragio")</f>
        <v>naufragio</v>
      </c>
    </row>
    <row r="6028">
      <c r="A6028" s="4">
        <v>570.0</v>
      </c>
      <c r="B6028" s="4" t="s">
        <v>13990</v>
      </c>
      <c r="C6028" s="4"/>
      <c r="D6028" s="4" t="s">
        <v>13121</v>
      </c>
      <c r="E6028" s="4" t="s">
        <v>13118</v>
      </c>
      <c r="F6028" s="4" t="s">
        <v>13119</v>
      </c>
      <c r="G6028" s="5" t="str">
        <f>IFERROR(__xludf.DUMMYFUNCTION("GOOGLETRANSLATE(D6028,""fr"",""es"")"),"OULLASSES")</f>
        <v>OULLASSES</v>
      </c>
    </row>
    <row r="6029">
      <c r="A6029" s="4">
        <v>571.0</v>
      </c>
      <c r="B6029" s="4" t="s">
        <v>13990</v>
      </c>
      <c r="C6029" s="4"/>
      <c r="D6029" s="4" t="s">
        <v>13122</v>
      </c>
      <c r="E6029" s="4" t="s">
        <v>12343</v>
      </c>
      <c r="F6029" s="4" t="s">
        <v>12344</v>
      </c>
      <c r="G6029" s="5" t="str">
        <f>IFERROR(__xludf.DUMMYFUNCTION("GOOGLETRANSLATE(D6029,""fr"",""es"")"),"tibio")</f>
        <v>tibio</v>
      </c>
    </row>
    <row r="6030">
      <c r="A6030" s="4">
        <v>572.0</v>
      </c>
      <c r="B6030" s="4" t="s">
        <v>13990</v>
      </c>
      <c r="C6030" s="4"/>
      <c r="D6030" s="4" t="s">
        <v>13123</v>
      </c>
      <c r="E6030" s="4" t="s">
        <v>12343</v>
      </c>
      <c r="F6030" s="4" t="s">
        <v>12344</v>
      </c>
      <c r="G6030" s="5" t="str">
        <f>IFERROR(__xludf.DUMMYFUNCTION("GOOGLETRANSLATE(D6030,""fr"",""es"")"),"exterior")</f>
        <v>exterior</v>
      </c>
    </row>
    <row r="6031">
      <c r="A6031" s="4">
        <v>573.0</v>
      </c>
      <c r="B6031" s="4" t="s">
        <v>13990</v>
      </c>
      <c r="C6031" s="4"/>
      <c r="D6031" s="4" t="s">
        <v>13124</v>
      </c>
      <c r="E6031" s="4" t="s">
        <v>12343</v>
      </c>
      <c r="F6031" s="4" t="s">
        <v>12344</v>
      </c>
      <c r="G6031" s="5" t="str">
        <f>IFERROR(__xludf.DUMMYFUNCTION("GOOGLETRANSLATE(D6031,""fr"",""es"")"),"Ouilles")</f>
        <v>Ouilles</v>
      </c>
    </row>
    <row r="6032">
      <c r="A6032" s="4">
        <v>574.0</v>
      </c>
      <c r="B6032" s="4" t="s">
        <v>13990</v>
      </c>
      <c r="C6032" s="4"/>
      <c r="D6032" s="4" t="s">
        <v>13125</v>
      </c>
      <c r="E6032" s="4" t="s">
        <v>13126</v>
      </c>
      <c r="F6032" s="4" t="s">
        <v>13127</v>
      </c>
      <c r="G6032" s="5" t="str">
        <f>IFERROR(__xludf.DUMMYFUNCTION("GOOGLETRANSLATE(D6032,""fr"",""es"")"),"ouillâme")</f>
        <v>ouillâme</v>
      </c>
    </row>
    <row r="6033">
      <c r="A6033" s="4">
        <v>575.0</v>
      </c>
      <c r="B6033" s="4" t="s">
        <v>13990</v>
      </c>
      <c r="C6033" s="4"/>
      <c r="D6033" s="4" t="s">
        <v>13128</v>
      </c>
      <c r="E6033" s="4" t="s">
        <v>13116</v>
      </c>
      <c r="F6033" s="4" t="s">
        <v>13114</v>
      </c>
      <c r="G6033" s="5" t="str">
        <f>IFERROR(__xludf.DUMMYFUNCTION("GOOGLETRANSLATE(D6033,""fr"",""es"")"),"ouillât")</f>
        <v>ouillât</v>
      </c>
    </row>
    <row r="6034">
      <c r="A6034" s="4">
        <v>576.0</v>
      </c>
      <c r="B6034" s="4" t="s">
        <v>13990</v>
      </c>
      <c r="C6034" s="4"/>
      <c r="D6034" s="4" t="s">
        <v>13129</v>
      </c>
      <c r="E6034" s="4" t="s">
        <v>12385</v>
      </c>
      <c r="F6034" s="4" t="s">
        <v>12386</v>
      </c>
      <c r="G6034" s="5" t="str">
        <f>IFERROR(__xludf.DUMMYFUNCTION("GOOGLETRANSLATE(D6034,""fr"",""es"")"),"herramienta")</f>
        <v>herramienta</v>
      </c>
      <c r="H6034" s="4" t="s">
        <v>13130</v>
      </c>
      <c r="I6034" s="4" t="s">
        <v>3601</v>
      </c>
      <c r="J6034" s="4" t="s">
        <v>13130</v>
      </c>
      <c r="K6034" s="4" t="s">
        <v>3601</v>
      </c>
      <c r="L6034" s="4" t="s">
        <v>13130</v>
      </c>
      <c r="M6034" s="4" t="s">
        <v>13131</v>
      </c>
      <c r="N6034" s="4" t="s">
        <v>13132</v>
      </c>
      <c r="O6034" s="4" t="s">
        <v>3601</v>
      </c>
      <c r="P6034" s="4" t="s">
        <v>13133</v>
      </c>
      <c r="Q6034" s="4" t="s">
        <v>3601</v>
      </c>
      <c r="R6034" s="4" t="s">
        <v>3601</v>
      </c>
      <c r="S6034" s="4" t="s">
        <v>13130</v>
      </c>
      <c r="T6034" s="4" t="s">
        <v>13134</v>
      </c>
      <c r="U6034" s="4" t="s">
        <v>13135</v>
      </c>
      <c r="V6034" s="4" t="s">
        <v>13136</v>
      </c>
      <c r="W6034" s="4" t="s">
        <v>13137</v>
      </c>
      <c r="X6034" s="4" t="s">
        <v>13138</v>
      </c>
      <c r="Y6034" s="4" t="s">
        <v>9918</v>
      </c>
      <c r="Z6034" s="4" t="s">
        <v>9919</v>
      </c>
      <c r="AA6034" s="4" t="s">
        <v>9931</v>
      </c>
      <c r="AB6034" s="4" t="s">
        <v>1268</v>
      </c>
      <c r="AC6034" s="4" t="s">
        <v>13139</v>
      </c>
      <c r="AD6034" s="4" t="s">
        <v>13130</v>
      </c>
      <c r="AE6034" s="4" t="s">
        <v>3601</v>
      </c>
      <c r="AF6034" s="4" t="s">
        <v>13140</v>
      </c>
      <c r="AG6034" s="4" t="s">
        <v>3596</v>
      </c>
      <c r="AH6034" s="4" t="s">
        <v>3497</v>
      </c>
      <c r="AI6034" s="4" t="s">
        <v>3597</v>
      </c>
      <c r="AJ6034" s="4" t="s">
        <v>3598</v>
      </c>
      <c r="AK6034" s="4" t="s">
        <v>3599</v>
      </c>
      <c r="AL6034" s="4" t="s">
        <v>3600</v>
      </c>
      <c r="AM6034" s="4" t="s">
        <v>3601</v>
      </c>
      <c r="AN6034" s="4" t="s">
        <v>3602</v>
      </c>
      <c r="AO6034" s="4" t="s">
        <v>13141</v>
      </c>
      <c r="AP6034" s="4" t="s">
        <v>13130</v>
      </c>
      <c r="AQ6034" s="4" t="s">
        <v>659</v>
      </c>
      <c r="AR6034" s="4" t="s">
        <v>3601</v>
      </c>
      <c r="AS6034" s="4" t="s">
        <v>13142</v>
      </c>
      <c r="AT6034" s="4" t="s">
        <v>13130</v>
      </c>
      <c r="AU6034" s="4" t="s">
        <v>8320</v>
      </c>
      <c r="AV6034" s="4" t="s">
        <v>13143</v>
      </c>
    </row>
    <row r="6035">
      <c r="A6035" s="4">
        <v>577.0</v>
      </c>
      <c r="B6035" s="4" t="s">
        <v>13990</v>
      </c>
      <c r="C6035" s="4"/>
      <c r="D6035" s="4" t="s">
        <v>13144</v>
      </c>
      <c r="E6035" s="4" t="s">
        <v>13145</v>
      </c>
      <c r="F6035" s="4" t="s">
        <v>11055</v>
      </c>
      <c r="G6035" s="5" t="str">
        <f>IFERROR(__xludf.DUMMYFUNCTION("GOOGLETRANSLATE(D6035,""fr"",""es"")"),"paca")</f>
        <v>paca</v>
      </c>
      <c r="H6035" s="4" t="s">
        <v>13144</v>
      </c>
      <c r="I6035" s="4" t="s">
        <v>13146</v>
      </c>
    </row>
    <row r="6036">
      <c r="A6036" s="4">
        <v>578.0</v>
      </c>
      <c r="B6036" s="4" t="s">
        <v>13990</v>
      </c>
      <c r="C6036" s="4"/>
      <c r="D6036" s="4" t="s">
        <v>13147</v>
      </c>
      <c r="E6036" s="4" t="s">
        <v>13148</v>
      </c>
      <c r="F6036" s="4" t="s">
        <v>13149</v>
      </c>
      <c r="G6036" s="5" t="str">
        <f>IFERROR(__xludf.DUMMYFUNCTION("GOOGLETRANSLATE(D6036,""fr"",""es"")"),"pacana")</f>
        <v>pacana</v>
      </c>
    </row>
    <row r="6037">
      <c r="A6037" s="4">
        <v>579.0</v>
      </c>
      <c r="B6037" s="4" t="s">
        <v>13990</v>
      </c>
      <c r="C6037" s="4"/>
      <c r="D6037" s="4" t="s">
        <v>13150</v>
      </c>
      <c r="E6037" s="4" t="s">
        <v>13151</v>
      </c>
      <c r="F6037" s="4" t="s">
        <v>13152</v>
      </c>
      <c r="G6037" s="5" t="str">
        <f>IFERROR(__xludf.DUMMYFUNCTION("GOOGLETRANSLATE(D6037,""fr"",""es"")"),"pchalik")</f>
        <v>pchalik</v>
      </c>
    </row>
    <row r="6038">
      <c r="A6038" s="4">
        <v>580.0</v>
      </c>
      <c r="B6038" s="4" t="s">
        <v>13990</v>
      </c>
      <c r="C6038" s="4"/>
      <c r="D6038" s="4" t="s">
        <v>2543</v>
      </c>
      <c r="E6038" s="4" t="s">
        <v>391</v>
      </c>
      <c r="F6038" s="4" t="s">
        <v>392</v>
      </c>
      <c r="G6038" s="5" t="str">
        <f>IFERROR(__xludf.DUMMYFUNCTION("GOOGLETRANSLATE(D6038,""fr"",""es"")"),"paquete")</f>
        <v>paquete</v>
      </c>
      <c r="H6038" s="4" t="s">
        <v>2543</v>
      </c>
    </row>
    <row r="6039">
      <c r="A6039" s="4">
        <v>581.0</v>
      </c>
      <c r="B6039" s="4" t="s">
        <v>13990</v>
      </c>
      <c r="C6039" s="4"/>
      <c r="D6039" s="4" t="s">
        <v>13153</v>
      </c>
      <c r="E6039" s="4" t="s">
        <v>3280</v>
      </c>
      <c r="F6039" s="4" t="s">
        <v>3281</v>
      </c>
      <c r="G6039" s="5" t="str">
        <f>IFERROR(__xludf.DUMMYFUNCTION("GOOGLETRANSLATE(D6039,""fr"",""es"")"),"taparrabo")</f>
        <v>taparrabo</v>
      </c>
      <c r="H6039" s="4" t="s">
        <v>13154</v>
      </c>
      <c r="I6039" s="4" t="s">
        <v>13155</v>
      </c>
      <c r="J6039" s="4" t="s">
        <v>13156</v>
      </c>
      <c r="K6039" s="4" t="s">
        <v>13157</v>
      </c>
    </row>
    <row r="6040">
      <c r="A6040" s="4">
        <v>582.0</v>
      </c>
      <c r="B6040" s="4" t="s">
        <v>13990</v>
      </c>
      <c r="C6040" s="4"/>
      <c r="D6040" s="4" t="s">
        <v>13158</v>
      </c>
      <c r="E6040" s="4" t="s">
        <v>13159</v>
      </c>
      <c r="F6040" s="4" t="s">
        <v>13160</v>
      </c>
      <c r="G6040" s="5" t="str">
        <f>IFERROR(__xludf.DUMMYFUNCTION("GOOGLETRANSLATE(D6040,""fr"",""es"")"),"hipoteca")</f>
        <v>hipoteca</v>
      </c>
    </row>
    <row r="6041">
      <c r="A6041" s="4">
        <v>583.0</v>
      </c>
      <c r="B6041" s="4" t="s">
        <v>13990</v>
      </c>
      <c r="C6041" s="4"/>
      <c r="D6041" s="4" t="s">
        <v>13161</v>
      </c>
      <c r="E6041" s="4" t="s">
        <v>4850</v>
      </c>
      <c r="F6041" s="4" t="s">
        <v>3910</v>
      </c>
      <c r="G6041" s="5" t="str">
        <f>IFERROR(__xludf.DUMMYFUNCTION("GOOGLETRANSLATE(D6041,""fr"",""es"")"),"Sorbete")</f>
        <v>Sorbete</v>
      </c>
      <c r="H6041" s="4" t="s">
        <v>3196</v>
      </c>
      <c r="I6041" s="4" t="s">
        <v>13162</v>
      </c>
      <c r="J6041" s="4" t="s">
        <v>3196</v>
      </c>
      <c r="K6041" s="4" t="s">
        <v>3196</v>
      </c>
      <c r="L6041" s="4" t="s">
        <v>3196</v>
      </c>
      <c r="M6041" s="4" t="s">
        <v>13163</v>
      </c>
      <c r="N6041" s="4" t="s">
        <v>13164</v>
      </c>
      <c r="O6041" s="4" t="s">
        <v>3196</v>
      </c>
      <c r="P6041" s="4" t="s">
        <v>13165</v>
      </c>
      <c r="Q6041" s="4" t="s">
        <v>4821</v>
      </c>
      <c r="R6041" s="4" t="s">
        <v>13166</v>
      </c>
      <c r="S6041" s="4" t="s">
        <v>13167</v>
      </c>
      <c r="T6041" s="4" t="s">
        <v>13168</v>
      </c>
      <c r="U6041" s="4" t="s">
        <v>1190</v>
      </c>
      <c r="V6041" s="4" t="s">
        <v>3196</v>
      </c>
      <c r="W6041" s="4" t="s">
        <v>13169</v>
      </c>
      <c r="X6041" s="4" t="s">
        <v>3196</v>
      </c>
    </row>
    <row r="6042">
      <c r="A6042" s="4">
        <v>584.0</v>
      </c>
      <c r="B6042" s="4" t="s">
        <v>13990</v>
      </c>
      <c r="C6042" s="4"/>
      <c r="D6042" s="4" t="s">
        <v>13161</v>
      </c>
      <c r="E6042" s="4" t="s">
        <v>13170</v>
      </c>
      <c r="F6042" s="4" t="s">
        <v>3910</v>
      </c>
      <c r="G6042" s="5" t="str">
        <f>IFERROR(__xludf.DUMMYFUNCTION("GOOGLETRANSLATE(D6042,""fr"",""es"")"),"Sorbete")</f>
        <v>Sorbete</v>
      </c>
      <c r="H6042" s="4" t="s">
        <v>3196</v>
      </c>
      <c r="I6042" s="4" t="s">
        <v>13162</v>
      </c>
      <c r="J6042" s="4" t="s">
        <v>3196</v>
      </c>
      <c r="K6042" s="4" t="s">
        <v>3196</v>
      </c>
      <c r="L6042" s="4" t="s">
        <v>3196</v>
      </c>
      <c r="M6042" s="4" t="s">
        <v>13163</v>
      </c>
      <c r="N6042" s="4" t="s">
        <v>13164</v>
      </c>
      <c r="O6042" s="4" t="s">
        <v>3196</v>
      </c>
      <c r="P6042" s="4" t="s">
        <v>13165</v>
      </c>
      <c r="Q6042" s="4" t="s">
        <v>4821</v>
      </c>
      <c r="R6042" s="4" t="s">
        <v>13166</v>
      </c>
      <c r="S6042" s="4" t="s">
        <v>13167</v>
      </c>
      <c r="T6042" s="4" t="s">
        <v>13168</v>
      </c>
      <c r="U6042" s="4" t="s">
        <v>1190</v>
      </c>
      <c r="V6042" s="4" t="s">
        <v>3196</v>
      </c>
      <c r="W6042" s="4" t="s">
        <v>13169</v>
      </c>
      <c r="X6042" s="4" t="s">
        <v>3196</v>
      </c>
    </row>
    <row r="6043">
      <c r="A6043" s="4">
        <v>585.0</v>
      </c>
      <c r="B6043" s="4" t="s">
        <v>13990</v>
      </c>
      <c r="C6043" s="4"/>
      <c r="D6043" s="4" t="s">
        <v>7051</v>
      </c>
      <c r="E6043" s="4" t="s">
        <v>13171</v>
      </c>
      <c r="F6043" s="4" t="s">
        <v>7051</v>
      </c>
      <c r="G6043" s="5" t="str">
        <f>IFERROR(__xludf.DUMMYFUNCTION("GOOGLETRANSLATE(D6043,""fr"",""es"")"),"paka")</f>
        <v>paka</v>
      </c>
    </row>
    <row r="6044">
      <c r="A6044" s="4">
        <v>586.0</v>
      </c>
      <c r="B6044" s="4" t="s">
        <v>13990</v>
      </c>
      <c r="C6044" s="4"/>
      <c r="D6044" s="4" t="s">
        <v>3161</v>
      </c>
      <c r="E6044" s="4" t="s">
        <v>3162</v>
      </c>
      <c r="F6044" s="4" t="s">
        <v>3161</v>
      </c>
      <c r="G6044" s="5" t="str">
        <f>IFERROR(__xludf.DUMMYFUNCTION("GOOGLETRANSLATE(D6044,""fr"",""es"")"),"camarada")</f>
        <v>camarada</v>
      </c>
    </row>
    <row r="6045">
      <c r="A6045" s="4">
        <v>587.0</v>
      </c>
      <c r="B6045" s="4" t="s">
        <v>13990</v>
      </c>
      <c r="C6045" s="4"/>
      <c r="D6045" s="4" t="s">
        <v>7060</v>
      </c>
      <c r="E6045" s="4" t="s">
        <v>13172</v>
      </c>
      <c r="F6045" s="4" t="s">
        <v>11058</v>
      </c>
      <c r="G6045" s="5" t="str">
        <f>IFERROR(__xludf.DUMMYFUNCTION("GOOGLETRANSLATE(D6045,""fr"",""es"")"),"palacio")</f>
        <v>palacio</v>
      </c>
    </row>
    <row r="6046">
      <c r="A6046" s="4">
        <v>588.0</v>
      </c>
      <c r="B6046" s="4" t="s">
        <v>13990</v>
      </c>
      <c r="C6046" s="4"/>
      <c r="D6046" s="4" t="s">
        <v>3177</v>
      </c>
      <c r="E6046" s="4" t="s">
        <v>3178</v>
      </c>
      <c r="F6046" s="4" t="s">
        <v>3177</v>
      </c>
      <c r="G6046" s="5" t="str">
        <f>IFERROR(__xludf.DUMMYFUNCTION("GOOGLETRANSLATE(D6046,""fr"",""es"")"),"palatal")</f>
        <v>palatal</v>
      </c>
      <c r="H6046" s="4" t="s">
        <v>3177</v>
      </c>
      <c r="I6046" s="4" t="s">
        <v>13173</v>
      </c>
      <c r="J6046" s="4" t="s">
        <v>13174</v>
      </c>
      <c r="K6046" s="4" t="s">
        <v>3177</v>
      </c>
      <c r="L6046" s="4" t="s">
        <v>13175</v>
      </c>
      <c r="M6046" s="4" t="s">
        <v>3177</v>
      </c>
    </row>
    <row r="6047">
      <c r="A6047" s="4">
        <v>589.0</v>
      </c>
      <c r="B6047" s="4" t="s">
        <v>13990</v>
      </c>
      <c r="C6047" s="4"/>
      <c r="D6047" s="4" t="s">
        <v>13175</v>
      </c>
      <c r="E6047" s="4" t="s">
        <v>13176</v>
      </c>
      <c r="F6047" s="4" t="s">
        <v>13177</v>
      </c>
      <c r="G6047" s="5" t="str">
        <f>IFERROR(__xludf.DUMMYFUNCTION("GOOGLETRANSLATE(D6047,""fr"",""es"")"),"palatal")</f>
        <v>palatal</v>
      </c>
    </row>
    <row r="6048">
      <c r="A6048" s="4">
        <v>590.0</v>
      </c>
      <c r="B6048" s="4" t="s">
        <v>13990</v>
      </c>
      <c r="C6048" s="4"/>
      <c r="D6048" s="4" t="s">
        <v>7565</v>
      </c>
      <c r="E6048" s="4" t="s">
        <v>3162</v>
      </c>
      <c r="F6048" s="4" t="s">
        <v>3161</v>
      </c>
      <c r="G6048" s="5" t="str">
        <f>IFERROR(__xludf.DUMMYFUNCTION("GOOGLETRANSLATE(D6048,""fr"",""es"")"),"pálido")</f>
        <v>pálido</v>
      </c>
      <c r="H6048" s="4" t="s">
        <v>10259</v>
      </c>
      <c r="I6048" s="4" t="s">
        <v>10260</v>
      </c>
      <c r="J6048" s="4" t="s">
        <v>13178</v>
      </c>
    </row>
    <row r="6049">
      <c r="A6049" s="4">
        <v>591.0</v>
      </c>
      <c r="B6049" s="4" t="s">
        <v>13990</v>
      </c>
      <c r="C6049" s="4"/>
      <c r="D6049" s="4" t="s">
        <v>13179</v>
      </c>
      <c r="E6049" s="4" t="s">
        <v>13172</v>
      </c>
      <c r="F6049" s="4" t="s">
        <v>11058</v>
      </c>
      <c r="G6049" s="5" t="str">
        <f>IFERROR(__xludf.DUMMYFUNCTION("GOOGLETRANSLATE(D6049,""fr"",""es"")"),"Palas")</f>
        <v>Palas</v>
      </c>
      <c r="H6049" s="4" t="s">
        <v>13180</v>
      </c>
      <c r="I6049" s="4" t="s">
        <v>13181</v>
      </c>
      <c r="J6049" s="4" t="s">
        <v>13182</v>
      </c>
      <c r="K6049" s="4" t="s">
        <v>13180</v>
      </c>
      <c r="L6049" s="4" t="s">
        <v>13183</v>
      </c>
      <c r="M6049" s="4" t="s">
        <v>13184</v>
      </c>
    </row>
    <row r="6050">
      <c r="A6050" s="4">
        <v>592.0</v>
      </c>
      <c r="B6050" s="4" t="s">
        <v>13990</v>
      </c>
      <c r="C6050" s="4"/>
      <c r="D6050" s="4" t="s">
        <v>13185</v>
      </c>
      <c r="E6050" s="4" t="s">
        <v>13186</v>
      </c>
      <c r="F6050" s="4" t="s">
        <v>13187</v>
      </c>
      <c r="G6050" s="5" t="str">
        <f>IFERROR(__xludf.DUMMYFUNCTION("GOOGLETRANSLATE(D6050,""fr"",""es"")"),"penacho")</f>
        <v>penacho</v>
      </c>
      <c r="H6050" s="4" t="s">
        <v>8606</v>
      </c>
      <c r="I6050" s="4" t="s">
        <v>13188</v>
      </c>
      <c r="J6050" s="4" t="s">
        <v>13189</v>
      </c>
      <c r="K6050" s="4" t="s">
        <v>13185</v>
      </c>
      <c r="L6050" s="4" t="s">
        <v>11354</v>
      </c>
    </row>
    <row r="6051">
      <c r="A6051" s="4">
        <v>593.0</v>
      </c>
      <c r="B6051" s="4" t="s">
        <v>13990</v>
      </c>
      <c r="C6051" s="4"/>
      <c r="D6051" s="4" t="s">
        <v>13190</v>
      </c>
      <c r="E6051" s="4" t="s">
        <v>13191</v>
      </c>
      <c r="F6051" s="4" t="s">
        <v>13192</v>
      </c>
      <c r="G6051" s="5" t="str">
        <f>IFERROR(__xludf.DUMMYFUNCTION("GOOGLETRANSLATE(D6051,""fr"",""es"")"),"paname")</f>
        <v>paname</v>
      </c>
    </row>
    <row r="6052">
      <c r="A6052" s="4">
        <v>594.0</v>
      </c>
      <c r="B6052" s="4" t="s">
        <v>13990</v>
      </c>
      <c r="C6052" s="4"/>
      <c r="D6052" s="4" t="s">
        <v>13193</v>
      </c>
      <c r="E6052" s="4" t="s">
        <v>3264</v>
      </c>
      <c r="F6052" s="4" t="s">
        <v>3265</v>
      </c>
      <c r="G6052" s="5" t="str">
        <f>IFERROR(__xludf.DUMMYFUNCTION("GOOGLETRANSLATE(D6052,""fr"",""es"")"),"Panamá")</f>
        <v>Panamá</v>
      </c>
      <c r="H6052" s="4" t="s">
        <v>3266</v>
      </c>
      <c r="I6052" s="4" t="s">
        <v>3267</v>
      </c>
      <c r="J6052" s="4" t="s">
        <v>3268</v>
      </c>
      <c r="K6052" s="4" t="s">
        <v>3269</v>
      </c>
      <c r="L6052" s="4" t="s">
        <v>2505</v>
      </c>
      <c r="M6052" s="4" t="s">
        <v>3270</v>
      </c>
      <c r="N6052" s="4" t="s">
        <v>3271</v>
      </c>
      <c r="O6052" s="4" t="s">
        <v>3268</v>
      </c>
      <c r="P6052" s="4" t="s">
        <v>3272</v>
      </c>
      <c r="Q6052" s="4" t="s">
        <v>3273</v>
      </c>
      <c r="R6052" s="4" t="s">
        <v>3274</v>
      </c>
      <c r="S6052" s="4" t="s">
        <v>3275</v>
      </c>
      <c r="T6052" s="4" t="s">
        <v>3273</v>
      </c>
    </row>
    <row r="6053">
      <c r="A6053" s="4">
        <v>595.0</v>
      </c>
      <c r="B6053" s="4" t="s">
        <v>13990</v>
      </c>
      <c r="C6053" s="4"/>
      <c r="D6053" s="4" t="s">
        <v>13194</v>
      </c>
      <c r="E6053" s="4" t="s">
        <v>13195</v>
      </c>
      <c r="F6053" s="4" t="s">
        <v>7069</v>
      </c>
      <c r="G6053" s="5" t="str">
        <f>IFERROR(__xludf.DUMMYFUNCTION("GOOGLETRANSLATE(D6053,""fr"",""es"")"),"empanizado")</f>
        <v>empanizado</v>
      </c>
    </row>
    <row r="6054">
      <c r="A6054" s="4">
        <v>596.0</v>
      </c>
      <c r="B6054" s="4" t="s">
        <v>13990</v>
      </c>
      <c r="C6054" s="4"/>
      <c r="D6054" s="4" t="s">
        <v>3791</v>
      </c>
      <c r="E6054" s="4" t="s">
        <v>3789</v>
      </c>
      <c r="F6054" s="4" t="s">
        <v>3790</v>
      </c>
      <c r="G6054" s="5" t="str">
        <f>IFERROR(__xludf.DUMMYFUNCTION("GOOGLETRANSLATE(D6054,""fr"",""es"")"),"pánico")</f>
        <v>pánico</v>
      </c>
      <c r="H6054" s="4" t="s">
        <v>13196</v>
      </c>
      <c r="I6054" s="4" t="s">
        <v>13197</v>
      </c>
      <c r="J6054" s="4" t="s">
        <v>13196</v>
      </c>
      <c r="K6054" s="4" t="s">
        <v>13197</v>
      </c>
    </row>
    <row r="6055">
      <c r="A6055" s="4">
        <v>597.0</v>
      </c>
      <c r="B6055" s="4" t="s">
        <v>13990</v>
      </c>
      <c r="C6055" s="4"/>
      <c r="D6055" s="4" t="s">
        <v>10901</v>
      </c>
      <c r="E6055" s="4" t="s">
        <v>13198</v>
      </c>
      <c r="F6055" s="4" t="s">
        <v>10901</v>
      </c>
      <c r="G6055" s="5" t="str">
        <f>IFERROR(__xludf.DUMMYFUNCTION("GOOGLETRANSLATE(D6055,""fr"",""es"")"),"panin")</f>
        <v>panin</v>
      </c>
      <c r="H6055" s="4" t="s">
        <v>10903</v>
      </c>
    </row>
    <row r="6056">
      <c r="A6056" s="4">
        <v>598.0</v>
      </c>
      <c r="B6056" s="4" t="s">
        <v>13990</v>
      </c>
      <c r="C6056" s="4"/>
      <c r="D6056" s="4" t="s">
        <v>13199</v>
      </c>
      <c r="E6056" s="4" t="s">
        <v>3789</v>
      </c>
      <c r="F6056" s="4" t="s">
        <v>3790</v>
      </c>
      <c r="G6056" s="5" t="str">
        <f>IFERROR(__xludf.DUMMYFUNCTION("GOOGLETRANSLATE(D6056,""fr"",""es"")"),"pánico")</f>
        <v>pánico</v>
      </c>
      <c r="H6056" s="4" t="s">
        <v>7079</v>
      </c>
      <c r="I6056" s="4" t="s">
        <v>7082</v>
      </c>
      <c r="J6056" s="4" t="s">
        <v>7083</v>
      </c>
      <c r="K6056" s="4" t="s">
        <v>7084</v>
      </c>
      <c r="L6056" s="4" t="s">
        <v>7085</v>
      </c>
      <c r="M6056" s="4" t="s">
        <v>7086</v>
      </c>
      <c r="N6056" s="4" t="s">
        <v>3791</v>
      </c>
      <c r="O6056" s="4" t="s">
        <v>3791</v>
      </c>
      <c r="P6056" s="4" t="s">
        <v>3791</v>
      </c>
      <c r="Q6056" s="4" t="s">
        <v>3792</v>
      </c>
      <c r="R6056" s="4" t="s">
        <v>3793</v>
      </c>
      <c r="S6056" s="4" t="s">
        <v>3791</v>
      </c>
      <c r="T6056" s="4" t="s">
        <v>3794</v>
      </c>
    </row>
    <row r="6057">
      <c r="A6057" s="4">
        <v>599.0</v>
      </c>
      <c r="B6057" s="4" t="s">
        <v>13990</v>
      </c>
      <c r="C6057" s="4"/>
      <c r="D6057" s="4" t="s">
        <v>7087</v>
      </c>
      <c r="E6057" s="4" t="s">
        <v>13195</v>
      </c>
      <c r="F6057" s="4" t="s">
        <v>7069</v>
      </c>
      <c r="G6057" s="5" t="str">
        <f>IFERROR(__xludf.DUMMYFUNCTION("GOOGLETRANSLATE(D6057,""fr"",""es"")"),"desglose")</f>
        <v>desglose</v>
      </c>
      <c r="H6057" s="4" t="s">
        <v>13200</v>
      </c>
      <c r="I6057" s="4" t="s">
        <v>13201</v>
      </c>
      <c r="J6057" s="4" t="s">
        <v>13202</v>
      </c>
      <c r="K6057" s="4" t="s">
        <v>13203</v>
      </c>
    </row>
    <row r="6058">
      <c r="A6058" s="4">
        <v>600.0</v>
      </c>
      <c r="B6058" s="4" t="s">
        <v>13990</v>
      </c>
      <c r="C6058" s="4"/>
      <c r="D6058" s="4" t="s">
        <v>13204</v>
      </c>
      <c r="E6058" s="4" t="s">
        <v>13195</v>
      </c>
      <c r="F6058" s="4" t="s">
        <v>7069</v>
      </c>
      <c r="G6058" s="5" t="str">
        <f>IFERROR(__xludf.DUMMYFUNCTION("GOOGLETRANSLATE(D6058,""fr"",""es"")"),"pava real")</f>
        <v>pava real</v>
      </c>
      <c r="H6058" s="4" t="s">
        <v>13205</v>
      </c>
    </row>
    <row r="6059">
      <c r="A6059" s="4">
        <v>601.0</v>
      </c>
      <c r="B6059" s="4" t="s">
        <v>13990</v>
      </c>
      <c r="C6059" s="4"/>
      <c r="D6059" s="4" t="s">
        <v>3292</v>
      </c>
      <c r="E6059" s="4" t="s">
        <v>3293</v>
      </c>
      <c r="F6059" s="4" t="s">
        <v>3292</v>
      </c>
      <c r="G6059" s="5" t="str">
        <f>IFERROR(__xludf.DUMMYFUNCTION("GOOGLETRANSLATE(D6059,""fr"",""es"")"),"padre")</f>
        <v>padre</v>
      </c>
      <c r="H6059" s="4" t="s">
        <v>3294</v>
      </c>
      <c r="I6059" s="4" t="s">
        <v>3295</v>
      </c>
      <c r="J6059" s="4" t="s">
        <v>3296</v>
      </c>
      <c r="K6059" s="4" t="s">
        <v>3147</v>
      </c>
      <c r="L6059" s="4" t="s">
        <v>3292</v>
      </c>
      <c r="M6059" s="4" t="s">
        <v>3297</v>
      </c>
      <c r="N6059" s="4" t="s">
        <v>3298</v>
      </c>
    </row>
    <row r="6060">
      <c r="A6060" s="4">
        <v>602.0</v>
      </c>
      <c r="B6060" s="4" t="s">
        <v>13990</v>
      </c>
      <c r="C6060" s="4"/>
      <c r="D6060" s="4" t="s">
        <v>13206</v>
      </c>
      <c r="E6060" s="4" t="s">
        <v>13207</v>
      </c>
      <c r="F6060" s="4" t="s">
        <v>13208</v>
      </c>
      <c r="G6060" s="5" t="str">
        <f>IFERROR(__xludf.DUMMYFUNCTION("GOOGLETRANSLATE(D6060,""fr"",""es"")"),"papaya")</f>
        <v>papaya</v>
      </c>
      <c r="H6060" s="4" t="s">
        <v>3311</v>
      </c>
      <c r="I6060" s="4" t="s">
        <v>3311</v>
      </c>
      <c r="J6060" s="4" t="s">
        <v>3309</v>
      </c>
      <c r="K6060" s="4" t="s">
        <v>3313</v>
      </c>
      <c r="L6060" s="4" t="s">
        <v>13209</v>
      </c>
      <c r="M6060" s="4" t="s">
        <v>13210</v>
      </c>
      <c r="N6060" s="4" t="s">
        <v>13211</v>
      </c>
    </row>
    <row r="6061">
      <c r="A6061" s="4">
        <v>603.0</v>
      </c>
      <c r="B6061" s="4" t="s">
        <v>13990</v>
      </c>
      <c r="C6061" s="4"/>
      <c r="D6061" s="4" t="s">
        <v>13212</v>
      </c>
      <c r="E6061" s="4" t="s">
        <v>13213</v>
      </c>
      <c r="F6061" s="4" t="s">
        <v>7088</v>
      </c>
      <c r="G6061" s="5" t="str">
        <f>IFERROR(__xludf.DUMMYFUNCTION("GOOGLETRANSLATE(D6061,""fr"",""es"")"),"Papa")</f>
        <v>Papa</v>
      </c>
      <c r="H6061" s="4" t="s">
        <v>3302</v>
      </c>
      <c r="I6061" s="4" t="s">
        <v>3303</v>
      </c>
      <c r="J6061" s="4" t="s">
        <v>3304</v>
      </c>
      <c r="K6061" s="4" t="s">
        <v>3305</v>
      </c>
      <c r="L6061" s="4" t="s">
        <v>3306</v>
      </c>
      <c r="M6061" s="4" t="s">
        <v>3307</v>
      </c>
      <c r="N6061" s="4" t="s">
        <v>3308</v>
      </c>
      <c r="O6061" s="4" t="s">
        <v>3302</v>
      </c>
      <c r="P6061" s="4" t="s">
        <v>3303</v>
      </c>
      <c r="Q6061" s="4" t="s">
        <v>3304</v>
      </c>
      <c r="R6061" s="4" t="s">
        <v>3305</v>
      </c>
      <c r="S6061" s="4" t="s">
        <v>3306</v>
      </c>
      <c r="T6061" s="4" t="s">
        <v>3307</v>
      </c>
      <c r="U6061" s="4" t="s">
        <v>3308</v>
      </c>
      <c r="V6061" s="4" t="s">
        <v>13214</v>
      </c>
      <c r="W6061" s="4" t="s">
        <v>13215</v>
      </c>
    </row>
    <row r="6062">
      <c r="A6062" s="4">
        <v>604.0</v>
      </c>
      <c r="B6062" s="4" t="s">
        <v>13990</v>
      </c>
      <c r="C6062" s="4"/>
      <c r="D6062" s="4" t="s">
        <v>7100</v>
      </c>
      <c r="E6062" s="4" t="s">
        <v>13216</v>
      </c>
      <c r="F6062" s="4" t="s">
        <v>7100</v>
      </c>
      <c r="G6062" s="5" t="str">
        <f>IFERROR(__xludf.DUMMYFUNCTION("GOOGLETRANSLATE(D6062,""fr"",""es"")"),"Abuelo")</f>
        <v>Abuelo</v>
      </c>
      <c r="H6062" s="4" t="s">
        <v>1887</v>
      </c>
      <c r="I6062" s="4" t="s">
        <v>1888</v>
      </c>
      <c r="J6062" s="4" t="s">
        <v>1889</v>
      </c>
      <c r="K6062" s="4" t="s">
        <v>1890</v>
      </c>
      <c r="L6062" s="4" t="s">
        <v>1891</v>
      </c>
      <c r="M6062" s="4" t="s">
        <v>1892</v>
      </c>
    </row>
    <row r="6063">
      <c r="A6063" s="4">
        <v>605.0</v>
      </c>
      <c r="B6063" s="4" t="s">
        <v>13990</v>
      </c>
      <c r="C6063" s="4"/>
      <c r="D6063" s="4" t="s">
        <v>13217</v>
      </c>
      <c r="E6063" s="4" t="s">
        <v>13218</v>
      </c>
      <c r="F6063" s="4" t="s">
        <v>13219</v>
      </c>
      <c r="G6063" s="5" t="str">
        <f>IFERROR(__xludf.DUMMYFUNCTION("GOOGLETRANSLATE(D6063,""fr"",""es"")"),"papila")</f>
        <v>papila</v>
      </c>
      <c r="H6063" s="4" t="s">
        <v>13220</v>
      </c>
      <c r="I6063" s="4" t="s">
        <v>13221</v>
      </c>
      <c r="J6063" s="4" t="s">
        <v>13222</v>
      </c>
    </row>
    <row r="6064">
      <c r="A6064" s="4">
        <v>606.0</v>
      </c>
      <c r="B6064" s="4" t="s">
        <v>13990</v>
      </c>
      <c r="C6064" s="4"/>
      <c r="D6064" s="4" t="s">
        <v>13223</v>
      </c>
      <c r="E6064" s="4" t="s">
        <v>13216</v>
      </c>
      <c r="F6064" s="4" t="s">
        <v>7100</v>
      </c>
      <c r="G6064" s="5" t="str">
        <f>IFERROR(__xludf.DUMMYFUNCTION("GOOGLETRANSLATE(D6064,""fr"",""es"")"),"papis")</f>
        <v>papis</v>
      </c>
    </row>
    <row r="6065">
      <c r="A6065" s="4">
        <v>607.0</v>
      </c>
      <c r="B6065" s="4" t="s">
        <v>13990</v>
      </c>
      <c r="C6065" s="4"/>
      <c r="D6065" s="4" t="s">
        <v>13224</v>
      </c>
      <c r="E6065" s="4" t="s">
        <v>3322</v>
      </c>
      <c r="F6065" s="4" t="s">
        <v>3323</v>
      </c>
      <c r="G6065" s="5" t="str">
        <f>IFERROR(__xludf.DUMMYFUNCTION("GOOGLETRANSLATE(D6065,""fr"",""es"")"),"papú")</f>
        <v>papú</v>
      </c>
      <c r="H6065" s="4" t="s">
        <v>13225</v>
      </c>
      <c r="I6065" s="4" t="s">
        <v>13225</v>
      </c>
      <c r="J6065" s="4" t="s">
        <v>13226</v>
      </c>
    </row>
    <row r="6066">
      <c r="A6066" s="4">
        <v>608.0</v>
      </c>
      <c r="B6066" s="4" t="s">
        <v>13990</v>
      </c>
      <c r="C6066" s="4"/>
      <c r="D6066" s="4" t="s">
        <v>13227</v>
      </c>
      <c r="E6066" s="4" t="s">
        <v>13216</v>
      </c>
      <c r="F6066" s="4" t="s">
        <v>7100</v>
      </c>
      <c r="G6066" s="5" t="str">
        <f>IFERROR(__xludf.DUMMYFUNCTION("GOOGLETRANSLATE(D6066,""fr"",""es"")"),"Abuelo")</f>
        <v>Abuelo</v>
      </c>
      <c r="H6066" s="4" t="s">
        <v>1887</v>
      </c>
      <c r="I6066" s="4" t="s">
        <v>1888</v>
      </c>
      <c r="J6066" s="4" t="s">
        <v>1889</v>
      </c>
      <c r="K6066" s="4" t="s">
        <v>1890</v>
      </c>
      <c r="L6066" s="4" t="s">
        <v>1891</v>
      </c>
      <c r="M6066" s="4" t="s">
        <v>1892</v>
      </c>
    </row>
    <row r="6067">
      <c r="A6067" s="4">
        <v>609.0</v>
      </c>
      <c r="B6067" s="4" t="s">
        <v>13990</v>
      </c>
      <c r="C6067" s="4"/>
      <c r="D6067" s="4" t="s">
        <v>3361</v>
      </c>
      <c r="E6067" s="4" t="s">
        <v>3148</v>
      </c>
      <c r="F6067" s="4" t="s">
        <v>3147</v>
      </c>
      <c r="G6067" s="5" t="str">
        <f>IFERROR(__xludf.DUMMYFUNCTION("GOOGLETRANSLATE(D6067,""fr"",""es"")"),"no")</f>
        <v>no</v>
      </c>
      <c r="H6067" s="4" t="s">
        <v>13228</v>
      </c>
      <c r="I6067" s="4" t="s">
        <v>13229</v>
      </c>
      <c r="J6067" s="4" t="s">
        <v>13230</v>
      </c>
      <c r="K6067" s="4" t="s">
        <v>10974</v>
      </c>
      <c r="L6067" s="4" t="s">
        <v>10974</v>
      </c>
      <c r="M6067" s="4" t="s">
        <v>13231</v>
      </c>
      <c r="N6067" s="4" t="s">
        <v>639</v>
      </c>
      <c r="O6067" s="4" t="s">
        <v>13232</v>
      </c>
      <c r="P6067" s="4" t="s">
        <v>12757</v>
      </c>
      <c r="Q6067" s="4" t="s">
        <v>13233</v>
      </c>
      <c r="R6067" s="4" t="s">
        <v>3367</v>
      </c>
      <c r="S6067" s="4" t="s">
        <v>3365</v>
      </c>
      <c r="T6067" s="4" t="s">
        <v>3366</v>
      </c>
      <c r="U6067" s="4" t="s">
        <v>3367</v>
      </c>
      <c r="V6067" s="4" t="s">
        <v>3368</v>
      </c>
      <c r="W6067" s="4" t="s">
        <v>3361</v>
      </c>
      <c r="X6067" s="4" t="s">
        <v>3381</v>
      </c>
      <c r="Y6067" s="4" t="s">
        <v>897</v>
      </c>
      <c r="Z6067" s="4" t="s">
        <v>10974</v>
      </c>
      <c r="AA6067" s="4" t="s">
        <v>13234</v>
      </c>
      <c r="AB6067" s="4" t="s">
        <v>3366</v>
      </c>
      <c r="AC6067" s="4" t="s">
        <v>3365</v>
      </c>
      <c r="AD6067" s="4" t="s">
        <v>10974</v>
      </c>
      <c r="AE6067" s="4" t="s">
        <v>13235</v>
      </c>
      <c r="AF6067" s="4" t="s">
        <v>13236</v>
      </c>
      <c r="AG6067" s="4" t="s">
        <v>3365</v>
      </c>
      <c r="AH6067" s="4" t="s">
        <v>13237</v>
      </c>
      <c r="AI6067" s="4" t="s">
        <v>8975</v>
      </c>
      <c r="AJ6067" s="4" t="s">
        <v>3365</v>
      </c>
      <c r="AK6067" s="4" t="s">
        <v>13238</v>
      </c>
      <c r="AL6067" s="4" t="s">
        <v>10974</v>
      </c>
      <c r="AM6067" s="4" t="s">
        <v>3373</v>
      </c>
      <c r="AN6067" s="4" t="s">
        <v>3374</v>
      </c>
      <c r="AO6067" s="4" t="s">
        <v>3365</v>
      </c>
      <c r="AP6067" s="4" t="s">
        <v>13239</v>
      </c>
      <c r="AQ6067" s="4" t="s">
        <v>3380</v>
      </c>
      <c r="AR6067" s="4" t="s">
        <v>3381</v>
      </c>
      <c r="AS6067" s="4" t="s">
        <v>3365</v>
      </c>
      <c r="AT6067" s="4" t="s">
        <v>10974</v>
      </c>
      <c r="AU6067" s="4" t="s">
        <v>8623</v>
      </c>
      <c r="AV6067" s="4" t="s">
        <v>8975</v>
      </c>
      <c r="AW6067" s="4" t="s">
        <v>2634</v>
      </c>
      <c r="AX6067" s="4" t="s">
        <v>3366</v>
      </c>
      <c r="AY6067" s="4" t="s">
        <v>3381</v>
      </c>
      <c r="AZ6067" s="4" t="s">
        <v>3366</v>
      </c>
      <c r="BA6067" s="4" t="s">
        <v>3365</v>
      </c>
      <c r="BB6067" s="4" t="s">
        <v>3367</v>
      </c>
      <c r="BC6067" s="4" t="s">
        <v>3366</v>
      </c>
      <c r="BD6067" s="4" t="s">
        <v>3384</v>
      </c>
      <c r="BE6067" s="4" t="s">
        <v>13240</v>
      </c>
      <c r="BF6067" s="4" t="s">
        <v>3366</v>
      </c>
    </row>
    <row r="6068">
      <c r="A6068" s="4">
        <v>610.0</v>
      </c>
      <c r="B6068" s="4" t="s">
        <v>13990</v>
      </c>
      <c r="C6068" s="4"/>
      <c r="D6068" s="4" t="s">
        <v>3361</v>
      </c>
      <c r="E6068" s="4" t="s">
        <v>13241</v>
      </c>
      <c r="F6068" s="4" t="s">
        <v>3147</v>
      </c>
      <c r="G6068" s="5" t="str">
        <f>IFERROR(__xludf.DUMMYFUNCTION("GOOGLETRANSLATE(D6068,""fr"",""es"")"),"no")</f>
        <v>no</v>
      </c>
      <c r="H6068" s="4" t="s">
        <v>13228</v>
      </c>
      <c r="I6068" s="4" t="s">
        <v>13229</v>
      </c>
      <c r="J6068" s="4" t="s">
        <v>13230</v>
      </c>
      <c r="K6068" s="4" t="s">
        <v>10974</v>
      </c>
      <c r="L6068" s="4" t="s">
        <v>10974</v>
      </c>
      <c r="M6068" s="4" t="s">
        <v>13231</v>
      </c>
      <c r="N6068" s="4" t="s">
        <v>639</v>
      </c>
      <c r="O6068" s="4" t="s">
        <v>13232</v>
      </c>
      <c r="P6068" s="4" t="s">
        <v>12757</v>
      </c>
      <c r="Q6068" s="4" t="s">
        <v>13233</v>
      </c>
      <c r="R6068" s="4" t="s">
        <v>3367</v>
      </c>
      <c r="S6068" s="4" t="s">
        <v>3365</v>
      </c>
      <c r="T6068" s="4" t="s">
        <v>3366</v>
      </c>
      <c r="U6068" s="4" t="s">
        <v>3367</v>
      </c>
      <c r="V6068" s="4" t="s">
        <v>3368</v>
      </c>
      <c r="W6068" s="4" t="s">
        <v>3361</v>
      </c>
      <c r="X6068" s="4" t="s">
        <v>3381</v>
      </c>
      <c r="Y6068" s="4" t="s">
        <v>897</v>
      </c>
      <c r="Z6068" s="4" t="s">
        <v>10974</v>
      </c>
      <c r="AA6068" s="4" t="s">
        <v>13234</v>
      </c>
      <c r="AB6068" s="4" t="s">
        <v>3366</v>
      </c>
      <c r="AC6068" s="4" t="s">
        <v>3365</v>
      </c>
      <c r="AD6068" s="4" t="s">
        <v>10974</v>
      </c>
      <c r="AE6068" s="4" t="s">
        <v>13235</v>
      </c>
      <c r="AF6068" s="4" t="s">
        <v>13236</v>
      </c>
      <c r="AG6068" s="4" t="s">
        <v>3365</v>
      </c>
      <c r="AH6068" s="4" t="s">
        <v>13237</v>
      </c>
      <c r="AI6068" s="4" t="s">
        <v>8975</v>
      </c>
      <c r="AJ6068" s="4" t="s">
        <v>3365</v>
      </c>
      <c r="AK6068" s="4" t="s">
        <v>13238</v>
      </c>
      <c r="AL6068" s="4" t="s">
        <v>10974</v>
      </c>
      <c r="AM6068" s="4" t="s">
        <v>3373</v>
      </c>
      <c r="AN6068" s="4" t="s">
        <v>3374</v>
      </c>
      <c r="AO6068" s="4" t="s">
        <v>3365</v>
      </c>
      <c r="AP6068" s="4" t="s">
        <v>13239</v>
      </c>
      <c r="AQ6068" s="4" t="s">
        <v>3380</v>
      </c>
      <c r="AR6068" s="4" t="s">
        <v>3381</v>
      </c>
      <c r="AS6068" s="4" t="s">
        <v>3365</v>
      </c>
      <c r="AT6068" s="4" t="s">
        <v>10974</v>
      </c>
      <c r="AU6068" s="4" t="s">
        <v>8623</v>
      </c>
      <c r="AV6068" s="4" t="s">
        <v>8975</v>
      </c>
      <c r="AW6068" s="4" t="s">
        <v>2634</v>
      </c>
      <c r="AX6068" s="4" t="s">
        <v>3366</v>
      </c>
      <c r="AY6068" s="4" t="s">
        <v>3381</v>
      </c>
      <c r="AZ6068" s="4" t="s">
        <v>3366</v>
      </c>
      <c r="BA6068" s="4" t="s">
        <v>3365</v>
      </c>
      <c r="BB6068" s="4" t="s">
        <v>3367</v>
      </c>
      <c r="BC6068" s="4" t="s">
        <v>3366</v>
      </c>
      <c r="BD6068" s="4" t="s">
        <v>3384</v>
      </c>
      <c r="BE6068" s="4" t="s">
        <v>13240</v>
      </c>
      <c r="BF6068" s="4" t="s">
        <v>3366</v>
      </c>
    </row>
    <row r="6069">
      <c r="A6069" s="4">
        <v>611.0</v>
      </c>
      <c r="B6069" s="4" t="s">
        <v>13990</v>
      </c>
      <c r="C6069" s="4"/>
      <c r="D6069" s="4" t="s">
        <v>13242</v>
      </c>
      <c r="E6069" s="4" t="s">
        <v>13243</v>
      </c>
      <c r="F6069" s="4" t="s">
        <v>13244</v>
      </c>
      <c r="G6069" s="5" t="str">
        <f>IFERROR(__xludf.DUMMYFUNCTION("GOOGLETRANSLATE(D6069,""fr"",""es"")"),"passacaille")</f>
        <v>passacaille</v>
      </c>
    </row>
    <row r="6070">
      <c r="A6070" s="4">
        <v>612.0</v>
      </c>
      <c r="B6070" s="4" t="s">
        <v>13990</v>
      </c>
      <c r="C6070" s="4"/>
      <c r="D6070" s="4" t="s">
        <v>13245</v>
      </c>
      <c r="E6070" s="4" t="s">
        <v>3362</v>
      </c>
      <c r="F6070" s="4" t="s">
        <v>3361</v>
      </c>
      <c r="G6070" s="5" t="str">
        <f>IFERROR(__xludf.DUMMYFUNCTION("GOOGLETRANSLATE(D6070,""fr"",""es"")"),"pasar")</f>
        <v>pasar</v>
      </c>
      <c r="H6070" s="4" t="s">
        <v>13246</v>
      </c>
      <c r="I6070" s="4" t="s">
        <v>13247</v>
      </c>
      <c r="J6070" s="4" t="s">
        <v>13248</v>
      </c>
      <c r="K6070" s="4" t="s">
        <v>617</v>
      </c>
    </row>
    <row r="6071">
      <c r="A6071" s="4">
        <v>613.0</v>
      </c>
      <c r="B6071" s="4" t="s">
        <v>13990</v>
      </c>
      <c r="C6071" s="4"/>
      <c r="D6071" s="4" t="s">
        <v>13245</v>
      </c>
      <c r="E6071" s="4" t="s">
        <v>10940</v>
      </c>
      <c r="F6071" s="4" t="s">
        <v>3361</v>
      </c>
      <c r="G6071" s="5" t="str">
        <f>IFERROR(__xludf.DUMMYFUNCTION("GOOGLETRANSLATE(D6071,""fr"",""es"")"),"pasar")</f>
        <v>pasar</v>
      </c>
      <c r="H6071" s="4" t="s">
        <v>13246</v>
      </c>
      <c r="I6071" s="4" t="s">
        <v>13247</v>
      </c>
      <c r="J6071" s="4" t="s">
        <v>13248</v>
      </c>
      <c r="K6071" s="4" t="s">
        <v>617</v>
      </c>
    </row>
    <row r="6072">
      <c r="A6072" s="4">
        <v>614.0</v>
      </c>
      <c r="B6072" s="4" t="s">
        <v>13990</v>
      </c>
      <c r="C6072" s="4"/>
      <c r="D6072" s="4" t="s">
        <v>13249</v>
      </c>
      <c r="E6072" s="4" t="s">
        <v>3362</v>
      </c>
      <c r="F6072" s="4" t="s">
        <v>3361</v>
      </c>
      <c r="G6072" s="5" t="str">
        <f>IFERROR(__xludf.DUMMYFUNCTION("GOOGLETRANSLATE(D6072,""fr"",""es"")"),"pases")</f>
        <v>pases</v>
      </c>
    </row>
    <row r="6073">
      <c r="A6073" s="4">
        <v>615.0</v>
      </c>
      <c r="B6073" s="4" t="s">
        <v>13990</v>
      </c>
      <c r="C6073" s="4"/>
      <c r="D6073" s="4" t="s">
        <v>13250</v>
      </c>
      <c r="E6073" s="4" t="s">
        <v>13251</v>
      </c>
      <c r="F6073" s="4" t="s">
        <v>8699</v>
      </c>
      <c r="G6073" s="5" t="str">
        <f>IFERROR(__xludf.DUMMYFUNCTION("GOOGLETRANSLATE(D6073,""fr"",""es"")"),"pasajero")</f>
        <v>pasajero</v>
      </c>
    </row>
    <row r="6074">
      <c r="A6074" s="4">
        <v>616.0</v>
      </c>
      <c r="B6074" s="4" t="s">
        <v>13990</v>
      </c>
      <c r="C6074" s="4"/>
      <c r="D6074" s="4" t="s">
        <v>13252</v>
      </c>
      <c r="E6074" s="4" t="s">
        <v>13253</v>
      </c>
      <c r="F6074" s="4" t="s">
        <v>13254</v>
      </c>
      <c r="G6074" s="5" t="str">
        <f>IFERROR(__xludf.DUMMYFUNCTION("GOOGLETRANSLATE(D6074,""fr"",""es"")"),"patache")</f>
        <v>patache</v>
      </c>
    </row>
    <row r="6075">
      <c r="A6075" s="4">
        <v>617.0</v>
      </c>
      <c r="B6075" s="4" t="s">
        <v>13990</v>
      </c>
      <c r="C6075" s="4"/>
      <c r="D6075" s="4" t="s">
        <v>13255</v>
      </c>
      <c r="E6075" s="4" t="s">
        <v>13256</v>
      </c>
      <c r="F6075" s="4" t="s">
        <v>13255</v>
      </c>
      <c r="G6075" s="5" t="str">
        <f>IFERROR(__xludf.DUMMYFUNCTION("GOOGLETRANSLATE(D6075,""fr"",""es"")"),"patati")</f>
        <v>patati</v>
      </c>
    </row>
    <row r="6076">
      <c r="A6076" s="4">
        <v>618.0</v>
      </c>
      <c r="B6076" s="4" t="s">
        <v>13990</v>
      </c>
      <c r="C6076" s="4"/>
      <c r="D6076" s="4" t="s">
        <v>13257</v>
      </c>
      <c r="E6076" s="4" t="s">
        <v>13258</v>
      </c>
      <c r="F6076" s="4" t="s">
        <v>13259</v>
      </c>
      <c r="G6076" s="5" t="str">
        <f>IFERROR(__xludf.DUMMYFUNCTION("GOOGLETRANSLATE(D6076,""fr"",""es"")"),"pátina")</f>
        <v>pátina</v>
      </c>
      <c r="H6076" s="4" t="s">
        <v>13260</v>
      </c>
    </row>
    <row r="6077">
      <c r="A6077" s="4">
        <v>619.0</v>
      </c>
      <c r="B6077" s="4" t="s">
        <v>13990</v>
      </c>
      <c r="C6077" s="4"/>
      <c r="D6077" s="4" t="s">
        <v>13261</v>
      </c>
      <c r="E6077" s="4" t="s">
        <v>13262</v>
      </c>
      <c r="F6077" s="4" t="s">
        <v>13263</v>
      </c>
      <c r="G6077" s="5" t="str">
        <f>IFERROR(__xludf.DUMMYFUNCTION("GOOGLETRANSLATE(D6077,""fr"",""es"")"),"patouille")</f>
        <v>patouille</v>
      </c>
    </row>
    <row r="6078">
      <c r="A6078" s="4">
        <v>620.0</v>
      </c>
      <c r="B6078" s="4" t="s">
        <v>13990</v>
      </c>
      <c r="C6078" s="4"/>
      <c r="D6078" s="4" t="s">
        <v>13264</v>
      </c>
      <c r="E6078" s="4" t="s">
        <v>11005</v>
      </c>
      <c r="F6078" s="4" t="s">
        <v>7278</v>
      </c>
      <c r="G6078" s="5" t="str">
        <f>IFERROR(__xludf.DUMMYFUNCTION("GOOGLETRANSLATE(D6078,""fr"",""es"")"),"pequeño")</f>
        <v>pequeño</v>
      </c>
      <c r="H6078" s="4" t="s">
        <v>13265</v>
      </c>
      <c r="I6078" s="4" t="s">
        <v>1841</v>
      </c>
      <c r="J6078" s="4" t="s">
        <v>8555</v>
      </c>
      <c r="K6078" s="4" t="s">
        <v>8916</v>
      </c>
      <c r="L6078" s="4" t="s">
        <v>13265</v>
      </c>
      <c r="M6078" s="4" t="s">
        <v>13266</v>
      </c>
      <c r="N6078" s="4" t="s">
        <v>13267</v>
      </c>
      <c r="O6078" s="4" t="s">
        <v>1841</v>
      </c>
      <c r="P6078" s="4" t="s">
        <v>997</v>
      </c>
      <c r="Q6078" s="4" t="s">
        <v>13268</v>
      </c>
      <c r="R6078" s="4" t="s">
        <v>13269</v>
      </c>
      <c r="S6078" s="4" t="s">
        <v>2915</v>
      </c>
      <c r="T6078" s="4" t="s">
        <v>13265</v>
      </c>
      <c r="U6078" s="4" t="s">
        <v>13270</v>
      </c>
      <c r="V6078" s="4" t="s">
        <v>13271</v>
      </c>
      <c r="W6078" s="4" t="s">
        <v>13272</v>
      </c>
      <c r="X6078" s="4" t="s">
        <v>13273</v>
      </c>
      <c r="Y6078" s="4" t="s">
        <v>13274</v>
      </c>
      <c r="Z6078" s="4" t="s">
        <v>13275</v>
      </c>
      <c r="AA6078" s="4" t="s">
        <v>8916</v>
      </c>
      <c r="AB6078" s="4" t="s">
        <v>13276</v>
      </c>
      <c r="AC6078" s="4" t="s">
        <v>2283</v>
      </c>
      <c r="AD6078" s="4" t="s">
        <v>1841</v>
      </c>
      <c r="AE6078" s="4" t="s">
        <v>13265</v>
      </c>
      <c r="AF6078" s="4" t="s">
        <v>4688</v>
      </c>
      <c r="AG6078" s="4" t="s">
        <v>4689</v>
      </c>
      <c r="AH6078" s="4" t="s">
        <v>4690</v>
      </c>
      <c r="AI6078" s="4" t="s">
        <v>4691</v>
      </c>
      <c r="AJ6078" s="4" t="s">
        <v>4692</v>
      </c>
      <c r="AK6078" s="4" t="s">
        <v>4693</v>
      </c>
      <c r="AL6078" s="4" t="s">
        <v>4694</v>
      </c>
      <c r="AM6078" s="4" t="s">
        <v>4695</v>
      </c>
      <c r="AN6078" s="4" t="s">
        <v>4696</v>
      </c>
      <c r="AO6078" s="4" t="s">
        <v>4697</v>
      </c>
      <c r="AP6078" s="4" t="s">
        <v>4698</v>
      </c>
      <c r="AQ6078" s="4" t="s">
        <v>4699</v>
      </c>
      <c r="AR6078" s="4" t="s">
        <v>7829</v>
      </c>
      <c r="AS6078" s="4" t="s">
        <v>7825</v>
      </c>
      <c r="AT6078" s="4" t="s">
        <v>4704</v>
      </c>
      <c r="AU6078" s="4" t="s">
        <v>1840</v>
      </c>
      <c r="AV6078" s="4" t="s">
        <v>1841</v>
      </c>
      <c r="AW6078" s="4" t="s">
        <v>13277</v>
      </c>
      <c r="AX6078" s="4" t="s">
        <v>13278</v>
      </c>
      <c r="AY6078" s="4" t="s">
        <v>13279</v>
      </c>
      <c r="AZ6078" s="4" t="s">
        <v>13280</v>
      </c>
      <c r="BA6078" s="4" t="s">
        <v>13265</v>
      </c>
      <c r="BB6078" s="4" t="s">
        <v>1841</v>
      </c>
      <c r="BC6078" s="4" t="s">
        <v>13265</v>
      </c>
      <c r="BD6078" s="4" t="s">
        <v>13281</v>
      </c>
      <c r="BE6078" s="4" t="s">
        <v>1841</v>
      </c>
      <c r="BF6078" s="4" t="s">
        <v>4704</v>
      </c>
      <c r="BG6078" s="4" t="s">
        <v>1840</v>
      </c>
      <c r="BH6078" s="4" t="s">
        <v>1841</v>
      </c>
      <c r="BI6078" s="4" t="s">
        <v>13265</v>
      </c>
      <c r="BJ6078" s="4" t="s">
        <v>7833</v>
      </c>
      <c r="BK6078" s="4" t="s">
        <v>8916</v>
      </c>
      <c r="BL6078" s="4" t="s">
        <v>13282</v>
      </c>
      <c r="BM6078" s="4" t="s">
        <v>13283</v>
      </c>
      <c r="BN6078" s="4" t="s">
        <v>13284</v>
      </c>
      <c r="BO6078" s="4" t="s">
        <v>1841</v>
      </c>
      <c r="BP6078" s="4" t="s">
        <v>1837</v>
      </c>
      <c r="BQ6078" s="4" t="s">
        <v>1839</v>
      </c>
      <c r="BR6078" s="4" t="s">
        <v>1838</v>
      </c>
      <c r="BS6078" s="4" t="s">
        <v>1840</v>
      </c>
      <c r="BT6078" s="4" t="s">
        <v>1841</v>
      </c>
      <c r="BU6078" s="4" t="s">
        <v>933</v>
      </c>
      <c r="BV6078" s="4" t="s">
        <v>13265</v>
      </c>
      <c r="BW6078" s="4" t="s">
        <v>13285</v>
      </c>
      <c r="BX6078" s="4" t="s">
        <v>13286</v>
      </c>
      <c r="BY6078" s="4" t="s">
        <v>1841</v>
      </c>
      <c r="BZ6078" s="4" t="s">
        <v>1841</v>
      </c>
      <c r="CA6078" s="4" t="s">
        <v>8916</v>
      </c>
      <c r="CB6078" s="4" t="s">
        <v>8912</v>
      </c>
      <c r="CC6078" s="4" t="s">
        <v>4701</v>
      </c>
      <c r="CD6078" s="4" t="s">
        <v>2283</v>
      </c>
      <c r="CE6078" s="4" t="s">
        <v>13287</v>
      </c>
      <c r="CF6078" s="4" t="s">
        <v>13288</v>
      </c>
      <c r="CG6078" s="4" t="s">
        <v>13289</v>
      </c>
      <c r="CH6078" s="4" t="s">
        <v>13290</v>
      </c>
      <c r="CI6078" s="4" t="s">
        <v>13265</v>
      </c>
    </row>
    <row r="6079">
      <c r="A6079" s="4">
        <v>621.0</v>
      </c>
      <c r="B6079" s="4" t="s">
        <v>13990</v>
      </c>
      <c r="C6079" s="4"/>
      <c r="D6079" s="4" t="s">
        <v>13264</v>
      </c>
      <c r="E6079" s="4" t="s">
        <v>421</v>
      </c>
      <c r="F6079" s="4" t="s">
        <v>422</v>
      </c>
      <c r="G6079" s="5" t="str">
        <f>IFERROR(__xludf.DUMMYFUNCTION("GOOGLETRANSLATE(D6079,""fr"",""es"")"),"pequeño")</f>
        <v>pequeño</v>
      </c>
      <c r="H6079" s="4" t="s">
        <v>13265</v>
      </c>
      <c r="I6079" s="4" t="s">
        <v>1841</v>
      </c>
      <c r="J6079" s="4" t="s">
        <v>8555</v>
      </c>
      <c r="K6079" s="4" t="s">
        <v>8916</v>
      </c>
      <c r="L6079" s="4" t="s">
        <v>13265</v>
      </c>
      <c r="M6079" s="4" t="s">
        <v>13266</v>
      </c>
      <c r="N6079" s="4" t="s">
        <v>13267</v>
      </c>
      <c r="O6079" s="4" t="s">
        <v>1841</v>
      </c>
      <c r="P6079" s="4" t="s">
        <v>997</v>
      </c>
      <c r="Q6079" s="4" t="s">
        <v>13268</v>
      </c>
      <c r="R6079" s="4" t="s">
        <v>13269</v>
      </c>
      <c r="S6079" s="4" t="s">
        <v>2915</v>
      </c>
      <c r="T6079" s="4" t="s">
        <v>13265</v>
      </c>
      <c r="U6079" s="4" t="s">
        <v>13270</v>
      </c>
      <c r="V6079" s="4" t="s">
        <v>13271</v>
      </c>
      <c r="W6079" s="4" t="s">
        <v>13272</v>
      </c>
      <c r="X6079" s="4" t="s">
        <v>13273</v>
      </c>
      <c r="Y6079" s="4" t="s">
        <v>13274</v>
      </c>
      <c r="Z6079" s="4" t="s">
        <v>13275</v>
      </c>
      <c r="AA6079" s="4" t="s">
        <v>8916</v>
      </c>
      <c r="AB6079" s="4" t="s">
        <v>13276</v>
      </c>
      <c r="AC6079" s="4" t="s">
        <v>2283</v>
      </c>
      <c r="AD6079" s="4" t="s">
        <v>1841</v>
      </c>
      <c r="AE6079" s="4" t="s">
        <v>13265</v>
      </c>
      <c r="AF6079" s="4" t="s">
        <v>4688</v>
      </c>
      <c r="AG6079" s="4" t="s">
        <v>4689</v>
      </c>
      <c r="AH6079" s="4" t="s">
        <v>4690</v>
      </c>
      <c r="AI6079" s="4" t="s">
        <v>4691</v>
      </c>
      <c r="AJ6079" s="4" t="s">
        <v>4692</v>
      </c>
      <c r="AK6079" s="4" t="s">
        <v>4693</v>
      </c>
      <c r="AL6079" s="4" t="s">
        <v>4694</v>
      </c>
      <c r="AM6079" s="4" t="s">
        <v>4695</v>
      </c>
      <c r="AN6079" s="4" t="s">
        <v>4696</v>
      </c>
      <c r="AO6079" s="4" t="s">
        <v>4697</v>
      </c>
      <c r="AP6079" s="4" t="s">
        <v>4698</v>
      </c>
      <c r="AQ6079" s="4" t="s">
        <v>4699</v>
      </c>
      <c r="AR6079" s="4" t="s">
        <v>7829</v>
      </c>
      <c r="AS6079" s="4" t="s">
        <v>7825</v>
      </c>
      <c r="AT6079" s="4" t="s">
        <v>4704</v>
      </c>
      <c r="AU6079" s="4" t="s">
        <v>1840</v>
      </c>
      <c r="AV6079" s="4" t="s">
        <v>1841</v>
      </c>
      <c r="AW6079" s="4" t="s">
        <v>13277</v>
      </c>
      <c r="AX6079" s="4" t="s">
        <v>13278</v>
      </c>
      <c r="AY6079" s="4" t="s">
        <v>13279</v>
      </c>
      <c r="AZ6079" s="4" t="s">
        <v>13280</v>
      </c>
      <c r="BA6079" s="4" t="s">
        <v>13265</v>
      </c>
      <c r="BB6079" s="4" t="s">
        <v>1841</v>
      </c>
      <c r="BC6079" s="4" t="s">
        <v>13265</v>
      </c>
      <c r="BD6079" s="4" t="s">
        <v>13281</v>
      </c>
      <c r="BE6079" s="4" t="s">
        <v>1841</v>
      </c>
      <c r="BF6079" s="4" t="s">
        <v>4704</v>
      </c>
      <c r="BG6079" s="4" t="s">
        <v>1840</v>
      </c>
      <c r="BH6079" s="4" t="s">
        <v>1841</v>
      </c>
      <c r="BI6079" s="4" t="s">
        <v>13265</v>
      </c>
      <c r="BJ6079" s="4" t="s">
        <v>7833</v>
      </c>
      <c r="BK6079" s="4" t="s">
        <v>8916</v>
      </c>
      <c r="BL6079" s="4" t="s">
        <v>13282</v>
      </c>
      <c r="BM6079" s="4" t="s">
        <v>13283</v>
      </c>
      <c r="BN6079" s="4" t="s">
        <v>13284</v>
      </c>
      <c r="BO6079" s="4" t="s">
        <v>1841</v>
      </c>
      <c r="BP6079" s="4" t="s">
        <v>1837</v>
      </c>
      <c r="BQ6079" s="4" t="s">
        <v>1839</v>
      </c>
      <c r="BR6079" s="4" t="s">
        <v>1838</v>
      </c>
      <c r="BS6079" s="4" t="s">
        <v>1840</v>
      </c>
      <c r="BT6079" s="4" t="s">
        <v>1841</v>
      </c>
      <c r="BU6079" s="4" t="s">
        <v>933</v>
      </c>
      <c r="BV6079" s="4" t="s">
        <v>13265</v>
      </c>
      <c r="BW6079" s="4" t="s">
        <v>13285</v>
      </c>
      <c r="BX6079" s="4" t="s">
        <v>13286</v>
      </c>
      <c r="BY6079" s="4" t="s">
        <v>1841</v>
      </c>
      <c r="BZ6079" s="4" t="s">
        <v>1841</v>
      </c>
      <c r="CA6079" s="4" t="s">
        <v>8916</v>
      </c>
      <c r="CB6079" s="4" t="s">
        <v>8912</v>
      </c>
      <c r="CC6079" s="4" t="s">
        <v>4701</v>
      </c>
      <c r="CD6079" s="4" t="s">
        <v>2283</v>
      </c>
      <c r="CE6079" s="4" t="s">
        <v>13287</v>
      </c>
      <c r="CF6079" s="4" t="s">
        <v>13288</v>
      </c>
      <c r="CG6079" s="4" t="s">
        <v>13289</v>
      </c>
      <c r="CH6079" s="4" t="s">
        <v>13290</v>
      </c>
      <c r="CI6079" s="4" t="s">
        <v>13265</v>
      </c>
    </row>
    <row r="6080">
      <c r="A6080" s="4">
        <v>622.0</v>
      </c>
      <c r="B6080" s="4" t="s">
        <v>13990</v>
      </c>
      <c r="C6080" s="4"/>
      <c r="D6080" s="4" t="s">
        <v>230</v>
      </c>
      <c r="E6080" s="4" t="s">
        <v>229</v>
      </c>
      <c r="F6080" s="4" t="s">
        <v>230</v>
      </c>
      <c r="G6080" s="5" t="str">
        <f>IFERROR(__xludf.DUMMYFUNCTION("GOOGLETRANSLATE(D6080,""fr"",""es"")"),"Pi")</f>
        <v>Pi</v>
      </c>
      <c r="H6080" s="4" t="s">
        <v>230</v>
      </c>
      <c r="I6080" s="4" t="s">
        <v>230</v>
      </c>
    </row>
    <row r="6081">
      <c r="A6081" s="4">
        <v>623.0</v>
      </c>
      <c r="B6081" s="4" t="s">
        <v>13990</v>
      </c>
      <c r="C6081" s="4"/>
      <c r="D6081" s="4" t="s">
        <v>3457</v>
      </c>
      <c r="E6081" s="4" t="s">
        <v>3458</v>
      </c>
      <c r="F6081" s="4" t="s">
        <v>266</v>
      </c>
      <c r="G6081" s="5" t="str">
        <f>IFERROR(__xludf.DUMMYFUNCTION("GOOGLETRANSLATE(D6081,""fr"",""es"")"),"cima")</f>
        <v>cima</v>
      </c>
      <c r="H6081" s="4" t="s">
        <v>13291</v>
      </c>
      <c r="I6081" s="4" t="s">
        <v>13292</v>
      </c>
      <c r="J6081" s="4" t="s">
        <v>3599</v>
      </c>
      <c r="K6081" s="4" t="s">
        <v>13293</v>
      </c>
      <c r="L6081" s="4" t="s">
        <v>13294</v>
      </c>
      <c r="M6081" s="4" t="s">
        <v>1400</v>
      </c>
      <c r="N6081" s="4" t="s">
        <v>13295</v>
      </c>
      <c r="O6081" s="4" t="s">
        <v>11032</v>
      </c>
      <c r="P6081" s="4" t="s">
        <v>13296</v>
      </c>
      <c r="Q6081" s="4" t="s">
        <v>13297</v>
      </c>
      <c r="R6081" s="4" t="s">
        <v>6406</v>
      </c>
    </row>
    <row r="6082">
      <c r="A6082" s="4">
        <v>624.0</v>
      </c>
      <c r="B6082" s="4" t="s">
        <v>13990</v>
      </c>
      <c r="C6082" s="4"/>
      <c r="D6082" s="4" t="s">
        <v>13298</v>
      </c>
      <c r="E6082" s="4" t="s">
        <v>3458</v>
      </c>
      <c r="F6082" s="4" t="s">
        <v>266</v>
      </c>
      <c r="G6082" s="5" t="str">
        <f>IFERROR(__xludf.DUMMYFUNCTION("GOOGLETRANSLATE(D6082,""fr"",""es"")"),"picos")</f>
        <v>picos</v>
      </c>
      <c r="H6082" s="4" t="s">
        <v>13291</v>
      </c>
      <c r="I6082" s="4" t="s">
        <v>13292</v>
      </c>
      <c r="J6082" s="4" t="s">
        <v>3599</v>
      </c>
    </row>
    <row r="6083">
      <c r="A6083" s="4">
        <v>625.0</v>
      </c>
      <c r="B6083" s="4" t="s">
        <v>13990</v>
      </c>
      <c r="C6083" s="4"/>
      <c r="D6083" s="4" t="s">
        <v>5455</v>
      </c>
      <c r="E6083" s="4" t="s">
        <v>229</v>
      </c>
      <c r="F6083" s="4" t="s">
        <v>230</v>
      </c>
      <c r="G6083" s="5" t="str">
        <f>IFERROR(__xludf.DUMMYFUNCTION("GOOGLETRANSLATE(D6083,""fr"",""es"")"),"brillar")</f>
        <v>brillar</v>
      </c>
      <c r="H6083" s="4" t="s">
        <v>13299</v>
      </c>
      <c r="I6083" s="4" t="s">
        <v>13300</v>
      </c>
      <c r="J6083" s="4" t="s">
        <v>13301</v>
      </c>
      <c r="K6083" s="4" t="s">
        <v>13302</v>
      </c>
      <c r="L6083" s="4" t="s">
        <v>13303</v>
      </c>
      <c r="M6083" s="4" t="s">
        <v>13304</v>
      </c>
      <c r="N6083" s="4" t="s">
        <v>13305</v>
      </c>
      <c r="O6083" s="4" t="s">
        <v>13306</v>
      </c>
      <c r="P6083" s="4" t="s">
        <v>13307</v>
      </c>
      <c r="Q6083" s="4" t="s">
        <v>13308</v>
      </c>
      <c r="R6083" s="4" t="s">
        <v>13309</v>
      </c>
      <c r="S6083" s="4" t="s">
        <v>13310</v>
      </c>
      <c r="T6083" s="4" t="s">
        <v>13311</v>
      </c>
      <c r="U6083" s="4" t="s">
        <v>13312</v>
      </c>
      <c r="V6083" s="4" t="s">
        <v>13313</v>
      </c>
      <c r="W6083" s="4" t="s">
        <v>13314</v>
      </c>
      <c r="X6083" s="4" t="s">
        <v>13315</v>
      </c>
      <c r="Y6083" s="4" t="s">
        <v>13316</v>
      </c>
      <c r="Z6083" s="4" t="s">
        <v>13317</v>
      </c>
      <c r="AA6083" s="4" t="s">
        <v>13318</v>
      </c>
      <c r="AB6083" s="4" t="s">
        <v>13319</v>
      </c>
      <c r="AC6083" s="4" t="s">
        <v>13320</v>
      </c>
      <c r="AD6083" s="4" t="s">
        <v>1856</v>
      </c>
      <c r="AE6083" s="4" t="s">
        <v>3486</v>
      </c>
      <c r="AF6083" s="4" t="s">
        <v>13321</v>
      </c>
      <c r="AG6083" s="4" t="s">
        <v>13322</v>
      </c>
      <c r="AH6083" s="4" t="s">
        <v>13323</v>
      </c>
      <c r="AI6083" s="4" t="s">
        <v>13324</v>
      </c>
      <c r="AJ6083" s="4" t="s">
        <v>13325</v>
      </c>
      <c r="AK6083" s="4" t="s">
        <v>13326</v>
      </c>
      <c r="AL6083" s="4" t="s">
        <v>13327</v>
      </c>
      <c r="AM6083" s="4" t="s">
        <v>13328</v>
      </c>
      <c r="AN6083" s="4" t="s">
        <v>11420</v>
      </c>
      <c r="AO6083" s="4" t="s">
        <v>13329</v>
      </c>
      <c r="AP6083" s="4" t="s">
        <v>13330</v>
      </c>
      <c r="AQ6083" s="4" t="s">
        <v>13318</v>
      </c>
      <c r="AR6083" s="4" t="s">
        <v>13331</v>
      </c>
      <c r="AS6083" s="4" t="s">
        <v>13318</v>
      </c>
      <c r="AT6083" s="4" t="s">
        <v>13332</v>
      </c>
      <c r="AU6083" s="4" t="s">
        <v>13333</v>
      </c>
    </row>
    <row r="6084">
      <c r="A6084" s="4">
        <v>626.0</v>
      </c>
      <c r="B6084" s="4" t="s">
        <v>13990</v>
      </c>
      <c r="C6084" s="4"/>
      <c r="D6084" s="4" t="s">
        <v>13334</v>
      </c>
      <c r="E6084" s="4" t="s">
        <v>13335</v>
      </c>
      <c r="F6084" s="4" t="s">
        <v>13336</v>
      </c>
      <c r="G6084" s="5" t="str">
        <f>IFERROR(__xludf.DUMMYFUNCTION("GOOGLETRANSLATE(D6084,""fr"",""es"")"),"píkine")</f>
        <v>píkine</v>
      </c>
    </row>
    <row r="6085">
      <c r="A6085" s="4">
        <v>627.0</v>
      </c>
      <c r="B6085" s="4" t="s">
        <v>13990</v>
      </c>
      <c r="C6085" s="4"/>
      <c r="D6085" s="4" t="s">
        <v>3519</v>
      </c>
      <c r="E6085" s="4" t="s">
        <v>3520</v>
      </c>
      <c r="F6085" s="4" t="s">
        <v>3519</v>
      </c>
      <c r="G6085" s="5" t="str">
        <f>IFERROR(__xludf.DUMMYFUNCTION("GOOGLETRANSLATE(D6085,""fr"",""es"")"),"pila")</f>
        <v>pila</v>
      </c>
    </row>
    <row r="6086">
      <c r="A6086" s="4">
        <v>628.0</v>
      </c>
      <c r="B6086" s="4" t="s">
        <v>13990</v>
      </c>
      <c r="C6086" s="4"/>
      <c r="D6086" s="4" t="s">
        <v>483</v>
      </c>
      <c r="E6086" s="4" t="s">
        <v>13337</v>
      </c>
      <c r="F6086" s="4" t="s">
        <v>7199</v>
      </c>
      <c r="G6086" s="5" t="str">
        <f>IFERROR(__xludf.DUMMYFUNCTION("GOOGLETRANSLATE(D6086,""fr"",""es"")"),"montón")</f>
        <v>montón</v>
      </c>
      <c r="H6086" s="4" t="s">
        <v>9654</v>
      </c>
      <c r="I6086" s="4" t="s">
        <v>9655</v>
      </c>
      <c r="J6086" s="4" t="s">
        <v>13338</v>
      </c>
      <c r="K6086" s="4" t="s">
        <v>13339</v>
      </c>
      <c r="L6086" s="4" t="s">
        <v>13340</v>
      </c>
      <c r="M6086" s="4" t="s">
        <v>13341</v>
      </c>
      <c r="N6086" s="4" t="s">
        <v>13342</v>
      </c>
      <c r="O6086" s="4" t="s">
        <v>13341</v>
      </c>
      <c r="P6086" s="4" t="s">
        <v>13343</v>
      </c>
      <c r="Q6086" s="4" t="s">
        <v>3521</v>
      </c>
      <c r="R6086" s="4" t="s">
        <v>3522</v>
      </c>
      <c r="S6086" s="4" t="s">
        <v>3521</v>
      </c>
      <c r="T6086" s="4" t="s">
        <v>13344</v>
      </c>
      <c r="U6086" s="4" t="s">
        <v>13345</v>
      </c>
      <c r="V6086" s="4" t="s">
        <v>13346</v>
      </c>
      <c r="W6086" s="4" t="s">
        <v>13347</v>
      </c>
      <c r="X6086" s="4" t="s">
        <v>13348</v>
      </c>
      <c r="Y6086" s="4" t="s">
        <v>13349</v>
      </c>
      <c r="Z6086" s="4" t="s">
        <v>13350</v>
      </c>
      <c r="AA6086" s="4" t="s">
        <v>13351</v>
      </c>
      <c r="AB6086" s="4" t="s">
        <v>13352</v>
      </c>
      <c r="AC6086" s="4" t="s">
        <v>13353</v>
      </c>
      <c r="AD6086" s="4" t="s">
        <v>13354</v>
      </c>
      <c r="AE6086" s="4" t="s">
        <v>483</v>
      </c>
      <c r="AF6086" s="4" t="s">
        <v>13355</v>
      </c>
      <c r="AG6086" s="4" t="s">
        <v>13341</v>
      </c>
      <c r="AH6086" s="4" t="s">
        <v>13341</v>
      </c>
    </row>
    <row r="6087">
      <c r="A6087" s="4">
        <v>629.0</v>
      </c>
      <c r="B6087" s="4" t="s">
        <v>13990</v>
      </c>
      <c r="C6087" s="4"/>
      <c r="D6087" s="4" t="s">
        <v>1763</v>
      </c>
      <c r="E6087" s="4" t="s">
        <v>13337</v>
      </c>
      <c r="F6087" s="4" t="s">
        <v>7199</v>
      </c>
      <c r="G6087" s="5" t="str">
        <f>IFERROR(__xludf.DUMMYFUNCTION("GOOGLETRANSLATE(D6087,""fr"",""es"")"),"Batería")</f>
        <v>Batería</v>
      </c>
    </row>
    <row r="6088">
      <c r="A6088" s="4">
        <v>630.0</v>
      </c>
      <c r="B6088" s="4" t="s">
        <v>13990</v>
      </c>
      <c r="C6088" s="4"/>
      <c r="D6088" s="4" t="s">
        <v>13356</v>
      </c>
      <c r="E6088" s="4" t="s">
        <v>232</v>
      </c>
      <c r="F6088" s="4" t="s">
        <v>233</v>
      </c>
      <c r="G6088" s="5" t="str">
        <f>IFERROR(__xludf.DUMMYFUNCTION("GOOGLETRANSLATE(D6088,""fr"",""es"")"),"saqueado")</f>
        <v>saqueado</v>
      </c>
    </row>
    <row r="6089">
      <c r="A6089" s="4">
        <v>631.0</v>
      </c>
      <c r="B6089" s="4" t="s">
        <v>13990</v>
      </c>
      <c r="C6089" s="4"/>
      <c r="D6089" s="4" t="s">
        <v>13357</v>
      </c>
      <c r="E6089" s="4" t="s">
        <v>13358</v>
      </c>
      <c r="F6089" s="4" t="s">
        <v>13357</v>
      </c>
      <c r="G6089" s="5" t="str">
        <f>IFERROR(__xludf.DUMMYFUNCTION("GOOGLETRANSLATE(D6089,""fr"",""es"")"),"pina")</f>
        <v>pina</v>
      </c>
    </row>
    <row r="6090">
      <c r="A6090" s="4">
        <v>632.0</v>
      </c>
      <c r="B6090" s="4" t="s">
        <v>13990</v>
      </c>
      <c r="C6090" s="4"/>
      <c r="D6090" s="4" t="s">
        <v>13359</v>
      </c>
      <c r="E6090" s="4" t="s">
        <v>13360</v>
      </c>
      <c r="F6090" s="4" t="s">
        <v>13357</v>
      </c>
      <c r="G6090" s="5" t="str">
        <f>IFERROR(__xludf.DUMMYFUNCTION("GOOGLETRANSLATE(D6090,""fr"",""es"")"),"pinas")</f>
        <v>pinas</v>
      </c>
    </row>
    <row r="6091">
      <c r="A6091" s="4">
        <v>633.0</v>
      </c>
      <c r="B6091" s="4" t="s">
        <v>13990</v>
      </c>
      <c r="C6091" s="4"/>
      <c r="D6091" s="4" t="s">
        <v>13361</v>
      </c>
      <c r="E6091" s="4" t="s">
        <v>13362</v>
      </c>
      <c r="F6091" s="4" t="s">
        <v>13359</v>
      </c>
      <c r="G6091" s="5" t="str">
        <f>IFERROR(__xludf.DUMMYFUNCTION("GOOGLETRANSLATE(D6091,""fr"",""es"")"),"pinas")</f>
        <v>pinas</v>
      </c>
    </row>
    <row r="6092">
      <c r="A6092" s="4">
        <v>634.0</v>
      </c>
      <c r="B6092" s="4" t="s">
        <v>13990</v>
      </c>
      <c r="C6092" s="4"/>
      <c r="D6092" s="4" t="s">
        <v>13363</v>
      </c>
      <c r="E6092" s="4" t="s">
        <v>13362</v>
      </c>
      <c r="F6092" s="4" t="s">
        <v>13359</v>
      </c>
      <c r="G6092" s="5" t="str">
        <f>IFERROR(__xludf.DUMMYFUNCTION("GOOGLETRANSLATE(D6092,""fr"",""es"")"),"pinal")</f>
        <v>pinal</v>
      </c>
    </row>
    <row r="6093">
      <c r="A6093" s="4">
        <v>635.0</v>
      </c>
      <c r="B6093" s="4" t="s">
        <v>13990</v>
      </c>
      <c r="C6093" s="4"/>
      <c r="D6093" s="4" t="s">
        <v>13364</v>
      </c>
      <c r="E6093" s="4" t="s">
        <v>13362</v>
      </c>
      <c r="F6093" s="4" t="s">
        <v>13359</v>
      </c>
      <c r="G6093" s="5" t="str">
        <f>IFERROR(__xludf.DUMMYFUNCTION("GOOGLETRANSLATE(D6093,""fr"",""es"")"),"pinas")</f>
        <v>pinas</v>
      </c>
    </row>
    <row r="6094">
      <c r="A6094" s="4">
        <v>636.0</v>
      </c>
      <c r="B6094" s="4" t="s">
        <v>13990</v>
      </c>
      <c r="C6094" s="4"/>
      <c r="D6094" s="4" t="s">
        <v>3454</v>
      </c>
      <c r="E6094" s="4" t="s">
        <v>3539</v>
      </c>
      <c r="F6094" s="4" t="s">
        <v>3170</v>
      </c>
      <c r="G6094" s="5" t="str">
        <f>IFERROR(__xludf.DUMMYFUNCTION("GOOGLETRANSLATE(D6094,""fr"",""es"")"),"pino")</f>
        <v>pino</v>
      </c>
    </row>
    <row r="6095">
      <c r="A6095" s="4">
        <v>637.0</v>
      </c>
      <c r="B6095" s="4" t="s">
        <v>13990</v>
      </c>
      <c r="C6095" s="4"/>
      <c r="D6095" s="4" t="s">
        <v>13365</v>
      </c>
      <c r="E6095" s="4" t="s">
        <v>3539</v>
      </c>
      <c r="F6095" s="4" t="s">
        <v>3170</v>
      </c>
      <c r="G6095" s="5" t="str">
        <f>IFERROR(__xludf.DUMMYFUNCTION("GOOGLETRANSLATE(D6095,""fr"",""es"")"),"pinente")</f>
        <v>pinente</v>
      </c>
    </row>
    <row r="6096">
      <c r="A6096" s="4">
        <v>638.0</v>
      </c>
      <c r="B6096" s="4" t="s">
        <v>13990</v>
      </c>
      <c r="C6096" s="4"/>
      <c r="D6096" s="4" t="s">
        <v>13366</v>
      </c>
      <c r="E6096" s="4" t="s">
        <v>3539</v>
      </c>
      <c r="F6096" s="4" t="s">
        <v>3170</v>
      </c>
      <c r="G6096" s="5" t="str">
        <f>IFERROR(__xludf.DUMMYFUNCTION("GOOGLETRANSLATE(D6096,""fr"",""es"")"),"pino")</f>
        <v>pino</v>
      </c>
    </row>
    <row r="6097">
      <c r="A6097" s="4">
        <v>639.0</v>
      </c>
      <c r="B6097" s="4" t="s">
        <v>13990</v>
      </c>
      <c r="C6097" s="4"/>
      <c r="D6097" s="4" t="s">
        <v>13367</v>
      </c>
      <c r="E6097" s="4" t="s">
        <v>13368</v>
      </c>
      <c r="F6097" s="4" t="s">
        <v>13369</v>
      </c>
      <c r="G6097" s="5" t="str">
        <f>IFERROR(__xludf.DUMMYFUNCTION("GOOGLETRANSLATE(D6097,""fr"",""es"")"),"pino")</f>
        <v>pino</v>
      </c>
    </row>
    <row r="6098">
      <c r="A6098" s="4">
        <v>640.0</v>
      </c>
      <c r="B6098" s="4" t="s">
        <v>13990</v>
      </c>
      <c r="C6098" s="4"/>
      <c r="D6098" s="4" t="s">
        <v>13370</v>
      </c>
      <c r="E6098" s="4" t="s">
        <v>13360</v>
      </c>
      <c r="F6098" s="4" t="s">
        <v>13357</v>
      </c>
      <c r="G6098" s="5" t="str">
        <f>IFERROR(__xludf.DUMMYFUNCTION("GOOGLETRANSLATE(D6098,""fr"",""es"")"),"Pasador")</f>
        <v>Pasador</v>
      </c>
    </row>
    <row r="6099">
      <c r="A6099" s="4">
        <v>641.0</v>
      </c>
      <c r="B6099" s="4" t="s">
        <v>13990</v>
      </c>
      <c r="C6099" s="4"/>
      <c r="D6099" s="4" t="s">
        <v>3555</v>
      </c>
      <c r="E6099" s="4" t="s">
        <v>4852</v>
      </c>
      <c r="F6099" s="4" t="s">
        <v>4851</v>
      </c>
      <c r="G6099" s="5" t="str">
        <f>IFERROR(__xludf.DUMMYFUNCTION("GOOGLETRANSLATE(D6099,""fr"",""es"")"),"tubo")</f>
        <v>tubo</v>
      </c>
      <c r="H6099" s="4" t="s">
        <v>13371</v>
      </c>
      <c r="I6099" s="4" t="s">
        <v>13372</v>
      </c>
      <c r="J6099" s="4" t="s">
        <v>13373</v>
      </c>
      <c r="K6099" s="4" t="s">
        <v>13374</v>
      </c>
      <c r="L6099" s="4" t="s">
        <v>13375</v>
      </c>
      <c r="M6099" s="4" t="s">
        <v>3555</v>
      </c>
      <c r="N6099" s="4" t="s">
        <v>3555</v>
      </c>
      <c r="O6099" s="4" t="s">
        <v>3555</v>
      </c>
      <c r="P6099" s="4" t="s">
        <v>3555</v>
      </c>
      <c r="Q6099" s="4" t="s">
        <v>4560</v>
      </c>
      <c r="R6099" s="4" t="s">
        <v>3555</v>
      </c>
      <c r="S6099" s="4" t="s">
        <v>4561</v>
      </c>
      <c r="T6099" s="4" t="s">
        <v>3555</v>
      </c>
      <c r="U6099" s="4" t="s">
        <v>13376</v>
      </c>
      <c r="V6099" s="4" t="s">
        <v>13377</v>
      </c>
      <c r="W6099" s="4" t="s">
        <v>3555</v>
      </c>
      <c r="X6099" s="4" t="s">
        <v>3556</v>
      </c>
      <c r="Y6099" s="4" t="s">
        <v>3555</v>
      </c>
      <c r="Z6099" s="4" t="s">
        <v>3555</v>
      </c>
      <c r="AA6099" s="4" t="s">
        <v>4562</v>
      </c>
    </row>
    <row r="6100">
      <c r="A6100" s="4">
        <v>642.0</v>
      </c>
      <c r="B6100" s="4" t="s">
        <v>13990</v>
      </c>
      <c r="C6100" s="4"/>
      <c r="D6100" s="4" t="s">
        <v>13378</v>
      </c>
      <c r="E6100" s="4" t="s">
        <v>4852</v>
      </c>
      <c r="F6100" s="4" t="s">
        <v>4851</v>
      </c>
      <c r="G6100" s="5" t="str">
        <f>IFERROR(__xludf.DUMMYFUNCTION("GOOGLETRANSLATE(D6100,""fr"",""es"")"),"tubería")</f>
        <v>tubería</v>
      </c>
    </row>
    <row r="6101">
      <c r="A6101" s="4">
        <v>643.0</v>
      </c>
      <c r="B6101" s="4" t="s">
        <v>13990</v>
      </c>
      <c r="C6101" s="4"/>
      <c r="D6101" s="4" t="s">
        <v>5504</v>
      </c>
      <c r="E6101" s="4" t="s">
        <v>5503</v>
      </c>
      <c r="F6101" s="4" t="s">
        <v>5504</v>
      </c>
      <c r="G6101" s="5" t="str">
        <f>IFERROR(__xludf.DUMMYFUNCTION("GOOGLETRANSLATE(D6101,""fr"",""es"")"),"Orinar")</f>
        <v>Orinar</v>
      </c>
      <c r="H6101" s="4" t="s">
        <v>7246</v>
      </c>
      <c r="I6101" s="4" t="s">
        <v>7242</v>
      </c>
      <c r="J6101" s="4" t="s">
        <v>7247</v>
      </c>
      <c r="K6101" s="4" t="s">
        <v>7239</v>
      </c>
      <c r="L6101" s="4" t="s">
        <v>7241</v>
      </c>
      <c r="M6101" s="4" t="s">
        <v>7239</v>
      </c>
      <c r="N6101" s="4" t="s">
        <v>7242</v>
      </c>
      <c r="O6101" s="4" t="s">
        <v>7243</v>
      </c>
      <c r="P6101" s="4" t="s">
        <v>7244</v>
      </c>
      <c r="Q6101" s="4" t="s">
        <v>7245</v>
      </c>
    </row>
    <row r="6102">
      <c r="A6102" s="4">
        <v>644.0</v>
      </c>
      <c r="B6102" s="4" t="s">
        <v>13990</v>
      </c>
      <c r="C6102" s="4"/>
      <c r="D6102" s="4" t="s">
        <v>919</v>
      </c>
      <c r="E6102" s="4" t="s">
        <v>3458</v>
      </c>
      <c r="F6102" s="4" t="s">
        <v>266</v>
      </c>
      <c r="G6102" s="5" t="str">
        <f>IFERROR(__xludf.DUMMYFUNCTION("GOOGLETRANSLATE(D6102,""fr"",""es"")"),"pico")</f>
        <v>pico</v>
      </c>
    </row>
    <row r="6103">
      <c r="A6103" s="4">
        <v>645.0</v>
      </c>
      <c r="B6103" s="4" t="s">
        <v>13990</v>
      </c>
      <c r="C6103" s="4"/>
      <c r="D6103" s="4" t="s">
        <v>13379</v>
      </c>
      <c r="E6103" s="4" t="s">
        <v>3458</v>
      </c>
      <c r="F6103" s="4" t="s">
        <v>266</v>
      </c>
      <c r="G6103" s="5" t="str">
        <f>IFERROR(__xludf.DUMMYFUNCTION("GOOGLETRANSLATE(D6103,""fr"",""es"")"),"Picos")</f>
        <v>Picos</v>
      </c>
    </row>
    <row r="6104">
      <c r="A6104" s="4">
        <v>646.0</v>
      </c>
      <c r="B6104" s="4" t="s">
        <v>13990</v>
      </c>
      <c r="C6104" s="4"/>
      <c r="D6104" s="4" t="s">
        <v>3570</v>
      </c>
      <c r="E6104" s="4" t="s">
        <v>229</v>
      </c>
      <c r="F6104" s="4" t="s">
        <v>230</v>
      </c>
      <c r="G6104" s="5" t="str">
        <f>IFERROR(__xludf.DUMMYFUNCTION("GOOGLETRANSLATE(D6104,""fr"",""es"")"),"peor")</f>
        <v>peor</v>
      </c>
      <c r="H6104" s="4" t="s">
        <v>13380</v>
      </c>
      <c r="I6104" s="4" t="s">
        <v>13381</v>
      </c>
      <c r="J6104" s="4" t="s">
        <v>3869</v>
      </c>
    </row>
    <row r="6105">
      <c r="A6105" s="4">
        <v>647.0</v>
      </c>
      <c r="B6105" s="4" t="s">
        <v>13990</v>
      </c>
      <c r="C6105" s="4"/>
      <c r="D6105" s="4" t="s">
        <v>13382</v>
      </c>
      <c r="E6105" s="4" t="s">
        <v>11000</v>
      </c>
      <c r="F6105" s="4" t="s">
        <v>10999</v>
      </c>
      <c r="G6105" s="5" t="str">
        <f>IFERROR(__xludf.DUMMYFUNCTION("GOOGLETRANSLATE(D6105,""fr"",""es"")"),"piscina")</f>
        <v>piscina</v>
      </c>
      <c r="H6105" s="4" t="s">
        <v>13383</v>
      </c>
      <c r="I6105" s="4" t="s">
        <v>4164</v>
      </c>
      <c r="J6105" s="4" t="s">
        <v>3584</v>
      </c>
      <c r="K6105" s="4" t="s">
        <v>3585</v>
      </c>
      <c r="L6105" s="4" t="s">
        <v>3586</v>
      </c>
    </row>
    <row r="6106">
      <c r="A6106" s="4">
        <v>648.0</v>
      </c>
      <c r="B6106" s="4" t="s">
        <v>13990</v>
      </c>
      <c r="C6106" s="4"/>
      <c r="D6106" s="4" t="s">
        <v>13384</v>
      </c>
      <c r="E6106" s="4" t="s">
        <v>3571</v>
      </c>
      <c r="F6106" s="4" t="s">
        <v>3570</v>
      </c>
      <c r="G6106" s="5" t="str">
        <f>IFERROR(__xludf.DUMMYFUNCTION("GOOGLETRANSLATE(D6106,""fr"",""es"")"),"orinar")</f>
        <v>orinar</v>
      </c>
    </row>
    <row r="6107">
      <c r="A6107" s="4">
        <v>649.0</v>
      </c>
      <c r="B6107" s="4" t="s">
        <v>13990</v>
      </c>
      <c r="C6107" s="4"/>
      <c r="D6107" s="4" t="s">
        <v>13385</v>
      </c>
      <c r="E6107" s="4" t="s">
        <v>3571</v>
      </c>
      <c r="F6107" s="4" t="s">
        <v>3570</v>
      </c>
      <c r="G6107" s="5" t="str">
        <f>IFERROR(__xludf.DUMMYFUNCTION("GOOGLETRANSLATE(D6107,""fr"",""es"")"),"pips")</f>
        <v>pips</v>
      </c>
    </row>
    <row r="6108">
      <c r="A6108" s="4">
        <v>650.0</v>
      </c>
      <c r="B6108" s="4" t="s">
        <v>13990</v>
      </c>
      <c r="C6108" s="4"/>
      <c r="D6108" s="4" t="s">
        <v>13386</v>
      </c>
      <c r="E6108" s="4" t="s">
        <v>13387</v>
      </c>
      <c r="F6108" s="4" t="s">
        <v>13386</v>
      </c>
      <c r="G6108" s="5" t="str">
        <f>IFERROR(__xludf.DUMMYFUNCTION("GOOGLETRANSLATE(D6108,""fr"",""es"")"),"pitaya")</f>
        <v>pitaya</v>
      </c>
    </row>
    <row r="6109">
      <c r="A6109" s="4">
        <v>651.0</v>
      </c>
      <c r="B6109" s="4" t="s">
        <v>13990</v>
      </c>
      <c r="C6109" s="4"/>
      <c r="D6109" s="4" t="s">
        <v>13388</v>
      </c>
      <c r="E6109" s="4" t="s">
        <v>13389</v>
      </c>
      <c r="F6109" s="4" t="s">
        <v>13390</v>
      </c>
      <c r="G6109" s="5" t="str">
        <f>IFERROR(__xludf.DUMMYFUNCTION("GOOGLETRANSLATE(D6109,""fr"",""es"")"),"pitou")</f>
        <v>pitou</v>
      </c>
    </row>
    <row r="6110">
      <c r="A6110" s="4">
        <v>652.0</v>
      </c>
      <c r="B6110" s="4" t="s">
        <v>13990</v>
      </c>
      <c r="C6110" s="4"/>
      <c r="D6110" s="4" t="s">
        <v>13391</v>
      </c>
      <c r="E6110" s="4" t="s">
        <v>13392</v>
      </c>
      <c r="F6110" s="4" t="s">
        <v>13393</v>
      </c>
      <c r="G6110" s="5" t="str">
        <f>IFERROR(__xludf.DUMMYFUNCTION("GOOGLETRANSLATE(D6110,""fr"",""es"")"),"pitoune")</f>
        <v>pitoune</v>
      </c>
    </row>
    <row r="6111">
      <c r="A6111" s="4">
        <v>653.0</v>
      </c>
      <c r="B6111" s="4" t="s">
        <v>13990</v>
      </c>
      <c r="C6111" s="4"/>
      <c r="D6111" s="4" t="s">
        <v>13394</v>
      </c>
      <c r="E6111" s="4" t="s">
        <v>8671</v>
      </c>
      <c r="F6111" s="4" t="s">
        <v>7296</v>
      </c>
      <c r="G6111" s="5" t="str">
        <f>IFERROR(__xludf.DUMMYFUNCTION("GOOGLETRANSLATE(D6111,""fr"",""es"")"),"caca")</f>
        <v>caca</v>
      </c>
    </row>
    <row r="6112">
      <c r="A6112" s="4">
        <v>654.0</v>
      </c>
      <c r="B6112" s="4" t="s">
        <v>13990</v>
      </c>
      <c r="C6112" s="4"/>
      <c r="D6112" s="4" t="s">
        <v>13395</v>
      </c>
      <c r="E6112" s="4" t="s">
        <v>7293</v>
      </c>
      <c r="F6112" s="4" t="s">
        <v>7294</v>
      </c>
      <c r="G6112" s="5" t="str">
        <f>IFERROR(__xludf.DUMMYFUNCTION("GOOGLETRANSLATE(D6112,""fr"",""es"")"),"pou")</f>
        <v>pou</v>
      </c>
      <c r="H6112" s="4" t="s">
        <v>1157</v>
      </c>
      <c r="I6112" s="4" t="s">
        <v>13396</v>
      </c>
      <c r="J6112" s="4" t="s">
        <v>13397</v>
      </c>
      <c r="K6112" s="4" t="s">
        <v>13398</v>
      </c>
      <c r="L6112" s="4" t="s">
        <v>1157</v>
      </c>
      <c r="M6112" s="4" t="s">
        <v>13399</v>
      </c>
      <c r="N6112" s="4" t="s">
        <v>1157</v>
      </c>
      <c r="O6112" s="4" t="s">
        <v>1156</v>
      </c>
      <c r="P6112" s="4" t="s">
        <v>1157</v>
      </c>
      <c r="Q6112" s="4" t="s">
        <v>1158</v>
      </c>
      <c r="R6112" s="4" t="s">
        <v>1159</v>
      </c>
    </row>
    <row r="6113">
      <c r="A6113" s="4">
        <v>655.0</v>
      </c>
      <c r="B6113" s="4" t="s">
        <v>13990</v>
      </c>
      <c r="C6113" s="4"/>
      <c r="D6113" s="4" t="s">
        <v>13400</v>
      </c>
      <c r="E6113" s="4" t="s">
        <v>3767</v>
      </c>
      <c r="F6113" s="4" t="s">
        <v>3766</v>
      </c>
      <c r="G6113" s="5" t="str">
        <f>IFERROR(__xludf.DUMMYFUNCTION("GOOGLETRANSLATE(D6113,""fr"",""es"")"),"pulgada")</f>
        <v>pulgada</v>
      </c>
      <c r="H6113" s="4" t="s">
        <v>11450</v>
      </c>
      <c r="I6113" s="4" t="s">
        <v>13401</v>
      </c>
      <c r="J6113" s="4" t="s">
        <v>12333</v>
      </c>
      <c r="K6113" s="4" t="s">
        <v>13402</v>
      </c>
      <c r="L6113" s="4" t="s">
        <v>2067</v>
      </c>
      <c r="M6113" s="4" t="s">
        <v>6346</v>
      </c>
      <c r="N6113" s="4" t="s">
        <v>4448</v>
      </c>
      <c r="O6113" s="4" t="s">
        <v>4431</v>
      </c>
      <c r="P6113" s="4" t="s">
        <v>13402</v>
      </c>
      <c r="Q6113" s="4" t="s">
        <v>13403</v>
      </c>
      <c r="R6113" s="4" t="s">
        <v>13404</v>
      </c>
      <c r="S6113" s="4" t="s">
        <v>13405</v>
      </c>
      <c r="T6113" s="4" t="s">
        <v>13406</v>
      </c>
      <c r="U6113" s="4" t="s">
        <v>13402</v>
      </c>
      <c r="V6113" s="4" t="s">
        <v>13407</v>
      </c>
      <c r="W6113" s="4" t="s">
        <v>13402</v>
      </c>
      <c r="X6113" s="4" t="s">
        <v>13402</v>
      </c>
      <c r="Y6113" s="4" t="s">
        <v>13408</v>
      </c>
      <c r="Z6113" s="4" t="s">
        <v>13409</v>
      </c>
      <c r="AA6113" s="4" t="s">
        <v>13410</v>
      </c>
      <c r="AB6113" s="4" t="s">
        <v>13411</v>
      </c>
      <c r="AC6113" s="4" t="s">
        <v>13412</v>
      </c>
      <c r="AD6113" s="4" t="s">
        <v>6346</v>
      </c>
      <c r="AE6113" s="4" t="s">
        <v>4824</v>
      </c>
      <c r="AF6113" s="4" t="s">
        <v>13413</v>
      </c>
      <c r="AG6113" s="4" t="s">
        <v>6346</v>
      </c>
    </row>
    <row r="6114">
      <c r="A6114" s="4">
        <v>656.0</v>
      </c>
      <c r="B6114" s="4" t="s">
        <v>13990</v>
      </c>
      <c r="C6114" s="4"/>
      <c r="D6114" s="4" t="s">
        <v>13414</v>
      </c>
      <c r="E6114" s="4" t="s">
        <v>3767</v>
      </c>
      <c r="F6114" s="4" t="s">
        <v>3766</v>
      </c>
      <c r="G6114" s="5" t="str">
        <f>IFERROR(__xludf.DUMMYFUNCTION("GOOGLETRANSLATE(D6114,""fr"",""es"")"),"pulgada")</f>
        <v>pulgada</v>
      </c>
    </row>
    <row r="6115">
      <c r="A6115" s="4">
        <v>657.0</v>
      </c>
      <c r="B6115" s="4" t="s">
        <v>13990</v>
      </c>
      <c r="C6115" s="4"/>
      <c r="D6115" s="4" t="s">
        <v>13415</v>
      </c>
      <c r="E6115" s="4" t="s">
        <v>13416</v>
      </c>
      <c r="F6115" s="4" t="s">
        <v>13417</v>
      </c>
      <c r="G6115" s="5" t="str">
        <f>IFERROR(__xludf.DUMMYFUNCTION("GOOGLETRANSLATE(D6115,""fr"",""es"")"),"poso")</f>
        <v>poso</v>
      </c>
      <c r="H6115" s="4" t="s">
        <v>13418</v>
      </c>
      <c r="I6115" s="4" t="s">
        <v>13419</v>
      </c>
    </row>
    <row r="6116">
      <c r="A6116" s="4">
        <v>658.0</v>
      </c>
      <c r="B6116" s="4" t="s">
        <v>13990</v>
      </c>
      <c r="C6116" s="4"/>
      <c r="D6116" s="4" t="s">
        <v>13420</v>
      </c>
      <c r="E6116" s="4" t="s">
        <v>13421</v>
      </c>
      <c r="F6116" s="4" t="s">
        <v>13422</v>
      </c>
      <c r="G6116" s="5" t="str">
        <f>IFERROR(__xludf.DUMMYFUNCTION("GOOGLETRANSLATE(D6116,""fr"",""es"")"),"gallinero")</f>
        <v>gallinero</v>
      </c>
    </row>
    <row r="6117">
      <c r="A6117" s="4">
        <v>659.0</v>
      </c>
      <c r="B6117" s="4" t="s">
        <v>13990</v>
      </c>
      <c r="C6117" s="4"/>
      <c r="D6117" s="4" t="s">
        <v>13423</v>
      </c>
      <c r="E6117" s="4" t="s">
        <v>8671</v>
      </c>
      <c r="F6117" s="4" t="s">
        <v>7296</v>
      </c>
      <c r="G6117" s="5" t="str">
        <f>IFERROR(__xludf.DUMMYFUNCTION("GOOGLETRANSLATE(D6117,""fr"",""es"")"),"pollo")</f>
        <v>pollo</v>
      </c>
      <c r="H6117" s="4" t="s">
        <v>9965</v>
      </c>
      <c r="I6117" s="4" t="s">
        <v>9965</v>
      </c>
      <c r="J6117" s="4" t="s">
        <v>9965</v>
      </c>
      <c r="K6117" s="4" t="s">
        <v>9966</v>
      </c>
      <c r="L6117" s="4" t="s">
        <v>3655</v>
      </c>
      <c r="M6117" s="4" t="s">
        <v>9965</v>
      </c>
    </row>
    <row r="6118">
      <c r="A6118" s="4">
        <v>660.0</v>
      </c>
      <c r="B6118" s="4" t="s">
        <v>13990</v>
      </c>
      <c r="C6118" s="4"/>
      <c r="D6118" s="4" t="s">
        <v>13424</v>
      </c>
      <c r="E6118" s="4" t="s">
        <v>13425</v>
      </c>
      <c r="F6118" s="4" t="s">
        <v>13426</v>
      </c>
      <c r="G6118" s="5" t="str">
        <f>IFERROR(__xludf.DUMMYFUNCTION("GOOGLETRANSLATE(D6118,""fr"",""es"")"),"potra")</f>
        <v>potra</v>
      </c>
      <c r="H6118" s="4" t="s">
        <v>13427</v>
      </c>
    </row>
    <row r="6119">
      <c r="A6119" s="4">
        <v>661.0</v>
      </c>
      <c r="B6119" s="4" t="s">
        <v>13990</v>
      </c>
      <c r="C6119" s="4"/>
      <c r="D6119" s="4" t="s">
        <v>13428</v>
      </c>
      <c r="E6119" s="4" t="s">
        <v>3615</v>
      </c>
      <c r="F6119" s="4" t="s">
        <v>3616</v>
      </c>
      <c r="G6119" s="5" t="str">
        <f>IFERROR(__xludf.DUMMYFUNCTION("GOOGLETRANSLATE(D6119,""fr"",""es"")"),"polea")</f>
        <v>polea</v>
      </c>
      <c r="H6119" s="4" t="s">
        <v>7320</v>
      </c>
      <c r="I6119" s="4" t="s">
        <v>7322</v>
      </c>
      <c r="J6119" s="4" t="s">
        <v>7323</v>
      </c>
      <c r="K6119" s="4" t="s">
        <v>326</v>
      </c>
    </row>
    <row r="6120">
      <c r="A6120" s="4">
        <v>662.0</v>
      </c>
      <c r="B6120" s="4" t="s">
        <v>13990</v>
      </c>
      <c r="C6120" s="4"/>
      <c r="D6120" s="4" t="s">
        <v>13429</v>
      </c>
      <c r="E6120" s="4" t="s">
        <v>7293</v>
      </c>
      <c r="F6120" s="4" t="s">
        <v>7294</v>
      </c>
      <c r="G6120" s="5" t="str">
        <f>IFERROR(__xludf.DUMMYFUNCTION("GOOGLETRANSLATE(D6120,""fr"",""es"")"),"legumbres")</f>
        <v>legumbres</v>
      </c>
      <c r="H6120" s="4" t="s">
        <v>13430</v>
      </c>
      <c r="I6120" s="4" t="s">
        <v>13431</v>
      </c>
      <c r="J6120" s="4" t="s">
        <v>13430</v>
      </c>
      <c r="K6120" s="4" t="s">
        <v>13430</v>
      </c>
      <c r="L6120" s="4" t="s">
        <v>13432</v>
      </c>
      <c r="M6120" s="4" t="s">
        <v>348</v>
      </c>
      <c r="N6120" s="4" t="s">
        <v>3493</v>
      </c>
      <c r="O6120" s="4" t="s">
        <v>13433</v>
      </c>
      <c r="P6120" s="4" t="s">
        <v>13434</v>
      </c>
      <c r="Q6120" s="4" t="s">
        <v>13435</v>
      </c>
      <c r="R6120" s="4" t="s">
        <v>13432</v>
      </c>
      <c r="S6120" s="4" t="s">
        <v>13436</v>
      </c>
      <c r="T6120" s="4" t="s">
        <v>13430</v>
      </c>
      <c r="U6120" s="4" t="s">
        <v>9439</v>
      </c>
      <c r="V6120" s="4" t="s">
        <v>13430</v>
      </c>
      <c r="W6120" s="4" t="s">
        <v>13430</v>
      </c>
      <c r="X6120" s="4" t="s">
        <v>13437</v>
      </c>
      <c r="Y6120" s="4" t="s">
        <v>13438</v>
      </c>
    </row>
    <row r="6121">
      <c r="A6121" s="4">
        <v>663.0</v>
      </c>
      <c r="B6121" s="4" t="s">
        <v>13990</v>
      </c>
      <c r="C6121" s="4"/>
      <c r="D6121" s="4" t="s">
        <v>13439</v>
      </c>
      <c r="E6121" s="4" t="s">
        <v>13440</v>
      </c>
      <c r="F6121" s="4" t="s">
        <v>13441</v>
      </c>
      <c r="G6121" s="5" t="str">
        <f>IFERROR(__xludf.DUMMYFUNCTION("GOOGLETRANSLATE(D6121,""fr"",""es"")"),"popa")</f>
        <v>popa</v>
      </c>
      <c r="H6121" s="4" t="s">
        <v>1617</v>
      </c>
      <c r="I6121" s="4" t="s">
        <v>13442</v>
      </c>
      <c r="J6121" s="4" t="s">
        <v>13443</v>
      </c>
      <c r="K6121" s="4" t="s">
        <v>13444</v>
      </c>
      <c r="L6121" s="4" t="s">
        <v>1617</v>
      </c>
      <c r="M6121" s="4" t="s">
        <v>7569</v>
      </c>
      <c r="N6121" s="4" t="s">
        <v>13445</v>
      </c>
      <c r="O6121" s="4" t="s">
        <v>13446</v>
      </c>
      <c r="P6121" s="4" t="s">
        <v>1617</v>
      </c>
      <c r="Q6121" s="4" t="s">
        <v>13447</v>
      </c>
      <c r="R6121" s="4" t="s">
        <v>13448</v>
      </c>
      <c r="S6121" s="4" t="s">
        <v>13449</v>
      </c>
      <c r="T6121" s="4" t="s">
        <v>1617</v>
      </c>
      <c r="U6121" s="4" t="s">
        <v>13450</v>
      </c>
      <c r="V6121" s="4" t="s">
        <v>13451</v>
      </c>
      <c r="W6121" s="4" t="s">
        <v>6996</v>
      </c>
      <c r="X6121" s="4" t="s">
        <v>1619</v>
      </c>
      <c r="Y6121" s="4" t="s">
        <v>3239</v>
      </c>
      <c r="Z6121" s="4" t="s">
        <v>6996</v>
      </c>
      <c r="AA6121" s="4" t="s">
        <v>13452</v>
      </c>
      <c r="AB6121" s="4" t="s">
        <v>12682</v>
      </c>
      <c r="AC6121" s="4" t="s">
        <v>13453</v>
      </c>
      <c r="AD6121" s="4" t="s">
        <v>6995</v>
      </c>
      <c r="AE6121" s="4" t="s">
        <v>6996</v>
      </c>
      <c r="AF6121" s="4" t="s">
        <v>6992</v>
      </c>
      <c r="AG6121" s="4" t="s">
        <v>13454</v>
      </c>
      <c r="AH6121" s="4" t="s">
        <v>13455</v>
      </c>
    </row>
    <row r="6122">
      <c r="A6122" s="4">
        <v>664.0</v>
      </c>
      <c r="B6122" s="4" t="s">
        <v>13990</v>
      </c>
      <c r="C6122" s="4"/>
      <c r="D6122" s="4" t="s">
        <v>13456</v>
      </c>
      <c r="E6122" s="4" t="s">
        <v>13457</v>
      </c>
      <c r="F6122" s="4" t="s">
        <v>13458</v>
      </c>
      <c r="G6122" s="5" t="str">
        <f>IFERROR(__xludf.DUMMYFUNCTION("GOOGLETRANSLATE(D6122,""fr"",""es"")"),"Putin")</f>
        <v>Putin</v>
      </c>
      <c r="H6122" s="4" t="s">
        <v>13459</v>
      </c>
      <c r="I6122" s="4" t="s">
        <v>13460</v>
      </c>
      <c r="J6122" s="4" t="s">
        <v>13461</v>
      </c>
    </row>
    <row r="6123">
      <c r="A6123" s="4">
        <v>665.0</v>
      </c>
      <c r="B6123" s="4" t="s">
        <v>13990</v>
      </c>
      <c r="C6123" s="4"/>
      <c r="D6123" s="4" t="s">
        <v>13462</v>
      </c>
      <c r="E6123" s="4" t="s">
        <v>7293</v>
      </c>
      <c r="F6123" s="4" t="s">
        <v>7294</v>
      </c>
      <c r="G6123" s="5" t="str">
        <f>IFERROR(__xludf.DUMMYFUNCTION("GOOGLETRANSLATE(D6123,""fr"",""es"")"),"piojo")</f>
        <v>piojo</v>
      </c>
    </row>
    <row r="6124">
      <c r="A6124" s="4">
        <v>666.0</v>
      </c>
      <c r="B6124" s="4" t="s">
        <v>13990</v>
      </c>
      <c r="C6124" s="4"/>
      <c r="D6124" s="4" t="s">
        <v>4433</v>
      </c>
      <c r="E6124" s="4" t="s">
        <v>8671</v>
      </c>
      <c r="F6124" s="4" t="s">
        <v>7296</v>
      </c>
      <c r="G6124" s="5" t="str">
        <f>IFERROR(__xludf.DUMMYFUNCTION("GOOGLETRANSLATE(D6124,""fr"",""es"")"),"suéter")</f>
        <v>suéter</v>
      </c>
      <c r="H6124" s="4" t="s">
        <v>7298</v>
      </c>
      <c r="I6124" s="4" t="s">
        <v>7299</v>
      </c>
      <c r="J6124" s="4" t="s">
        <v>4433</v>
      </c>
    </row>
    <row r="6125">
      <c r="A6125" s="4">
        <v>667.0</v>
      </c>
      <c r="B6125" s="4" t="s">
        <v>13990</v>
      </c>
      <c r="C6125" s="4"/>
      <c r="D6125" s="4" t="s">
        <v>13463</v>
      </c>
      <c r="E6125" s="4" t="s">
        <v>8671</v>
      </c>
      <c r="F6125" s="4" t="s">
        <v>7296</v>
      </c>
      <c r="G6125" s="5" t="str">
        <f>IFERROR(__xludf.DUMMYFUNCTION("GOOGLETRANSLATE(D6125,""fr"",""es"")"),"suéter")</f>
        <v>suéter</v>
      </c>
    </row>
    <row r="6126">
      <c r="A6126" s="4">
        <v>668.0</v>
      </c>
      <c r="B6126" s="4" t="s">
        <v>13990</v>
      </c>
      <c r="C6126" s="4"/>
      <c r="D6126" s="4" t="s">
        <v>13464</v>
      </c>
      <c r="E6126" s="4" t="s">
        <v>8597</v>
      </c>
      <c r="F6126" s="4" t="s">
        <v>3161</v>
      </c>
      <c r="G6126" s="5" t="str">
        <f>IFERROR(__xludf.DUMMYFUNCTION("GOOGLETRANSLATE(D6126,""fr"",""es"")"),"pálido")</f>
        <v>pálido</v>
      </c>
      <c r="H6126" s="4" t="s">
        <v>13465</v>
      </c>
      <c r="I6126" s="4" t="s">
        <v>7565</v>
      </c>
      <c r="J6126" s="4" t="s">
        <v>7566</v>
      </c>
      <c r="K6126" s="4" t="s">
        <v>7567</v>
      </c>
      <c r="L6126" s="4" t="s">
        <v>7565</v>
      </c>
      <c r="M6126" s="4" t="s">
        <v>7566</v>
      </c>
      <c r="N6126" s="4" t="s">
        <v>7567</v>
      </c>
      <c r="O6126" s="4" t="s">
        <v>4402</v>
      </c>
    </row>
    <row r="6127">
      <c r="A6127" s="4">
        <v>669.0</v>
      </c>
      <c r="B6127" s="4" t="s">
        <v>13990</v>
      </c>
      <c r="C6127" s="4"/>
      <c r="D6127" s="4" t="s">
        <v>13466</v>
      </c>
      <c r="E6127" s="4" t="s">
        <v>8643</v>
      </c>
      <c r="F6127" s="4" t="s">
        <v>392</v>
      </c>
      <c r="G6127" s="5" t="str">
        <f>IFERROR(__xludf.DUMMYFUNCTION("GOOGLETRANSLATE(D6127,""fr"",""es"")"),"Pascua de Resurrección")</f>
        <v>Pascua de Resurrección</v>
      </c>
      <c r="H6127" s="4" t="s">
        <v>13467</v>
      </c>
      <c r="I6127" s="4" t="s">
        <v>13468</v>
      </c>
      <c r="J6127" s="4" t="s">
        <v>13469</v>
      </c>
      <c r="K6127" s="4" t="s">
        <v>13470</v>
      </c>
    </row>
    <row r="6128">
      <c r="A6128" s="4">
        <v>670.0</v>
      </c>
      <c r="B6128" s="4" t="s">
        <v>13990</v>
      </c>
      <c r="C6128" s="4"/>
      <c r="D6128" s="4" t="s">
        <v>13471</v>
      </c>
      <c r="E6128" s="4" t="s">
        <v>8643</v>
      </c>
      <c r="F6128" s="4" t="s">
        <v>392</v>
      </c>
      <c r="G6128" s="5" t="str">
        <f>IFERROR(__xludf.DUMMYFUNCTION("GOOGLETRANSLATE(D6128,""fr"",""es"")"),"Pascua de Resurrección")</f>
        <v>Pascua de Resurrección</v>
      </c>
      <c r="H6128" s="4" t="s">
        <v>13472</v>
      </c>
      <c r="I6128" s="4" t="s">
        <v>13473</v>
      </c>
      <c r="J6128" s="4" t="s">
        <v>13474</v>
      </c>
      <c r="K6128" s="4" t="s">
        <v>13475</v>
      </c>
      <c r="L6128" s="4" t="s">
        <v>13467</v>
      </c>
      <c r="M6128" s="4" t="s">
        <v>13468</v>
      </c>
      <c r="N6128" s="4" t="s">
        <v>13469</v>
      </c>
      <c r="O6128" s="4" t="s">
        <v>13470</v>
      </c>
    </row>
    <row r="6129">
      <c r="A6129" s="4">
        <v>671.0</v>
      </c>
      <c r="B6129" s="4" t="s">
        <v>13990</v>
      </c>
      <c r="C6129" s="4"/>
      <c r="D6129" s="4" t="s">
        <v>13476</v>
      </c>
      <c r="E6129" s="4" t="s">
        <v>13477</v>
      </c>
      <c r="F6129" s="4" t="s">
        <v>7051</v>
      </c>
      <c r="G6129" s="5" t="str">
        <f>IFERROR(__xludf.DUMMYFUNCTION("GOOGLETRANSLATE(D6129,""fr"",""es"")"),"Páquis")</f>
        <v>Páquis</v>
      </c>
    </row>
    <row r="6130">
      <c r="A6130" s="4">
        <v>672.0</v>
      </c>
      <c r="B6130" s="4" t="s">
        <v>13990</v>
      </c>
      <c r="C6130" s="4"/>
      <c r="D6130" s="4" t="s">
        <v>13478</v>
      </c>
      <c r="E6130" s="4" t="s">
        <v>3443</v>
      </c>
      <c r="F6130" s="4" t="s">
        <v>3442</v>
      </c>
      <c r="G6130" s="5" t="str">
        <f>IFERROR(__xludf.DUMMYFUNCTION("GOOGLETRANSLATE(D6130,""fr"",""es"")"),"Pasti")</f>
        <v>Pasti</v>
      </c>
    </row>
    <row r="6131">
      <c r="A6131" s="4">
        <v>673.0</v>
      </c>
      <c r="B6131" s="4" t="s">
        <v>13990</v>
      </c>
      <c r="C6131" s="4"/>
      <c r="D6131" s="4" t="s">
        <v>13479</v>
      </c>
      <c r="E6131" s="4" t="s">
        <v>3443</v>
      </c>
      <c r="F6131" s="4" t="s">
        <v>3442</v>
      </c>
      <c r="G6131" s="5" t="str">
        <f>IFERROR(__xludf.DUMMYFUNCTION("GOOGLETRANSLATE(D6131,""fr"",""es"")"),"Pâtis")</f>
        <v>Pâtis</v>
      </c>
    </row>
    <row r="6132">
      <c r="A6132" s="4">
        <v>674.0</v>
      </c>
      <c r="B6132" s="4" t="s">
        <v>13990</v>
      </c>
      <c r="C6132" s="4"/>
      <c r="D6132" s="4" t="s">
        <v>13480</v>
      </c>
      <c r="E6132" s="4" t="s">
        <v>13481</v>
      </c>
      <c r="F6132" s="4" t="s">
        <v>13482</v>
      </c>
      <c r="G6132" s="5" t="str">
        <f>IFERROR(__xludf.DUMMYFUNCTION("GOOGLETRANSLATE(D6132,""fr"",""es"")"),"pasado")</f>
        <v>pasado</v>
      </c>
    </row>
    <row r="6133">
      <c r="A6133" s="4">
        <v>675.0</v>
      </c>
      <c r="B6133" s="4" t="s">
        <v>13990</v>
      </c>
      <c r="C6133" s="4"/>
      <c r="D6133" s="4" t="s">
        <v>13480</v>
      </c>
      <c r="E6133" s="4" t="s">
        <v>13483</v>
      </c>
      <c r="F6133" s="4" t="s">
        <v>13482</v>
      </c>
      <c r="G6133" s="5" t="str">
        <f>IFERROR(__xludf.DUMMYFUNCTION("GOOGLETRANSLATE(D6133,""fr"",""es"")"),"pasado")</f>
        <v>pasado</v>
      </c>
    </row>
    <row r="6134">
      <c r="A6134" s="4">
        <v>676.0</v>
      </c>
      <c r="B6134" s="4" t="s">
        <v>13990</v>
      </c>
      <c r="C6134" s="4"/>
      <c r="D6134" s="4" t="s">
        <v>13484</v>
      </c>
      <c r="E6134" s="4" t="s">
        <v>13481</v>
      </c>
      <c r="F6134" s="4" t="s">
        <v>13482</v>
      </c>
      <c r="G6134" s="5" t="str">
        <f>IFERROR(__xludf.DUMMYFUNCTION("GOOGLETRANSLATE(D6134,""fr"",""es"")"),"pasado")</f>
        <v>pasado</v>
      </c>
    </row>
    <row r="6135">
      <c r="A6135" s="4">
        <v>677.0</v>
      </c>
      <c r="B6135" s="4" t="s">
        <v>13990</v>
      </c>
      <c r="C6135" s="4"/>
      <c r="D6135" s="4" t="s">
        <v>13485</v>
      </c>
      <c r="E6135" s="4" t="s">
        <v>13481</v>
      </c>
      <c r="F6135" s="4" t="s">
        <v>13482</v>
      </c>
      <c r="G6135" s="5" t="str">
        <f>IFERROR(__xludf.DUMMYFUNCTION("GOOGLETRANSLATE(D6135,""fr"",""es"")"),"pastoreo")</f>
        <v>pastoreo</v>
      </c>
    </row>
    <row r="6136">
      <c r="A6136" s="4">
        <v>678.0</v>
      </c>
      <c r="B6136" s="4" t="s">
        <v>13990</v>
      </c>
      <c r="C6136" s="4"/>
      <c r="D6136" s="4" t="s">
        <v>13486</v>
      </c>
      <c r="E6136" s="4" t="s">
        <v>3443</v>
      </c>
      <c r="F6136" s="4" t="s">
        <v>3442</v>
      </c>
      <c r="G6136" s="5" t="str">
        <f>IFERROR(__xludf.DUMMYFUNCTION("GOOGLETRANSLATE(D6136,""fr"",""es"")"),"sufrir")</f>
        <v>sufrir</v>
      </c>
    </row>
    <row r="6137">
      <c r="A6137" s="4">
        <v>679.0</v>
      </c>
      <c r="B6137" s="4" t="s">
        <v>13990</v>
      </c>
      <c r="C6137" s="4"/>
      <c r="D6137" s="4" t="s">
        <v>13487</v>
      </c>
      <c r="E6137" s="4" t="s">
        <v>3449</v>
      </c>
      <c r="F6137" s="4" t="s">
        <v>3448</v>
      </c>
      <c r="G6137" s="5" t="str">
        <f>IFERROR(__xludf.DUMMYFUNCTION("GOOGLETRANSLATE(D6137,""fr"",""es"")"),"masa")</f>
        <v>masa</v>
      </c>
    </row>
    <row r="6138">
      <c r="A6138" s="4">
        <v>680.0</v>
      </c>
      <c r="B6138" s="4" t="s">
        <v>13990</v>
      </c>
      <c r="C6138" s="4"/>
      <c r="D6138" s="4" t="s">
        <v>13488</v>
      </c>
      <c r="E6138" s="4" t="s">
        <v>3443</v>
      </c>
      <c r="F6138" s="4" t="s">
        <v>3442</v>
      </c>
      <c r="G6138" s="5" t="str">
        <f>IFERROR(__xludf.DUMMYFUNCTION("GOOGLETRANSLATE(D6138,""fr"",""es"")"),"sufrir")</f>
        <v>sufrir</v>
      </c>
    </row>
    <row r="6139">
      <c r="A6139" s="4">
        <v>681.0</v>
      </c>
      <c r="B6139" s="4" t="s">
        <v>13990</v>
      </c>
      <c r="C6139" s="4"/>
      <c r="D6139" s="4" t="s">
        <v>13500</v>
      </c>
      <c r="E6139" s="4" t="s">
        <v>13501</v>
      </c>
      <c r="F6139" s="4" t="s">
        <v>13502</v>
      </c>
      <c r="G6139" s="5" t="str">
        <f>IFERROR(__xludf.DUMMYFUNCTION("GOOGLETRANSLATE(D6139,""fr"",""es"")"),"Qilin")</f>
        <v>Qilin</v>
      </c>
    </row>
    <row r="6140">
      <c r="A6140" s="4">
        <v>682.0</v>
      </c>
      <c r="B6140" s="4" t="s">
        <v>13990</v>
      </c>
      <c r="C6140" s="4"/>
      <c r="D6140" s="4" t="s">
        <v>3798</v>
      </c>
      <c r="E6140" s="4" t="s">
        <v>2013</v>
      </c>
      <c r="F6140" s="4" t="s">
        <v>2014</v>
      </c>
      <c r="G6140" s="5" t="str">
        <f>IFERROR(__xludf.DUMMYFUNCTION("GOOGLETRANSLATE(D6140,""fr"",""es"")"),"quién")</f>
        <v>quién</v>
      </c>
      <c r="H6140" s="4" t="s">
        <v>13503</v>
      </c>
      <c r="I6140" s="4" t="s">
        <v>13504</v>
      </c>
    </row>
    <row r="6141">
      <c r="A6141" s="4">
        <v>683.0</v>
      </c>
      <c r="B6141" s="4" t="s">
        <v>13990</v>
      </c>
      <c r="C6141" s="4"/>
      <c r="D6141" s="4" t="s">
        <v>13505</v>
      </c>
      <c r="E6141" s="4" t="s">
        <v>13506</v>
      </c>
      <c r="F6141" s="4" t="s">
        <v>6465</v>
      </c>
      <c r="G6141" s="5" t="str">
        <f>IFERROR(__xludf.DUMMYFUNCTION("GOOGLETRANSLATE(D6141,""fr"",""es"")"),"Quiche")</f>
        <v>Quiche</v>
      </c>
      <c r="H6141" s="4" t="s">
        <v>13505</v>
      </c>
    </row>
    <row r="6142">
      <c r="A6142" s="4">
        <v>684.0</v>
      </c>
      <c r="B6142" s="4" t="s">
        <v>13990</v>
      </c>
      <c r="C6142" s="4"/>
      <c r="D6142" s="4" t="s">
        <v>13507</v>
      </c>
      <c r="E6142" s="4" t="s">
        <v>13508</v>
      </c>
      <c r="F6142" s="4" t="s">
        <v>13509</v>
      </c>
      <c r="G6142" s="5" t="str">
        <f>IFERROR(__xludf.DUMMYFUNCTION("GOOGLETRANSLATE(D6142,""fr"",""es"")"),"quilla")</f>
        <v>quilla</v>
      </c>
      <c r="H6142" s="4" t="s">
        <v>13510</v>
      </c>
      <c r="I6142" s="4" t="s">
        <v>13511</v>
      </c>
      <c r="J6142" s="4" t="s">
        <v>13512</v>
      </c>
      <c r="K6142" s="4" t="s">
        <v>13513</v>
      </c>
      <c r="L6142" s="4" t="s">
        <v>13514</v>
      </c>
      <c r="M6142" s="4" t="s">
        <v>13515</v>
      </c>
      <c r="N6142" s="4" t="s">
        <v>13516</v>
      </c>
      <c r="O6142" s="4" t="s">
        <v>3805</v>
      </c>
      <c r="P6142" s="4" t="s">
        <v>3805</v>
      </c>
    </row>
    <row r="6143">
      <c r="A6143" s="4">
        <v>685.0</v>
      </c>
      <c r="B6143" s="4" t="s">
        <v>13990</v>
      </c>
      <c r="C6143" s="4"/>
      <c r="D6143" s="4" t="s">
        <v>8706</v>
      </c>
      <c r="E6143" s="4" t="s">
        <v>13517</v>
      </c>
      <c r="F6143" s="4" t="s">
        <v>8708</v>
      </c>
      <c r="G6143" s="5" t="str">
        <f>IFERROR(__xludf.DUMMYFUNCTION("GOOGLETRANSLATE(D6143,""fr"",""es"")"),"quinina")</f>
        <v>quinina</v>
      </c>
      <c r="H6143" s="4" t="s">
        <v>8706</v>
      </c>
      <c r="I6143" s="4" t="s">
        <v>8706</v>
      </c>
      <c r="J6143" s="4" t="s">
        <v>3821</v>
      </c>
      <c r="K6143" s="4" t="s">
        <v>3822</v>
      </c>
      <c r="L6143" s="4" t="s">
        <v>3823</v>
      </c>
      <c r="M6143" s="4" t="s">
        <v>3824</v>
      </c>
    </row>
    <row r="6144">
      <c r="A6144" s="4">
        <v>686.0</v>
      </c>
      <c r="B6144" s="4" t="s">
        <v>13990</v>
      </c>
      <c r="C6144" s="4"/>
      <c r="D6144" s="4" t="s">
        <v>3861</v>
      </c>
      <c r="E6144" s="4" t="s">
        <v>3862</v>
      </c>
      <c r="F6144" s="4" t="s">
        <v>3861</v>
      </c>
      <c r="G6144" s="5" t="str">
        <f>IFERROR(__xludf.DUMMYFUNCTION("GOOGLETRANSLATE(D6144,""fr"",""es"")"),"su")</f>
        <v>su</v>
      </c>
      <c r="H6144" s="4" t="s">
        <v>11060</v>
      </c>
      <c r="I6144" s="4" t="s">
        <v>11061</v>
      </c>
      <c r="J6144" s="4" t="s">
        <v>11062</v>
      </c>
      <c r="K6144" s="4" t="s">
        <v>13518</v>
      </c>
    </row>
    <row r="6145">
      <c r="A6145" s="4">
        <v>687.0</v>
      </c>
      <c r="B6145" s="4" t="s">
        <v>13990</v>
      </c>
      <c r="C6145" s="4"/>
      <c r="D6145" s="4" t="s">
        <v>3866</v>
      </c>
      <c r="E6145" s="4" t="s">
        <v>3867</v>
      </c>
      <c r="F6145" s="4" t="s">
        <v>3868</v>
      </c>
      <c r="G6145" s="5" t="str">
        <f>IFERROR(__xludf.DUMMYFUNCTION("GOOGLETRANSLATE(D6145,""fr"",""es"")"),"Bolso")</f>
        <v>Bolso</v>
      </c>
      <c r="H6145" s="4" t="s">
        <v>13519</v>
      </c>
      <c r="I6145" s="4" t="s">
        <v>3869</v>
      </c>
      <c r="J6145" s="4" t="s">
        <v>10723</v>
      </c>
      <c r="K6145" s="4" t="s">
        <v>3869</v>
      </c>
      <c r="L6145" s="4" t="s">
        <v>3869</v>
      </c>
      <c r="M6145" s="4" t="s">
        <v>7362</v>
      </c>
      <c r="N6145" s="4" t="s">
        <v>3869</v>
      </c>
      <c r="O6145" s="4" t="s">
        <v>8685</v>
      </c>
      <c r="P6145" s="4" t="s">
        <v>3869</v>
      </c>
      <c r="Q6145" s="4" t="s">
        <v>3869</v>
      </c>
      <c r="R6145" s="4" t="s">
        <v>3869</v>
      </c>
      <c r="S6145" s="4" t="s">
        <v>3869</v>
      </c>
      <c r="T6145" s="4" t="s">
        <v>13520</v>
      </c>
      <c r="U6145" s="4" t="s">
        <v>13521</v>
      </c>
      <c r="V6145" s="4" t="s">
        <v>11321</v>
      </c>
      <c r="W6145" s="4" t="s">
        <v>13522</v>
      </c>
      <c r="X6145" s="4" t="s">
        <v>3869</v>
      </c>
      <c r="Y6145" s="4" t="s">
        <v>13523</v>
      </c>
      <c r="Z6145" s="4" t="s">
        <v>13524</v>
      </c>
      <c r="AA6145" s="4" t="s">
        <v>13525</v>
      </c>
      <c r="AB6145" s="4" t="s">
        <v>13526</v>
      </c>
      <c r="AC6145" s="4" t="s">
        <v>3869</v>
      </c>
      <c r="AD6145" s="4" t="s">
        <v>1785</v>
      </c>
      <c r="AE6145" s="4" t="s">
        <v>3489</v>
      </c>
      <c r="AF6145" s="4" t="s">
        <v>7366</v>
      </c>
      <c r="AG6145" s="4" t="s">
        <v>7367</v>
      </c>
      <c r="AH6145" s="4" t="s">
        <v>3869</v>
      </c>
      <c r="AI6145" s="4" t="s">
        <v>13527</v>
      </c>
      <c r="AJ6145" s="4" t="s">
        <v>3869</v>
      </c>
      <c r="AK6145" s="4" t="s">
        <v>3869</v>
      </c>
      <c r="AL6145" s="4" t="s">
        <v>3870</v>
      </c>
      <c r="AM6145" s="4" t="s">
        <v>7361</v>
      </c>
      <c r="AN6145" s="4" t="s">
        <v>3866</v>
      </c>
      <c r="AO6145" s="4" t="s">
        <v>1785</v>
      </c>
      <c r="AP6145" s="4" t="s">
        <v>7362</v>
      </c>
      <c r="AQ6145" s="4" t="s">
        <v>13528</v>
      </c>
      <c r="AR6145" s="4" t="s">
        <v>13529</v>
      </c>
      <c r="AS6145" s="4" t="s">
        <v>10893</v>
      </c>
    </row>
    <row r="6146">
      <c r="A6146" s="4">
        <v>688.0</v>
      </c>
      <c r="B6146" s="4" t="s">
        <v>13990</v>
      </c>
      <c r="C6146" s="4"/>
      <c r="D6146" s="4" t="s">
        <v>13530</v>
      </c>
      <c r="E6146" s="4" t="s">
        <v>13531</v>
      </c>
      <c r="F6146" s="4" t="s">
        <v>13532</v>
      </c>
      <c r="G6146" s="5" t="str">
        <f>IFERROR(__xludf.DUMMYFUNCTION("GOOGLETRANSLATE(D6146,""fr"",""es"")"),"sacha")</f>
        <v>sacha</v>
      </c>
    </row>
    <row r="6147">
      <c r="A6147" s="4">
        <v>689.0</v>
      </c>
      <c r="B6147" s="4" t="s">
        <v>13990</v>
      </c>
      <c r="C6147" s="4"/>
      <c r="D6147" s="4" t="s">
        <v>13533</v>
      </c>
      <c r="E6147" s="4" t="s">
        <v>13534</v>
      </c>
      <c r="F6147" s="4" t="s">
        <v>7421</v>
      </c>
      <c r="G6147" s="5" t="str">
        <f>IFERROR(__xludf.DUMMYFUNCTION("GOOGLETRANSLATE(D6147,""fr"",""es"")"),"haz")</f>
        <v>haz</v>
      </c>
    </row>
    <row r="6148">
      <c r="A6148" s="4">
        <v>690.0</v>
      </c>
      <c r="B6148" s="4" t="s">
        <v>13990</v>
      </c>
      <c r="C6148" s="4"/>
      <c r="D6148" s="4" t="s">
        <v>13535</v>
      </c>
      <c r="E6148" s="4" t="s">
        <v>13534</v>
      </c>
      <c r="F6148" s="4" t="s">
        <v>7421</v>
      </c>
      <c r="G6148" s="5" t="str">
        <f>IFERROR(__xludf.DUMMYFUNCTION("GOOGLETRANSLATE(D6148,""fr"",""es"")"),"saber")</f>
        <v>saber</v>
      </c>
    </row>
    <row r="6149">
      <c r="A6149" s="4">
        <v>691.0</v>
      </c>
      <c r="B6149" s="4" t="s">
        <v>13990</v>
      </c>
      <c r="C6149" s="4"/>
      <c r="D6149" s="4" t="s">
        <v>13536</v>
      </c>
      <c r="E6149" s="4" t="s">
        <v>13537</v>
      </c>
      <c r="F6149" s="4" t="s">
        <v>13538</v>
      </c>
      <c r="G6149" s="5" t="str">
        <f>IFERROR(__xludf.DUMMYFUNCTION("GOOGLETRANSLATE(D6149,""fr"",""es"")"),"proyección")</f>
        <v>proyección</v>
      </c>
      <c r="H6149" s="4" t="s">
        <v>13539</v>
      </c>
      <c r="I6149" s="4" t="s">
        <v>13540</v>
      </c>
      <c r="J6149" s="4" t="s">
        <v>13541</v>
      </c>
      <c r="K6149" s="4" t="s">
        <v>13542</v>
      </c>
      <c r="L6149" s="4" t="s">
        <v>13543</v>
      </c>
      <c r="M6149" s="4" t="s">
        <v>13544</v>
      </c>
      <c r="N6149" s="4" t="s">
        <v>13545</v>
      </c>
      <c r="O6149" s="4" t="s">
        <v>13546</v>
      </c>
      <c r="P6149" s="4" t="s">
        <v>13547</v>
      </c>
      <c r="Q6149" s="4" t="s">
        <v>13548</v>
      </c>
      <c r="R6149" s="4" t="s">
        <v>13549</v>
      </c>
      <c r="S6149" s="4" t="s">
        <v>13550</v>
      </c>
      <c r="T6149" s="4" t="s">
        <v>13551</v>
      </c>
      <c r="U6149" s="4" t="s">
        <v>13552</v>
      </c>
      <c r="V6149" s="4" t="s">
        <v>13553</v>
      </c>
      <c r="W6149" s="4" t="s">
        <v>13540</v>
      </c>
      <c r="X6149" s="4" t="s">
        <v>13540</v>
      </c>
      <c r="Y6149" s="4" t="s">
        <v>13540</v>
      </c>
      <c r="Z6149" s="4" t="s">
        <v>13554</v>
      </c>
      <c r="AA6149" s="4" t="s">
        <v>13540</v>
      </c>
      <c r="AB6149" s="4" t="s">
        <v>13540</v>
      </c>
      <c r="AC6149" s="4" t="s">
        <v>13540</v>
      </c>
      <c r="AD6149" s="4" t="s">
        <v>13555</v>
      </c>
      <c r="AE6149" s="4" t="s">
        <v>13556</v>
      </c>
      <c r="AF6149" s="4" t="s">
        <v>13540</v>
      </c>
      <c r="AG6149" s="4" t="s">
        <v>8685</v>
      </c>
      <c r="AH6149" s="4" t="s">
        <v>8416</v>
      </c>
      <c r="AI6149" s="4" t="s">
        <v>13557</v>
      </c>
      <c r="AJ6149" s="4" t="s">
        <v>13528</v>
      </c>
      <c r="AK6149" s="4" t="s">
        <v>13558</v>
      </c>
      <c r="AL6149" s="4" t="s">
        <v>13559</v>
      </c>
      <c r="AM6149" s="4" t="s">
        <v>13541</v>
      </c>
      <c r="AN6149" s="4" t="s">
        <v>13560</v>
      </c>
      <c r="AO6149" s="4" t="s">
        <v>13561</v>
      </c>
      <c r="AP6149" s="4" t="s">
        <v>13539</v>
      </c>
      <c r="AQ6149" s="4" t="s">
        <v>13562</v>
      </c>
      <c r="AR6149" s="4" t="s">
        <v>13563</v>
      </c>
      <c r="AS6149" s="4" t="s">
        <v>13540</v>
      </c>
      <c r="AT6149" s="4" t="s">
        <v>13561</v>
      </c>
    </row>
    <row r="6150">
      <c r="A6150" s="4">
        <v>692.0</v>
      </c>
      <c r="B6150" s="4" t="s">
        <v>13990</v>
      </c>
      <c r="C6150" s="4"/>
      <c r="D6150" s="4" t="s">
        <v>3890</v>
      </c>
      <c r="E6150" s="4" t="s">
        <v>3891</v>
      </c>
      <c r="F6150" s="4" t="s">
        <v>3890</v>
      </c>
      <c r="G6150" s="5" t="str">
        <f>IFERROR(__xludf.DUMMYFUNCTION("GOOGLETRANSLATE(D6150,""fr"",""es"")"),"sala")</f>
        <v>sala</v>
      </c>
      <c r="H6150" s="4" t="s">
        <v>3909</v>
      </c>
      <c r="I6150" s="4" t="s">
        <v>3910</v>
      </c>
      <c r="J6150" s="4" t="s">
        <v>3911</v>
      </c>
      <c r="K6150" s="4" t="s">
        <v>3912</v>
      </c>
      <c r="L6150" s="4" t="s">
        <v>3913</v>
      </c>
    </row>
    <row r="6151">
      <c r="A6151" s="4">
        <v>693.0</v>
      </c>
      <c r="B6151" s="4" t="s">
        <v>13990</v>
      </c>
      <c r="C6151" s="4"/>
      <c r="D6151" s="4" t="s">
        <v>3902</v>
      </c>
      <c r="E6151" s="4" t="s">
        <v>3903</v>
      </c>
      <c r="F6151" s="4" t="s">
        <v>3902</v>
      </c>
      <c r="G6151" s="5" t="str">
        <f>IFERROR(__xludf.DUMMYFUNCTION("GOOGLETRANSLATE(D6151,""fr"",""es"")"),"salami")</f>
        <v>salami</v>
      </c>
      <c r="H6151" s="4" t="s">
        <v>3902</v>
      </c>
    </row>
    <row r="6152">
      <c r="A6152" s="4">
        <v>694.0</v>
      </c>
      <c r="B6152" s="4" t="s">
        <v>13990</v>
      </c>
      <c r="C6152" s="4"/>
      <c r="D6152" s="4" t="s">
        <v>13564</v>
      </c>
      <c r="E6152" s="4" t="s">
        <v>13565</v>
      </c>
      <c r="F6152" s="4" t="s">
        <v>3890</v>
      </c>
      <c r="G6152" s="5" t="str">
        <f>IFERROR(__xludf.DUMMYFUNCTION("GOOGLETRANSLATE(D6152,""fr"",""es"")"),"salas")</f>
        <v>salas</v>
      </c>
    </row>
    <row r="6153">
      <c r="A6153" s="4">
        <v>695.0</v>
      </c>
      <c r="B6153" s="4" t="s">
        <v>13990</v>
      </c>
      <c r="C6153" s="4"/>
      <c r="D6153" s="4" t="s">
        <v>13566</v>
      </c>
      <c r="E6153" s="4" t="s">
        <v>3883</v>
      </c>
      <c r="F6153" s="4" t="s">
        <v>3882</v>
      </c>
      <c r="G6153" s="5" t="str">
        <f>IFERROR(__xludf.DUMMYFUNCTION("GOOGLETRANSLATE(D6153,""fr"",""es"")"),"sucio")</f>
        <v>sucio</v>
      </c>
      <c r="H6153" s="4" t="s">
        <v>4047</v>
      </c>
      <c r="I6153" s="4" t="s">
        <v>4047</v>
      </c>
      <c r="J6153" s="4" t="s">
        <v>13567</v>
      </c>
      <c r="K6153" s="4" t="s">
        <v>13568</v>
      </c>
      <c r="L6153" s="4" t="s">
        <v>4047</v>
      </c>
      <c r="M6153" s="4" t="s">
        <v>4047</v>
      </c>
      <c r="N6153" s="4" t="s">
        <v>13569</v>
      </c>
      <c r="O6153" s="4" t="s">
        <v>4047</v>
      </c>
      <c r="P6153" s="4" t="s">
        <v>12641</v>
      </c>
      <c r="Q6153" s="4" t="s">
        <v>13570</v>
      </c>
      <c r="R6153" s="4" t="s">
        <v>4047</v>
      </c>
      <c r="S6153" s="4" t="s">
        <v>4241</v>
      </c>
      <c r="T6153" s="4" t="s">
        <v>13571</v>
      </c>
      <c r="U6153" s="4" t="s">
        <v>13572</v>
      </c>
      <c r="V6153" s="4" t="s">
        <v>4047</v>
      </c>
      <c r="W6153" s="4" t="s">
        <v>4047</v>
      </c>
      <c r="X6153" s="4" t="s">
        <v>13573</v>
      </c>
      <c r="Y6153" s="4" t="s">
        <v>4047</v>
      </c>
      <c r="Z6153" s="4" t="s">
        <v>4241</v>
      </c>
      <c r="AA6153" s="4" t="s">
        <v>13574</v>
      </c>
      <c r="AB6153" s="4" t="s">
        <v>4047</v>
      </c>
      <c r="AC6153" s="4" t="s">
        <v>13575</v>
      </c>
      <c r="AD6153" s="4" t="s">
        <v>6334</v>
      </c>
      <c r="AE6153" s="4" t="s">
        <v>4047</v>
      </c>
      <c r="AF6153" s="4" t="s">
        <v>13576</v>
      </c>
      <c r="AG6153" s="4" t="s">
        <v>13577</v>
      </c>
      <c r="AH6153" s="4" t="s">
        <v>13578</v>
      </c>
      <c r="AI6153" s="4" t="s">
        <v>4047</v>
      </c>
      <c r="AJ6153" s="4" t="s">
        <v>13579</v>
      </c>
    </row>
    <row r="6154">
      <c r="A6154" s="4">
        <v>696.0</v>
      </c>
      <c r="B6154" s="4" t="s">
        <v>13990</v>
      </c>
      <c r="C6154" s="4"/>
      <c r="D6154" s="4" t="s">
        <v>13580</v>
      </c>
      <c r="E6154" s="4" t="s">
        <v>13581</v>
      </c>
      <c r="F6154" s="4" t="s">
        <v>13582</v>
      </c>
      <c r="G6154" s="5" t="str">
        <f>IFERROR(__xludf.DUMMYFUNCTION("GOOGLETRANSLATE(D6154,""fr"",""es"")"),"salina")</f>
        <v>salina</v>
      </c>
    </row>
    <row r="6155">
      <c r="A6155" s="4">
        <v>697.0</v>
      </c>
      <c r="B6155" s="4" t="s">
        <v>13990</v>
      </c>
      <c r="C6155" s="4"/>
      <c r="D6155" s="4" t="s">
        <v>13583</v>
      </c>
      <c r="E6155" s="4" t="s">
        <v>3883</v>
      </c>
      <c r="F6155" s="4" t="s">
        <v>3882</v>
      </c>
      <c r="G6155" s="5" t="str">
        <f>IFERROR(__xludf.DUMMYFUNCTION("GOOGLETRANSLATE(D6155,""fr"",""es"")"),"Sala")</f>
        <v>Sala</v>
      </c>
      <c r="H6155" s="4" t="s">
        <v>13584</v>
      </c>
      <c r="I6155" s="4" t="s">
        <v>13585</v>
      </c>
      <c r="J6155" s="4" t="s">
        <v>11404</v>
      </c>
      <c r="K6155" s="4" t="s">
        <v>13586</v>
      </c>
      <c r="L6155" s="4" t="s">
        <v>13587</v>
      </c>
      <c r="M6155" s="4" t="s">
        <v>13588</v>
      </c>
      <c r="N6155" s="4" t="s">
        <v>13584</v>
      </c>
      <c r="O6155" s="4" t="s">
        <v>13589</v>
      </c>
      <c r="P6155" s="4" t="s">
        <v>13590</v>
      </c>
      <c r="Q6155" s="4" t="s">
        <v>3736</v>
      </c>
      <c r="R6155" s="4" t="s">
        <v>13584</v>
      </c>
      <c r="S6155" s="4" t="s">
        <v>13584</v>
      </c>
      <c r="T6155" s="4" t="s">
        <v>11094</v>
      </c>
      <c r="U6155" s="4" t="s">
        <v>11404</v>
      </c>
      <c r="V6155" s="4" t="s">
        <v>3736</v>
      </c>
      <c r="W6155" s="4" t="s">
        <v>3899</v>
      </c>
      <c r="X6155" s="4" t="s">
        <v>13584</v>
      </c>
      <c r="Y6155" s="4" t="s">
        <v>444</v>
      </c>
      <c r="Z6155" s="4" t="s">
        <v>445</v>
      </c>
      <c r="AA6155" s="4" t="s">
        <v>446</v>
      </c>
      <c r="AB6155" s="4" t="s">
        <v>447</v>
      </c>
      <c r="AC6155" s="4" t="s">
        <v>448</v>
      </c>
      <c r="AD6155" s="4" t="s">
        <v>449</v>
      </c>
      <c r="AE6155" s="4" t="s">
        <v>450</v>
      </c>
      <c r="AF6155" s="4" t="s">
        <v>11404</v>
      </c>
      <c r="AG6155" s="4" t="s">
        <v>13591</v>
      </c>
      <c r="AH6155" s="4" t="s">
        <v>13584</v>
      </c>
      <c r="AI6155" s="4" t="s">
        <v>444</v>
      </c>
      <c r="AJ6155" s="4" t="s">
        <v>11404</v>
      </c>
    </row>
    <row r="6156">
      <c r="A6156" s="4">
        <v>698.0</v>
      </c>
      <c r="B6156" s="4" t="s">
        <v>13990</v>
      </c>
      <c r="C6156" s="4"/>
      <c r="D6156" s="4" t="s">
        <v>3937</v>
      </c>
      <c r="E6156" s="4" t="s">
        <v>3938</v>
      </c>
      <c r="F6156" s="4" t="s">
        <v>3937</v>
      </c>
      <c r="G6156" s="5" t="str">
        <f>IFERROR(__xludf.DUMMYFUNCTION("GOOGLETRANSLATE(D6156,""fr"",""es"")"),"San")</f>
        <v>San</v>
      </c>
    </row>
    <row r="6157">
      <c r="A6157" s="4">
        <v>699.0</v>
      </c>
      <c r="B6157" s="4" t="s">
        <v>13990</v>
      </c>
      <c r="C6157" s="4"/>
      <c r="D6157" s="4" t="s">
        <v>13592</v>
      </c>
      <c r="E6157" s="4" t="s">
        <v>13593</v>
      </c>
      <c r="F6157" s="4" t="s">
        <v>13594</v>
      </c>
      <c r="G6157" s="5" t="str">
        <f>IFERROR(__xludf.DUMMYFUNCTION("GOOGLETRANSLATE(D6157,""fr"",""es"")"),"Sanie")</f>
        <v>Sanie</v>
      </c>
    </row>
    <row r="6158">
      <c r="A6158" s="4">
        <v>700.0</v>
      </c>
      <c r="B6158" s="4" t="s">
        <v>13990</v>
      </c>
      <c r="C6158" s="4"/>
      <c r="D6158" s="4" t="s">
        <v>13595</v>
      </c>
      <c r="E6158" s="4" t="s">
        <v>8716</v>
      </c>
      <c r="F6158" s="4" t="s">
        <v>8717</v>
      </c>
      <c r="G6158" s="5" t="str">
        <f>IFERROR(__xludf.DUMMYFUNCTION("GOOGLETRANSLATE(D6158,""fr"",""es"")"),"ebrio")</f>
        <v>ebrio</v>
      </c>
    </row>
    <row r="6159">
      <c r="A6159" s="4">
        <v>701.0</v>
      </c>
      <c r="B6159" s="4" t="s">
        <v>13990</v>
      </c>
      <c r="C6159" s="4"/>
      <c r="D6159" s="4" t="s">
        <v>13596</v>
      </c>
      <c r="E6159" s="4" t="s">
        <v>13597</v>
      </c>
      <c r="F6159" s="4" t="s">
        <v>13598</v>
      </c>
      <c r="G6159" s="5" t="str">
        <f>IFERROR(__xludf.DUMMYFUNCTION("GOOGLETRANSLATE(D6159,""fr"",""es"")"),"ebrio")</f>
        <v>ebrio</v>
      </c>
    </row>
    <row r="6160">
      <c r="A6160" s="4">
        <v>702.0</v>
      </c>
      <c r="B6160" s="4" t="s">
        <v>13990</v>
      </c>
      <c r="C6160" s="4"/>
      <c r="D6160" s="4" t="s">
        <v>11123</v>
      </c>
      <c r="E6160" s="4" t="s">
        <v>13599</v>
      </c>
      <c r="F6160" s="4" t="s">
        <v>11123</v>
      </c>
      <c r="G6160" s="5" t="str">
        <f>IFERROR(__xludf.DUMMYFUNCTION("GOOGLETRANSLATE(D6160,""fr"",""es"")"),"Sapa")</f>
        <v>Sapa</v>
      </c>
    </row>
    <row r="6161">
      <c r="A6161" s="4">
        <v>703.0</v>
      </c>
      <c r="B6161" s="4" t="s">
        <v>13990</v>
      </c>
      <c r="C6161" s="4"/>
      <c r="D6161" s="4" t="s">
        <v>13600</v>
      </c>
      <c r="E6161" s="4" t="s">
        <v>3952</v>
      </c>
      <c r="F6161" s="4" t="s">
        <v>3951</v>
      </c>
      <c r="G6161" s="5" t="str">
        <f>IFERROR(__xludf.DUMMYFUNCTION("GOOGLETRANSLATE(D6161,""fr"",""es"")"),"savia")</f>
        <v>savia</v>
      </c>
    </row>
    <row r="6162">
      <c r="A6162" s="4">
        <v>704.0</v>
      </c>
      <c r="B6162" s="4" t="s">
        <v>13990</v>
      </c>
      <c r="C6162" s="4"/>
      <c r="D6162" s="4" t="s">
        <v>13601</v>
      </c>
      <c r="E6162" s="4" t="s">
        <v>3952</v>
      </c>
      <c r="F6162" s="4" t="s">
        <v>3951</v>
      </c>
      <c r="G6162" s="5" t="str">
        <f>IFERROR(__xludf.DUMMYFUNCTION("GOOGLETRANSLATE(D6162,""fr"",""es"")"),"SAPS")</f>
        <v>SAPS</v>
      </c>
    </row>
    <row r="6163">
      <c r="A6163" s="4">
        <v>705.0</v>
      </c>
      <c r="B6163" s="4" t="s">
        <v>13990</v>
      </c>
      <c r="C6163" s="4"/>
      <c r="D6163" s="4" t="s">
        <v>7431</v>
      </c>
      <c r="E6163" s="4" t="s">
        <v>13602</v>
      </c>
      <c r="F6163" s="4" t="s">
        <v>7431</v>
      </c>
      <c r="G6163" s="5" t="str">
        <f>IFERROR(__xludf.DUMMYFUNCTION("GOOGLETRANSLATE(D6163,""fr"",""es"")"),"SAS")</f>
        <v>SAS</v>
      </c>
      <c r="H6163" s="4" t="s">
        <v>13603</v>
      </c>
      <c r="I6163" s="4" t="s">
        <v>13604</v>
      </c>
      <c r="J6163" s="4" t="s">
        <v>7432</v>
      </c>
      <c r="K6163" s="4" t="s">
        <v>7433</v>
      </c>
    </row>
    <row r="6164">
      <c r="A6164" s="4">
        <v>706.0</v>
      </c>
      <c r="B6164" s="4" t="s">
        <v>13990</v>
      </c>
      <c r="C6164" s="4"/>
      <c r="D6164" s="4" t="s">
        <v>7431</v>
      </c>
      <c r="E6164" s="4" t="s">
        <v>11059</v>
      </c>
      <c r="F6164" s="4" t="s">
        <v>3861</v>
      </c>
      <c r="G6164" s="5" t="str">
        <f>IFERROR(__xludf.DUMMYFUNCTION("GOOGLETRANSLATE(D6164,""fr"",""es"")"),"SAS")</f>
        <v>SAS</v>
      </c>
      <c r="H6164" s="4" t="s">
        <v>13603</v>
      </c>
      <c r="I6164" s="4" t="s">
        <v>13604</v>
      </c>
      <c r="J6164" s="4" t="s">
        <v>7432</v>
      </c>
      <c r="K6164" s="4" t="s">
        <v>7433</v>
      </c>
    </row>
    <row r="6165">
      <c r="A6165" s="4">
        <v>707.0</v>
      </c>
      <c r="B6165" s="4" t="s">
        <v>13990</v>
      </c>
      <c r="C6165" s="4"/>
      <c r="D6165" s="4" t="s">
        <v>7431</v>
      </c>
      <c r="E6165" s="4" t="s">
        <v>8711</v>
      </c>
      <c r="F6165" s="4" t="s">
        <v>7431</v>
      </c>
      <c r="G6165" s="5" t="str">
        <f>IFERROR(__xludf.DUMMYFUNCTION("GOOGLETRANSLATE(D6165,""fr"",""es"")"),"SAS")</f>
        <v>SAS</v>
      </c>
      <c r="H6165" s="4" t="s">
        <v>13603</v>
      </c>
      <c r="I6165" s="4" t="s">
        <v>13604</v>
      </c>
      <c r="J6165" s="4" t="s">
        <v>7432</v>
      </c>
      <c r="K6165" s="4" t="s">
        <v>7433</v>
      </c>
    </row>
    <row r="6166">
      <c r="A6166" s="4">
        <v>708.0</v>
      </c>
      <c r="B6166" s="4" t="s">
        <v>13990</v>
      </c>
      <c r="C6166" s="4"/>
      <c r="D6166" s="4" t="s">
        <v>13605</v>
      </c>
      <c r="E6166" s="4" t="s">
        <v>13606</v>
      </c>
      <c r="F6166" s="4" t="s">
        <v>13607</v>
      </c>
      <c r="G6166" s="5" t="str">
        <f>IFERROR(__xludf.DUMMYFUNCTION("GOOGLETRANSLATE(D6166,""fr"",""es"")"),"Sassa")</f>
        <v>Sassa</v>
      </c>
    </row>
    <row r="6167">
      <c r="A6167" s="4">
        <v>709.0</v>
      </c>
      <c r="B6167" s="4" t="s">
        <v>13990</v>
      </c>
      <c r="C6167" s="4"/>
      <c r="D6167" s="4" t="s">
        <v>13608</v>
      </c>
      <c r="E6167" s="4" t="s">
        <v>13609</v>
      </c>
      <c r="F6167" s="4" t="s">
        <v>13607</v>
      </c>
      <c r="G6167" s="5" t="str">
        <f>IFERROR(__xludf.DUMMYFUNCTION("GOOGLETRANSLATE(D6167,""fr"",""es"")"),"sassas")</f>
        <v>sassas</v>
      </c>
    </row>
    <row r="6168">
      <c r="A6168" s="4">
        <v>710.0</v>
      </c>
      <c r="B6168" s="4" t="s">
        <v>13990</v>
      </c>
      <c r="C6168" s="4"/>
      <c r="D6168" s="4" t="s">
        <v>13610</v>
      </c>
      <c r="E6168" s="4" t="s">
        <v>13611</v>
      </c>
      <c r="F6168" s="4" t="s">
        <v>13612</v>
      </c>
      <c r="G6168" s="5" t="str">
        <f>IFERROR(__xludf.DUMMYFUNCTION("GOOGLETRANSLATE(D6168,""fr"",""es"")"),"succión")</f>
        <v>succión</v>
      </c>
    </row>
    <row r="6169">
      <c r="A6169" s="4">
        <v>711.0</v>
      </c>
      <c r="B6169" s="4" t="s">
        <v>13990</v>
      </c>
      <c r="C6169" s="4"/>
      <c r="D6169" s="4" t="s">
        <v>13613</v>
      </c>
      <c r="E6169" s="4" t="s">
        <v>13611</v>
      </c>
      <c r="F6169" s="4" t="s">
        <v>13612</v>
      </c>
      <c r="G6169" s="5" t="str">
        <f>IFERROR(__xludf.DUMMYFUNCTION("GOOGLETRANSLATE(D6169,""fr"",""es"")"),"amamantar")</f>
        <v>amamantar</v>
      </c>
    </row>
    <row r="6170">
      <c r="A6170" s="4">
        <v>712.0</v>
      </c>
      <c r="B6170" s="4" t="s">
        <v>13990</v>
      </c>
      <c r="C6170" s="4"/>
      <c r="D6170" s="4" t="s">
        <v>13614</v>
      </c>
      <c r="E6170" s="4" t="s">
        <v>13611</v>
      </c>
      <c r="F6170" s="4" t="s">
        <v>13612</v>
      </c>
      <c r="G6170" s="5" t="str">
        <f>IFERROR(__xludf.DUMMYFUNCTION("GOOGLETRANSLATE(D6170,""fr"",""es"")"),"aperitivos")</f>
        <v>aperitivos</v>
      </c>
    </row>
    <row r="6171">
      <c r="A6171" s="4">
        <v>713.0</v>
      </c>
      <c r="B6171" s="4" t="s">
        <v>13990</v>
      </c>
      <c r="C6171" s="4"/>
      <c r="D6171" s="4" t="s">
        <v>7434</v>
      </c>
      <c r="E6171" s="4" t="s">
        <v>13602</v>
      </c>
      <c r="F6171" s="4" t="s">
        <v>7431</v>
      </c>
      <c r="G6171" s="5" t="str">
        <f>IFERROR(__xludf.DUMMYFUNCTION("GOOGLETRANSLATE(D6171,""fr"",""es"")"),"sasse")</f>
        <v>sasse</v>
      </c>
    </row>
    <row r="6172">
      <c r="A6172" s="4">
        <v>714.0</v>
      </c>
      <c r="B6172" s="4" t="s">
        <v>13990</v>
      </c>
      <c r="C6172" s="4"/>
      <c r="D6172" s="4" t="s">
        <v>13615</v>
      </c>
      <c r="E6172" s="4" t="s">
        <v>13602</v>
      </c>
      <c r="F6172" s="4" t="s">
        <v>7431</v>
      </c>
      <c r="G6172" s="5" t="str">
        <f>IFERROR(__xludf.DUMMYFUNCTION("GOOGLETRANSLATE(D6172,""fr"",""es"")"),"pileta")</f>
        <v>pileta</v>
      </c>
    </row>
    <row r="6173">
      <c r="A6173" s="4">
        <v>715.0</v>
      </c>
      <c r="B6173" s="4" t="s">
        <v>13990</v>
      </c>
      <c r="C6173" s="4"/>
      <c r="D6173" s="4" t="s">
        <v>13616</v>
      </c>
      <c r="E6173" s="4" t="s">
        <v>13602</v>
      </c>
      <c r="F6173" s="4" t="s">
        <v>7431</v>
      </c>
      <c r="G6173" s="5" t="str">
        <f>IFERROR(__xludf.DUMMYFUNCTION("GOOGLETRANSLATE(D6173,""fr"",""es"")"),"santia")</f>
        <v>santia</v>
      </c>
    </row>
    <row r="6174">
      <c r="A6174" s="4">
        <v>716.0</v>
      </c>
      <c r="B6174" s="4" t="s">
        <v>13990</v>
      </c>
      <c r="C6174" s="4"/>
      <c r="D6174" s="4" t="s">
        <v>13617</v>
      </c>
      <c r="E6174" s="4" t="s">
        <v>13618</v>
      </c>
      <c r="F6174" s="4" t="s">
        <v>13619</v>
      </c>
      <c r="G6174" s="5" t="str">
        <f>IFERROR(__xludf.DUMMYFUNCTION("GOOGLETRANSLATE(D6174,""fr"",""es"")"),"hablar con descaro a")</f>
        <v>hablar con descaro a</v>
      </c>
    </row>
    <row r="6175">
      <c r="A6175" s="4">
        <v>717.0</v>
      </c>
      <c r="B6175" s="4" t="s">
        <v>13990</v>
      </c>
      <c r="C6175" s="4"/>
      <c r="D6175" s="4" t="s">
        <v>13620</v>
      </c>
      <c r="E6175" s="4" t="s">
        <v>13609</v>
      </c>
      <c r="F6175" s="4" t="s">
        <v>13607</v>
      </c>
      <c r="G6175" s="5" t="str">
        <f>IFERROR(__xludf.DUMMYFUNCTION("GOOGLETRANSLATE(D6175,""fr"",""es"")"),"sassât")</f>
        <v>sassât</v>
      </c>
    </row>
    <row r="6176">
      <c r="A6176" s="4">
        <v>718.0</v>
      </c>
      <c r="B6176" s="4" t="s">
        <v>13990</v>
      </c>
      <c r="C6176" s="4"/>
      <c r="D6176" s="4" t="s">
        <v>13621</v>
      </c>
      <c r="E6176" s="4" t="s">
        <v>4671</v>
      </c>
      <c r="F6176" s="4" t="s">
        <v>4672</v>
      </c>
      <c r="G6176" s="5" t="str">
        <f>IFERROR(__xludf.DUMMYFUNCTION("GOOGLETRANSLATE(D6176,""fr"",""es"")"),"silla")</f>
        <v>silla</v>
      </c>
      <c r="H6176" s="4" t="s">
        <v>4673</v>
      </c>
      <c r="I6176" s="4" t="s">
        <v>4674</v>
      </c>
    </row>
    <row r="6177">
      <c r="A6177" s="4">
        <v>719.0</v>
      </c>
      <c r="B6177" s="4" t="s">
        <v>13990</v>
      </c>
      <c r="C6177" s="4"/>
      <c r="D6177" s="4" t="s">
        <v>7446</v>
      </c>
      <c r="E6177" s="4" t="s">
        <v>12135</v>
      </c>
      <c r="F6177" s="4" t="s">
        <v>7448</v>
      </c>
      <c r="G6177" s="5" t="str">
        <f>IFERROR(__xludf.DUMMYFUNCTION("GOOGLETRANSLATE(D6177,""fr"",""es"")"),"Recta")</f>
        <v>Recta</v>
      </c>
    </row>
    <row r="6178">
      <c r="A6178" s="4">
        <v>720.0</v>
      </c>
      <c r="B6178" s="4" t="s">
        <v>13990</v>
      </c>
      <c r="C6178" s="4"/>
      <c r="D6178" s="4" t="s">
        <v>13622</v>
      </c>
      <c r="E6178" s="4" t="s">
        <v>400</v>
      </c>
      <c r="F6178" s="4" t="s">
        <v>401</v>
      </c>
      <c r="G6178" s="5" t="str">
        <f>IFERROR(__xludf.DUMMYFUNCTION("GOOGLETRANSLATE(D6178,""fr"",""es"")"),"sierra")</f>
        <v>sierra</v>
      </c>
      <c r="H6178" s="4" t="s">
        <v>13623</v>
      </c>
      <c r="I6178" s="4" t="s">
        <v>13624</v>
      </c>
      <c r="J6178" s="4" t="s">
        <v>13625</v>
      </c>
      <c r="K6178" s="4" t="s">
        <v>13626</v>
      </c>
      <c r="L6178" s="4" t="s">
        <v>13627</v>
      </c>
      <c r="M6178" s="4" t="s">
        <v>11067</v>
      </c>
      <c r="N6178" s="4" t="s">
        <v>13628</v>
      </c>
      <c r="O6178" s="4" t="s">
        <v>11067</v>
      </c>
      <c r="P6178" s="4" t="s">
        <v>13629</v>
      </c>
      <c r="Q6178" s="4" t="s">
        <v>13630</v>
      </c>
      <c r="R6178" s="4" t="s">
        <v>11067</v>
      </c>
      <c r="S6178" s="4" t="s">
        <v>13631</v>
      </c>
    </row>
    <row r="6179">
      <c r="A6179" s="4">
        <v>721.0</v>
      </c>
      <c r="B6179" s="4" t="s">
        <v>13990</v>
      </c>
      <c r="C6179" s="4"/>
      <c r="D6179" s="4" t="s">
        <v>13632</v>
      </c>
      <c r="E6179" s="4" t="s">
        <v>12157</v>
      </c>
      <c r="F6179" s="4" t="s">
        <v>7587</v>
      </c>
      <c r="G6179" s="5" t="str">
        <f>IFERROR(__xludf.DUMMYFUNCTION("GOOGLETRANSLATE(D6179,""fr"",""es"")"),"afilador")</f>
        <v>afilador</v>
      </c>
      <c r="H6179" s="4" t="s">
        <v>13633</v>
      </c>
      <c r="I6179" s="4" t="s">
        <v>13634</v>
      </c>
      <c r="J6179" s="4" t="s">
        <v>13635</v>
      </c>
      <c r="K6179" s="4" t="s">
        <v>13636</v>
      </c>
      <c r="L6179" s="4" t="s">
        <v>13634</v>
      </c>
      <c r="M6179" s="4" t="s">
        <v>13637</v>
      </c>
      <c r="N6179" s="4" t="s">
        <v>13634</v>
      </c>
    </row>
    <row r="6180">
      <c r="A6180" s="4">
        <v>722.0</v>
      </c>
      <c r="B6180" s="4" t="s">
        <v>13990</v>
      </c>
      <c r="C6180" s="4"/>
      <c r="D6180" s="4" t="s">
        <v>13638</v>
      </c>
      <c r="E6180" s="4" t="s">
        <v>4671</v>
      </c>
      <c r="F6180" s="4" t="s">
        <v>4672</v>
      </c>
      <c r="G6180" s="5" t="str">
        <f>IFERROR(__xludf.DUMMYFUNCTION("GOOGLETRANSLATE(D6180,""fr"",""es"")"),"cha")</f>
        <v>cha</v>
      </c>
      <c r="H6180" s="4" t="s">
        <v>4673</v>
      </c>
      <c r="I6180" s="4" t="s">
        <v>4674</v>
      </c>
    </row>
    <row r="6181">
      <c r="A6181" s="4">
        <v>723.0</v>
      </c>
      <c r="B6181" s="4" t="s">
        <v>13990</v>
      </c>
      <c r="C6181" s="4"/>
      <c r="D6181" s="4" t="s">
        <v>401</v>
      </c>
      <c r="E6181" s="4" t="s">
        <v>400</v>
      </c>
      <c r="F6181" s="4" t="s">
        <v>401</v>
      </c>
      <c r="G6181" s="5" t="str">
        <f>IFERROR(__xludf.DUMMYFUNCTION("GOOGLETRANSLATE(D6181,""fr"",""es"")"),"si")</f>
        <v>si</v>
      </c>
      <c r="H6181" s="4" t="s">
        <v>8791</v>
      </c>
      <c r="I6181" s="4" t="s">
        <v>4215</v>
      </c>
      <c r="J6181" s="4" t="s">
        <v>7528</v>
      </c>
      <c r="K6181" s="4" t="s">
        <v>7529</v>
      </c>
      <c r="L6181" s="4" t="s">
        <v>7530</v>
      </c>
      <c r="M6181" s="4" t="s">
        <v>7531</v>
      </c>
      <c r="N6181" s="4" t="s">
        <v>7532</v>
      </c>
      <c r="O6181" s="4" t="s">
        <v>7533</v>
      </c>
      <c r="P6181" s="4" t="s">
        <v>7534</v>
      </c>
      <c r="Q6181" s="4" t="s">
        <v>3976</v>
      </c>
      <c r="R6181" s="4" t="s">
        <v>3977</v>
      </c>
      <c r="S6181" s="4" t="s">
        <v>3978</v>
      </c>
    </row>
    <row r="6182">
      <c r="A6182" s="4">
        <v>724.0</v>
      </c>
      <c r="B6182" s="4" t="s">
        <v>13990</v>
      </c>
      <c r="C6182" s="4"/>
      <c r="D6182" s="4" t="s">
        <v>7536</v>
      </c>
      <c r="E6182" s="4" t="s">
        <v>13639</v>
      </c>
      <c r="F6182" s="4" t="s">
        <v>7538</v>
      </c>
      <c r="G6182" s="5" t="str">
        <f>IFERROR(__xludf.DUMMYFUNCTION("GOOGLETRANSLATE(D6182,""fr"",""es"")"),"sic")</f>
        <v>sic</v>
      </c>
      <c r="H6182" s="4" t="s">
        <v>7536</v>
      </c>
    </row>
    <row r="6183">
      <c r="A6183" s="4">
        <v>725.0</v>
      </c>
      <c r="B6183" s="4" t="s">
        <v>13990</v>
      </c>
      <c r="C6183" s="4"/>
      <c r="D6183" s="4" t="s">
        <v>13640</v>
      </c>
      <c r="E6183" s="4" t="s">
        <v>13641</v>
      </c>
      <c r="F6183" s="4" t="s">
        <v>13642</v>
      </c>
      <c r="G6183" s="5" t="str">
        <f>IFERROR(__xludf.DUMMYFUNCTION("GOOGLETRANSLATE(D6183,""fr"",""es"")"),"Sicilia")</f>
        <v>Sicilia</v>
      </c>
      <c r="H6183" s="4" t="s">
        <v>13643</v>
      </c>
      <c r="I6183" s="4" t="s">
        <v>13644</v>
      </c>
      <c r="J6183" s="4" t="s">
        <v>13643</v>
      </c>
      <c r="K6183" s="4" t="s">
        <v>13644</v>
      </c>
    </row>
    <row r="6184">
      <c r="A6184" s="4">
        <v>726.0</v>
      </c>
      <c r="B6184" s="4" t="s">
        <v>13990</v>
      </c>
      <c r="C6184" s="4"/>
      <c r="D6184" s="4" t="s">
        <v>13645</v>
      </c>
      <c r="E6184" s="4" t="s">
        <v>13646</v>
      </c>
      <c r="F6184" s="4" t="s">
        <v>13647</v>
      </c>
      <c r="G6184" s="5" t="str">
        <f>IFERROR(__xludf.DUMMYFUNCTION("GOOGLETRANSLATE(D6184,""fr"",""es"")"),"señal")</f>
        <v>señal</v>
      </c>
      <c r="H6184" s="4" t="s">
        <v>13648</v>
      </c>
      <c r="I6184" s="4" t="s">
        <v>13645</v>
      </c>
      <c r="J6184" s="4" t="s">
        <v>13649</v>
      </c>
      <c r="K6184" s="4" t="s">
        <v>13650</v>
      </c>
      <c r="L6184" s="4" t="s">
        <v>13645</v>
      </c>
      <c r="M6184" s="4" t="s">
        <v>5323</v>
      </c>
      <c r="N6184" s="4" t="s">
        <v>13645</v>
      </c>
      <c r="O6184" s="4" t="s">
        <v>13651</v>
      </c>
      <c r="P6184" s="4" t="s">
        <v>13648</v>
      </c>
      <c r="Q6184" s="4" t="s">
        <v>13648</v>
      </c>
      <c r="R6184" s="4" t="s">
        <v>13645</v>
      </c>
      <c r="S6184" s="4" t="s">
        <v>13645</v>
      </c>
    </row>
    <row r="6185">
      <c r="A6185" s="4">
        <v>727.0</v>
      </c>
      <c r="B6185" s="4" t="s">
        <v>13990</v>
      </c>
      <c r="C6185" s="4"/>
      <c r="D6185" s="4" t="s">
        <v>13652</v>
      </c>
      <c r="E6185" s="4" t="s">
        <v>12269</v>
      </c>
      <c r="F6185" s="4" t="s">
        <v>12270</v>
      </c>
      <c r="G6185" s="5" t="str">
        <f>IFERROR(__xludf.DUMMYFUNCTION("GOOGLETRANSLATE(D6185,""fr"",""es"")"),"signo")</f>
        <v>signo</v>
      </c>
      <c r="H6185" s="4" t="s">
        <v>13648</v>
      </c>
      <c r="I6185" s="4" t="s">
        <v>3008</v>
      </c>
      <c r="J6185" s="4" t="s">
        <v>13645</v>
      </c>
      <c r="K6185" s="4" t="s">
        <v>13651</v>
      </c>
      <c r="L6185" s="4" t="s">
        <v>13648</v>
      </c>
      <c r="M6185" s="4" t="s">
        <v>13648</v>
      </c>
      <c r="N6185" s="4" t="s">
        <v>3008</v>
      </c>
      <c r="O6185" s="4" t="s">
        <v>13648</v>
      </c>
      <c r="P6185" s="4" t="s">
        <v>13648</v>
      </c>
      <c r="Q6185" s="4" t="s">
        <v>13653</v>
      </c>
      <c r="R6185" s="4" t="s">
        <v>13654</v>
      </c>
      <c r="S6185" s="4" t="s">
        <v>13648</v>
      </c>
      <c r="T6185" s="4" t="s">
        <v>13655</v>
      </c>
      <c r="U6185" s="4" t="s">
        <v>2130</v>
      </c>
      <c r="V6185" s="4" t="s">
        <v>13656</v>
      </c>
      <c r="W6185" s="4" t="s">
        <v>13645</v>
      </c>
      <c r="X6185" s="4" t="s">
        <v>13657</v>
      </c>
      <c r="Y6185" s="4" t="s">
        <v>13648</v>
      </c>
      <c r="Z6185" s="4" t="s">
        <v>13648</v>
      </c>
    </row>
    <row r="6186">
      <c r="A6186" s="4">
        <v>728.0</v>
      </c>
      <c r="B6186" s="4" t="s">
        <v>13990</v>
      </c>
      <c r="C6186" s="4"/>
      <c r="D6186" s="4" t="s">
        <v>13658</v>
      </c>
      <c r="E6186" s="4" t="s">
        <v>12269</v>
      </c>
      <c r="F6186" s="4" t="s">
        <v>12270</v>
      </c>
      <c r="G6186" s="5" t="str">
        <f>IFERROR(__xludf.DUMMYFUNCTION("GOOGLETRANSLATE(D6186,""fr"",""es"")"),"señal")</f>
        <v>señal</v>
      </c>
    </row>
    <row r="6187">
      <c r="A6187" s="4">
        <v>729.0</v>
      </c>
      <c r="B6187" s="4" t="s">
        <v>13990</v>
      </c>
      <c r="C6187" s="4"/>
      <c r="D6187" s="4" t="s">
        <v>13659</v>
      </c>
      <c r="E6187" s="4" t="s">
        <v>12269</v>
      </c>
      <c r="F6187" s="4" t="s">
        <v>12270</v>
      </c>
      <c r="G6187" s="5" t="str">
        <f>IFERROR(__xludf.DUMMYFUNCTION("GOOGLETRANSLATE(D6187,""fr"",""es"")"),"señales")</f>
        <v>señales</v>
      </c>
    </row>
    <row r="6188">
      <c r="A6188" s="4">
        <v>730.0</v>
      </c>
      <c r="B6188" s="4" t="s">
        <v>13990</v>
      </c>
      <c r="C6188" s="4"/>
      <c r="D6188" s="4" t="s">
        <v>13660</v>
      </c>
      <c r="E6188" s="4" t="s">
        <v>13639</v>
      </c>
      <c r="F6188" s="4" t="s">
        <v>7538</v>
      </c>
      <c r="G6188" s="5" t="str">
        <f>IFERROR(__xludf.DUMMYFUNCTION("GOOGLETRANSLATE(D6188,""fr"",""es"")"),"sikhe")</f>
        <v>sikhe</v>
      </c>
    </row>
    <row r="6189">
      <c r="A6189" s="4">
        <v>731.0</v>
      </c>
      <c r="B6189" s="4" t="s">
        <v>13990</v>
      </c>
      <c r="C6189" s="4"/>
      <c r="D6189" s="4" t="s">
        <v>13661</v>
      </c>
      <c r="E6189" s="4" t="s">
        <v>13662</v>
      </c>
      <c r="F6189" s="4" t="s">
        <v>13663</v>
      </c>
      <c r="G6189" s="5" t="str">
        <f>IFERROR(__xludf.DUMMYFUNCTION("GOOGLETRANSLATE(D6189,""fr"",""es"")"),"sílice")</f>
        <v>sílice</v>
      </c>
      <c r="H6189" s="4" t="s">
        <v>13664</v>
      </c>
      <c r="I6189" s="4" t="s">
        <v>13665</v>
      </c>
      <c r="J6189" s="4" t="s">
        <v>13666</v>
      </c>
    </row>
    <row r="6190">
      <c r="A6190" s="4">
        <v>732.0</v>
      </c>
      <c r="B6190" s="4" t="s">
        <v>13990</v>
      </c>
      <c r="C6190" s="4"/>
      <c r="D6190" s="4" t="s">
        <v>7581</v>
      </c>
      <c r="E6190" s="4" t="s">
        <v>13667</v>
      </c>
      <c r="F6190" s="4" t="s">
        <v>7583</v>
      </c>
      <c r="G6190" s="5" t="str">
        <f>IFERROR(__xludf.DUMMYFUNCTION("GOOGLETRANSLATE(D6190,""fr"",""es"")"),"silico")</f>
        <v>silico</v>
      </c>
      <c r="H6190" s="4" t="s">
        <v>7581</v>
      </c>
      <c r="I6190" s="4" t="s">
        <v>7584</v>
      </c>
    </row>
    <row r="6191">
      <c r="A6191" s="4">
        <v>733.0</v>
      </c>
      <c r="B6191" s="4" t="s">
        <v>13990</v>
      </c>
      <c r="C6191" s="4"/>
      <c r="D6191" s="4" t="s">
        <v>13668</v>
      </c>
      <c r="E6191" s="4" t="s">
        <v>13669</v>
      </c>
      <c r="F6191" s="4" t="s">
        <v>13670</v>
      </c>
      <c r="G6191" s="5" t="str">
        <f>IFERROR(__xludf.DUMMYFUNCTION("GOOGLETRANSLATE(D6191,""fr"",""es"")"),"simún")</f>
        <v>simún</v>
      </c>
      <c r="H6191" s="4" t="s">
        <v>13671</v>
      </c>
      <c r="I6191" s="4" t="s">
        <v>13672</v>
      </c>
      <c r="J6191" s="4" t="s">
        <v>13673</v>
      </c>
    </row>
    <row r="6192">
      <c r="A6192" s="4">
        <v>734.0</v>
      </c>
      <c r="B6192" s="4" t="s">
        <v>13990</v>
      </c>
      <c r="C6192" s="4"/>
      <c r="D6192" s="4" t="s">
        <v>4004</v>
      </c>
      <c r="E6192" s="4" t="s">
        <v>400</v>
      </c>
      <c r="F6192" s="4" t="s">
        <v>401</v>
      </c>
      <c r="G6192" s="5" t="str">
        <f>IFERROR(__xludf.DUMMYFUNCTION("GOOGLETRANSLATE(D6192,""fr"",""es"")"),"hermana")</f>
        <v>hermana</v>
      </c>
      <c r="H6192" s="4" t="s">
        <v>13674</v>
      </c>
      <c r="I6192" s="4" t="s">
        <v>13675</v>
      </c>
      <c r="J6192" s="4" t="s">
        <v>7539</v>
      </c>
      <c r="K6192" s="4" t="s">
        <v>13676</v>
      </c>
      <c r="L6192" s="4" t="s">
        <v>2285</v>
      </c>
      <c r="M6192" s="4" t="s">
        <v>4004</v>
      </c>
    </row>
    <row r="6193">
      <c r="A6193" s="4">
        <v>735.0</v>
      </c>
      <c r="B6193" s="4" t="s">
        <v>13990</v>
      </c>
      <c r="C6193" s="4"/>
      <c r="D6193" s="4" t="s">
        <v>4006</v>
      </c>
      <c r="E6193" s="4" t="s">
        <v>400</v>
      </c>
      <c r="F6193" s="4" t="s">
        <v>401</v>
      </c>
      <c r="G6193" s="5" t="str">
        <f>IFERROR(__xludf.DUMMYFUNCTION("GOOGLETRANSLATE(D6193,""fr"",""es"")"),"seis")</f>
        <v>seis</v>
      </c>
      <c r="H6193" s="4" t="s">
        <v>4006</v>
      </c>
      <c r="I6193" s="4">
        <v>6.0</v>
      </c>
      <c r="J6193" s="4" t="s">
        <v>4007</v>
      </c>
      <c r="K6193" s="4" t="s">
        <v>4008</v>
      </c>
      <c r="L6193" s="4" t="s">
        <v>4009</v>
      </c>
      <c r="M6193" s="4" t="s">
        <v>4006</v>
      </c>
      <c r="N6193" s="4">
        <v>6.0</v>
      </c>
      <c r="O6193" s="4" t="s">
        <v>4010</v>
      </c>
      <c r="P6193" s="4" t="s">
        <v>4011</v>
      </c>
      <c r="Q6193" s="4" t="s">
        <v>4012</v>
      </c>
      <c r="R6193" s="4" t="s">
        <v>4013</v>
      </c>
      <c r="S6193" s="4" t="s">
        <v>4014</v>
      </c>
      <c r="T6193" s="4" t="s">
        <v>4015</v>
      </c>
      <c r="U6193" s="4" t="s">
        <v>4016</v>
      </c>
      <c r="V6193" s="4" t="s">
        <v>4017</v>
      </c>
      <c r="W6193" s="4" t="s">
        <v>4018</v>
      </c>
    </row>
    <row r="6194">
      <c r="A6194" s="4">
        <v>736.0</v>
      </c>
      <c r="B6194" s="4" t="s">
        <v>13990</v>
      </c>
      <c r="C6194" s="4"/>
      <c r="D6194" s="4" t="s">
        <v>4006</v>
      </c>
      <c r="E6194" s="4" t="s">
        <v>4005</v>
      </c>
      <c r="F6194" s="4" t="s">
        <v>4004</v>
      </c>
      <c r="G6194" s="5" t="str">
        <f>IFERROR(__xludf.DUMMYFUNCTION("GOOGLETRANSLATE(D6194,""fr"",""es"")"),"seis")</f>
        <v>seis</v>
      </c>
      <c r="H6194" s="4" t="s">
        <v>4006</v>
      </c>
      <c r="I6194" s="4">
        <v>6.0</v>
      </c>
      <c r="J6194" s="4" t="s">
        <v>4007</v>
      </c>
      <c r="K6194" s="4" t="s">
        <v>4008</v>
      </c>
      <c r="L6194" s="4" t="s">
        <v>4009</v>
      </c>
      <c r="M6194" s="4" t="s">
        <v>4006</v>
      </c>
      <c r="N6194" s="4">
        <v>6.0</v>
      </c>
      <c r="O6194" s="4" t="s">
        <v>4010</v>
      </c>
      <c r="P6194" s="4" t="s">
        <v>4011</v>
      </c>
      <c r="Q6194" s="4" t="s">
        <v>4012</v>
      </c>
      <c r="R6194" s="4" t="s">
        <v>4013</v>
      </c>
      <c r="S6194" s="4" t="s">
        <v>4014</v>
      </c>
      <c r="T6194" s="4" t="s">
        <v>4015</v>
      </c>
      <c r="U6194" s="4" t="s">
        <v>4016</v>
      </c>
      <c r="V6194" s="4" t="s">
        <v>4017</v>
      </c>
      <c r="W6194" s="4" t="s">
        <v>4018</v>
      </c>
    </row>
    <row r="6195">
      <c r="A6195" s="4">
        <v>737.0</v>
      </c>
      <c r="B6195" s="4" t="s">
        <v>13990</v>
      </c>
      <c r="C6195" s="4"/>
      <c r="D6195" s="4" t="s">
        <v>8785</v>
      </c>
      <c r="E6195" s="4" t="s">
        <v>8716</v>
      </c>
      <c r="F6195" s="4" t="s">
        <v>8717</v>
      </c>
      <c r="G6195" s="5" t="str">
        <f>IFERROR(__xludf.DUMMYFUNCTION("GOOGLETRANSLATE(D6195,""fr"",""es"")"),"suelo")</f>
        <v>suelo</v>
      </c>
      <c r="H6195" s="4" t="s">
        <v>3578</v>
      </c>
      <c r="I6195" s="4" t="s">
        <v>13677</v>
      </c>
      <c r="J6195" s="4" t="s">
        <v>13678</v>
      </c>
      <c r="K6195" s="4" t="s">
        <v>13679</v>
      </c>
      <c r="L6195" s="4" t="s">
        <v>8785</v>
      </c>
      <c r="M6195" s="4" t="s">
        <v>8790</v>
      </c>
      <c r="N6195" s="4" t="s">
        <v>8791</v>
      </c>
      <c r="O6195" s="4" t="s">
        <v>11397</v>
      </c>
      <c r="P6195" s="4" t="s">
        <v>13680</v>
      </c>
      <c r="Q6195" s="4" t="s">
        <v>13679</v>
      </c>
      <c r="R6195" s="4" t="s">
        <v>13678</v>
      </c>
      <c r="S6195" s="4" t="s">
        <v>13681</v>
      </c>
      <c r="T6195" s="4" t="s">
        <v>13682</v>
      </c>
      <c r="U6195" s="4" t="s">
        <v>11397</v>
      </c>
      <c r="V6195" s="4" t="s">
        <v>13678</v>
      </c>
      <c r="W6195" s="4" t="s">
        <v>4048</v>
      </c>
      <c r="X6195" s="4" t="s">
        <v>8785</v>
      </c>
      <c r="Y6195" s="4" t="s">
        <v>8787</v>
      </c>
      <c r="Z6195" s="4" t="s">
        <v>8788</v>
      </c>
      <c r="AA6195" s="4" t="s">
        <v>13679</v>
      </c>
      <c r="AB6195" s="4" t="s">
        <v>13678</v>
      </c>
      <c r="AC6195" s="4" t="s">
        <v>13679</v>
      </c>
      <c r="AD6195" s="4" t="s">
        <v>4048</v>
      </c>
      <c r="AE6195" s="4" t="s">
        <v>13683</v>
      </c>
    </row>
    <row r="6196">
      <c r="A6196" s="4">
        <v>738.0</v>
      </c>
      <c r="B6196" s="4" t="s">
        <v>13990</v>
      </c>
      <c r="C6196" s="4"/>
      <c r="D6196" s="4" t="s">
        <v>13684</v>
      </c>
      <c r="E6196" s="4" t="s">
        <v>8716</v>
      </c>
      <c r="F6196" s="4" t="s">
        <v>8717</v>
      </c>
      <c r="G6196" s="5" t="str">
        <f>IFERROR(__xludf.DUMMYFUNCTION("GOOGLETRANSLATE(D6196,""fr"",""es"")"),"sopa")</f>
        <v>sopa</v>
      </c>
      <c r="H6196" s="4" t="s">
        <v>13685</v>
      </c>
    </row>
    <row r="6197">
      <c r="A6197" s="4">
        <v>739.0</v>
      </c>
      <c r="B6197" s="4" t="s">
        <v>13990</v>
      </c>
      <c r="C6197" s="4"/>
      <c r="D6197" s="4" t="s">
        <v>13686</v>
      </c>
      <c r="E6197" s="4" t="s">
        <v>13687</v>
      </c>
      <c r="F6197" s="4" t="s">
        <v>13688</v>
      </c>
      <c r="G6197" s="5" t="str">
        <f>IFERROR(__xludf.DUMMYFUNCTION("GOOGLETRANSLATE(D6197,""fr"",""es"")"),"tocón")</f>
        <v>tocón</v>
      </c>
      <c r="H6197" s="4" t="s">
        <v>13689</v>
      </c>
      <c r="I6197" s="4" t="s">
        <v>13690</v>
      </c>
      <c r="J6197" s="4" t="s">
        <v>13691</v>
      </c>
      <c r="K6197" s="4" t="s">
        <v>13692</v>
      </c>
      <c r="L6197" s="4" t="s">
        <v>1044</v>
      </c>
      <c r="M6197" s="4" t="s">
        <v>1187</v>
      </c>
      <c r="N6197" s="4" t="s">
        <v>13693</v>
      </c>
    </row>
    <row r="6198">
      <c r="A6198" s="4">
        <v>740.0</v>
      </c>
      <c r="B6198" s="4" t="s">
        <v>13990</v>
      </c>
      <c r="C6198" s="4"/>
      <c r="D6198" s="4" t="s">
        <v>13694</v>
      </c>
      <c r="E6198" s="4" t="s">
        <v>11295</v>
      </c>
      <c r="F6198" s="4" t="s">
        <v>11294</v>
      </c>
      <c r="G6198" s="5" t="str">
        <f>IFERROR(__xludf.DUMMYFUNCTION("GOOGLETRANSLATE(D6198,""fr"",""es"")"),"preocuparse")</f>
        <v>preocuparse</v>
      </c>
      <c r="H6198" s="4" t="s">
        <v>795</v>
      </c>
      <c r="I6198" s="4" t="s">
        <v>1649</v>
      </c>
      <c r="J6198" s="4" t="s">
        <v>13695</v>
      </c>
      <c r="K6198" s="4" t="s">
        <v>795</v>
      </c>
      <c r="L6198" s="4" t="s">
        <v>13696</v>
      </c>
      <c r="M6198" s="4" t="s">
        <v>13697</v>
      </c>
      <c r="N6198" s="4" t="s">
        <v>13698</v>
      </c>
      <c r="O6198" s="4" t="s">
        <v>795</v>
      </c>
      <c r="P6198" s="4" t="s">
        <v>12767</v>
      </c>
      <c r="Q6198" s="4" t="s">
        <v>13699</v>
      </c>
      <c r="R6198" s="4" t="s">
        <v>13700</v>
      </c>
      <c r="S6198" s="4" t="s">
        <v>13701</v>
      </c>
      <c r="T6198" s="4" t="s">
        <v>13702</v>
      </c>
      <c r="U6198" s="4" t="s">
        <v>13703</v>
      </c>
    </row>
    <row r="6199">
      <c r="A6199" s="4">
        <v>741.0</v>
      </c>
      <c r="B6199" s="4" t="s">
        <v>13990</v>
      </c>
      <c r="C6199" s="4"/>
      <c r="D6199" s="4" t="s">
        <v>13704</v>
      </c>
      <c r="E6199" s="4" t="s">
        <v>4222</v>
      </c>
      <c r="F6199" s="4" t="s">
        <v>4223</v>
      </c>
      <c r="G6199" s="5" t="str">
        <f>IFERROR(__xludf.DUMMYFUNCTION("GOOGLETRANSLATE(D6199,""fr"",""es"")"),"platillo")</f>
        <v>platillo</v>
      </c>
      <c r="H6199" s="4" t="s">
        <v>13705</v>
      </c>
      <c r="I6199" s="4" t="s">
        <v>13706</v>
      </c>
      <c r="J6199" s="4" t="s">
        <v>10723</v>
      </c>
      <c r="K6199" s="4" t="s">
        <v>13707</v>
      </c>
      <c r="L6199" s="4" t="s">
        <v>13708</v>
      </c>
      <c r="M6199" s="4" t="s">
        <v>13706</v>
      </c>
      <c r="N6199" s="4" t="s">
        <v>13706</v>
      </c>
      <c r="O6199" s="4" t="s">
        <v>13709</v>
      </c>
      <c r="P6199" s="4" t="s">
        <v>13710</v>
      </c>
      <c r="Q6199" s="4" t="s">
        <v>13706</v>
      </c>
    </row>
    <row r="6200">
      <c r="A6200" s="4">
        <v>742.0</v>
      </c>
      <c r="B6200" s="4" t="s">
        <v>13990</v>
      </c>
      <c r="C6200" s="4"/>
      <c r="D6200" s="4" t="s">
        <v>13711</v>
      </c>
      <c r="E6200" s="4" t="s">
        <v>13712</v>
      </c>
      <c r="F6200" s="4" t="s">
        <v>13713</v>
      </c>
      <c r="G6200" s="5" t="str">
        <f>IFERROR(__xludf.DUMMYFUNCTION("GOOGLETRANSLATE(D6200,""fr"",""es"")"),"desfiladero")</f>
        <v>desfiladero</v>
      </c>
    </row>
    <row r="6201">
      <c r="A6201" s="4">
        <v>743.0</v>
      </c>
      <c r="B6201" s="4" t="s">
        <v>13990</v>
      </c>
      <c r="C6201" s="4"/>
      <c r="D6201" s="4" t="s">
        <v>13714</v>
      </c>
      <c r="E6201" s="4" t="s">
        <v>4109</v>
      </c>
      <c r="F6201" s="4" t="s">
        <v>415</v>
      </c>
      <c r="G6201" s="5" t="str">
        <f>IFERROR(__xludf.DUMMYFUNCTION("GOOGLETRANSLATE(D6201,""fr"",""es"")"),"alero")</f>
        <v>alero</v>
      </c>
    </row>
    <row r="6202">
      <c r="A6202" s="4">
        <v>744.0</v>
      </c>
      <c r="B6202" s="4" t="s">
        <v>13990</v>
      </c>
      <c r="C6202" s="4"/>
      <c r="D6202" s="4" t="s">
        <v>13715</v>
      </c>
      <c r="E6202" s="4" t="s">
        <v>13716</v>
      </c>
      <c r="F6202" s="4" t="s">
        <v>13717</v>
      </c>
      <c r="G6202" s="5" t="str">
        <f>IFERROR(__xludf.DUMMYFUNCTION("GOOGLETRANSLATE(D6202,""fr"",""es"")"),"alma")</f>
        <v>alma</v>
      </c>
    </row>
    <row r="6203">
      <c r="A6203" s="4">
        <v>745.0</v>
      </c>
      <c r="B6203" s="4" t="s">
        <v>13990</v>
      </c>
      <c r="C6203" s="4"/>
      <c r="D6203" s="4" t="s">
        <v>1850</v>
      </c>
      <c r="E6203" s="4" t="s">
        <v>8716</v>
      </c>
      <c r="F6203" s="4" t="s">
        <v>8717</v>
      </c>
      <c r="G6203" s="5" t="str">
        <f>IFERROR(__xludf.DUMMYFUNCTION("GOOGLETRANSLATE(D6203,""fr"",""es"")"),"ebrio")</f>
        <v>ebrio</v>
      </c>
    </row>
    <row r="6204">
      <c r="A6204" s="4">
        <v>746.0</v>
      </c>
      <c r="B6204" s="4" t="s">
        <v>13990</v>
      </c>
      <c r="C6204" s="4"/>
      <c r="D6204" s="4" t="s">
        <v>1850</v>
      </c>
      <c r="E6204" s="4" t="s">
        <v>13597</v>
      </c>
      <c r="F6204" s="4" t="s">
        <v>13598</v>
      </c>
      <c r="G6204" s="5" t="str">
        <f>IFERROR(__xludf.DUMMYFUNCTION("GOOGLETRANSLATE(D6204,""fr"",""es"")"),"ebrio")</f>
        <v>ebrio</v>
      </c>
    </row>
    <row r="6205">
      <c r="A6205" s="4">
        <v>747.0</v>
      </c>
      <c r="B6205" s="4" t="s">
        <v>13990</v>
      </c>
      <c r="C6205" s="4"/>
      <c r="D6205" s="4" t="s">
        <v>13718</v>
      </c>
      <c r="E6205" s="4" t="s">
        <v>13719</v>
      </c>
      <c r="F6205" s="4" t="s">
        <v>13720</v>
      </c>
      <c r="G6205" s="5" t="str">
        <f>IFERROR(__xludf.DUMMYFUNCTION("GOOGLETRANSLATE(D6205,""fr"",""es"")"),"presentada")</f>
        <v>presentada</v>
      </c>
    </row>
    <row r="6206">
      <c r="A6206" s="4">
        <v>748.0</v>
      </c>
      <c r="B6206" s="4" t="s">
        <v>13990</v>
      </c>
      <c r="C6206" s="4"/>
      <c r="D6206" s="4" t="s">
        <v>13721</v>
      </c>
      <c r="E6206" s="4" t="s">
        <v>4097</v>
      </c>
      <c r="F6206" s="4" t="s">
        <v>4098</v>
      </c>
      <c r="G6206" s="5" t="str">
        <f>IFERROR(__xludf.DUMMYFUNCTION("GOOGLETRANSLATE(D6206,""fr"",""es"")"),"Sopa")</f>
        <v>Sopa</v>
      </c>
    </row>
    <row r="6207">
      <c r="A6207" s="4">
        <v>749.0</v>
      </c>
      <c r="B6207" s="4" t="s">
        <v>13990</v>
      </c>
      <c r="C6207" s="4"/>
      <c r="D6207" s="4" t="s">
        <v>13722</v>
      </c>
      <c r="E6207" s="4" t="s">
        <v>13723</v>
      </c>
      <c r="F6207" s="4" t="s">
        <v>13724</v>
      </c>
      <c r="G6207" s="5" t="str">
        <f>IFERROR(__xludf.DUMMYFUNCTION("GOOGLETRANSLATE(D6207,""fr"",""es"")"),"válvula")</f>
        <v>válvula</v>
      </c>
      <c r="H6207" s="4" t="s">
        <v>13725</v>
      </c>
      <c r="I6207" s="4" t="s">
        <v>13726</v>
      </c>
      <c r="J6207" s="4" t="s">
        <v>13727</v>
      </c>
      <c r="K6207" s="4" t="s">
        <v>13727</v>
      </c>
      <c r="L6207" s="4" t="s">
        <v>13727</v>
      </c>
    </row>
    <row r="6208">
      <c r="A6208" s="4">
        <v>750.0</v>
      </c>
      <c r="B6208" s="4" t="s">
        <v>13990</v>
      </c>
      <c r="C6208" s="4"/>
      <c r="D6208" s="4" t="s">
        <v>13728</v>
      </c>
      <c r="E6208" s="4" t="s">
        <v>13723</v>
      </c>
      <c r="F6208" s="4" t="s">
        <v>13724</v>
      </c>
      <c r="G6208" s="5" t="str">
        <f>IFERROR(__xludf.DUMMYFUNCTION("GOOGLETRANSLATE(D6208,""fr"",""es"")"),"válvulas")</f>
        <v>válvulas</v>
      </c>
    </row>
    <row r="6209">
      <c r="A6209" s="4">
        <v>751.0</v>
      </c>
      <c r="B6209" s="4" t="s">
        <v>13990</v>
      </c>
      <c r="C6209" s="4"/>
      <c r="D6209" s="4" t="s">
        <v>13729</v>
      </c>
      <c r="E6209" s="4" t="s">
        <v>13730</v>
      </c>
      <c r="F6209" s="4" t="s">
        <v>4098</v>
      </c>
      <c r="G6209" s="5" t="str">
        <f>IFERROR(__xludf.DUMMYFUNCTION("GOOGLETRANSLATE(D6209,""fr"",""es"")"),"Subsey")</f>
        <v>Subsey</v>
      </c>
    </row>
    <row r="6210">
      <c r="A6210" s="4">
        <v>752.0</v>
      </c>
      <c r="B6210" s="4" t="s">
        <v>13990</v>
      </c>
      <c r="C6210" s="4"/>
      <c r="D6210" s="4" t="s">
        <v>13731</v>
      </c>
      <c r="E6210" s="4" t="s">
        <v>13732</v>
      </c>
      <c r="F6210" s="4" t="s">
        <v>13733</v>
      </c>
      <c r="G6210" s="5" t="str">
        <f>IFERROR(__xludf.DUMMYFUNCTION("GOOGLETRANSLATE(D6210,""fr"",""es"")"),"válvula")</f>
        <v>válvula</v>
      </c>
    </row>
    <row r="6211">
      <c r="A6211" s="4">
        <v>753.0</v>
      </c>
      <c r="B6211" s="4" t="s">
        <v>13990</v>
      </c>
      <c r="C6211" s="4"/>
      <c r="D6211" s="4" t="s">
        <v>13734</v>
      </c>
      <c r="E6211" s="4" t="s">
        <v>13732</v>
      </c>
      <c r="F6211" s="4" t="s">
        <v>13733</v>
      </c>
      <c r="G6211" s="5" t="str">
        <f>IFERROR(__xludf.DUMMYFUNCTION("GOOGLETRANSLATE(D6211,""fr"",""es"")"),"Bajo flujo")</f>
        <v>Bajo flujo</v>
      </c>
    </row>
    <row r="6212">
      <c r="A6212" s="4">
        <v>754.0</v>
      </c>
      <c r="B6212" s="4" t="s">
        <v>13990</v>
      </c>
      <c r="C6212" s="4"/>
      <c r="D6212" s="4" t="s">
        <v>13735</v>
      </c>
      <c r="E6212" s="4" t="s">
        <v>13732</v>
      </c>
      <c r="F6212" s="4" t="s">
        <v>13733</v>
      </c>
      <c r="G6212" s="5" t="str">
        <f>IFERROR(__xludf.DUMMYFUNCTION("GOOGLETRANSLATE(D6212,""fr"",""es"")"),"válvula")</f>
        <v>válvula</v>
      </c>
    </row>
    <row r="6213">
      <c r="A6213" s="4">
        <v>755.0</v>
      </c>
      <c r="B6213" s="4" t="s">
        <v>13990</v>
      </c>
      <c r="C6213" s="4"/>
      <c r="D6213" s="4" t="s">
        <v>13736</v>
      </c>
      <c r="E6213" s="4" t="s">
        <v>8793</v>
      </c>
      <c r="F6213" s="4" t="s">
        <v>8794</v>
      </c>
      <c r="G6213" s="5" t="str">
        <f>IFERROR(__xludf.DUMMYFUNCTION("GOOGLETRANSLATE(D6213,""fr"",""es"")"),"sopa")</f>
        <v>sopa</v>
      </c>
      <c r="H6213" s="4" t="s">
        <v>8792</v>
      </c>
      <c r="I6213" s="4" t="s">
        <v>8792</v>
      </c>
      <c r="J6213" s="4" t="s">
        <v>8792</v>
      </c>
      <c r="K6213" s="4" t="s">
        <v>8792</v>
      </c>
    </row>
    <row r="6214">
      <c r="A6214" s="4">
        <v>756.0</v>
      </c>
      <c r="B6214" s="4" t="s">
        <v>13990</v>
      </c>
      <c r="C6214" s="4"/>
      <c r="D6214" s="4" t="s">
        <v>13737</v>
      </c>
      <c r="E6214" s="4" t="s">
        <v>8793</v>
      </c>
      <c r="F6214" s="4" t="s">
        <v>8794</v>
      </c>
      <c r="G6214" s="5" t="str">
        <f>IFERROR(__xludf.DUMMYFUNCTION("GOOGLETRANSLATE(D6214,""fr"",""es"")"),"sopa")</f>
        <v>sopa</v>
      </c>
    </row>
    <row r="6215">
      <c r="A6215" s="4">
        <v>757.0</v>
      </c>
      <c r="B6215" s="4" t="s">
        <v>13990</v>
      </c>
      <c r="C6215" s="4"/>
      <c r="D6215" s="4" t="s">
        <v>13738</v>
      </c>
      <c r="E6215" s="4" t="s">
        <v>13739</v>
      </c>
      <c r="F6215" s="4" t="s">
        <v>13740</v>
      </c>
      <c r="G6215" s="5" t="str">
        <f>IFERROR(__xludf.DUMMYFUNCTION("GOOGLETRANSLATE(D6215,""fr"",""es"")"),"sopa")</f>
        <v>sopa</v>
      </c>
    </row>
    <row r="6216">
      <c r="A6216" s="4">
        <v>758.0</v>
      </c>
      <c r="B6216" s="4" t="s">
        <v>13990</v>
      </c>
      <c r="C6216" s="4"/>
      <c r="D6216" s="4" t="s">
        <v>13741</v>
      </c>
      <c r="E6216" s="4" t="s">
        <v>13730</v>
      </c>
      <c r="F6216" s="4" t="s">
        <v>4098</v>
      </c>
      <c r="G6216" s="5" t="str">
        <f>IFERROR(__xludf.DUMMYFUNCTION("GOOGLETRANSLATE(D6216,""fr"",""es"")"),"sopa")</f>
        <v>sopa</v>
      </c>
    </row>
    <row r="6217">
      <c r="A6217" s="4">
        <v>759.0</v>
      </c>
      <c r="B6217" s="4" t="s">
        <v>13990</v>
      </c>
      <c r="C6217" s="4"/>
      <c r="D6217" s="4" t="s">
        <v>13742</v>
      </c>
      <c r="E6217" s="4" t="s">
        <v>8716</v>
      </c>
      <c r="F6217" s="4" t="s">
        <v>8717</v>
      </c>
      <c r="G6217" s="5" t="str">
        <f>IFERROR(__xludf.DUMMYFUNCTION("GOOGLETRANSLATE(D6217,""fr"",""es"")"),"por debajo")</f>
        <v>por debajo</v>
      </c>
    </row>
    <row r="6218">
      <c r="A6218" s="4">
        <v>760.0</v>
      </c>
      <c r="B6218" s="4" t="s">
        <v>13990</v>
      </c>
      <c r="C6218" s="4"/>
      <c r="D6218" s="4" t="s">
        <v>13743</v>
      </c>
      <c r="E6218" s="4" t="s">
        <v>13744</v>
      </c>
      <c r="F6218" s="4" t="s">
        <v>13745</v>
      </c>
      <c r="G6218" s="5" t="str">
        <f>IFERROR(__xludf.DUMMYFUNCTION("GOOGLETRANSLATE(D6218,""fr"",""es"")"),"sotana")</f>
        <v>sotana</v>
      </c>
      <c r="H6218" s="4" t="s">
        <v>13746</v>
      </c>
      <c r="I6218" s="4" t="s">
        <v>13743</v>
      </c>
    </row>
    <row r="6219">
      <c r="A6219" s="4">
        <v>761.0</v>
      </c>
      <c r="B6219" s="4" t="s">
        <v>13990</v>
      </c>
      <c r="C6219" s="4"/>
      <c r="D6219" s="4" t="s">
        <v>13747</v>
      </c>
      <c r="E6219" s="4" t="s">
        <v>8716</v>
      </c>
      <c r="F6219" s="4" t="s">
        <v>8717</v>
      </c>
      <c r="G6219" s="5" t="str">
        <f>IFERROR(__xludf.DUMMYFUNCTION("GOOGLETRANSLATE(D6219,""fr"",""es"")"),"ebrio")</f>
        <v>ebrio</v>
      </c>
    </row>
    <row r="6220">
      <c r="A6220" s="4">
        <v>762.0</v>
      </c>
      <c r="B6220" s="4" t="s">
        <v>13990</v>
      </c>
      <c r="C6220" s="4"/>
      <c r="D6220" s="4" t="s">
        <v>13748</v>
      </c>
      <c r="E6220" s="4" t="s">
        <v>13749</v>
      </c>
      <c r="F6220" s="4" t="s">
        <v>7596</v>
      </c>
      <c r="G6220" s="5" t="str">
        <f>IFERROR(__xludf.DUMMYFUNCTION("GOOGLETRANSLATE(D6220,""fr"",""es"")"),"Syli")</f>
        <v>Syli</v>
      </c>
    </row>
    <row r="6221">
      <c r="A6221" s="4">
        <v>763.0</v>
      </c>
      <c r="B6221" s="4" t="s">
        <v>13990</v>
      </c>
      <c r="C6221" s="4"/>
      <c r="D6221" s="4" t="s">
        <v>11522</v>
      </c>
      <c r="E6221" s="4" t="s">
        <v>13750</v>
      </c>
      <c r="F6221" s="4" t="s">
        <v>11522</v>
      </c>
      <c r="G6221" s="5" t="str">
        <f>IFERROR(__xludf.DUMMYFUNCTION("GOOGLETRANSLATE(D6221,""fr"",""es"")"),"su")</f>
        <v>su</v>
      </c>
      <c r="H6221" s="4" t="s">
        <v>7774</v>
      </c>
      <c r="I6221" s="4" t="s">
        <v>7775</v>
      </c>
      <c r="J6221" s="4" t="s">
        <v>7776</v>
      </c>
      <c r="K6221" s="4" t="s">
        <v>7774</v>
      </c>
      <c r="L6221" s="4" t="s">
        <v>7775</v>
      </c>
      <c r="M6221" s="4" t="s">
        <v>7776</v>
      </c>
    </row>
    <row r="6222">
      <c r="A6222" s="4">
        <v>764.0</v>
      </c>
      <c r="B6222" s="4" t="s">
        <v>13990</v>
      </c>
      <c r="C6222" s="4"/>
      <c r="D6222" s="4" t="s">
        <v>7662</v>
      </c>
      <c r="E6222" s="4" t="s">
        <v>4857</v>
      </c>
      <c r="F6222" s="4" t="s">
        <v>4856</v>
      </c>
      <c r="G6222" s="5" t="str">
        <f>IFERROR(__xludf.DUMMYFUNCTION("GOOGLETRANSLATE(D6222,""fr"",""es"")"),"TAC")</f>
        <v>TAC</v>
      </c>
    </row>
    <row r="6223">
      <c r="A6223" s="4">
        <v>765.0</v>
      </c>
      <c r="B6223" s="4" t="s">
        <v>13990</v>
      </c>
      <c r="C6223" s="4"/>
      <c r="D6223" s="4" t="s">
        <v>8796</v>
      </c>
      <c r="E6223" s="4" t="s">
        <v>13751</v>
      </c>
      <c r="F6223" s="4" t="s">
        <v>8798</v>
      </c>
      <c r="G6223" s="5" t="str">
        <f>IFERROR(__xludf.DUMMYFUNCTION("GOOGLETRANSLATE(D6223,""fr"",""es"")"),"Mancha")</f>
        <v>Mancha</v>
      </c>
      <c r="H6223" s="4" t="s">
        <v>2865</v>
      </c>
      <c r="I6223" s="4" t="s">
        <v>2866</v>
      </c>
      <c r="J6223" s="4" t="s">
        <v>2867</v>
      </c>
      <c r="K6223" s="4" t="s">
        <v>2298</v>
      </c>
      <c r="L6223" s="4" t="s">
        <v>2868</v>
      </c>
      <c r="M6223" s="4" t="s">
        <v>13752</v>
      </c>
      <c r="N6223" s="4" t="s">
        <v>13753</v>
      </c>
      <c r="O6223" s="4" t="s">
        <v>2298</v>
      </c>
      <c r="P6223" s="4" t="s">
        <v>2605</v>
      </c>
      <c r="Q6223" s="4" t="s">
        <v>4246</v>
      </c>
      <c r="R6223" s="4" t="s">
        <v>2865</v>
      </c>
      <c r="S6223" s="4" t="s">
        <v>2298</v>
      </c>
      <c r="T6223" s="4" t="s">
        <v>4227</v>
      </c>
      <c r="U6223" s="4" t="s">
        <v>4228</v>
      </c>
      <c r="V6223" s="4" t="s">
        <v>4229</v>
      </c>
      <c r="W6223" s="4" t="s">
        <v>2605</v>
      </c>
      <c r="X6223" s="4" t="s">
        <v>4230</v>
      </c>
      <c r="Y6223" s="4" t="s">
        <v>4275</v>
      </c>
      <c r="Z6223" s="4" t="s">
        <v>4082</v>
      </c>
      <c r="AA6223" s="4" t="s">
        <v>4276</v>
      </c>
      <c r="AB6223" s="4" t="s">
        <v>4277</v>
      </c>
      <c r="AC6223" s="4" t="s">
        <v>4231</v>
      </c>
      <c r="AD6223" s="4" t="s">
        <v>2298</v>
      </c>
      <c r="AE6223" s="4" t="s">
        <v>2865</v>
      </c>
      <c r="AF6223" s="4" t="s">
        <v>4232</v>
      </c>
      <c r="AG6223" s="4" t="s">
        <v>2866</v>
      </c>
      <c r="AH6223" s="4" t="s">
        <v>2867</v>
      </c>
      <c r="AI6223" s="4" t="s">
        <v>4233</v>
      </c>
      <c r="AJ6223" s="4" t="s">
        <v>13754</v>
      </c>
      <c r="AK6223" s="4" t="s">
        <v>13755</v>
      </c>
      <c r="AL6223" s="4" t="s">
        <v>13756</v>
      </c>
      <c r="AM6223" s="4" t="s">
        <v>13757</v>
      </c>
      <c r="AN6223" s="4" t="s">
        <v>4237</v>
      </c>
      <c r="AO6223" s="4" t="s">
        <v>3008</v>
      </c>
      <c r="AP6223" s="4" t="s">
        <v>4234</v>
      </c>
      <c r="AQ6223" s="4" t="s">
        <v>4235</v>
      </c>
      <c r="AR6223" s="4" t="s">
        <v>2868</v>
      </c>
      <c r="AS6223" s="4" t="s">
        <v>13758</v>
      </c>
      <c r="AT6223" s="4" t="s">
        <v>4056</v>
      </c>
      <c r="AU6223" s="4" t="s">
        <v>13683</v>
      </c>
      <c r="AV6223" s="4" t="s">
        <v>10300</v>
      </c>
      <c r="AW6223" s="4" t="s">
        <v>4050</v>
      </c>
      <c r="AX6223" s="4" t="s">
        <v>4048</v>
      </c>
      <c r="AY6223" s="4" t="s">
        <v>2868</v>
      </c>
      <c r="AZ6223" s="4" t="s">
        <v>13759</v>
      </c>
      <c r="BA6223" s="4" t="s">
        <v>13760</v>
      </c>
      <c r="BB6223" s="4" t="s">
        <v>2868</v>
      </c>
    </row>
    <row r="6224">
      <c r="A6224" s="4">
        <v>766.0</v>
      </c>
      <c r="B6224" s="4" t="s">
        <v>13990</v>
      </c>
      <c r="C6224" s="4"/>
      <c r="D6224" s="4" t="s">
        <v>13761</v>
      </c>
      <c r="E6224" s="4" t="s">
        <v>13762</v>
      </c>
      <c r="F6224" s="4" t="s">
        <v>13763</v>
      </c>
      <c r="G6224" s="5" t="str">
        <f>IFERROR(__xludf.DUMMYFUNCTION("GOOGLETRANSLATE(D6224,""fr"",""es"")"),"tachina")</f>
        <v>tachina</v>
      </c>
    </row>
    <row r="6225">
      <c r="A6225" s="4">
        <v>767.0</v>
      </c>
      <c r="B6225" s="4" t="s">
        <v>13990</v>
      </c>
      <c r="C6225" s="4"/>
      <c r="D6225" s="4" t="s">
        <v>13764</v>
      </c>
      <c r="E6225" s="4" t="s">
        <v>13765</v>
      </c>
      <c r="F6225" s="4" t="s">
        <v>13766</v>
      </c>
      <c r="G6225" s="5" t="str">
        <f>IFERROR(__xludf.DUMMYFUNCTION("GOOGLETRANSLATE(D6225,""fr"",""es"")"),"tamaño")</f>
        <v>tamaño</v>
      </c>
      <c r="H6225" s="4" t="s">
        <v>1044</v>
      </c>
      <c r="I6225" s="4" t="s">
        <v>13767</v>
      </c>
      <c r="J6225" s="4" t="s">
        <v>13768</v>
      </c>
      <c r="K6225" s="4" t="s">
        <v>1409</v>
      </c>
      <c r="L6225" s="4" t="s">
        <v>13769</v>
      </c>
      <c r="M6225" s="4" t="s">
        <v>13769</v>
      </c>
      <c r="N6225" s="4" t="s">
        <v>13769</v>
      </c>
      <c r="O6225" s="4" t="s">
        <v>13770</v>
      </c>
      <c r="P6225" s="4" t="s">
        <v>13771</v>
      </c>
      <c r="Q6225" s="4" t="s">
        <v>13772</v>
      </c>
      <c r="R6225" s="4" t="s">
        <v>13767</v>
      </c>
      <c r="S6225" s="4" t="s">
        <v>13773</v>
      </c>
      <c r="T6225" s="4" t="s">
        <v>13769</v>
      </c>
      <c r="U6225" s="4" t="s">
        <v>13774</v>
      </c>
    </row>
    <row r="6226">
      <c r="A6226" s="4">
        <v>768.0</v>
      </c>
      <c r="B6226" s="4" t="s">
        <v>13990</v>
      </c>
      <c r="C6226" s="4"/>
      <c r="D6226" s="4" t="s">
        <v>13775</v>
      </c>
      <c r="E6226" s="4" t="s">
        <v>13776</v>
      </c>
      <c r="F6226" s="4" t="s">
        <v>13777</v>
      </c>
      <c r="G6226" s="5" t="str">
        <f>IFERROR(__xludf.DUMMYFUNCTION("GOOGLETRANSLATE(D6226,""fr"",""es"")"),"rayo")</f>
        <v>rayo</v>
      </c>
      <c r="H6226" s="4" t="s">
        <v>11298</v>
      </c>
      <c r="I6226" s="4" t="s">
        <v>12826</v>
      </c>
      <c r="J6226" s="4" t="s">
        <v>12827</v>
      </c>
      <c r="K6226" s="4" t="s">
        <v>12828</v>
      </c>
      <c r="L6226" s="4" t="s">
        <v>12829</v>
      </c>
    </row>
    <row r="6227">
      <c r="A6227" s="4">
        <v>769.0</v>
      </c>
      <c r="B6227" s="4" t="s">
        <v>13990</v>
      </c>
      <c r="C6227" s="4"/>
      <c r="D6227" s="4" t="s">
        <v>11141</v>
      </c>
      <c r="E6227" s="4" t="s">
        <v>4252</v>
      </c>
      <c r="F6227" s="4" t="s">
        <v>4251</v>
      </c>
      <c r="G6227" s="5" t="str">
        <f>IFERROR(__xludf.DUMMYFUNCTION("GOOGLETRANSLATE(D6227,""fr"",""es"")"),"cuento")</f>
        <v>cuento</v>
      </c>
    </row>
    <row r="6228">
      <c r="A6228" s="4">
        <v>770.0</v>
      </c>
      <c r="B6228" s="4" t="s">
        <v>13990</v>
      </c>
      <c r="C6228" s="4"/>
      <c r="D6228" s="4" t="s">
        <v>7707</v>
      </c>
      <c r="E6228" s="4" t="s">
        <v>13778</v>
      </c>
      <c r="F6228" s="4" t="s">
        <v>7709</v>
      </c>
      <c r="G6228" s="5" t="str">
        <f>IFERROR(__xludf.DUMMYFUNCTION("GOOGLETRANSLATE(D6228,""fr"",""es"")"),"tallinn")</f>
        <v>tallinn</v>
      </c>
      <c r="H6228" s="4" t="s">
        <v>7710</v>
      </c>
      <c r="I6228" s="4" t="s">
        <v>7711</v>
      </c>
      <c r="J6228" s="4" t="s">
        <v>7712</v>
      </c>
    </row>
    <row r="6229">
      <c r="A6229" s="4">
        <v>771.0</v>
      </c>
      <c r="B6229" s="4" t="s">
        <v>13990</v>
      </c>
      <c r="C6229" s="4"/>
      <c r="D6229" s="4" t="s">
        <v>13779</v>
      </c>
      <c r="E6229" s="4" t="s">
        <v>7733</v>
      </c>
      <c r="F6229" s="4" t="s">
        <v>7734</v>
      </c>
      <c r="G6229" s="5" t="str">
        <f>IFERROR(__xludf.DUMMYFUNCTION("GOOGLETRANSLATE(D6229,""fr"",""es"")"),"tamiz")</f>
        <v>tamiz</v>
      </c>
      <c r="H6229" s="4" t="s">
        <v>13780</v>
      </c>
      <c r="I6229" s="4" t="s">
        <v>13781</v>
      </c>
      <c r="J6229" s="4" t="s">
        <v>13781</v>
      </c>
      <c r="K6229" s="4" t="s">
        <v>13780</v>
      </c>
      <c r="L6229" s="4" t="s">
        <v>13692</v>
      </c>
      <c r="M6229" s="4" t="s">
        <v>13780</v>
      </c>
      <c r="N6229" s="4" t="s">
        <v>13781</v>
      </c>
      <c r="O6229" s="4" t="s">
        <v>11801</v>
      </c>
      <c r="P6229" s="4" t="s">
        <v>13782</v>
      </c>
      <c r="Q6229" s="4" t="s">
        <v>13780</v>
      </c>
      <c r="R6229" s="4" t="s">
        <v>4414</v>
      </c>
      <c r="S6229" s="4" t="s">
        <v>13780</v>
      </c>
      <c r="T6229" s="4" t="s">
        <v>11801</v>
      </c>
    </row>
    <row r="6230">
      <c r="A6230" s="4">
        <v>772.0</v>
      </c>
      <c r="B6230" s="4" t="s">
        <v>13990</v>
      </c>
      <c r="C6230" s="4"/>
      <c r="D6230" s="4" t="s">
        <v>13783</v>
      </c>
      <c r="E6230" s="4" t="s">
        <v>13784</v>
      </c>
      <c r="F6230" s="4" t="s">
        <v>13785</v>
      </c>
      <c r="G6230" s="5" t="str">
        <f>IFERROR(__xludf.DUMMYFUNCTION("GOOGLETRANSLATE(D6230,""fr"",""es"")"),"Tamil")</f>
        <v>Tamil</v>
      </c>
      <c r="H6230" s="4" t="s">
        <v>7731</v>
      </c>
      <c r="I6230" s="4" t="s">
        <v>7731</v>
      </c>
      <c r="J6230" s="4" t="s">
        <v>7731</v>
      </c>
      <c r="K6230" s="4" t="s">
        <v>7731</v>
      </c>
    </row>
    <row r="6231">
      <c r="A6231" s="4">
        <v>773.0</v>
      </c>
      <c r="B6231" s="4" t="s">
        <v>13990</v>
      </c>
      <c r="C6231" s="4"/>
      <c r="D6231" s="4" t="s">
        <v>13786</v>
      </c>
      <c r="E6231" s="4" t="s">
        <v>13787</v>
      </c>
      <c r="F6231" s="4" t="s">
        <v>13786</v>
      </c>
      <c r="G6231" s="5" t="str">
        <f>IFERROR(__xludf.DUMMYFUNCTION("GOOGLETRANSLATE(D6231,""fr"",""es"")"),"tana")</f>
        <v>tana</v>
      </c>
    </row>
    <row r="6232">
      <c r="A6232" s="4">
        <v>774.0</v>
      </c>
      <c r="B6232" s="4" t="s">
        <v>13990</v>
      </c>
      <c r="C6232" s="4"/>
      <c r="D6232" s="4" t="s">
        <v>13788</v>
      </c>
      <c r="E6232" s="4" t="s">
        <v>13787</v>
      </c>
      <c r="F6232" s="4" t="s">
        <v>13786</v>
      </c>
      <c r="G6232" s="5" t="str">
        <f>IFERROR(__xludf.DUMMYFUNCTION("GOOGLETRANSLATE(D6232,""fr"",""es"")"),"tanna")</f>
        <v>tanna</v>
      </c>
    </row>
    <row r="6233">
      <c r="A6233" s="4">
        <v>775.0</v>
      </c>
      <c r="B6233" s="4" t="s">
        <v>13990</v>
      </c>
      <c r="C6233" s="4"/>
      <c r="D6233" s="4" t="s">
        <v>13789</v>
      </c>
      <c r="E6233" s="4" t="s">
        <v>13790</v>
      </c>
      <c r="F6233" s="4" t="s">
        <v>13786</v>
      </c>
      <c r="G6233" s="5" t="str">
        <f>IFERROR(__xludf.DUMMYFUNCTION("GOOGLETRANSLATE(D6233,""fr"",""es"")"),"Tannas")</f>
        <v>Tannas</v>
      </c>
    </row>
    <row r="6234">
      <c r="A6234" s="4">
        <v>776.0</v>
      </c>
      <c r="B6234" s="4" t="s">
        <v>13990</v>
      </c>
      <c r="C6234" s="4"/>
      <c r="D6234" s="4" t="s">
        <v>13791</v>
      </c>
      <c r="E6234" s="4" t="s">
        <v>13792</v>
      </c>
      <c r="F6234" s="4" t="s">
        <v>13793</v>
      </c>
      <c r="G6234" s="5" t="str">
        <f>IFERROR(__xludf.DUMMYFUNCTION("GOOGLETRANSLATE(D6234,""fr"",""es"")"),"Tannasse")</f>
        <v>Tannasse</v>
      </c>
    </row>
    <row r="6235">
      <c r="A6235" s="4">
        <v>777.0</v>
      </c>
      <c r="B6235" s="4" t="s">
        <v>13990</v>
      </c>
      <c r="C6235" s="4"/>
      <c r="D6235" s="4" t="s">
        <v>13794</v>
      </c>
      <c r="E6235" s="4" t="s">
        <v>13792</v>
      </c>
      <c r="F6235" s="4" t="s">
        <v>13793</v>
      </c>
      <c r="G6235" s="5" t="str">
        <f>IFERROR(__xludf.DUMMYFUNCTION("GOOGLETRANSLATE(D6235,""fr"",""es"")"),"broncearse")</f>
        <v>broncearse</v>
      </c>
    </row>
    <row r="6236">
      <c r="A6236" s="4">
        <v>778.0</v>
      </c>
      <c r="B6236" s="4" t="s">
        <v>13990</v>
      </c>
      <c r="C6236" s="4"/>
      <c r="D6236" s="4" t="s">
        <v>13795</v>
      </c>
      <c r="E6236" s="4" t="s">
        <v>13792</v>
      </c>
      <c r="F6236" s="4" t="s">
        <v>13793</v>
      </c>
      <c r="G6236" s="5" t="str">
        <f>IFERROR(__xludf.DUMMYFUNCTION("GOOGLETRANSLATE(D6236,""fr"",""es"")"),"Tannasse")</f>
        <v>Tannasse</v>
      </c>
    </row>
    <row r="6237">
      <c r="A6237" s="4">
        <v>779.0</v>
      </c>
      <c r="B6237" s="4" t="s">
        <v>13990</v>
      </c>
      <c r="C6237" s="4"/>
      <c r="D6237" s="4" t="s">
        <v>13796</v>
      </c>
      <c r="E6237" s="4" t="s">
        <v>4311</v>
      </c>
      <c r="F6237" s="4" t="s">
        <v>4310</v>
      </c>
      <c r="G6237" s="5" t="str">
        <f>IFERROR(__xludf.DUMMYFUNCTION("GOOGLETRANSLATE(D6237,""fr"",""es"")"),"bronceado")</f>
        <v>bronceado</v>
      </c>
    </row>
    <row r="6238">
      <c r="A6238" s="4">
        <v>780.0</v>
      </c>
      <c r="B6238" s="4" t="s">
        <v>13990</v>
      </c>
      <c r="C6238" s="4"/>
      <c r="D6238" s="4" t="s">
        <v>13797</v>
      </c>
      <c r="E6238" s="4" t="s">
        <v>4311</v>
      </c>
      <c r="F6238" s="4" t="s">
        <v>4310</v>
      </c>
      <c r="G6238" s="5" t="str">
        <f>IFERROR(__xludf.DUMMYFUNCTION("GOOGLETRANSLATE(D6238,""fr"",""es"")"),"apretar")</f>
        <v>apretar</v>
      </c>
    </row>
    <row r="6239">
      <c r="A6239" s="4">
        <v>781.0</v>
      </c>
      <c r="B6239" s="4" t="s">
        <v>13990</v>
      </c>
      <c r="C6239" s="4"/>
      <c r="D6239" s="4" t="s">
        <v>13798</v>
      </c>
      <c r="E6239" s="4" t="s">
        <v>4311</v>
      </c>
      <c r="F6239" s="4" t="s">
        <v>4310</v>
      </c>
      <c r="G6239" s="5" t="str">
        <f>IFERROR(__xludf.DUMMYFUNCTION("GOOGLETRANSLATE(D6239,""fr"",""es"")"),"broncearse")</f>
        <v>broncearse</v>
      </c>
    </row>
    <row r="6240">
      <c r="A6240" s="4">
        <v>782.0</v>
      </c>
      <c r="B6240" s="4" t="s">
        <v>13990</v>
      </c>
      <c r="C6240" s="4"/>
      <c r="D6240" s="4" t="s">
        <v>13799</v>
      </c>
      <c r="E6240" s="4" t="s">
        <v>13800</v>
      </c>
      <c r="F6240" s="4" t="s">
        <v>13801</v>
      </c>
      <c r="G6240" s="5" t="str">
        <f>IFERROR(__xludf.DUMMYFUNCTION("GOOGLETRANSLATE(D6240,""fr"",""es"")"),"tannâmes")</f>
        <v>tannâmes</v>
      </c>
    </row>
    <row r="6241">
      <c r="A6241" s="4">
        <v>783.0</v>
      </c>
      <c r="B6241" s="4" t="s">
        <v>13990</v>
      </c>
      <c r="C6241" s="4"/>
      <c r="D6241" s="4" t="s">
        <v>13802</v>
      </c>
      <c r="E6241" s="4" t="s">
        <v>13790</v>
      </c>
      <c r="F6241" s="4" t="s">
        <v>13786</v>
      </c>
      <c r="G6241" s="5" t="str">
        <f>IFERROR(__xludf.DUMMYFUNCTION("GOOGLETRANSLATE(D6241,""fr"",""es"")"),"tannât")</f>
        <v>tannât</v>
      </c>
    </row>
    <row r="6242">
      <c r="A6242" s="4">
        <v>784.0</v>
      </c>
      <c r="B6242" s="4" t="s">
        <v>13990</v>
      </c>
      <c r="C6242" s="4"/>
      <c r="D6242" s="4" t="s">
        <v>13803</v>
      </c>
      <c r="E6242" s="4" t="s">
        <v>4322</v>
      </c>
      <c r="F6242" s="4" t="s">
        <v>4321</v>
      </c>
      <c r="G6242" s="5" t="str">
        <f>IFERROR(__xludf.DUMMYFUNCTION("GOOGLETRANSLATE(D6242,""fr"",""es"")"),"cinta")</f>
        <v>cinta</v>
      </c>
    </row>
    <row r="6243">
      <c r="A6243" s="4">
        <v>785.0</v>
      </c>
      <c r="B6243" s="4" t="s">
        <v>13990</v>
      </c>
      <c r="C6243" s="4"/>
      <c r="D6243" s="4" t="s">
        <v>13804</v>
      </c>
      <c r="E6243" s="4" t="s">
        <v>13805</v>
      </c>
      <c r="F6243" s="4" t="s">
        <v>13804</v>
      </c>
      <c r="G6243" s="5" t="str">
        <f>IFERROR(__xludf.DUMMYFUNCTION("GOOGLETRANSLATE(D6243,""fr"",""es"")"),"tapi")</f>
        <v>tapi</v>
      </c>
    </row>
    <row r="6244">
      <c r="A6244" s="4">
        <v>786.0</v>
      </c>
      <c r="B6244" s="4" t="s">
        <v>13990</v>
      </c>
      <c r="C6244" s="4"/>
      <c r="D6244" s="4" t="s">
        <v>4351</v>
      </c>
      <c r="E6244" s="4" t="s">
        <v>13805</v>
      </c>
      <c r="F6244" s="4" t="s">
        <v>13804</v>
      </c>
      <c r="G6244" s="5" t="str">
        <f>IFERROR(__xludf.DUMMYFUNCTION("GOOGLETRANSLATE(D6244,""fr"",""es"")"),"alfombra")</f>
        <v>alfombra</v>
      </c>
      <c r="H6244" s="4" t="s">
        <v>5648</v>
      </c>
      <c r="I6244" s="4" t="s">
        <v>5648</v>
      </c>
      <c r="J6244" s="4" t="s">
        <v>5648</v>
      </c>
      <c r="K6244" s="4" t="s">
        <v>5647</v>
      </c>
      <c r="L6244" s="4" t="s">
        <v>5648</v>
      </c>
      <c r="M6244" s="4" t="s">
        <v>5649</v>
      </c>
    </row>
    <row r="6245">
      <c r="A6245" s="4">
        <v>787.0</v>
      </c>
      <c r="B6245" s="4" t="s">
        <v>13990</v>
      </c>
      <c r="C6245" s="4"/>
      <c r="D6245" s="4" t="s">
        <v>13806</v>
      </c>
      <c r="E6245" s="4" t="s">
        <v>4350</v>
      </c>
      <c r="F6245" s="4" t="s">
        <v>4351</v>
      </c>
      <c r="G6245" s="5" t="str">
        <f>IFERROR(__xludf.DUMMYFUNCTION("GOOGLETRANSLATE(D6245,""fr"",""es"")"),"tapizado")</f>
        <v>tapizado</v>
      </c>
    </row>
    <row r="6246">
      <c r="A6246" s="4">
        <v>788.0</v>
      </c>
      <c r="B6246" s="4" t="s">
        <v>13990</v>
      </c>
      <c r="C6246" s="4"/>
      <c r="D6246" s="4" t="s">
        <v>13807</v>
      </c>
      <c r="E6246" s="4" t="s">
        <v>4350</v>
      </c>
      <c r="F6246" s="4" t="s">
        <v>4351</v>
      </c>
      <c r="G6246" s="5" t="str">
        <f>IFERROR(__xludf.DUMMYFUNCTION("GOOGLETRANSLATE(D6246,""fr"",""es"")"),"lide")</f>
        <v>lide</v>
      </c>
    </row>
    <row r="6247">
      <c r="A6247" s="4">
        <v>789.0</v>
      </c>
      <c r="B6247" s="4" t="s">
        <v>13990</v>
      </c>
      <c r="C6247" s="4"/>
      <c r="D6247" s="4" t="s">
        <v>13808</v>
      </c>
      <c r="E6247" s="4" t="s">
        <v>4350</v>
      </c>
      <c r="F6247" s="4" t="s">
        <v>4351</v>
      </c>
      <c r="G6247" s="5" t="str">
        <f>IFERROR(__xludf.DUMMYFUNCTION("GOOGLETRANSLATE(D6247,""fr"",""es"")"),"tocar")</f>
        <v>tocar</v>
      </c>
    </row>
    <row r="6248">
      <c r="A6248" s="4">
        <v>790.0</v>
      </c>
      <c r="B6248" s="4" t="s">
        <v>13990</v>
      </c>
      <c r="C6248" s="4"/>
      <c r="D6248" s="4" t="s">
        <v>13809</v>
      </c>
      <c r="E6248" s="4" t="s">
        <v>13805</v>
      </c>
      <c r="F6248" s="4" t="s">
        <v>13804</v>
      </c>
      <c r="G6248" s="5" t="str">
        <f>IFERROR(__xludf.DUMMYFUNCTION("GOOGLETRANSLATE(D6248,""fr"",""es"")"),"tocar")</f>
        <v>tocar</v>
      </c>
    </row>
    <row r="6249">
      <c r="A6249" s="4">
        <v>791.0</v>
      </c>
      <c r="B6249" s="4" t="s">
        <v>13990</v>
      </c>
      <c r="C6249" s="4"/>
      <c r="D6249" s="4" t="s">
        <v>13810</v>
      </c>
      <c r="E6249" s="4" t="s">
        <v>13811</v>
      </c>
      <c r="F6249" s="4" t="s">
        <v>13812</v>
      </c>
      <c r="G6249" s="5" t="str">
        <f>IFERROR(__xludf.DUMMYFUNCTION("GOOGLETRANSLATE(D6249,""fr"",""es"")"),"Tapques")</f>
        <v>Tapques</v>
      </c>
    </row>
    <row r="6250">
      <c r="A6250" s="4">
        <v>792.0</v>
      </c>
      <c r="B6250" s="4" t="s">
        <v>13990</v>
      </c>
      <c r="C6250" s="4"/>
      <c r="D6250" s="4" t="s">
        <v>13813</v>
      </c>
      <c r="E6250" s="4" t="s">
        <v>13805</v>
      </c>
      <c r="F6250" s="4" t="s">
        <v>13804</v>
      </c>
      <c r="G6250" s="5" t="str">
        <f>IFERROR(__xludf.DUMMYFUNCTION("GOOGLETRANSLATE(D6250,""fr"",""es"")"),"topador")</f>
        <v>topador</v>
      </c>
    </row>
    <row r="6251">
      <c r="A6251" s="4">
        <v>793.0</v>
      </c>
      <c r="B6251" s="4" t="s">
        <v>13990</v>
      </c>
      <c r="C6251" s="4"/>
      <c r="D6251" s="4" t="s">
        <v>419</v>
      </c>
      <c r="E6251" s="4" t="s">
        <v>13750</v>
      </c>
      <c r="F6251" s="4" t="s">
        <v>11522</v>
      </c>
      <c r="G6251" s="5" t="str">
        <f>IFERROR(__xludf.DUMMYFUNCTION("GOOGLETRANSLATE(D6251,""fr"",""es"")"),"montón")</f>
        <v>montón</v>
      </c>
    </row>
    <row r="6252">
      <c r="A6252" s="4">
        <v>794.0</v>
      </c>
      <c r="B6252" s="4" t="s">
        <v>13990</v>
      </c>
      <c r="C6252" s="4"/>
      <c r="D6252" s="4" t="s">
        <v>419</v>
      </c>
      <c r="E6252" s="4" t="s">
        <v>13814</v>
      </c>
      <c r="F6252" s="4" t="s">
        <v>11522</v>
      </c>
      <c r="G6252" s="5" t="str">
        <f>IFERROR(__xludf.DUMMYFUNCTION("GOOGLETRANSLATE(D6252,""fr"",""es"")"),"montón")</f>
        <v>montón</v>
      </c>
    </row>
    <row r="6253">
      <c r="A6253" s="4">
        <v>795.0</v>
      </c>
      <c r="B6253" s="4" t="s">
        <v>13990</v>
      </c>
      <c r="C6253" s="4"/>
      <c r="D6253" s="4" t="s">
        <v>7777</v>
      </c>
      <c r="E6253" s="4" t="s">
        <v>13815</v>
      </c>
      <c r="F6253" s="4" t="s">
        <v>419</v>
      </c>
      <c r="G6253" s="5" t="str">
        <f>IFERROR(__xludf.DUMMYFUNCTION("GOOGLETRANSLATE(D6253,""fr"",""es"")"),"taza")</f>
        <v>taza</v>
      </c>
      <c r="H6253" s="4" t="s">
        <v>4378</v>
      </c>
      <c r="I6253" s="4" t="s">
        <v>13816</v>
      </c>
      <c r="J6253" s="4" t="s">
        <v>4378</v>
      </c>
      <c r="K6253" s="4" t="s">
        <v>4378</v>
      </c>
      <c r="L6253" s="4" t="s">
        <v>4378</v>
      </c>
      <c r="M6253" s="4" t="s">
        <v>4378</v>
      </c>
      <c r="N6253" s="4" t="s">
        <v>12262</v>
      </c>
      <c r="O6253" s="4" t="s">
        <v>4378</v>
      </c>
      <c r="P6253" s="4" t="s">
        <v>4378</v>
      </c>
      <c r="Q6253" s="4" t="s">
        <v>4378</v>
      </c>
      <c r="R6253" s="4" t="s">
        <v>4378</v>
      </c>
      <c r="S6253" s="4" t="s">
        <v>13817</v>
      </c>
      <c r="T6253" s="4" t="s">
        <v>4378</v>
      </c>
    </row>
    <row r="6254">
      <c r="A6254" s="4">
        <v>796.0</v>
      </c>
      <c r="B6254" s="4" t="s">
        <v>13990</v>
      </c>
      <c r="C6254" s="4"/>
      <c r="D6254" s="4" t="s">
        <v>13818</v>
      </c>
      <c r="E6254" s="4" t="s">
        <v>13819</v>
      </c>
      <c r="F6254" s="4" t="s">
        <v>4377</v>
      </c>
      <c r="G6254" s="5" t="str">
        <f>IFERROR(__xludf.DUMMYFUNCTION("GOOGLETRANSLATE(D6254,""fr"",""es"")"),"tassât")</f>
        <v>tassât</v>
      </c>
    </row>
    <row r="6255">
      <c r="A6255" s="4">
        <v>797.0</v>
      </c>
      <c r="B6255" s="4" t="s">
        <v>13990</v>
      </c>
      <c r="C6255" s="4"/>
      <c r="D6255" s="4" t="s">
        <v>13820</v>
      </c>
      <c r="E6255" s="4" t="s">
        <v>13821</v>
      </c>
      <c r="F6255" s="4" t="s">
        <v>13820</v>
      </c>
      <c r="G6255" s="5" t="str">
        <f>IFERROR(__xludf.DUMMYFUNCTION("GOOGLETRANSLATE(D6255,""fr"",""es"")"),"tata")</f>
        <v>tata</v>
      </c>
      <c r="H6255" s="4" t="s">
        <v>11528</v>
      </c>
      <c r="I6255" s="4" t="s">
        <v>11529</v>
      </c>
      <c r="J6255" s="4" t="s">
        <v>11530</v>
      </c>
    </row>
    <row r="6256">
      <c r="A6256" s="4">
        <v>798.0</v>
      </c>
      <c r="B6256" s="4" t="s">
        <v>13990</v>
      </c>
      <c r="C6256" s="4"/>
      <c r="D6256" s="4" t="s">
        <v>13822</v>
      </c>
      <c r="E6256" s="4" t="s">
        <v>13823</v>
      </c>
      <c r="F6256" s="4" t="s">
        <v>7783</v>
      </c>
      <c r="G6256" s="5" t="str">
        <f>IFERROR(__xludf.DUMMYFUNCTION("GOOGLETRANSLATE(D6256,""fr"",""es"")"),"Tía")</f>
        <v>Tía</v>
      </c>
      <c r="H6256" s="4" t="s">
        <v>11528</v>
      </c>
      <c r="I6256" s="4" t="s">
        <v>11529</v>
      </c>
      <c r="J6256" s="4" t="s">
        <v>11530</v>
      </c>
    </row>
    <row r="6257">
      <c r="A6257" s="4">
        <v>799.0</v>
      </c>
      <c r="B6257" s="4" t="s">
        <v>13990</v>
      </c>
      <c r="C6257" s="4"/>
      <c r="D6257" s="4" t="s">
        <v>13824</v>
      </c>
      <c r="E6257" s="4" t="s">
        <v>13825</v>
      </c>
      <c r="F6257" s="4" t="s">
        <v>11378</v>
      </c>
      <c r="G6257" s="5" t="str">
        <f>IFERROR(__xludf.DUMMYFUNCTION("GOOGLETRANSLATE(D6257,""fr"",""es"")"),"armadillo")</f>
        <v>armadillo</v>
      </c>
      <c r="H6257" s="4" t="s">
        <v>13826</v>
      </c>
    </row>
    <row r="6258">
      <c r="A6258" s="4">
        <v>800.0</v>
      </c>
      <c r="B6258" s="4" t="s">
        <v>13990</v>
      </c>
      <c r="C6258" s="4"/>
      <c r="D6258" s="4" t="s">
        <v>13827</v>
      </c>
      <c r="E6258" s="4" t="s">
        <v>13828</v>
      </c>
      <c r="F6258" s="4" t="s">
        <v>13829</v>
      </c>
      <c r="G6258" s="5" t="str">
        <f>IFERROR(__xludf.DUMMYFUNCTION("GOOGLETRANSLATE(D6258,""fr"",""es"")"),"tatuaje")</f>
        <v>tatuaje</v>
      </c>
    </row>
    <row r="6259">
      <c r="A6259" s="4">
        <v>801.0</v>
      </c>
      <c r="B6259" s="4" t="s">
        <v>13990</v>
      </c>
      <c r="C6259" s="4"/>
      <c r="D6259" s="4" t="s">
        <v>7790</v>
      </c>
      <c r="E6259" s="4" t="s">
        <v>7791</v>
      </c>
      <c r="F6259" s="4" t="s">
        <v>7792</v>
      </c>
      <c r="G6259" s="5" t="str">
        <f>IFERROR(__xludf.DUMMYFUNCTION("GOOGLETRANSLATE(D6259,""fr"",""es"")"),"thanakha")</f>
        <v>thanakha</v>
      </c>
    </row>
    <row r="6260">
      <c r="A6260" s="4">
        <v>802.0</v>
      </c>
      <c r="B6260" s="4" t="s">
        <v>13990</v>
      </c>
      <c r="C6260" s="4"/>
      <c r="D6260" s="4" t="s">
        <v>13830</v>
      </c>
      <c r="E6260" s="4" t="s">
        <v>13765</v>
      </c>
      <c r="F6260" s="4" t="s">
        <v>13766</v>
      </c>
      <c r="G6260" s="5" t="str">
        <f>IFERROR(__xludf.DUMMYFUNCTION("GOOGLETRANSLATE(D6260,""fr"",""es"")"),"tailandés")</f>
        <v>tailandés</v>
      </c>
      <c r="H6260" s="4" t="s">
        <v>13831</v>
      </c>
      <c r="I6260" s="4" t="s">
        <v>13832</v>
      </c>
      <c r="J6260" s="4" t="s">
        <v>13833</v>
      </c>
      <c r="K6260" s="4" t="s">
        <v>13831</v>
      </c>
      <c r="L6260" s="4" t="s">
        <v>13832</v>
      </c>
      <c r="M6260" s="4" t="s">
        <v>13833</v>
      </c>
      <c r="N6260" s="4" t="s">
        <v>13831</v>
      </c>
      <c r="O6260" s="4" t="s">
        <v>13832</v>
      </c>
      <c r="P6260" s="4" t="s">
        <v>13833</v>
      </c>
      <c r="Q6260" s="4" t="s">
        <v>13831</v>
      </c>
      <c r="R6260" s="4" t="s">
        <v>13833</v>
      </c>
      <c r="S6260" s="4" t="s">
        <v>13834</v>
      </c>
      <c r="T6260" s="4" t="s">
        <v>13831</v>
      </c>
      <c r="U6260" s="4" t="s">
        <v>13832</v>
      </c>
      <c r="V6260" s="4" t="s">
        <v>13833</v>
      </c>
    </row>
    <row r="6261">
      <c r="A6261" s="4">
        <v>803.0</v>
      </c>
      <c r="B6261" s="4" t="s">
        <v>13990</v>
      </c>
      <c r="C6261" s="4"/>
      <c r="D6261" s="4" t="s">
        <v>13835</v>
      </c>
      <c r="E6261" s="4" t="s">
        <v>13765</v>
      </c>
      <c r="F6261" s="4" t="s">
        <v>13766</v>
      </c>
      <c r="G6261" s="5" t="str">
        <f>IFERROR(__xludf.DUMMYFUNCTION("GOOGLETRANSLATE(D6261,""fr"",""es"")"),"tailandés")</f>
        <v>tailandés</v>
      </c>
    </row>
    <row r="6262">
      <c r="A6262" s="4">
        <v>804.0</v>
      </c>
      <c r="B6262" s="4" t="s">
        <v>13990</v>
      </c>
      <c r="C6262" s="4"/>
      <c r="D6262" s="4" t="s">
        <v>13836</v>
      </c>
      <c r="E6262" s="4" t="s">
        <v>13765</v>
      </c>
      <c r="F6262" s="4" t="s">
        <v>13766</v>
      </c>
      <c r="G6262" s="5" t="str">
        <f>IFERROR(__xludf.DUMMYFUNCTION("GOOGLETRANSLATE(D6262,""fr"",""es"")"),"Thaïs")</f>
        <v>Thaïs</v>
      </c>
    </row>
    <row r="6263">
      <c r="A6263" s="4">
        <v>805.0</v>
      </c>
      <c r="B6263" s="4" t="s">
        <v>13990</v>
      </c>
      <c r="C6263" s="4"/>
      <c r="D6263" s="4" t="s">
        <v>422</v>
      </c>
      <c r="E6263" s="4" t="s">
        <v>421</v>
      </c>
      <c r="F6263" s="4" t="s">
        <v>422</v>
      </c>
      <c r="G6263" s="5" t="str">
        <f>IFERROR(__xludf.DUMMYFUNCTION("GOOGLETRANSLATE(D6263,""fr"",""es"")"),"Ti")</f>
        <v>Ti</v>
      </c>
    </row>
    <row r="6264">
      <c r="A6264" s="4">
        <v>806.0</v>
      </c>
      <c r="B6264" s="4" t="s">
        <v>13990</v>
      </c>
      <c r="C6264" s="4"/>
      <c r="D6264" s="4" t="s">
        <v>4379</v>
      </c>
      <c r="E6264" s="4" t="s">
        <v>4380</v>
      </c>
      <c r="F6264" s="4" t="s">
        <v>438</v>
      </c>
      <c r="G6264" s="5" t="str">
        <f>IFERROR(__xludf.DUMMYFUNCTION("GOOGLETRANSLATE(D6264,""fr"",""es"")"),"tic")</f>
        <v>tic</v>
      </c>
      <c r="H6264" s="4" t="s">
        <v>4435</v>
      </c>
      <c r="I6264" s="4" t="s">
        <v>13837</v>
      </c>
      <c r="J6264" s="4" t="s">
        <v>13837</v>
      </c>
      <c r="K6264" s="4" t="s">
        <v>4435</v>
      </c>
      <c r="L6264" s="4" t="s">
        <v>13838</v>
      </c>
      <c r="M6264" s="4" t="s">
        <v>4379</v>
      </c>
      <c r="N6264" s="4" t="s">
        <v>4379</v>
      </c>
    </row>
    <row r="6265">
      <c r="A6265" s="4">
        <v>807.0</v>
      </c>
      <c r="B6265" s="4" t="s">
        <v>13990</v>
      </c>
      <c r="C6265" s="4"/>
      <c r="D6265" s="4" t="s">
        <v>13839</v>
      </c>
      <c r="E6265" s="4" t="s">
        <v>13840</v>
      </c>
      <c r="F6265" s="4" t="s">
        <v>13841</v>
      </c>
      <c r="G6265" s="5" t="str">
        <f>IFERROR(__xludf.DUMMYFUNCTION("GOOGLETRANSLATE(D6265,""fr"",""es"")"),"fregar")</f>
        <v>fregar</v>
      </c>
    </row>
    <row r="6266">
      <c r="A6266" s="4">
        <v>808.0</v>
      </c>
      <c r="B6266" s="4" t="s">
        <v>13990</v>
      </c>
      <c r="C6266" s="4"/>
      <c r="D6266" s="4" t="s">
        <v>13842</v>
      </c>
      <c r="E6266" s="4" t="s">
        <v>13840</v>
      </c>
      <c r="F6266" s="4" t="s">
        <v>13841</v>
      </c>
      <c r="G6266" s="5" t="str">
        <f>IFERROR(__xludf.DUMMYFUNCTION("GOOGLETRANSLATE(D6266,""fr"",""es"")"),"trapacero")</f>
        <v>trapacero</v>
      </c>
    </row>
    <row r="6267">
      <c r="A6267" s="4">
        <v>809.0</v>
      </c>
      <c r="B6267" s="4" t="s">
        <v>13990</v>
      </c>
      <c r="C6267" s="4"/>
      <c r="D6267" s="4" t="s">
        <v>13843</v>
      </c>
      <c r="E6267" s="4" t="s">
        <v>13844</v>
      </c>
      <c r="F6267" s="4" t="s">
        <v>13845</v>
      </c>
      <c r="G6267" s="5" t="str">
        <f>IFERROR(__xludf.DUMMYFUNCTION("GOOGLETRANSLATE(D6267,""fr"",""es"")"),"Tillac")</f>
        <v>Tillac</v>
      </c>
    </row>
    <row r="6268">
      <c r="A6268" s="4">
        <v>810.0</v>
      </c>
      <c r="B6268" s="4" t="s">
        <v>13990</v>
      </c>
      <c r="C6268" s="4"/>
      <c r="D6268" s="4" t="s">
        <v>13846</v>
      </c>
      <c r="E6268" s="4" t="s">
        <v>4390</v>
      </c>
      <c r="F6268" s="4" t="s">
        <v>4391</v>
      </c>
      <c r="G6268" s="5" t="str">
        <f>IFERROR(__xludf.DUMMYFUNCTION("GOOGLETRANSLATE(D6268,""fr"",""es"")"),"Tinamou")</f>
        <v>Tinamou</v>
      </c>
      <c r="H6268" s="4" t="s">
        <v>13846</v>
      </c>
      <c r="I6268" s="4" t="s">
        <v>13847</v>
      </c>
    </row>
    <row r="6269">
      <c r="A6269" s="4">
        <v>811.0</v>
      </c>
      <c r="B6269" s="4" t="s">
        <v>13990</v>
      </c>
      <c r="C6269" s="4"/>
      <c r="D6269" s="4" t="s">
        <v>13848</v>
      </c>
      <c r="E6269" s="4" t="s">
        <v>4390</v>
      </c>
      <c r="F6269" s="4" t="s">
        <v>4391</v>
      </c>
      <c r="G6269" s="5" t="str">
        <f>IFERROR(__xludf.DUMMYFUNCTION("GOOGLETRANSLATE(D6269,""fr"",""es"")"),"tinamous")</f>
        <v>tinamous</v>
      </c>
      <c r="H6269" s="4" t="s">
        <v>13849</v>
      </c>
      <c r="I6269" s="4" t="s">
        <v>13850</v>
      </c>
      <c r="J6269" s="4" t="s">
        <v>13846</v>
      </c>
      <c r="K6269" s="4" t="s">
        <v>13847</v>
      </c>
    </row>
    <row r="6270">
      <c r="A6270" s="4">
        <v>812.0</v>
      </c>
      <c r="B6270" s="4" t="s">
        <v>13990</v>
      </c>
      <c r="C6270" s="4"/>
      <c r="D6270" s="4" t="s">
        <v>13851</v>
      </c>
      <c r="E6270" s="4" t="s">
        <v>4380</v>
      </c>
      <c r="F6270" s="4" t="s">
        <v>438</v>
      </c>
      <c r="G6270" s="5" t="str">
        <f>IFERROR(__xludf.DUMMYFUNCTION("GOOGLETRANSLATE(D6270,""fr"",""es"")"),"garrapata")</f>
        <v>garrapata</v>
      </c>
      <c r="H6270" s="4" t="s">
        <v>7837</v>
      </c>
      <c r="I6270" s="4" t="s">
        <v>7843</v>
      </c>
      <c r="J6270" s="4" t="s">
        <v>7837</v>
      </c>
      <c r="K6270" s="4" t="s">
        <v>13852</v>
      </c>
      <c r="L6270" s="4" t="s">
        <v>13853</v>
      </c>
      <c r="M6270" s="4" t="s">
        <v>7837</v>
      </c>
      <c r="N6270" s="4" t="s">
        <v>7841</v>
      </c>
      <c r="O6270" s="4" t="s">
        <v>7842</v>
      </c>
      <c r="P6270" s="4" t="s">
        <v>3493</v>
      </c>
      <c r="Q6270" s="4" t="s">
        <v>7840</v>
      </c>
      <c r="R6270" s="4" t="s">
        <v>7837</v>
      </c>
      <c r="S6270" s="4" t="s">
        <v>7837</v>
      </c>
      <c r="T6270" s="4" t="s">
        <v>7839</v>
      </c>
      <c r="U6270" s="4" t="s">
        <v>2075</v>
      </c>
      <c r="V6270" s="4" t="s">
        <v>7837</v>
      </c>
      <c r="W6270" s="4" t="s">
        <v>7837</v>
      </c>
      <c r="X6270" s="4" t="s">
        <v>7838</v>
      </c>
    </row>
    <row r="6271">
      <c r="A6271" s="4">
        <v>813.0</v>
      </c>
      <c r="B6271" s="4" t="s">
        <v>13990</v>
      </c>
      <c r="C6271" s="4"/>
      <c r="D6271" s="4" t="s">
        <v>13854</v>
      </c>
      <c r="E6271" s="4" t="s">
        <v>427</v>
      </c>
      <c r="F6271" s="4" t="s">
        <v>428</v>
      </c>
      <c r="G6271" s="5" t="str">
        <f>IFERROR(__xludf.DUMMYFUNCTION("GOOGLETRANSLATE(D6271,""fr"",""es"")"),"tejedor")</f>
        <v>tejedor</v>
      </c>
    </row>
    <row r="6272">
      <c r="A6272" s="4">
        <v>814.0</v>
      </c>
      <c r="B6272" s="4" t="s">
        <v>13990</v>
      </c>
      <c r="C6272" s="4"/>
      <c r="D6272" s="4" t="s">
        <v>13855</v>
      </c>
      <c r="E6272" s="4" t="s">
        <v>430</v>
      </c>
      <c r="F6272" s="4" t="s">
        <v>431</v>
      </c>
      <c r="G6272" s="5" t="str">
        <f>IFERROR(__xludf.DUMMYFUNCTION("GOOGLETRANSLATE(D6272,""fr"",""es"")"),"titanio")</f>
        <v>titanio</v>
      </c>
      <c r="H6272" s="4" t="s">
        <v>4467</v>
      </c>
      <c r="I6272" s="4" t="s">
        <v>4468</v>
      </c>
      <c r="J6272" s="4" t="s">
        <v>4469</v>
      </c>
    </row>
    <row r="6273">
      <c r="A6273" s="4">
        <v>815.0</v>
      </c>
      <c r="B6273" s="4" t="s">
        <v>13990</v>
      </c>
      <c r="C6273" s="4"/>
      <c r="D6273" s="4" t="s">
        <v>4490</v>
      </c>
      <c r="E6273" s="4" t="s">
        <v>4489</v>
      </c>
      <c r="F6273" s="4" t="s">
        <v>4490</v>
      </c>
      <c r="G6273" s="5" t="str">
        <f>IFERROR(__xludf.DUMMYFUNCTION("GOOGLETRANSLATE(D6273,""fr"",""es"")"),"titi")</f>
        <v>titi</v>
      </c>
    </row>
    <row r="6274">
      <c r="A6274" s="4">
        <v>816.0</v>
      </c>
      <c r="B6274" s="4" t="s">
        <v>13990</v>
      </c>
      <c r="C6274" s="4"/>
      <c r="D6274" s="4" t="s">
        <v>13856</v>
      </c>
      <c r="E6274" s="4" t="s">
        <v>13857</v>
      </c>
      <c r="F6274" s="4" t="s">
        <v>13858</v>
      </c>
      <c r="G6274" s="5" t="str">
        <f>IFERROR(__xludf.DUMMYFUNCTION("GOOGLETRANSLATE(D6274,""fr"",""es"")"),"titina")</f>
        <v>titina</v>
      </c>
    </row>
    <row r="6275">
      <c r="A6275" s="4">
        <v>817.0</v>
      </c>
      <c r="B6275" s="4" t="s">
        <v>13990</v>
      </c>
      <c r="C6275" s="4"/>
      <c r="D6275" s="4" t="s">
        <v>13859</v>
      </c>
      <c r="E6275" s="4" t="s">
        <v>13860</v>
      </c>
      <c r="F6275" s="4" t="s">
        <v>13861</v>
      </c>
      <c r="G6275" s="5" t="str">
        <f>IFERROR(__xludf.DUMMYFUNCTION("GOOGLETRANSLATE(D6275,""fr"",""es"")"),"toquea")</f>
        <v>toquea</v>
      </c>
    </row>
    <row r="6276">
      <c r="A6276" s="4">
        <v>818.0</v>
      </c>
      <c r="B6276" s="4" t="s">
        <v>13990</v>
      </c>
      <c r="C6276" s="4"/>
      <c r="D6276" s="4" t="s">
        <v>13862</v>
      </c>
      <c r="E6276" s="4" t="s">
        <v>13863</v>
      </c>
      <c r="F6276" s="4" t="s">
        <v>1622</v>
      </c>
      <c r="G6276" s="5" t="str">
        <f>IFERROR(__xludf.DUMMYFUNCTION("GOOGLETRANSLATE(D6276,""fr"",""es"")"),"toques")</f>
        <v>toques</v>
      </c>
      <c r="H6276" s="4" t="s">
        <v>13864</v>
      </c>
      <c r="I6276" s="4" t="s">
        <v>13865</v>
      </c>
      <c r="J6276" s="4" t="s">
        <v>13866</v>
      </c>
      <c r="K6276" s="4" t="s">
        <v>1360</v>
      </c>
      <c r="L6276" s="4" t="s">
        <v>13867</v>
      </c>
      <c r="M6276" s="4" t="s">
        <v>13868</v>
      </c>
      <c r="N6276" s="4" t="s">
        <v>8380</v>
      </c>
      <c r="O6276" s="4" t="s">
        <v>8380</v>
      </c>
      <c r="P6276" s="4" t="s">
        <v>8380</v>
      </c>
      <c r="Q6276" s="4" t="s">
        <v>13869</v>
      </c>
      <c r="R6276" s="4" t="s">
        <v>8380</v>
      </c>
      <c r="S6276" s="4" t="s">
        <v>8380</v>
      </c>
      <c r="T6276" s="4" t="s">
        <v>8380</v>
      </c>
      <c r="U6276" s="4" t="s">
        <v>13870</v>
      </c>
      <c r="V6276" s="4" t="s">
        <v>13871</v>
      </c>
      <c r="W6276" s="4" t="s">
        <v>13872</v>
      </c>
      <c r="X6276" s="4" t="s">
        <v>8389</v>
      </c>
      <c r="Y6276" s="4" t="s">
        <v>8380</v>
      </c>
      <c r="Z6276" s="4" t="s">
        <v>8380</v>
      </c>
      <c r="AA6276" s="4" t="s">
        <v>8380</v>
      </c>
      <c r="AB6276" s="4" t="s">
        <v>8380</v>
      </c>
      <c r="AC6276" s="4" t="s">
        <v>8380</v>
      </c>
      <c r="AD6276" s="4" t="s">
        <v>8380</v>
      </c>
      <c r="AE6276" s="4" t="s">
        <v>12240</v>
      </c>
      <c r="AF6276" s="4" t="s">
        <v>8380</v>
      </c>
      <c r="AG6276" s="4" t="s">
        <v>8381</v>
      </c>
      <c r="AH6276" s="4" t="s">
        <v>8380</v>
      </c>
      <c r="AI6276" s="4" t="s">
        <v>8386</v>
      </c>
      <c r="AJ6276" s="4" t="s">
        <v>8387</v>
      </c>
      <c r="AK6276" s="4" t="s">
        <v>8384</v>
      </c>
      <c r="AL6276" s="4" t="s">
        <v>8385</v>
      </c>
      <c r="AM6276" s="4" t="s">
        <v>8382</v>
      </c>
      <c r="AN6276" s="4" t="s">
        <v>8383</v>
      </c>
      <c r="AO6276" s="4" t="s">
        <v>8380</v>
      </c>
      <c r="AP6276" s="4" t="s">
        <v>8380</v>
      </c>
    </row>
    <row r="6277">
      <c r="A6277" s="4">
        <v>819.0</v>
      </c>
      <c r="B6277" s="4" t="s">
        <v>13990</v>
      </c>
      <c r="C6277" s="4"/>
      <c r="D6277" s="4" t="s">
        <v>13873</v>
      </c>
      <c r="E6277" s="4" t="s">
        <v>13874</v>
      </c>
      <c r="F6277" s="4" t="s">
        <v>13875</v>
      </c>
      <c r="G6277" s="5" t="str">
        <f>IFERROR(__xludf.DUMMYFUNCTION("GOOGLETRANSLATE(D6277,""fr"",""es"")"),"Toul")</f>
        <v>Toul</v>
      </c>
    </row>
    <row r="6278">
      <c r="A6278" s="4">
        <v>820.0</v>
      </c>
      <c r="B6278" s="4" t="s">
        <v>13990</v>
      </c>
      <c r="C6278" s="4"/>
      <c r="D6278" s="4" t="s">
        <v>13876</v>
      </c>
      <c r="E6278" s="4" t="s">
        <v>13877</v>
      </c>
      <c r="F6278" s="4" t="s">
        <v>7951</v>
      </c>
      <c r="G6278" s="5" t="str">
        <f>IFERROR(__xludf.DUMMYFUNCTION("GOOGLETRANSLATE(D6278,""fr"",""es"")"),"toune")</f>
        <v>toune</v>
      </c>
    </row>
    <row r="6279">
      <c r="A6279" s="4">
        <v>821.0</v>
      </c>
      <c r="B6279" s="4" t="s">
        <v>13990</v>
      </c>
      <c r="C6279" s="4"/>
      <c r="D6279" s="4" t="s">
        <v>13878</v>
      </c>
      <c r="E6279" s="4" t="s">
        <v>4522</v>
      </c>
      <c r="F6279" s="4" t="s">
        <v>4523</v>
      </c>
      <c r="G6279" s="5" t="str">
        <f>IFERROR(__xludf.DUMMYFUNCTION("GOOGLETRANSLATE(D6279,""fr"",""es"")"),"hilado")</f>
        <v>hilado</v>
      </c>
      <c r="H6279" s="4" t="s">
        <v>1403</v>
      </c>
      <c r="I6279" s="4" t="s">
        <v>8866</v>
      </c>
      <c r="J6279" s="4" t="s">
        <v>8867</v>
      </c>
      <c r="K6279" s="4" t="s">
        <v>8868</v>
      </c>
    </row>
    <row r="6280">
      <c r="A6280" s="4">
        <v>822.0</v>
      </c>
      <c r="B6280" s="4" t="s">
        <v>13990</v>
      </c>
      <c r="C6280" s="4"/>
      <c r="D6280" s="4" t="s">
        <v>13879</v>
      </c>
      <c r="E6280" s="4" t="s">
        <v>4556</v>
      </c>
      <c r="F6280" s="4" t="s">
        <v>4555</v>
      </c>
      <c r="G6280" s="5" t="str">
        <f>IFERROR(__xludf.DUMMYFUNCTION("GOOGLETRANSLATE(D6280,""fr"",""es"")"),"todos")</f>
        <v>todos</v>
      </c>
    </row>
    <row r="6281">
      <c r="A6281" s="4">
        <v>823.0</v>
      </c>
      <c r="B6281" s="4" t="s">
        <v>13990</v>
      </c>
      <c r="C6281" s="4"/>
      <c r="D6281" s="4" t="s">
        <v>13879</v>
      </c>
      <c r="E6281" s="4" t="s">
        <v>13880</v>
      </c>
      <c r="F6281" s="4" t="s">
        <v>13881</v>
      </c>
      <c r="G6281" s="5" t="str">
        <f>IFERROR(__xludf.DUMMYFUNCTION("GOOGLETRANSLATE(D6281,""fr"",""es"")"),"todos")</f>
        <v>todos</v>
      </c>
    </row>
    <row r="6282">
      <c r="A6282" s="4">
        <v>824.0</v>
      </c>
      <c r="B6282" s="4" t="s">
        <v>13990</v>
      </c>
      <c r="C6282" s="4"/>
      <c r="D6282" s="4" t="s">
        <v>13883</v>
      </c>
      <c r="E6282" s="4" t="s">
        <v>4556</v>
      </c>
      <c r="F6282" s="4" t="s">
        <v>4555</v>
      </c>
      <c r="G6282" s="5" t="str">
        <f>IFERROR(__xludf.DUMMYFUNCTION("GOOGLETRANSLATE(D6282,""fr"",""es"")"),"todo")</f>
        <v>todo</v>
      </c>
      <c r="H6282" s="4" t="s">
        <v>13884</v>
      </c>
      <c r="I6282" s="4" t="s">
        <v>13885</v>
      </c>
      <c r="J6282" s="4" t="s">
        <v>13886</v>
      </c>
      <c r="K6282" s="4" t="s">
        <v>13887</v>
      </c>
      <c r="L6282" s="4" t="s">
        <v>13888</v>
      </c>
      <c r="M6282" s="4" t="s">
        <v>13889</v>
      </c>
      <c r="N6282" s="4" t="s">
        <v>524</v>
      </c>
      <c r="O6282" s="4" t="s">
        <v>10698</v>
      </c>
      <c r="P6282" s="4" t="s">
        <v>13884</v>
      </c>
      <c r="Q6282" s="4" t="s">
        <v>13890</v>
      </c>
      <c r="R6282" s="4" t="s">
        <v>13891</v>
      </c>
      <c r="S6282" s="4" t="s">
        <v>8791</v>
      </c>
      <c r="T6282" s="4" t="s">
        <v>524</v>
      </c>
      <c r="U6282" s="4" t="s">
        <v>524</v>
      </c>
      <c r="V6282" s="4" t="s">
        <v>1751</v>
      </c>
      <c r="W6282" s="4" t="s">
        <v>13892</v>
      </c>
      <c r="X6282" s="4" t="s">
        <v>13893</v>
      </c>
      <c r="Y6282" s="4" t="s">
        <v>13894</v>
      </c>
      <c r="Z6282" s="4" t="s">
        <v>13895</v>
      </c>
      <c r="AA6282" s="4" t="s">
        <v>13884</v>
      </c>
      <c r="AB6282" s="4" t="s">
        <v>13896</v>
      </c>
      <c r="AC6282" s="4" t="s">
        <v>12346</v>
      </c>
      <c r="AD6282" s="4" t="s">
        <v>13897</v>
      </c>
      <c r="AE6282" s="4" t="s">
        <v>13898</v>
      </c>
      <c r="AF6282" s="4" t="s">
        <v>13899</v>
      </c>
      <c r="AG6282" s="4" t="s">
        <v>13900</v>
      </c>
    </row>
    <row r="6283">
      <c r="A6283" s="4">
        <v>825.0</v>
      </c>
      <c r="B6283" s="4" t="s">
        <v>13990</v>
      </c>
      <c r="C6283" s="4"/>
      <c r="D6283" s="4" t="s">
        <v>13901</v>
      </c>
      <c r="E6283" s="4" t="s">
        <v>4578</v>
      </c>
      <c r="F6283" s="4" t="s">
        <v>4579</v>
      </c>
      <c r="G6283" s="5" t="str">
        <f>IFERROR(__xludf.DUMMYFUNCTION("GOOGLETRANSLATE(D6283,""fr"",""es"")"),"perrito")</f>
        <v>perrito</v>
      </c>
      <c r="H6283" s="4" t="s">
        <v>13902</v>
      </c>
      <c r="I6283" s="4" t="s">
        <v>13903</v>
      </c>
      <c r="J6283" s="4" t="s">
        <v>13904</v>
      </c>
      <c r="K6283" s="4" t="s">
        <v>13905</v>
      </c>
      <c r="L6283" s="4" t="s">
        <v>13906</v>
      </c>
    </row>
    <row r="6284">
      <c r="A6284" s="4">
        <v>826.0</v>
      </c>
      <c r="B6284" s="4" t="s">
        <v>13990</v>
      </c>
      <c r="C6284" s="4"/>
      <c r="D6284" s="4" t="s">
        <v>13907</v>
      </c>
      <c r="E6284" s="4" t="s">
        <v>13908</v>
      </c>
      <c r="F6284" s="4" t="s">
        <v>13909</v>
      </c>
      <c r="G6284" s="5" t="str">
        <f>IFERROR(__xludf.DUMMYFUNCTION("GOOGLETRANSLATE(D6284,""fr"",""es"")"),"perrito")</f>
        <v>perrito</v>
      </c>
    </row>
    <row r="6285">
      <c r="A6285" s="4">
        <v>827.0</v>
      </c>
      <c r="B6285" s="4" t="s">
        <v>13990</v>
      </c>
      <c r="C6285" s="4"/>
      <c r="D6285" s="4" t="s">
        <v>13910</v>
      </c>
      <c r="E6285" s="4" t="s">
        <v>4556</v>
      </c>
      <c r="F6285" s="4" t="s">
        <v>4555</v>
      </c>
      <c r="G6285" s="5" t="str">
        <f>IFERROR(__xludf.DUMMYFUNCTION("GOOGLETRANSLATE(D6285,""fr"",""es"")"),"tos")</f>
        <v>tos</v>
      </c>
      <c r="H6285" s="4" t="s">
        <v>4540</v>
      </c>
      <c r="I6285" s="4" t="s">
        <v>4540</v>
      </c>
      <c r="J6285" s="4" t="s">
        <v>13911</v>
      </c>
    </row>
    <row r="6286">
      <c r="A6286" s="4">
        <v>828.0</v>
      </c>
      <c r="B6286" s="4" t="s">
        <v>13990</v>
      </c>
      <c r="C6286" s="4"/>
      <c r="D6286" s="4" t="s">
        <v>4523</v>
      </c>
      <c r="E6286" s="4" t="s">
        <v>4522</v>
      </c>
      <c r="F6286" s="4" t="s">
        <v>4523</v>
      </c>
      <c r="G6286" s="5" t="str">
        <f>IFERROR(__xludf.DUMMYFUNCTION("GOOGLETRANSLATE(D6286,""fr"",""es"")"),"Tupi")</f>
        <v>Tupi</v>
      </c>
      <c r="H6286" s="4" t="s">
        <v>13912</v>
      </c>
      <c r="I6286" s="4" t="s">
        <v>13912</v>
      </c>
    </row>
    <row r="6287">
      <c r="A6287" s="4">
        <v>829.0</v>
      </c>
      <c r="B6287" s="4" t="s">
        <v>13990</v>
      </c>
      <c r="C6287" s="4"/>
      <c r="D6287" s="4" t="s">
        <v>13913</v>
      </c>
      <c r="E6287" s="4" t="s">
        <v>13914</v>
      </c>
      <c r="F6287" s="4" t="s">
        <v>13915</v>
      </c>
      <c r="G6287" s="5" t="str">
        <f>IFERROR(__xludf.DUMMYFUNCTION("GOOGLETRANSLATE(D6287,""fr"",""es"")"),"tutti")</f>
        <v>tutti</v>
      </c>
    </row>
    <row r="6288">
      <c r="A6288" s="4">
        <v>830.0</v>
      </c>
      <c r="B6288" s="4" t="s">
        <v>13990</v>
      </c>
      <c r="C6288" s="4"/>
      <c r="D6288" s="4" t="s">
        <v>4412</v>
      </c>
      <c r="E6288" s="4" t="s">
        <v>424</v>
      </c>
      <c r="F6288" s="4" t="s">
        <v>425</v>
      </c>
      <c r="G6288" s="5" t="str">
        <f>IFERROR(__xludf.DUMMYFUNCTION("GOOGLETRANSLATE(D6288,""fr"",""es"")"),"tipo")</f>
        <v>tipo</v>
      </c>
      <c r="H6288" s="4" t="s">
        <v>4412</v>
      </c>
      <c r="I6288" s="4" t="s">
        <v>4413</v>
      </c>
      <c r="J6288" s="4" t="s">
        <v>4414</v>
      </c>
      <c r="K6288" s="4" t="s">
        <v>1679</v>
      </c>
      <c r="L6288" s="4" t="s">
        <v>4415</v>
      </c>
      <c r="M6288" s="4" t="s">
        <v>4412</v>
      </c>
      <c r="N6288" s="4" t="s">
        <v>4235</v>
      </c>
      <c r="O6288" s="4" t="s">
        <v>3000</v>
      </c>
      <c r="P6288" s="4" t="s">
        <v>13916</v>
      </c>
      <c r="Q6288" s="4" t="s">
        <v>13917</v>
      </c>
      <c r="R6288" s="4" t="s">
        <v>4412</v>
      </c>
      <c r="S6288" s="4" t="s">
        <v>4412</v>
      </c>
      <c r="T6288" s="4" t="s">
        <v>1679</v>
      </c>
      <c r="U6288" s="4" t="s">
        <v>13918</v>
      </c>
      <c r="V6288" s="4" t="s">
        <v>13692</v>
      </c>
      <c r="W6288" s="4" t="s">
        <v>13919</v>
      </c>
      <c r="X6288" s="4" t="s">
        <v>4412</v>
      </c>
      <c r="Y6288" s="4" t="s">
        <v>13920</v>
      </c>
      <c r="Z6288" s="4" t="s">
        <v>2949</v>
      </c>
      <c r="AA6288" s="4" t="s">
        <v>4416</v>
      </c>
      <c r="AB6288" s="4" t="s">
        <v>4417</v>
      </c>
      <c r="AC6288" s="4" t="s">
        <v>4412</v>
      </c>
      <c r="AD6288" s="4" t="s">
        <v>1337</v>
      </c>
      <c r="AE6288" s="4" t="s">
        <v>8368</v>
      </c>
      <c r="AF6288" s="4" t="s">
        <v>13921</v>
      </c>
      <c r="AG6288" s="4" t="s">
        <v>13922</v>
      </c>
      <c r="AH6288" s="4" t="s">
        <v>13923</v>
      </c>
      <c r="AI6288" s="4" t="s">
        <v>13924</v>
      </c>
      <c r="AJ6288" s="4" t="s">
        <v>9153</v>
      </c>
      <c r="AK6288" s="4" t="s">
        <v>8375</v>
      </c>
      <c r="AL6288" s="4" t="s">
        <v>13925</v>
      </c>
      <c r="AM6288" s="4" t="s">
        <v>13926</v>
      </c>
      <c r="AN6288" s="4" t="s">
        <v>13041</v>
      </c>
    </row>
    <row r="6289">
      <c r="A6289" s="4">
        <v>831.0</v>
      </c>
      <c r="B6289" s="4" t="s">
        <v>13990</v>
      </c>
      <c r="C6289" s="4"/>
      <c r="D6289" s="4" t="s">
        <v>13927</v>
      </c>
      <c r="E6289" s="4" t="s">
        <v>424</v>
      </c>
      <c r="F6289" s="4" t="s">
        <v>425</v>
      </c>
      <c r="G6289" s="5" t="str">
        <f>IFERROR(__xludf.DUMMYFUNCTION("GOOGLETRANSLATE(D6289,""fr"",""es"")"),"tipos")</f>
        <v>tipos</v>
      </c>
    </row>
    <row r="6290">
      <c r="A6290" s="4">
        <v>832.0</v>
      </c>
      <c r="B6290" s="4" t="s">
        <v>13990</v>
      </c>
      <c r="C6290" s="4"/>
      <c r="D6290" s="4" t="s">
        <v>13928</v>
      </c>
      <c r="E6290" s="4" t="s">
        <v>13751</v>
      </c>
      <c r="F6290" s="4" t="s">
        <v>8798</v>
      </c>
      <c r="G6290" s="5" t="str">
        <f>IFERROR(__xludf.DUMMYFUNCTION("GOOGLETRANSLATE(D6290,""fr"",""es"")"),"Mancha")</f>
        <v>Mancha</v>
      </c>
      <c r="H6290" s="4" t="s">
        <v>9220</v>
      </c>
      <c r="I6290" s="4" t="s">
        <v>9220</v>
      </c>
      <c r="J6290" s="4" t="s">
        <v>9218</v>
      </c>
      <c r="K6290" s="4" t="s">
        <v>9219</v>
      </c>
      <c r="L6290" s="4" t="s">
        <v>9220</v>
      </c>
      <c r="M6290" s="4" t="s">
        <v>9221</v>
      </c>
      <c r="N6290" s="4" t="s">
        <v>1681</v>
      </c>
      <c r="O6290" s="4" t="s">
        <v>9220</v>
      </c>
      <c r="P6290" s="4" t="s">
        <v>9220</v>
      </c>
      <c r="Q6290" s="4" t="s">
        <v>13929</v>
      </c>
      <c r="R6290" s="4" t="s">
        <v>13930</v>
      </c>
      <c r="S6290" s="4" t="s">
        <v>13931</v>
      </c>
      <c r="T6290" s="4" t="s">
        <v>13932</v>
      </c>
      <c r="U6290" s="4" t="s">
        <v>13933</v>
      </c>
      <c r="V6290" s="4" t="s">
        <v>13934</v>
      </c>
      <c r="W6290" s="4" t="s">
        <v>13935</v>
      </c>
      <c r="X6290" s="4" t="s">
        <v>13936</v>
      </c>
      <c r="Y6290" s="4" t="s">
        <v>13935</v>
      </c>
      <c r="Z6290" s="4" t="s">
        <v>1707</v>
      </c>
      <c r="AA6290" s="4" t="s">
        <v>13929</v>
      </c>
      <c r="AB6290" s="4" t="s">
        <v>13929</v>
      </c>
      <c r="AC6290" s="4" t="s">
        <v>9220</v>
      </c>
      <c r="AD6290" s="4" t="s">
        <v>9220</v>
      </c>
      <c r="AE6290" s="4" t="s">
        <v>13937</v>
      </c>
      <c r="AF6290" s="4" t="s">
        <v>9220</v>
      </c>
    </row>
    <row r="6291">
      <c r="A6291" s="4">
        <v>833.0</v>
      </c>
      <c r="B6291" s="4" t="s">
        <v>13990</v>
      </c>
      <c r="C6291" s="4"/>
      <c r="D6291" s="4" t="s">
        <v>13928</v>
      </c>
      <c r="E6291" s="4" t="s">
        <v>13938</v>
      </c>
      <c r="F6291" s="4" t="s">
        <v>8798</v>
      </c>
      <c r="G6291" s="5" t="str">
        <f>IFERROR(__xludf.DUMMYFUNCTION("GOOGLETRANSLATE(D6291,""fr"",""es"")"),"Mancha")</f>
        <v>Mancha</v>
      </c>
      <c r="H6291" s="4" t="s">
        <v>9220</v>
      </c>
      <c r="I6291" s="4" t="s">
        <v>9220</v>
      </c>
      <c r="J6291" s="4" t="s">
        <v>9218</v>
      </c>
      <c r="K6291" s="4" t="s">
        <v>9219</v>
      </c>
      <c r="L6291" s="4" t="s">
        <v>9220</v>
      </c>
      <c r="M6291" s="4" t="s">
        <v>9221</v>
      </c>
      <c r="N6291" s="4" t="s">
        <v>1681</v>
      </c>
      <c r="O6291" s="4" t="s">
        <v>9220</v>
      </c>
      <c r="P6291" s="4" t="s">
        <v>9220</v>
      </c>
      <c r="Q6291" s="4" t="s">
        <v>13929</v>
      </c>
      <c r="R6291" s="4" t="s">
        <v>13930</v>
      </c>
      <c r="S6291" s="4" t="s">
        <v>13931</v>
      </c>
      <c r="T6291" s="4" t="s">
        <v>13932</v>
      </c>
      <c r="U6291" s="4" t="s">
        <v>13933</v>
      </c>
      <c r="V6291" s="4" t="s">
        <v>13934</v>
      </c>
      <c r="W6291" s="4" t="s">
        <v>13935</v>
      </c>
      <c r="X6291" s="4" t="s">
        <v>13936</v>
      </c>
      <c r="Y6291" s="4" t="s">
        <v>13935</v>
      </c>
      <c r="Z6291" s="4" t="s">
        <v>1707</v>
      </c>
      <c r="AA6291" s="4" t="s">
        <v>13929</v>
      </c>
      <c r="AB6291" s="4" t="s">
        <v>13929</v>
      </c>
      <c r="AC6291" s="4" t="s">
        <v>9220</v>
      </c>
      <c r="AD6291" s="4" t="s">
        <v>9220</v>
      </c>
      <c r="AE6291" s="4" t="s">
        <v>13937</v>
      </c>
      <c r="AF6291" s="4" t="s">
        <v>9220</v>
      </c>
    </row>
    <row r="6292">
      <c r="A6292" s="4">
        <v>834.0</v>
      </c>
      <c r="B6292" s="4" t="s">
        <v>13990</v>
      </c>
      <c r="C6292" s="4"/>
      <c r="D6292" s="4" t="s">
        <v>13939</v>
      </c>
      <c r="E6292" s="4" t="s">
        <v>13938</v>
      </c>
      <c r="F6292" s="4" t="s">
        <v>8798</v>
      </c>
      <c r="G6292" s="5" t="str">
        <f>IFERROR(__xludf.DUMMYFUNCTION("GOOGLETRANSLATE(D6292,""fr"",""es"")"),"Tareas")</f>
        <v>Tareas</v>
      </c>
    </row>
    <row r="6293">
      <c r="A6293" s="4">
        <v>835.0</v>
      </c>
      <c r="B6293" s="4" t="s">
        <v>13990</v>
      </c>
      <c r="C6293" s="4"/>
      <c r="D6293" s="4" t="s">
        <v>13940</v>
      </c>
      <c r="E6293" s="4" t="s">
        <v>2010</v>
      </c>
      <c r="F6293" s="4" t="s">
        <v>2011</v>
      </c>
      <c r="G6293" s="5" t="str">
        <f>IFERROR(__xludf.DUMMYFUNCTION("GOOGLETRANSLATE(D6293,""fr"",""es"")"),"hay")</f>
        <v>hay</v>
      </c>
    </row>
    <row r="6294">
      <c r="A6294" s="4">
        <v>836.0</v>
      </c>
      <c r="B6294" s="4" t="s">
        <v>13990</v>
      </c>
      <c r="C6294" s="4"/>
      <c r="D6294" s="4" t="s">
        <v>7969</v>
      </c>
      <c r="E6294" s="4" t="s">
        <v>1870</v>
      </c>
      <c r="F6294" s="4" t="s">
        <v>1871</v>
      </c>
      <c r="G6294" s="5" t="str">
        <f>IFERROR(__xludf.DUMMYFUNCTION("GOOGLETRANSLATE(D6294,""fr"",""es"")"),"quemar")</f>
        <v>quemar</v>
      </c>
      <c r="H6294" s="4" t="s">
        <v>1871</v>
      </c>
      <c r="I6294" s="4" t="s">
        <v>1872</v>
      </c>
      <c r="J6294" s="4" t="s">
        <v>1871</v>
      </c>
      <c r="K6294" s="4" t="s">
        <v>7969</v>
      </c>
      <c r="L6294" s="4" t="s">
        <v>7970</v>
      </c>
      <c r="M6294" s="4" t="s">
        <v>7971</v>
      </c>
      <c r="N6294" s="4" t="s">
        <v>7972</v>
      </c>
    </row>
    <row r="6295">
      <c r="A6295" s="4">
        <v>837.0</v>
      </c>
      <c r="B6295" s="4" t="s">
        <v>13990</v>
      </c>
      <c r="C6295" s="4"/>
      <c r="D6295" s="4" t="s">
        <v>13941</v>
      </c>
      <c r="E6295" s="4" t="s">
        <v>13942</v>
      </c>
      <c r="F6295" s="4" t="s">
        <v>13941</v>
      </c>
      <c r="G6295" s="5" t="str">
        <f>IFERROR(__xludf.DUMMYFUNCTION("GOOGLETRANSLATE(D6295,""fr"",""es"")"),"Yali")</f>
        <v>Yali</v>
      </c>
    </row>
    <row r="6296">
      <c r="A6296" s="4">
        <v>838.0</v>
      </c>
      <c r="B6296" s="4" t="s">
        <v>13990</v>
      </c>
      <c r="C6296" s="4"/>
      <c r="D6296" s="4" t="s">
        <v>13943</v>
      </c>
      <c r="E6296" s="4" t="s">
        <v>13944</v>
      </c>
      <c r="F6296" s="4" t="s">
        <v>13945</v>
      </c>
      <c r="G6296" s="5" t="str">
        <f>IFERROR(__xludf.DUMMYFUNCTION("GOOGLETRANSLATE(D6296,""fr"",""es"")"),"yamachiche")</f>
        <v>yamachiche</v>
      </c>
    </row>
    <row r="6297">
      <c r="A6297" s="4">
        <v>839.0</v>
      </c>
      <c r="B6297" s="4" t="s">
        <v>13990</v>
      </c>
      <c r="C6297" s="4"/>
      <c r="D6297" s="4" t="s">
        <v>13946</v>
      </c>
      <c r="E6297" s="4" t="s">
        <v>13947</v>
      </c>
      <c r="F6297" s="4" t="s">
        <v>3056</v>
      </c>
      <c r="G6297" s="5" t="str">
        <f>IFERROR(__xludf.DUMMYFUNCTION("GOOGLETRANSLATE(D6297,""fr"",""es"")"),"yamme")</f>
        <v>yamme</v>
      </c>
    </row>
    <row r="6298">
      <c r="A6298" s="4">
        <v>840.0</v>
      </c>
      <c r="B6298" s="4" t="s">
        <v>13990</v>
      </c>
      <c r="C6298" s="4"/>
      <c r="D6298" s="4" t="s">
        <v>13948</v>
      </c>
      <c r="E6298" s="4" t="s">
        <v>9088</v>
      </c>
      <c r="F6298" s="4" t="s">
        <v>6388</v>
      </c>
      <c r="G6298" s="5" t="str">
        <f>IFERROR(__xludf.DUMMYFUNCTION("GOOGLETRANSLATE(D6298,""fr"",""es"")"),"Yann")</f>
        <v>Yann</v>
      </c>
    </row>
    <row r="6299">
      <c r="A6299" s="4">
        <v>841.0</v>
      </c>
      <c r="B6299" s="4" t="s">
        <v>13990</v>
      </c>
      <c r="C6299" s="4"/>
      <c r="D6299" s="4" t="s">
        <v>13949</v>
      </c>
      <c r="E6299" s="4" t="s">
        <v>9088</v>
      </c>
      <c r="F6299" s="4" t="s">
        <v>6388</v>
      </c>
      <c r="G6299" s="5" t="str">
        <f>IFERROR(__xludf.DUMMYFUNCTION("GOOGLETRANSLATE(D6299,""fr"",""es"")"),"Yanne")</f>
        <v>Yanne</v>
      </c>
    </row>
    <row r="6300">
      <c r="A6300" s="4">
        <v>842.0</v>
      </c>
      <c r="B6300" s="4" t="s">
        <v>13990</v>
      </c>
      <c r="C6300" s="4"/>
      <c r="D6300" s="4" t="s">
        <v>13950</v>
      </c>
      <c r="E6300" s="4" t="s">
        <v>13951</v>
      </c>
      <c r="F6300" s="4" t="s">
        <v>13952</v>
      </c>
      <c r="G6300" s="5" t="str">
        <f>IFERROR(__xludf.DUMMYFUNCTION("GOOGLETRANSLATE(D6300,""fr"",""es"")"),"Yannick")</f>
        <v>Yannick</v>
      </c>
    </row>
    <row r="6301">
      <c r="A6301" s="4">
        <v>843.0</v>
      </c>
      <c r="B6301" s="4" t="s">
        <v>13990</v>
      </c>
      <c r="C6301" s="4"/>
      <c r="D6301" s="4" t="s">
        <v>7998</v>
      </c>
      <c r="E6301" s="4" t="s">
        <v>13953</v>
      </c>
      <c r="F6301" s="4" t="s">
        <v>7998</v>
      </c>
      <c r="G6301" s="5" t="str">
        <f>IFERROR(__xludf.DUMMYFUNCTION("GOOGLETRANSLATE(D6301,""fr"",""es"")"),"yin")</f>
        <v>yin</v>
      </c>
      <c r="H6301" s="4" t="s">
        <v>7998</v>
      </c>
    </row>
    <row r="6302">
      <c r="A6302" s="4">
        <v>844.0</v>
      </c>
      <c r="B6302" s="4" t="s">
        <v>13990</v>
      </c>
      <c r="C6302" s="4"/>
      <c r="D6302" s="4" t="s">
        <v>13954</v>
      </c>
      <c r="E6302" s="4" t="s">
        <v>13955</v>
      </c>
      <c r="F6302" s="4" t="s">
        <v>13956</v>
      </c>
      <c r="G6302" s="5" t="str">
        <f>IFERROR(__xludf.DUMMYFUNCTION("GOOGLETRANSLATE(D6302,""fr"",""es"")"),"Yoepi")</f>
        <v>Yoepi</v>
      </c>
      <c r="H6302" s="4" t="s">
        <v>13957</v>
      </c>
    </row>
    <row r="6303">
      <c r="A6303" s="4">
        <v>845.0</v>
      </c>
      <c r="B6303" s="4" t="s">
        <v>13990</v>
      </c>
      <c r="C6303" s="4"/>
      <c r="D6303" s="4" t="s">
        <v>13958</v>
      </c>
      <c r="E6303" s="4" t="s">
        <v>13959</v>
      </c>
      <c r="F6303" s="4" t="s">
        <v>13960</v>
      </c>
      <c r="G6303" s="5" t="str">
        <f>IFERROR(__xludf.DUMMYFUNCTION("GOOGLETRANSLATE(D6303,""fr"",""es"")"),"YouPine")</f>
        <v>YouPine</v>
      </c>
    </row>
    <row r="6304">
      <c r="A6304" s="4">
        <v>846.0</v>
      </c>
      <c r="B6304" s="4" t="s">
        <v>13990</v>
      </c>
      <c r="C6304" s="4"/>
      <c r="D6304" s="4" t="s">
        <v>13961</v>
      </c>
      <c r="E6304" s="4" t="s">
        <v>9809</v>
      </c>
      <c r="F6304" s="4" t="s">
        <v>9810</v>
      </c>
      <c r="G6304" s="5" t="str">
        <f>IFERROR(__xludf.DUMMYFUNCTION("GOOGLETRANSLATE(D6304,""fr"",""es"")"),"bote")</f>
        <v>bote</v>
      </c>
      <c r="H6304" s="4" t="s">
        <v>13962</v>
      </c>
      <c r="I6304" s="4" t="s">
        <v>13963</v>
      </c>
      <c r="J6304" s="4" t="s">
        <v>13964</v>
      </c>
      <c r="K6304" s="4" t="s">
        <v>11538</v>
      </c>
      <c r="L6304" s="4" t="s">
        <v>11539</v>
      </c>
      <c r="M6304" s="4" t="s">
        <v>11540</v>
      </c>
    </row>
    <row r="6305">
      <c r="A6305" s="4">
        <v>847.0</v>
      </c>
      <c r="B6305" s="4" t="s">
        <v>13990</v>
      </c>
      <c r="C6305" s="4"/>
      <c r="D6305" s="4" t="s">
        <v>13965</v>
      </c>
      <c r="E6305" s="4" t="s">
        <v>300</v>
      </c>
      <c r="F6305" s="4" t="s">
        <v>301</v>
      </c>
      <c r="G6305" s="5" t="str">
        <f>IFERROR(__xludf.DUMMYFUNCTION("GOOGLETRANSLATE(D6305,""fr"",""es"")"),"ys")</f>
        <v>ys</v>
      </c>
    </row>
    <row r="6306">
      <c r="A6306" s="4">
        <v>848.0</v>
      </c>
      <c r="B6306" s="4" t="s">
        <v>13990</v>
      </c>
      <c r="C6306" s="4"/>
      <c r="D6306" s="4" t="s">
        <v>9837</v>
      </c>
      <c r="E6306" s="4" t="s">
        <v>9836</v>
      </c>
      <c r="F6306" s="4" t="s">
        <v>9837</v>
      </c>
      <c r="G6306" s="5" t="str">
        <f>IFERROR(__xludf.DUMMYFUNCTION("GOOGLETRANSLATE(D6306,""fr"",""es"")"),"Yumi")</f>
        <v>Yumi</v>
      </c>
    </row>
    <row r="6307">
      <c r="A6307" s="4">
        <v>849.0</v>
      </c>
      <c r="B6307" s="4" t="s">
        <v>13990</v>
      </c>
      <c r="C6307" s="4"/>
      <c r="D6307" s="4" t="s">
        <v>13966</v>
      </c>
      <c r="E6307" s="4" t="s">
        <v>591</v>
      </c>
      <c r="F6307" s="4" t="s">
        <v>592</v>
      </c>
      <c r="G6307" s="5" t="str">
        <f>IFERROR(__xludf.DUMMYFUNCTION("GOOGLETRANSLATE(D6307,""fr"",""es"")"),"alma")</f>
        <v>alma</v>
      </c>
      <c r="H6307" s="4" t="s">
        <v>1850</v>
      </c>
      <c r="I6307" s="4" t="s">
        <v>1850</v>
      </c>
      <c r="J6307" s="4" t="s">
        <v>1850</v>
      </c>
      <c r="K6307" s="4" t="s">
        <v>13967</v>
      </c>
      <c r="L6307" s="4" t="s">
        <v>1850</v>
      </c>
      <c r="M6307" s="4" t="s">
        <v>1214</v>
      </c>
    </row>
    <row r="6308">
      <c r="A6308" s="4">
        <v>850.0</v>
      </c>
      <c r="B6308" s="4" t="s">
        <v>13990</v>
      </c>
      <c r="C6308" s="4"/>
      <c r="D6308" s="4" t="s">
        <v>13966</v>
      </c>
      <c r="E6308" s="4" t="s">
        <v>8037</v>
      </c>
      <c r="F6308" s="4" t="s">
        <v>592</v>
      </c>
      <c r="G6308" s="5" t="str">
        <f>IFERROR(__xludf.DUMMYFUNCTION("GOOGLETRANSLATE(D6308,""fr"",""es"")"),"alma")</f>
        <v>alma</v>
      </c>
      <c r="H6308" s="4" t="s">
        <v>1850</v>
      </c>
      <c r="I6308" s="4" t="s">
        <v>1850</v>
      </c>
      <c r="J6308" s="4" t="s">
        <v>1850</v>
      </c>
      <c r="K6308" s="4" t="s">
        <v>13967</v>
      </c>
      <c r="L6308" s="4" t="s">
        <v>1850</v>
      </c>
      <c r="M6308" s="4" t="s">
        <v>1214</v>
      </c>
    </row>
    <row r="6309">
      <c r="A6309" s="4">
        <v>851.0</v>
      </c>
      <c r="B6309" s="4" t="s">
        <v>13990</v>
      </c>
      <c r="C6309" s="4"/>
      <c r="D6309" s="4" t="s">
        <v>13968</v>
      </c>
      <c r="E6309" s="4" t="s">
        <v>8037</v>
      </c>
      <c r="F6309" s="4" t="s">
        <v>592</v>
      </c>
      <c r="G6309" s="5" t="str">
        <f>IFERROR(__xludf.DUMMYFUNCTION("GOOGLETRANSLATE(D6309,""fr"",""es"")"),"almas")</f>
        <v>almas</v>
      </c>
    </row>
    <row r="6310">
      <c r="A6310" s="4">
        <v>852.0</v>
      </c>
      <c r="B6310" s="4" t="s">
        <v>13990</v>
      </c>
      <c r="C6310" s="4"/>
      <c r="D6310" s="4" t="s">
        <v>13969</v>
      </c>
      <c r="E6310" s="4" t="s">
        <v>593</v>
      </c>
      <c r="F6310" s="4" t="s">
        <v>594</v>
      </c>
      <c r="G6310" s="5" t="str">
        <f>IFERROR(__xludf.DUMMYFUNCTION("GOOGLETRANSLATE(D6310,""fr"",""es"")"),"Burro")</f>
        <v>Burro</v>
      </c>
      <c r="H6310" s="4" t="s">
        <v>1627</v>
      </c>
      <c r="I6310" s="4" t="s">
        <v>13970</v>
      </c>
      <c r="J6310" s="4" t="s">
        <v>13971</v>
      </c>
      <c r="K6310" s="4" t="s">
        <v>13972</v>
      </c>
      <c r="L6310" s="4" t="s">
        <v>13973</v>
      </c>
      <c r="M6310" s="4" t="s">
        <v>9113</v>
      </c>
      <c r="N6310" s="4" t="s">
        <v>12208</v>
      </c>
      <c r="O6310" s="4" t="s">
        <v>13971</v>
      </c>
      <c r="P6310" s="4" t="s">
        <v>1627</v>
      </c>
      <c r="Q6310" s="4" t="s">
        <v>2507</v>
      </c>
      <c r="R6310" s="4" t="s">
        <v>2508</v>
      </c>
      <c r="S6310" s="4" t="s">
        <v>2509</v>
      </c>
      <c r="T6310" s="4" t="s">
        <v>2510</v>
      </c>
      <c r="U6310" s="4" t="s">
        <v>2511</v>
      </c>
      <c r="V6310" s="4" t="s">
        <v>2512</v>
      </c>
      <c r="W6310" s="4" t="s">
        <v>2513</v>
      </c>
      <c r="X6310" s="4" t="s">
        <v>2514</v>
      </c>
      <c r="Y6310" s="4" t="s">
        <v>2515</v>
      </c>
    </row>
    <row r="6311">
      <c r="A6311" s="4">
        <v>853.0</v>
      </c>
      <c r="B6311" s="4" t="s">
        <v>13990</v>
      </c>
      <c r="C6311" s="4"/>
      <c r="D6311" s="4" t="s">
        <v>13969</v>
      </c>
      <c r="E6311" s="4" t="s">
        <v>13974</v>
      </c>
      <c r="F6311" s="4" t="s">
        <v>594</v>
      </c>
      <c r="G6311" s="5" t="str">
        <f>IFERROR(__xludf.DUMMYFUNCTION("GOOGLETRANSLATE(D6311,""fr"",""es"")"),"Burro")</f>
        <v>Burro</v>
      </c>
      <c r="H6311" s="4" t="s">
        <v>1627</v>
      </c>
      <c r="I6311" s="4" t="s">
        <v>13970</v>
      </c>
      <c r="J6311" s="4" t="s">
        <v>13971</v>
      </c>
      <c r="K6311" s="4" t="s">
        <v>13972</v>
      </c>
      <c r="L6311" s="4" t="s">
        <v>13973</v>
      </c>
      <c r="M6311" s="4" t="s">
        <v>9113</v>
      </c>
      <c r="N6311" s="4" t="s">
        <v>12208</v>
      </c>
      <c r="O6311" s="4" t="s">
        <v>13971</v>
      </c>
      <c r="P6311" s="4" t="s">
        <v>1627</v>
      </c>
      <c r="Q6311" s="4" t="s">
        <v>2507</v>
      </c>
      <c r="R6311" s="4" t="s">
        <v>2508</v>
      </c>
      <c r="S6311" s="4" t="s">
        <v>2509</v>
      </c>
      <c r="T6311" s="4" t="s">
        <v>2510</v>
      </c>
      <c r="U6311" s="4" t="s">
        <v>2511</v>
      </c>
      <c r="V6311" s="4" t="s">
        <v>2512</v>
      </c>
      <c r="W6311" s="4" t="s">
        <v>2513</v>
      </c>
      <c r="X6311" s="4" t="s">
        <v>2514</v>
      </c>
      <c r="Y6311" s="4" t="s">
        <v>2515</v>
      </c>
    </row>
    <row r="6312">
      <c r="A6312" s="4">
        <v>854.0</v>
      </c>
      <c r="B6312" s="4" t="s">
        <v>13990</v>
      </c>
      <c r="C6312" s="4"/>
      <c r="D6312" s="4" t="s">
        <v>4783</v>
      </c>
      <c r="E6312" s="4" t="s">
        <v>3862</v>
      </c>
      <c r="F6312" s="4" t="s">
        <v>3861</v>
      </c>
      <c r="G6312" s="5" t="str">
        <f>IFERROR(__xludf.DUMMYFUNCTION("GOOGLETRANSLATE(D6312,""fr"",""es"")"),"que")</f>
        <v>que</v>
      </c>
    </row>
    <row r="6313">
      <c r="A6313" s="4">
        <v>855.0</v>
      </c>
      <c r="B6313" s="4" t="s">
        <v>13990</v>
      </c>
      <c r="C6313" s="4"/>
      <c r="D6313" s="4" t="s">
        <v>13975</v>
      </c>
      <c r="E6313" s="4" t="s">
        <v>3862</v>
      </c>
      <c r="F6313" s="4" t="s">
        <v>3861</v>
      </c>
      <c r="G6313" s="5" t="str">
        <f>IFERROR(__xludf.DUMMYFUNCTION("GOOGLETRANSLATE(D6313,""fr"",""es"")"),"que")</f>
        <v>que</v>
      </c>
      <c r="H6313" s="4" t="s">
        <v>12389</v>
      </c>
      <c r="I6313" s="4" t="s">
        <v>12390</v>
      </c>
    </row>
    <row r="6314">
      <c r="A6314" s="4">
        <v>856.0</v>
      </c>
      <c r="B6314" s="4" t="s">
        <v>13990</v>
      </c>
      <c r="C6314" s="4"/>
      <c r="D6314" s="4" t="s">
        <v>13976</v>
      </c>
      <c r="E6314" s="4" t="s">
        <v>9010</v>
      </c>
      <c r="F6314" s="4" t="s">
        <v>6341</v>
      </c>
      <c r="G6314" s="5" t="str">
        <f>IFERROR(__xludf.DUMMYFUNCTION("GOOGLETRANSLATE(D6314,""fr"",""es"")"),"isla")</f>
        <v>isla</v>
      </c>
      <c r="H6314" s="4" t="s">
        <v>1899</v>
      </c>
      <c r="I6314" s="4" t="s">
        <v>13977</v>
      </c>
      <c r="J6314" s="4" t="s">
        <v>13978</v>
      </c>
      <c r="K6314" s="4" t="s">
        <v>13979</v>
      </c>
      <c r="L6314" s="4" t="s">
        <v>13980</v>
      </c>
      <c r="M6314" s="4" t="s">
        <v>13981</v>
      </c>
      <c r="N6314" s="4" t="s">
        <v>13982</v>
      </c>
      <c r="O6314" s="4" t="s">
        <v>13983</v>
      </c>
      <c r="P6314" s="4" t="s">
        <v>13984</v>
      </c>
      <c r="Q6314" s="4" t="s">
        <v>1899</v>
      </c>
      <c r="R6314" s="4" t="s">
        <v>13985</v>
      </c>
      <c r="S6314" s="4" t="s">
        <v>13986</v>
      </c>
    </row>
    <row r="6315">
      <c r="A6315" s="4">
        <v>857.0</v>
      </c>
      <c r="B6315" s="4" t="s">
        <v>13990</v>
      </c>
      <c r="C6315" s="4"/>
      <c r="D6315" s="4" t="s">
        <v>13987</v>
      </c>
      <c r="E6315" s="4" t="s">
        <v>9010</v>
      </c>
      <c r="F6315" s="4" t="s">
        <v>6341</v>
      </c>
      <c r="G6315" s="5" t="str">
        <f>IFERROR(__xludf.DUMMYFUNCTION("GOOGLETRANSLATE(D6315,""fr"",""es"")"),"Islas")</f>
        <v>Islas</v>
      </c>
      <c r="H6315" s="4" t="s">
        <v>13988</v>
      </c>
      <c r="I6315" s="4" t="s">
        <v>13989</v>
      </c>
      <c r="J6315" s="4" t="s">
        <v>1899</v>
      </c>
    </row>
    <row r="6316">
      <c r="A6316" s="4">
        <v>1.0</v>
      </c>
      <c r="B6316" s="4" t="s">
        <v>13991</v>
      </c>
      <c r="C6316" s="4"/>
      <c r="D6316" s="4" t="s">
        <v>13992</v>
      </c>
      <c r="E6316" s="4" t="s">
        <v>13993</v>
      </c>
      <c r="F6316" s="4" t="s">
        <v>4672</v>
      </c>
      <c r="G6316" s="5" t="str">
        <f>IFERROR(__xludf.DUMMYFUNCTION("GOOGLETRANSLATE(D6316,""fr"",""es"")"),"querido")</f>
        <v>querido</v>
      </c>
      <c r="H6316" s="4" t="s">
        <v>13994</v>
      </c>
      <c r="I6316" s="4" t="s">
        <v>6556</v>
      </c>
      <c r="J6316" s="4" t="s">
        <v>13994</v>
      </c>
      <c r="K6316" s="4" t="s">
        <v>13995</v>
      </c>
      <c r="L6316" s="4" t="s">
        <v>6556</v>
      </c>
      <c r="M6316" s="4" t="s">
        <v>13996</v>
      </c>
      <c r="N6316" s="4" t="s">
        <v>6556</v>
      </c>
      <c r="O6316" s="4" t="s">
        <v>3864</v>
      </c>
      <c r="P6316" s="4" t="s">
        <v>10308</v>
      </c>
      <c r="Q6316" s="4" t="s">
        <v>1304</v>
      </c>
      <c r="R6316" s="4" t="s">
        <v>13997</v>
      </c>
      <c r="S6316" s="4" t="s">
        <v>6556</v>
      </c>
      <c r="T6316" s="4" t="s">
        <v>13998</v>
      </c>
      <c r="U6316" s="4" t="s">
        <v>13999</v>
      </c>
      <c r="V6316" s="4" t="s">
        <v>14000</v>
      </c>
      <c r="W6316" s="4" t="s">
        <v>14001</v>
      </c>
      <c r="X6316" s="4" t="s">
        <v>13997</v>
      </c>
      <c r="Y6316" s="4" t="s">
        <v>14002</v>
      </c>
      <c r="Z6316" s="4" t="s">
        <v>5680</v>
      </c>
      <c r="AA6316" s="4" t="s">
        <v>6556</v>
      </c>
      <c r="AB6316" s="4" t="s">
        <v>14003</v>
      </c>
      <c r="AC6316" s="4" t="s">
        <v>14004</v>
      </c>
      <c r="AD6316" s="4" t="s">
        <v>14005</v>
      </c>
      <c r="AE6316" s="4" t="s">
        <v>14006</v>
      </c>
      <c r="AF6316" s="4" t="s">
        <v>6556</v>
      </c>
      <c r="AG6316" s="4" t="s">
        <v>14007</v>
      </c>
      <c r="AH6316" s="4" t="s">
        <v>14008</v>
      </c>
      <c r="AI6316" s="4" t="s">
        <v>14009</v>
      </c>
      <c r="AJ6316" s="4" t="s">
        <v>14004</v>
      </c>
      <c r="AK6316" s="4" t="s">
        <v>4678</v>
      </c>
      <c r="AL6316" s="4" t="s">
        <v>6556</v>
      </c>
    </row>
    <row r="6317">
      <c r="A6317" s="4">
        <v>2.0</v>
      </c>
      <c r="B6317" s="4" t="s">
        <v>13991</v>
      </c>
      <c r="C6317" s="4"/>
      <c r="D6317" s="4" t="s">
        <v>14010</v>
      </c>
      <c r="E6317" s="4" t="s">
        <v>14011</v>
      </c>
      <c r="F6317" s="4" t="s">
        <v>2509</v>
      </c>
      <c r="G6317" s="5" t="str">
        <f>IFERROR(__xludf.DUMMYFUNCTION("GOOGLETRANSLATE(D6317,""fr"",""es"")"),"tierra")</f>
        <v>tierra</v>
      </c>
      <c r="H6317" s="4" t="s">
        <v>14012</v>
      </c>
      <c r="I6317" s="4" t="s">
        <v>7913</v>
      </c>
      <c r="J6317" s="4" t="s">
        <v>11397</v>
      </c>
      <c r="K6317" s="4" t="s">
        <v>14013</v>
      </c>
      <c r="L6317" s="4" t="s">
        <v>11397</v>
      </c>
      <c r="M6317" s="4" t="s">
        <v>13679</v>
      </c>
      <c r="N6317" s="4" t="s">
        <v>14014</v>
      </c>
      <c r="O6317" s="4" t="s">
        <v>14015</v>
      </c>
      <c r="P6317" s="4" t="s">
        <v>2953</v>
      </c>
      <c r="Q6317" s="4" t="s">
        <v>14016</v>
      </c>
      <c r="R6317" s="4" t="s">
        <v>14017</v>
      </c>
      <c r="S6317" s="4" t="s">
        <v>14018</v>
      </c>
      <c r="T6317" s="4" t="s">
        <v>14019</v>
      </c>
      <c r="U6317" s="4" t="s">
        <v>14020</v>
      </c>
      <c r="V6317" s="4" t="s">
        <v>14021</v>
      </c>
      <c r="W6317" s="4" t="s">
        <v>14022</v>
      </c>
      <c r="X6317" s="4" t="s">
        <v>14023</v>
      </c>
      <c r="Y6317" s="4" t="s">
        <v>14024</v>
      </c>
      <c r="Z6317" s="4" t="s">
        <v>6536</v>
      </c>
      <c r="AA6317" s="4" t="s">
        <v>14025</v>
      </c>
      <c r="AB6317" s="4" t="s">
        <v>14026</v>
      </c>
      <c r="AC6317" s="4" t="s">
        <v>11397</v>
      </c>
      <c r="AD6317" s="4" t="s">
        <v>14027</v>
      </c>
      <c r="AE6317" s="4" t="s">
        <v>11397</v>
      </c>
      <c r="AF6317" s="4" t="s">
        <v>14028</v>
      </c>
      <c r="AG6317" s="4" t="s">
        <v>1002</v>
      </c>
      <c r="AH6317" s="4" t="s">
        <v>3624</v>
      </c>
      <c r="AI6317" s="4" t="s">
        <v>6422</v>
      </c>
      <c r="AJ6317" s="4" t="s">
        <v>11397</v>
      </c>
      <c r="AK6317" s="4" t="s">
        <v>11397</v>
      </c>
      <c r="AL6317" s="4" t="s">
        <v>14029</v>
      </c>
      <c r="AM6317" s="4" t="s">
        <v>14030</v>
      </c>
      <c r="AN6317" s="4" t="s">
        <v>11397</v>
      </c>
      <c r="AO6317" s="4" t="s">
        <v>13679</v>
      </c>
      <c r="AP6317" s="4" t="s">
        <v>11397</v>
      </c>
      <c r="AQ6317" s="4" t="s">
        <v>14031</v>
      </c>
      <c r="AR6317" s="4" t="s">
        <v>13678</v>
      </c>
      <c r="AS6317" s="4" t="s">
        <v>13679</v>
      </c>
      <c r="AT6317" s="4" t="s">
        <v>14032</v>
      </c>
      <c r="AU6317" s="4" t="s">
        <v>14033</v>
      </c>
      <c r="AV6317" s="4" t="s">
        <v>2953</v>
      </c>
      <c r="AW6317" s="4" t="s">
        <v>13679</v>
      </c>
      <c r="AX6317" s="4" t="s">
        <v>14034</v>
      </c>
      <c r="AY6317" s="4" t="s">
        <v>13683</v>
      </c>
      <c r="AZ6317" s="4" t="s">
        <v>14035</v>
      </c>
      <c r="BA6317" s="4" t="s">
        <v>2953</v>
      </c>
      <c r="BB6317" s="4" t="s">
        <v>1087</v>
      </c>
      <c r="BC6317" s="4" t="s">
        <v>14036</v>
      </c>
      <c r="BD6317" s="4" t="s">
        <v>4048</v>
      </c>
      <c r="BE6317" s="4" t="s">
        <v>1079</v>
      </c>
      <c r="BF6317" s="4" t="s">
        <v>11388</v>
      </c>
      <c r="BG6317" s="4" t="s">
        <v>11397</v>
      </c>
      <c r="BH6317" s="4" t="s">
        <v>1087</v>
      </c>
      <c r="BI6317" s="4" t="s">
        <v>11400</v>
      </c>
      <c r="BJ6317" s="4" t="s">
        <v>11397</v>
      </c>
      <c r="BK6317" s="4" t="s">
        <v>14037</v>
      </c>
      <c r="BL6317" s="4" t="s">
        <v>13679</v>
      </c>
      <c r="BM6317" s="4" t="s">
        <v>14037</v>
      </c>
      <c r="BN6317" s="4" t="s">
        <v>13679</v>
      </c>
      <c r="BO6317" s="4" t="s">
        <v>14037</v>
      </c>
      <c r="BP6317" s="4" t="s">
        <v>13679</v>
      </c>
      <c r="BQ6317" s="4" t="s">
        <v>2953</v>
      </c>
      <c r="BR6317" s="4" t="s">
        <v>14031</v>
      </c>
      <c r="BS6317" s="4" t="s">
        <v>11397</v>
      </c>
      <c r="BT6317" s="4" t="s">
        <v>13680</v>
      </c>
      <c r="BU6317" s="4" t="s">
        <v>13679</v>
      </c>
      <c r="BV6317" s="4" t="s">
        <v>13678</v>
      </c>
      <c r="BW6317" s="4" t="s">
        <v>13681</v>
      </c>
      <c r="BX6317" s="4" t="s">
        <v>13682</v>
      </c>
      <c r="BY6317" s="4" t="s">
        <v>11397</v>
      </c>
      <c r="BZ6317" s="4" t="s">
        <v>13678</v>
      </c>
      <c r="CA6317" s="4" t="s">
        <v>4048</v>
      </c>
      <c r="CB6317" s="4" t="s">
        <v>2953</v>
      </c>
      <c r="CC6317" s="4" t="s">
        <v>14038</v>
      </c>
      <c r="CD6317" s="4" t="s">
        <v>14039</v>
      </c>
      <c r="CE6317" s="4" t="s">
        <v>14040</v>
      </c>
      <c r="CF6317" s="4" t="s">
        <v>11396</v>
      </c>
      <c r="CG6317" s="4" t="s">
        <v>11397</v>
      </c>
      <c r="CH6317" s="4" t="s">
        <v>11398</v>
      </c>
      <c r="CI6317" s="4" t="s">
        <v>11399</v>
      </c>
      <c r="CJ6317" s="4" t="s">
        <v>11400</v>
      </c>
      <c r="CK6317" s="4" t="s">
        <v>11397</v>
      </c>
      <c r="CL6317" s="4" t="s">
        <v>12220</v>
      </c>
      <c r="CM6317" s="4" t="s">
        <v>14031</v>
      </c>
      <c r="CN6317" s="4" t="s">
        <v>14041</v>
      </c>
      <c r="CO6317" s="4" t="s">
        <v>13683</v>
      </c>
      <c r="CP6317" s="4" t="s">
        <v>10300</v>
      </c>
      <c r="CQ6317" s="4" t="s">
        <v>4050</v>
      </c>
      <c r="CR6317" s="4" t="s">
        <v>4048</v>
      </c>
      <c r="CS6317" s="4" t="s">
        <v>2868</v>
      </c>
      <c r="CT6317" s="4" t="s">
        <v>13759</v>
      </c>
      <c r="CU6317" s="4" t="s">
        <v>13760</v>
      </c>
      <c r="CV6317" s="4" t="s">
        <v>13679</v>
      </c>
      <c r="CW6317" s="4" t="s">
        <v>13678</v>
      </c>
      <c r="CX6317" s="4" t="s">
        <v>13679</v>
      </c>
      <c r="CY6317" s="4" t="s">
        <v>4048</v>
      </c>
      <c r="CZ6317" s="4" t="s">
        <v>13683</v>
      </c>
    </row>
    <row r="6318">
      <c r="A6318" s="4">
        <v>3.0</v>
      </c>
      <c r="B6318" s="4" t="s">
        <v>13991</v>
      </c>
      <c r="C6318" s="4"/>
      <c r="D6318" s="4" t="s">
        <v>4555</v>
      </c>
      <c r="E6318" s="4" t="s">
        <v>421</v>
      </c>
      <c r="F6318" s="4" t="s">
        <v>422</v>
      </c>
      <c r="G6318" s="5" t="str">
        <f>IFERROR(__xludf.DUMMYFUNCTION("GOOGLETRANSLATE(D6318,""fr"",""es"")"),"tú")</f>
        <v>tú</v>
      </c>
      <c r="H6318" s="4" t="s">
        <v>14042</v>
      </c>
      <c r="I6318" s="4" t="s">
        <v>14043</v>
      </c>
      <c r="J6318" s="4" t="s">
        <v>3598</v>
      </c>
      <c r="K6318" s="4" t="s">
        <v>14042</v>
      </c>
      <c r="L6318" s="4" t="s">
        <v>14044</v>
      </c>
      <c r="M6318" s="4" t="s">
        <v>2624</v>
      </c>
      <c r="N6318" s="4" t="s">
        <v>2625</v>
      </c>
      <c r="O6318" s="4">
        <v>1000.0</v>
      </c>
      <c r="P6318" s="4" t="s">
        <v>2628</v>
      </c>
      <c r="Q6318" s="4" t="s">
        <v>2629</v>
      </c>
      <c r="R6318" s="4" t="s">
        <v>2630</v>
      </c>
      <c r="S6318" s="4" t="s">
        <v>2631</v>
      </c>
      <c r="T6318" s="4" t="s">
        <v>2632</v>
      </c>
      <c r="U6318" s="4" t="s">
        <v>2633</v>
      </c>
      <c r="V6318" s="4" t="s">
        <v>2634</v>
      </c>
    </row>
    <row r="6319">
      <c r="A6319" s="4">
        <v>1.0</v>
      </c>
      <c r="B6319" s="4" t="s">
        <v>14045</v>
      </c>
      <c r="C6319" s="4"/>
      <c r="D6319" s="4" t="s">
        <v>14046</v>
      </c>
      <c r="E6319" s="4" t="s">
        <v>14047</v>
      </c>
      <c r="F6319" s="4" t="s">
        <v>14048</v>
      </c>
      <c r="G6319" s="5" t="str">
        <f>IFERROR(__xludf.DUMMYFUNCTION("GOOGLETRANSLATE(D6319,""gl"",""es"")"),"superar")</f>
        <v>superar</v>
      </c>
    </row>
    <row r="6320">
      <c r="A6320" s="4">
        <v>2.0</v>
      </c>
      <c r="B6320" s="4" t="s">
        <v>14045</v>
      </c>
      <c r="C6320" s="4"/>
      <c r="D6320" s="4" t="s">
        <v>14049</v>
      </c>
      <c r="E6320" s="4" t="s">
        <v>14050</v>
      </c>
      <c r="F6320" s="4" t="s">
        <v>14051</v>
      </c>
      <c r="G6320" s="5" t="str">
        <f>IFERROR(__xludf.DUMMYFUNCTION("GOOGLETRANSLATE(D6320,""gl"",""es"")"),"viniendo")</f>
        <v>viniendo</v>
      </c>
    </row>
    <row r="6321">
      <c r="A6321" s="4">
        <v>3.0</v>
      </c>
      <c r="B6321" s="4" t="s">
        <v>14045</v>
      </c>
      <c r="C6321" s="4"/>
      <c r="D6321" s="4" t="s">
        <v>14052</v>
      </c>
      <c r="E6321" s="4" t="s">
        <v>14053</v>
      </c>
      <c r="F6321" s="4" t="s">
        <v>14054</v>
      </c>
      <c r="G6321" s="5" t="str">
        <f>IFERROR(__xludf.DUMMYFUNCTION("GOOGLETRANSLATE(D6321,""gl"",""es"")"),"mascota")</f>
        <v>mascota</v>
      </c>
    </row>
    <row r="6322">
      <c r="A6322" s="4">
        <v>4.0</v>
      </c>
      <c r="B6322" s="4" t="s">
        <v>14045</v>
      </c>
      <c r="C6322" s="4"/>
      <c r="D6322" s="4" t="s">
        <v>14055</v>
      </c>
      <c r="E6322" s="4" t="s">
        <v>14056</v>
      </c>
      <c r="F6322" s="4" t="s">
        <v>14057</v>
      </c>
      <c r="G6322" s="5" t="str">
        <f>IFERROR(__xludf.DUMMYFUNCTION("GOOGLETRANSLATE(D6322,""gl"",""es"")"),"regalo")</f>
        <v>regalo</v>
      </c>
      <c r="H6322" s="4" t="s">
        <v>1503</v>
      </c>
      <c r="I6322" s="4" t="s">
        <v>14058</v>
      </c>
      <c r="J6322" s="4" t="s">
        <v>14059</v>
      </c>
    </row>
    <row r="6323">
      <c r="A6323" s="4">
        <v>5.0</v>
      </c>
      <c r="B6323" s="4" t="s">
        <v>14045</v>
      </c>
      <c r="C6323" s="4"/>
      <c r="D6323" s="4" t="s">
        <v>14060</v>
      </c>
      <c r="E6323" s="4" t="s">
        <v>14061</v>
      </c>
      <c r="F6323" s="4" t="s">
        <v>14062</v>
      </c>
      <c r="G6323" s="5" t="str">
        <f>IFERROR(__xludf.DUMMYFUNCTION("GOOGLETRANSLATE(D6323,""gl"",""es"")"),"envejecimiento")</f>
        <v>envejecimiento</v>
      </c>
    </row>
    <row r="6324">
      <c r="A6324" s="4">
        <v>6.0</v>
      </c>
      <c r="B6324" s="4" t="s">
        <v>14045</v>
      </c>
      <c r="C6324" s="4"/>
      <c r="D6324" s="4" t="s">
        <v>14063</v>
      </c>
      <c r="E6324" s="4" t="s">
        <v>14064</v>
      </c>
      <c r="F6324" s="4" t="s">
        <v>14065</v>
      </c>
      <c r="G6324" s="5" t="str">
        <f>IFERROR(__xludf.DUMMYFUNCTION("GOOGLETRANSLATE(D6324,""gl"",""es"")"),"vino")</f>
        <v>vino</v>
      </c>
    </row>
    <row r="6325">
      <c r="A6325" s="4">
        <v>7.0</v>
      </c>
      <c r="B6325" s="4" t="s">
        <v>14045</v>
      </c>
      <c r="C6325" s="4"/>
      <c r="D6325" s="4" t="s">
        <v>14066</v>
      </c>
      <c r="E6325" s="4" t="s">
        <v>14067</v>
      </c>
      <c r="F6325" s="4" t="s">
        <v>14068</v>
      </c>
      <c r="G6325" s="5" t="str">
        <f>IFERROR(__xludf.DUMMYFUNCTION("GOOGLETRANSLATE(D6325,""gl"",""es"")"),"allá")</f>
        <v>allá</v>
      </c>
    </row>
    <row r="6326">
      <c r="A6326" s="4">
        <v>8.0</v>
      </c>
      <c r="B6326" s="4" t="s">
        <v>14045</v>
      </c>
      <c r="C6326" s="4"/>
      <c r="D6326" s="4" t="s">
        <v>14069</v>
      </c>
      <c r="E6326" s="4" t="s">
        <v>14070</v>
      </c>
      <c r="F6326" s="4" t="s">
        <v>14071</v>
      </c>
      <c r="G6326" s="5" t="str">
        <f>IFERROR(__xludf.DUMMYFUNCTION("GOOGLETRANSLATE(D6326,""gl"",""es"")"),"Allariz")</f>
        <v>Allariz</v>
      </c>
    </row>
    <row r="6327">
      <c r="A6327" s="4">
        <v>9.0</v>
      </c>
      <c r="B6327" s="4" t="s">
        <v>14045</v>
      </c>
      <c r="C6327" s="4"/>
      <c r="D6327" s="4" t="s">
        <v>14072</v>
      </c>
      <c r="E6327" s="4" t="s">
        <v>14073</v>
      </c>
      <c r="F6327" s="4" t="s">
        <v>14074</v>
      </c>
      <c r="G6327" s="5" t="str">
        <f>IFERROR(__xludf.DUMMYFUNCTION("GOOGLETRANSLATE(D6327,""gl"",""es"")"),"renta")</f>
        <v>renta</v>
      </c>
    </row>
    <row r="6328">
      <c r="A6328" s="4">
        <v>10.0</v>
      </c>
      <c r="B6328" s="4" t="s">
        <v>14045</v>
      </c>
      <c r="C6328" s="4"/>
      <c r="D6328" s="4" t="s">
        <v>14075</v>
      </c>
      <c r="E6328" s="4" t="s">
        <v>14076</v>
      </c>
      <c r="F6328" s="4" t="s">
        <v>5793</v>
      </c>
      <c r="G6328" s="5" t="str">
        <f>IFERROR(__xludf.DUMMYFUNCTION("GOOGLETRANSLATE(D6328,""gl"",""es"")"),"allá")</f>
        <v>allá</v>
      </c>
    </row>
    <row r="6329">
      <c r="A6329" s="4">
        <v>11.0</v>
      </c>
      <c r="B6329" s="4" t="s">
        <v>14045</v>
      </c>
      <c r="C6329" s="4"/>
      <c r="D6329" s="4" t="s">
        <v>14077</v>
      </c>
      <c r="E6329" s="4" t="s">
        <v>14078</v>
      </c>
      <c r="F6329" s="4" t="s">
        <v>14077</v>
      </c>
      <c r="G6329" s="5" t="str">
        <f>IFERROR(__xludf.DUMMYFUNCTION("GOOGLETRANSLATE(D6329,""gl"",""es"")"),"preparar")</f>
        <v>preparar</v>
      </c>
    </row>
    <row r="6330">
      <c r="A6330" s="4">
        <v>12.0</v>
      </c>
      <c r="B6330" s="4" t="s">
        <v>14045</v>
      </c>
      <c r="C6330" s="4"/>
      <c r="D6330" s="4" t="s">
        <v>14079</v>
      </c>
      <c r="E6330" s="4" t="s">
        <v>14080</v>
      </c>
      <c r="F6330" s="4" t="s">
        <v>14081</v>
      </c>
      <c r="G6330" s="5" t="str">
        <f>IFERROR(__xludf.DUMMYFUNCTION("GOOGLETRANSLATE(D6330,""gl"",""es"")"),"pileta")</f>
        <v>pileta</v>
      </c>
    </row>
    <row r="6331">
      <c r="A6331" s="4">
        <v>13.0</v>
      </c>
      <c r="B6331" s="4" t="s">
        <v>14045</v>
      </c>
      <c r="C6331" s="4"/>
      <c r="D6331" s="4" t="s">
        <v>14082</v>
      </c>
      <c r="E6331" s="4" t="s">
        <v>14083</v>
      </c>
      <c r="F6331" s="4" t="s">
        <v>14082</v>
      </c>
      <c r="G6331" s="5" t="str">
        <f>IFERROR(__xludf.DUMMYFUNCTION("GOOGLETRANSLATE(D6331,""gl"",""es"")"),"armar")</f>
        <v>armar</v>
      </c>
    </row>
    <row r="6332">
      <c r="A6332" s="4">
        <v>14.0</v>
      </c>
      <c r="B6332" s="4" t="s">
        <v>14045</v>
      </c>
      <c r="C6332" s="4"/>
      <c r="D6332" s="4" t="s">
        <v>14084</v>
      </c>
      <c r="E6332" s="4" t="s">
        <v>14085</v>
      </c>
      <c r="F6332" s="4" t="s">
        <v>14084</v>
      </c>
      <c r="G6332" s="5" t="str">
        <f>IFERROR(__xludf.DUMMYFUNCTION("GOOGLETRANSLATE(D6332,""gl"",""es"")"),"apaciguar")</f>
        <v>apaciguar</v>
      </c>
    </row>
    <row r="6333">
      <c r="A6333" s="4">
        <v>15.0</v>
      </c>
      <c r="B6333" s="4" t="s">
        <v>14045</v>
      </c>
      <c r="C6333" s="4"/>
      <c r="D6333" s="4" t="s">
        <v>814</v>
      </c>
      <c r="E6333" s="4" t="s">
        <v>815</v>
      </c>
      <c r="F6333" s="4" t="s">
        <v>816</v>
      </c>
      <c r="G6333" s="5" t="str">
        <f>IFERROR(__xludf.DUMMYFUNCTION("GOOGLETRANSLATE(D6333,""gl"",""es"")"),"aquí")</f>
        <v>aquí</v>
      </c>
      <c r="H6333" s="4" t="s">
        <v>12389</v>
      </c>
    </row>
    <row r="6334">
      <c r="A6334" s="4">
        <v>16.0</v>
      </c>
      <c r="B6334" s="4" t="s">
        <v>14045</v>
      </c>
      <c r="C6334" s="4"/>
      <c r="D6334" s="4" t="s">
        <v>14086</v>
      </c>
      <c r="E6334" s="4" t="s">
        <v>14087</v>
      </c>
      <c r="F6334" s="4" t="s">
        <v>14086</v>
      </c>
      <c r="G6334" s="5" t="str">
        <f>IFERROR(__xludf.DUMMYFUNCTION("GOOGLETRANSLATE(D6334,""gl"",""es"")"),"resolver")</f>
        <v>resolver</v>
      </c>
      <c r="H6334" s="4" t="s">
        <v>2426</v>
      </c>
      <c r="I6334" s="4" t="s">
        <v>11321</v>
      </c>
      <c r="J6334" s="4" t="s">
        <v>14088</v>
      </c>
      <c r="K6334" s="4" t="s">
        <v>313</v>
      </c>
    </row>
    <row r="6335">
      <c r="A6335" s="4">
        <v>17.0</v>
      </c>
      <c r="B6335" s="4" t="s">
        <v>14045</v>
      </c>
      <c r="C6335" s="4"/>
      <c r="D6335" s="4" t="s">
        <v>14089</v>
      </c>
      <c r="E6335" s="4" t="s">
        <v>14090</v>
      </c>
      <c r="F6335" s="4" t="s">
        <v>14089</v>
      </c>
      <c r="G6335" s="5" t="str">
        <f>IFERROR(__xludf.DUMMYFUNCTION("GOOGLETRANSLATE(D6335,""gl"",""es"")"),"tostar")</f>
        <v>tostar</v>
      </c>
    </row>
    <row r="6336">
      <c r="A6336" s="4">
        <v>18.0</v>
      </c>
      <c r="B6336" s="4" t="s">
        <v>14045</v>
      </c>
      <c r="C6336" s="4"/>
      <c r="D6336" s="4" t="s">
        <v>14091</v>
      </c>
      <c r="E6336" s="4" t="s">
        <v>14092</v>
      </c>
      <c r="F6336" s="4" t="s">
        <v>14091</v>
      </c>
      <c r="G6336" s="5" t="str">
        <f>IFERROR(__xludf.DUMMYFUNCTION("GOOGLETRANSLATE(D6336,""gl"",""es"")"),"señal")</f>
        <v>señal</v>
      </c>
    </row>
    <row r="6337">
      <c r="A6337" s="4">
        <v>19.0</v>
      </c>
      <c r="B6337" s="4" t="s">
        <v>14045</v>
      </c>
      <c r="C6337" s="4"/>
      <c r="D6337" s="4" t="s">
        <v>14093</v>
      </c>
      <c r="E6337" s="4" t="s">
        <v>14094</v>
      </c>
      <c r="F6337" s="4" t="s">
        <v>14093</v>
      </c>
      <c r="G6337" s="5" t="str">
        <f>IFERROR(__xludf.DUMMYFUNCTION("GOOGLETRANSLATE(D6337,""gl"",""es"")"),"ataque")</f>
        <v>ataque</v>
      </c>
    </row>
    <row r="6338">
      <c r="A6338" s="4">
        <v>20.0</v>
      </c>
      <c r="B6338" s="4" t="s">
        <v>14045</v>
      </c>
      <c r="C6338" s="4"/>
      <c r="D6338" s="4" t="s">
        <v>938</v>
      </c>
      <c r="E6338" s="4" t="s">
        <v>939</v>
      </c>
      <c r="F6338" s="4" t="s">
        <v>938</v>
      </c>
      <c r="G6338" s="5" t="str">
        <f>IFERROR(__xludf.DUMMYFUNCTION("GOOGLETRANSLATE(D6338,""gl"",""es"")"),"llevar")</f>
        <v>llevar</v>
      </c>
    </row>
    <row r="6339">
      <c r="A6339" s="4">
        <v>21.0</v>
      </c>
      <c r="B6339" s="4" t="s">
        <v>14045</v>
      </c>
      <c r="C6339" s="4"/>
      <c r="D6339" s="4" t="s">
        <v>14095</v>
      </c>
      <c r="E6339" s="4" t="s">
        <v>14096</v>
      </c>
      <c r="F6339" s="4" t="s">
        <v>14097</v>
      </c>
      <c r="G6339" s="5" t="str">
        <f>IFERROR(__xludf.DUMMYFUNCTION("GOOGLETRANSLATE(D6339,""gl"",""es"")"),"pegar")</f>
        <v>pegar</v>
      </c>
    </row>
    <row r="6340">
      <c r="A6340" s="4">
        <v>22.0</v>
      </c>
      <c r="B6340" s="4" t="s">
        <v>14045</v>
      </c>
      <c r="C6340" s="4"/>
      <c r="D6340" s="4" t="s">
        <v>14098</v>
      </c>
      <c r="E6340" s="4" t="s">
        <v>14099</v>
      </c>
      <c r="F6340" s="4" t="s">
        <v>14100</v>
      </c>
      <c r="G6340" s="5" t="str">
        <f>IFERROR(__xludf.DUMMYFUNCTION("GOOGLETRANSLATE(D6340,""gl"",""es"")"),"estrella")</f>
        <v>estrella</v>
      </c>
    </row>
    <row r="6341">
      <c r="A6341" s="4">
        <v>23.0</v>
      </c>
      <c r="B6341" s="4" t="s">
        <v>14045</v>
      </c>
      <c r="C6341" s="4"/>
      <c r="D6341" s="4" t="s">
        <v>14101</v>
      </c>
      <c r="E6341" s="4" t="s">
        <v>14102</v>
      </c>
      <c r="F6341" s="4" t="s">
        <v>14103</v>
      </c>
      <c r="G6341" s="5" t="str">
        <f>IFERROR(__xludf.DUMMYFUNCTION("GOOGLETRANSLATE(D6341,""gl"",""es"")"),"mayordomo")</f>
        <v>mayordomo</v>
      </c>
    </row>
    <row r="6342">
      <c r="A6342" s="4">
        <v>24.0</v>
      </c>
      <c r="B6342" s="4" t="s">
        <v>14045</v>
      </c>
      <c r="C6342" s="4"/>
      <c r="D6342" s="4" t="s">
        <v>14104</v>
      </c>
      <c r="E6342" s="4" t="s">
        <v>14105</v>
      </c>
      <c r="F6342" s="4" t="s">
        <v>14106</v>
      </c>
      <c r="G6342" s="5" t="str">
        <f>IFERROR(__xludf.DUMMYFUNCTION("GOOGLETRANSLATE(D6342,""gl"",""es"")"),"azul")</f>
        <v>azul</v>
      </c>
      <c r="H6342" s="4" t="s">
        <v>405</v>
      </c>
      <c r="I6342" s="4" t="s">
        <v>14107</v>
      </c>
      <c r="J6342" s="4" t="s">
        <v>14108</v>
      </c>
      <c r="K6342" s="4" t="s">
        <v>405</v>
      </c>
      <c r="L6342" s="4" t="s">
        <v>406</v>
      </c>
      <c r="M6342" s="4" t="s">
        <v>14109</v>
      </c>
      <c r="N6342" s="4" t="s">
        <v>14110</v>
      </c>
      <c r="O6342" s="4" t="s">
        <v>405</v>
      </c>
    </row>
    <row r="6343">
      <c r="A6343" s="4">
        <v>25.0</v>
      </c>
      <c r="B6343" s="4" t="s">
        <v>14045</v>
      </c>
      <c r="C6343" s="4"/>
      <c r="D6343" s="4" t="s">
        <v>14104</v>
      </c>
      <c r="E6343" s="4" t="s">
        <v>14111</v>
      </c>
      <c r="F6343" s="4" t="s">
        <v>14112</v>
      </c>
      <c r="G6343" s="5" t="str">
        <f>IFERROR(__xludf.DUMMYFUNCTION("GOOGLETRANSLATE(D6343,""gl"",""es"")"),"azul")</f>
        <v>azul</v>
      </c>
      <c r="H6343" s="4" t="s">
        <v>405</v>
      </c>
      <c r="I6343" s="4" t="s">
        <v>14107</v>
      </c>
      <c r="J6343" s="4" t="s">
        <v>14108</v>
      </c>
      <c r="K6343" s="4" t="s">
        <v>405</v>
      </c>
      <c r="L6343" s="4" t="s">
        <v>406</v>
      </c>
      <c r="M6343" s="4" t="s">
        <v>14109</v>
      </c>
      <c r="N6343" s="4" t="s">
        <v>14110</v>
      </c>
      <c r="O6343" s="4" t="s">
        <v>405</v>
      </c>
    </row>
    <row r="6344">
      <c r="A6344" s="4">
        <v>26.0</v>
      </c>
      <c r="B6344" s="4" t="s">
        <v>14045</v>
      </c>
      <c r="C6344" s="4"/>
      <c r="D6344" s="4" t="s">
        <v>14113</v>
      </c>
      <c r="E6344" s="4" t="s">
        <v>14114</v>
      </c>
      <c r="F6344" s="4" t="s">
        <v>14115</v>
      </c>
      <c r="G6344" s="5" t="str">
        <f>IFERROR(__xludf.DUMMYFUNCTION("GOOGLETRANSLATE(D6344,""gl"",""es"")"),"truco")</f>
        <v>truco</v>
      </c>
    </row>
    <row r="6345">
      <c r="A6345" s="4">
        <v>27.0</v>
      </c>
      <c r="B6345" s="4" t="s">
        <v>14045</v>
      </c>
      <c r="C6345" s="4"/>
      <c r="D6345" s="4" t="s">
        <v>14116</v>
      </c>
      <c r="E6345" s="4" t="s">
        <v>11951</v>
      </c>
      <c r="F6345" s="4" t="s">
        <v>11811</v>
      </c>
      <c r="G6345" s="5" t="str">
        <f>IFERROR(__xludf.DUMMYFUNCTION("GOOGLETRANSLATE(D6345,""gl"",""es"")"),"tambor")</f>
        <v>tambor</v>
      </c>
    </row>
    <row r="6346">
      <c r="A6346" s="4">
        <v>28.0</v>
      </c>
      <c r="B6346" s="4" t="s">
        <v>14045</v>
      </c>
      <c r="C6346" s="4"/>
      <c r="D6346" s="4" t="s">
        <v>973</v>
      </c>
      <c r="E6346" s="4" t="s">
        <v>974</v>
      </c>
      <c r="F6346" s="4" t="s">
        <v>975</v>
      </c>
      <c r="G6346" s="5" t="str">
        <f>IFERROR(__xludf.DUMMYFUNCTION("GOOGLETRANSLATE(D6346,""gl"",""es"")"),"tiza")</f>
        <v>tiza</v>
      </c>
      <c r="H6346" s="4" t="s">
        <v>14117</v>
      </c>
      <c r="I6346" s="4" t="s">
        <v>2166</v>
      </c>
      <c r="J6346" s="4" t="s">
        <v>14118</v>
      </c>
      <c r="K6346" s="4" t="s">
        <v>14119</v>
      </c>
      <c r="L6346" s="4" t="s">
        <v>14120</v>
      </c>
      <c r="M6346" s="4" t="s">
        <v>14121</v>
      </c>
      <c r="N6346" s="4" t="s">
        <v>14122</v>
      </c>
    </row>
    <row r="6347">
      <c r="A6347" s="4">
        <v>29.0</v>
      </c>
      <c r="B6347" s="4" t="s">
        <v>14045</v>
      </c>
      <c r="C6347" s="4"/>
      <c r="D6347" s="4" t="s">
        <v>14123</v>
      </c>
      <c r="E6347" s="4" t="s">
        <v>14124</v>
      </c>
      <c r="F6347" s="4" t="s">
        <v>14125</v>
      </c>
      <c r="G6347" s="5" t="str">
        <f>IFERROR(__xludf.DUMMYFUNCTION("GOOGLETRANSLATE(D6347,""gl"",""es"")"),"calcón")</f>
        <v>calcón</v>
      </c>
    </row>
    <row r="6348">
      <c r="A6348" s="4">
        <v>30.0</v>
      </c>
      <c r="B6348" s="4" t="s">
        <v>14045</v>
      </c>
      <c r="C6348" s="4"/>
      <c r="D6348" s="4" t="s">
        <v>1014</v>
      </c>
      <c r="E6348" s="4" t="s">
        <v>1015</v>
      </c>
      <c r="F6348" s="4" t="s">
        <v>1016</v>
      </c>
      <c r="G6348" s="5" t="str">
        <f>IFERROR(__xludf.DUMMYFUNCTION("GOOGLETRANSLATE(D6348,""gl"",""es"")"),"saltar")</f>
        <v>saltar</v>
      </c>
    </row>
    <row r="6349">
      <c r="A6349" s="4">
        <v>31.0</v>
      </c>
      <c r="B6349" s="4" t="s">
        <v>14045</v>
      </c>
      <c r="C6349" s="4"/>
      <c r="D6349" s="4" t="s">
        <v>1126</v>
      </c>
      <c r="E6349" s="4" t="s">
        <v>1127</v>
      </c>
      <c r="F6349" s="4" t="s">
        <v>1128</v>
      </c>
      <c r="G6349" s="5" t="str">
        <f>IFERROR(__xludf.DUMMYFUNCTION("GOOGLETRANSLATE(D6349,""gl"",""es"")"),"canal")</f>
        <v>canal</v>
      </c>
    </row>
    <row r="6350">
      <c r="A6350" s="4">
        <v>32.0</v>
      </c>
      <c r="B6350" s="4" t="s">
        <v>14045</v>
      </c>
      <c r="C6350" s="4"/>
      <c r="D6350" s="4" t="s">
        <v>14126</v>
      </c>
      <c r="E6350" s="4" t="s">
        <v>14127</v>
      </c>
      <c r="F6350" s="4" t="s">
        <v>14128</v>
      </c>
      <c r="G6350" s="5" t="str">
        <f>IFERROR(__xludf.DUMMYFUNCTION("GOOGLETRANSLATE(D6350,""gl"",""es"")"),"perrera")</f>
        <v>perrera</v>
      </c>
    </row>
    <row r="6351">
      <c r="A6351" s="4">
        <v>33.0</v>
      </c>
      <c r="B6351" s="4" t="s">
        <v>14045</v>
      </c>
      <c r="C6351" s="4"/>
      <c r="D6351" s="4" t="s">
        <v>1334</v>
      </c>
      <c r="E6351" s="4" t="s">
        <v>1335</v>
      </c>
      <c r="F6351" s="4" t="s">
        <v>1336</v>
      </c>
      <c r="G6351" s="5" t="str">
        <f>IFERROR(__xludf.DUMMYFUNCTION("GOOGLETRANSLATE(D6351,""gl"",""es"")"),"abusado")</f>
        <v>abusado</v>
      </c>
    </row>
    <row r="6352">
      <c r="A6352" s="4">
        <v>34.0</v>
      </c>
      <c r="B6352" s="4" t="s">
        <v>14045</v>
      </c>
      <c r="C6352" s="4"/>
      <c r="D6352" s="4" t="s">
        <v>14129</v>
      </c>
      <c r="E6352" s="4" t="s">
        <v>14130</v>
      </c>
      <c r="F6352" s="4" t="s">
        <v>14131</v>
      </c>
      <c r="G6352" s="5" t="str">
        <f>IFERROR(__xludf.DUMMYFUNCTION("GOOGLETRANSLATE(D6352,""gl"",""es"")"),"casal")</f>
        <v>casal</v>
      </c>
    </row>
    <row r="6353">
      <c r="A6353" s="4">
        <v>35.0</v>
      </c>
      <c r="B6353" s="4" t="s">
        <v>14045</v>
      </c>
      <c r="C6353" s="4"/>
      <c r="D6353" s="4" t="s">
        <v>14132</v>
      </c>
      <c r="E6353" s="4" t="s">
        <v>5164</v>
      </c>
      <c r="F6353" s="4" t="s">
        <v>5165</v>
      </c>
      <c r="G6353" s="5" t="str">
        <f>IFERROR(__xludf.DUMMYFUNCTION("GOOGLETRANSLATE(D6353,""gl"",""es"")"),"elogio")</f>
        <v>elogio</v>
      </c>
    </row>
    <row r="6354">
      <c r="A6354" s="4">
        <v>36.0</v>
      </c>
      <c r="B6354" s="4" t="s">
        <v>14045</v>
      </c>
      <c r="C6354" s="4"/>
      <c r="D6354" s="4" t="s">
        <v>14133</v>
      </c>
      <c r="E6354" s="4" t="s">
        <v>14134</v>
      </c>
      <c r="F6354" s="4" t="s">
        <v>14135</v>
      </c>
      <c r="G6354" s="5" t="str">
        <f>IFERROR(__xludf.DUMMYFUNCTION("GOOGLETRANSLATE(D6354,""gl"",""es"")"),"combatiente")</f>
        <v>combatiente</v>
      </c>
    </row>
    <row r="6355">
      <c r="A6355" s="4">
        <v>37.0</v>
      </c>
      <c r="B6355" s="4" t="s">
        <v>14045</v>
      </c>
      <c r="C6355" s="4"/>
      <c r="D6355" s="4" t="s">
        <v>14133</v>
      </c>
      <c r="E6355" s="4" t="s">
        <v>14136</v>
      </c>
      <c r="F6355" s="4" t="s">
        <v>14137</v>
      </c>
      <c r="G6355" s="5" t="str">
        <f>IFERROR(__xludf.DUMMYFUNCTION("GOOGLETRANSLATE(D6355,""gl"",""es"")"),"combatiente")</f>
        <v>combatiente</v>
      </c>
    </row>
    <row r="6356">
      <c r="A6356" s="4">
        <v>38.0</v>
      </c>
      <c r="B6356" s="4" t="s">
        <v>14045</v>
      </c>
      <c r="C6356" s="4"/>
      <c r="D6356" s="4" t="s">
        <v>14138</v>
      </c>
      <c r="E6356" s="4" t="s">
        <v>14139</v>
      </c>
      <c r="F6356" s="4" t="s">
        <v>14140</v>
      </c>
      <c r="G6356" s="5" t="str">
        <f>IFERROR(__xludf.DUMMYFUNCTION("GOOGLETRANSLATE(D6356,""gl"",""es"")"),"captura")</f>
        <v>captura</v>
      </c>
    </row>
    <row r="6357">
      <c r="A6357" s="4">
        <v>39.0</v>
      </c>
      <c r="B6357" s="4" t="s">
        <v>14045</v>
      </c>
      <c r="C6357" s="4"/>
      <c r="D6357" s="4" t="s">
        <v>14141</v>
      </c>
      <c r="E6357" s="4" t="s">
        <v>14142</v>
      </c>
      <c r="F6357" s="4" t="s">
        <v>14143</v>
      </c>
      <c r="G6357" s="5" t="str">
        <f>IFERROR(__xludf.DUMMYFUNCTION("GOOGLETRANSLATE(D6357,""gl"",""es"")"),"collar")</f>
        <v>collar</v>
      </c>
      <c r="H6357" s="4" t="s">
        <v>1462</v>
      </c>
    </row>
    <row r="6358">
      <c r="A6358" s="4">
        <v>40.0</v>
      </c>
      <c r="B6358" s="4" t="s">
        <v>14045</v>
      </c>
      <c r="C6358" s="4"/>
      <c r="D6358" s="4" t="s">
        <v>14144</v>
      </c>
      <c r="E6358" s="4" t="s">
        <v>14145</v>
      </c>
      <c r="F6358" s="4" t="s">
        <v>1528</v>
      </c>
      <c r="G6358" s="5" t="str">
        <f>IFERROR(__xludf.DUMMYFUNCTION("GOOGLETRANSLATE(D6358,""gl"",""es"")"),"cómo")</f>
        <v>cómo</v>
      </c>
    </row>
    <row r="6359">
      <c r="A6359" s="4">
        <v>41.0</v>
      </c>
      <c r="B6359" s="4" t="s">
        <v>14045</v>
      </c>
      <c r="C6359" s="4"/>
      <c r="D6359" s="4" t="s">
        <v>1662</v>
      </c>
      <c r="E6359" s="4" t="s">
        <v>1665</v>
      </c>
      <c r="F6359" s="4" t="s">
        <v>1666</v>
      </c>
      <c r="G6359" s="5" t="str">
        <f>IFERROR(__xludf.DUMMYFUNCTION("GOOGLETRANSLATE(D6359,""gl"",""es"")"),"curar")</f>
        <v>curar</v>
      </c>
    </row>
    <row r="6360">
      <c r="A6360" s="4">
        <v>42.0</v>
      </c>
      <c r="B6360" s="4" t="s">
        <v>14045</v>
      </c>
      <c r="C6360" s="4"/>
      <c r="D6360" s="4" t="s">
        <v>14146</v>
      </c>
      <c r="E6360" s="4" t="s">
        <v>11836</v>
      </c>
      <c r="F6360" s="4" t="s">
        <v>11837</v>
      </c>
      <c r="G6360" s="5" t="str">
        <f>IFERROR(__xludf.DUMMYFUNCTION("GOOGLETRANSLATE(D6360,""gl"",""es"")"),"cálido")</f>
        <v>cálido</v>
      </c>
    </row>
    <row r="6361">
      <c r="A6361" s="4">
        <v>43.0</v>
      </c>
      <c r="B6361" s="4" t="s">
        <v>14045</v>
      </c>
      <c r="C6361" s="4"/>
      <c r="D6361" s="4" t="s">
        <v>14147</v>
      </c>
      <c r="E6361" s="4" t="s">
        <v>14148</v>
      </c>
      <c r="F6361" s="4" t="s">
        <v>14149</v>
      </c>
      <c r="G6361" s="5" t="str">
        <f>IFERROR(__xludf.DUMMYFUNCTION("GOOGLETRANSLATE(D6361,""gl"",""es"")"),"tener")</f>
        <v>tener</v>
      </c>
    </row>
    <row r="6362">
      <c r="A6362" s="4">
        <v>44.0</v>
      </c>
      <c r="B6362" s="4" t="s">
        <v>14045</v>
      </c>
      <c r="C6362" s="4"/>
      <c r="D6362" s="4" t="s">
        <v>1786</v>
      </c>
      <c r="E6362" s="4" t="s">
        <v>593</v>
      </c>
      <c r="F6362" s="4" t="s">
        <v>594</v>
      </c>
      <c r="G6362" s="5" t="str">
        <f>IFERROR(__xludf.DUMMYFUNCTION("GOOGLETRANSLATE(D6362,""gl"",""es"")"),"decir ah")</f>
        <v>decir ah</v>
      </c>
    </row>
    <row r="6363">
      <c r="A6363" s="4">
        <v>45.0</v>
      </c>
      <c r="B6363" s="4" t="s">
        <v>14045</v>
      </c>
      <c r="C6363" s="4"/>
      <c r="D6363" s="4" t="s">
        <v>1787</v>
      </c>
      <c r="E6363" s="4" t="s">
        <v>294</v>
      </c>
      <c r="F6363" s="4" t="s">
        <v>295</v>
      </c>
      <c r="G6363" s="5" t="str">
        <f>IFERROR(__xludf.DUMMYFUNCTION("GOOGLETRANSLATE(D6363,""gl"",""es"")"),"decir ah")</f>
        <v>decir ah</v>
      </c>
    </row>
    <row r="6364">
      <c r="A6364" s="4">
        <v>46.0</v>
      </c>
      <c r="B6364" s="4" t="s">
        <v>14045</v>
      </c>
      <c r="C6364" s="4"/>
      <c r="D6364" s="4" t="s">
        <v>14150</v>
      </c>
      <c r="E6364" s="4" t="s">
        <v>14151</v>
      </c>
      <c r="F6364" s="4" t="s">
        <v>14152</v>
      </c>
      <c r="G6364" s="5" t="str">
        <f>IFERROR(__xludf.DUMMYFUNCTION("GOOGLETRANSLATE(D6364,""gl"",""es"")"),"humillar")</f>
        <v>humillar</v>
      </c>
    </row>
    <row r="6365">
      <c r="A6365" s="4">
        <v>47.0</v>
      </c>
      <c r="B6365" s="4" t="s">
        <v>14045</v>
      </c>
      <c r="C6365" s="4"/>
      <c r="D6365" s="4" t="s">
        <v>1897</v>
      </c>
      <c r="E6365" s="4" t="s">
        <v>1898</v>
      </c>
      <c r="F6365" s="4" t="s">
        <v>1897</v>
      </c>
      <c r="G6365" s="5" t="str">
        <f>IFERROR(__xludf.DUMMYFUNCTION("GOOGLETRANSLATE(D6365,""gl"",""es"")"),"Isla")</f>
        <v>Isla</v>
      </c>
      <c r="H6365" s="4" t="s">
        <v>1899</v>
      </c>
    </row>
    <row r="6366">
      <c r="A6366" s="4">
        <v>48.0</v>
      </c>
      <c r="B6366" s="4" t="s">
        <v>14045</v>
      </c>
      <c r="C6366" s="4"/>
      <c r="D6366" s="4" t="s">
        <v>14153</v>
      </c>
      <c r="E6366" s="4" t="s">
        <v>14154</v>
      </c>
      <c r="F6366" s="4" t="s">
        <v>14153</v>
      </c>
      <c r="G6366" s="5" t="str">
        <f>IFERROR(__xludf.DUMMYFUNCTION("GOOGLETRANSLATE(D6366,""gl"",""es"")"),"aislar")</f>
        <v>aislar</v>
      </c>
    </row>
    <row r="6367">
      <c r="A6367" s="4">
        <v>49.0</v>
      </c>
      <c r="B6367" s="4" t="s">
        <v>14045</v>
      </c>
      <c r="C6367" s="4"/>
      <c r="D6367" s="4" t="s">
        <v>14155</v>
      </c>
      <c r="E6367" s="4" t="s">
        <v>14156</v>
      </c>
      <c r="F6367" s="4" t="s">
        <v>14157</v>
      </c>
      <c r="G6367" s="5" t="str">
        <f>IFERROR(__xludf.DUMMYFUNCTION("GOOGLETRANSLATE(D6367,""gl"",""es"")"),"imaginar")</f>
        <v>imaginar</v>
      </c>
    </row>
    <row r="6368">
      <c r="A6368" s="4">
        <v>50.0</v>
      </c>
      <c r="B6368" s="4" t="s">
        <v>14045</v>
      </c>
      <c r="C6368" s="4"/>
      <c r="D6368" s="4" t="s">
        <v>1905</v>
      </c>
      <c r="E6368" s="4" t="s">
        <v>1912</v>
      </c>
      <c r="F6368" s="4" t="s">
        <v>1905</v>
      </c>
      <c r="G6368" s="5" t="str">
        <f>IFERROR(__xludf.DUMMYFUNCTION("GOOGLETRANSLATE(D6368,""gl"",""es"")"),"falso")</f>
        <v>falso</v>
      </c>
    </row>
    <row r="6369">
      <c r="A6369" s="4">
        <v>51.0</v>
      </c>
      <c r="B6369" s="4" t="s">
        <v>14045</v>
      </c>
      <c r="C6369" s="4"/>
      <c r="D6369" s="4" t="s">
        <v>14158</v>
      </c>
      <c r="E6369" s="4" t="s">
        <v>14159</v>
      </c>
      <c r="F6369" s="4" t="s">
        <v>14160</v>
      </c>
      <c r="G6369" s="5" t="str">
        <f>IFERROR(__xludf.DUMMYFUNCTION("GOOGLETRANSLATE(D6369,""gl"",""es"")"),"Wland")</f>
        <v>Wland</v>
      </c>
    </row>
    <row r="6370">
      <c r="A6370" s="4">
        <v>52.0</v>
      </c>
      <c r="B6370" s="4" t="s">
        <v>14045</v>
      </c>
      <c r="C6370" s="4"/>
      <c r="D6370" s="4" t="s">
        <v>14161</v>
      </c>
      <c r="E6370" s="4" t="s">
        <v>14162</v>
      </c>
      <c r="F6370" s="4" t="s">
        <v>14163</v>
      </c>
      <c r="G6370" s="5" t="str">
        <f>IFERROR(__xludf.DUMMYFUNCTION("GOOGLETRANSLATE(D6370,""gl"",""es"")"),"Laia")</f>
        <v>Laia</v>
      </c>
    </row>
    <row r="6371">
      <c r="A6371" s="4">
        <v>53.0</v>
      </c>
      <c r="B6371" s="4" t="s">
        <v>14045</v>
      </c>
      <c r="C6371" s="4"/>
      <c r="D6371" s="4" t="s">
        <v>14164</v>
      </c>
      <c r="E6371" s="4" t="s">
        <v>14165</v>
      </c>
      <c r="F6371" s="4" t="s">
        <v>14166</v>
      </c>
      <c r="G6371" s="5" t="str">
        <f>IFERROR(__xludf.DUMMYFUNCTION("GOOGLETRANSLATE(D6371,""gl"",""es"")"),"lodo")</f>
        <v>lodo</v>
      </c>
      <c r="H6371" s="4" t="s">
        <v>14167</v>
      </c>
      <c r="I6371" s="4" t="s">
        <v>14168</v>
      </c>
      <c r="J6371" s="4" t="s">
        <v>10619</v>
      </c>
      <c r="K6371" s="4" t="s">
        <v>14169</v>
      </c>
      <c r="L6371" s="4" t="s">
        <v>14170</v>
      </c>
      <c r="M6371" s="4" t="s">
        <v>14171</v>
      </c>
      <c r="N6371" s="4" t="s">
        <v>2760</v>
      </c>
    </row>
    <row r="6372">
      <c r="A6372" s="4">
        <v>54.0</v>
      </c>
      <c r="B6372" s="4" t="s">
        <v>14045</v>
      </c>
      <c r="C6372" s="4"/>
      <c r="D6372" s="4" t="s">
        <v>14164</v>
      </c>
      <c r="E6372" s="4" t="s">
        <v>14172</v>
      </c>
      <c r="F6372" s="4" t="s">
        <v>14173</v>
      </c>
      <c r="G6372" s="5" t="str">
        <f>IFERROR(__xludf.DUMMYFUNCTION("GOOGLETRANSLATE(D6372,""gl"",""es"")"),"lodo")</f>
        <v>lodo</v>
      </c>
      <c r="H6372" s="4" t="s">
        <v>14167</v>
      </c>
      <c r="I6372" s="4" t="s">
        <v>14168</v>
      </c>
      <c r="J6372" s="4" t="s">
        <v>10619</v>
      </c>
      <c r="K6372" s="4" t="s">
        <v>14169</v>
      </c>
      <c r="L6372" s="4" t="s">
        <v>14170</v>
      </c>
      <c r="M6372" s="4" t="s">
        <v>14171</v>
      </c>
      <c r="N6372" s="4" t="s">
        <v>2760</v>
      </c>
    </row>
    <row r="6373">
      <c r="A6373" s="4">
        <v>55.0</v>
      </c>
      <c r="B6373" s="4" t="s">
        <v>14045</v>
      </c>
      <c r="C6373" s="4"/>
      <c r="D6373" s="4" t="s">
        <v>14174</v>
      </c>
      <c r="E6373" s="4" t="s">
        <v>14175</v>
      </c>
      <c r="F6373" s="4" t="s">
        <v>14174</v>
      </c>
      <c r="G6373" s="5" t="str">
        <f>IFERROR(__xludf.DUMMYFUNCTION("GOOGLETRANSLATE(D6373,""gl"",""es"")"),"vuelta")</f>
        <v>vuelta</v>
      </c>
    </row>
    <row r="6374">
      <c r="A6374" s="4">
        <v>56.0</v>
      </c>
      <c r="B6374" s="4" t="s">
        <v>14045</v>
      </c>
      <c r="C6374" s="4"/>
      <c r="D6374" s="4" t="s">
        <v>6569</v>
      </c>
      <c r="E6374" s="4" t="s">
        <v>14176</v>
      </c>
      <c r="F6374" s="4" t="s">
        <v>6569</v>
      </c>
      <c r="G6374" s="5" t="str">
        <f>IFERROR(__xludf.DUMMYFUNCTION("GOOGLETRANSLATE(D6374,""gl"",""es"")"),"lápiz")</f>
        <v>lápiz</v>
      </c>
    </row>
    <row r="6375">
      <c r="A6375" s="4">
        <v>57.0</v>
      </c>
      <c r="B6375" s="4" t="s">
        <v>14045</v>
      </c>
      <c r="C6375" s="4"/>
      <c r="D6375" s="4" t="s">
        <v>14177</v>
      </c>
      <c r="E6375" s="4" t="s">
        <v>14178</v>
      </c>
      <c r="F6375" s="4" t="s">
        <v>14177</v>
      </c>
      <c r="G6375" s="5" t="str">
        <f>IFERROR(__xludf.DUMMYFUNCTION("GOOGLETRANSLATE(D6375,""gl"",""es"")"),"hogar")</f>
        <v>hogar</v>
      </c>
    </row>
    <row r="6376">
      <c r="A6376" s="4">
        <v>58.0</v>
      </c>
      <c r="B6376" s="4" t="s">
        <v>14045</v>
      </c>
      <c r="C6376" s="4"/>
      <c r="D6376" s="4" t="s">
        <v>14179</v>
      </c>
      <c r="E6376" s="4" t="s">
        <v>14180</v>
      </c>
      <c r="F6376" s="4" t="s">
        <v>14179</v>
      </c>
      <c r="G6376" s="5" t="str">
        <f>IFERROR(__xludf.DUMMYFUNCTION("GOOGLETRANSLATE(D6376,""gl"",""es"")"),"derrotar")</f>
        <v>derrotar</v>
      </c>
    </row>
    <row r="6377">
      <c r="A6377" s="4">
        <v>59.0</v>
      </c>
      <c r="B6377" s="4" t="s">
        <v>14045</v>
      </c>
      <c r="C6377" s="4"/>
      <c r="D6377" s="4" t="s">
        <v>14181</v>
      </c>
      <c r="E6377" s="4" t="s">
        <v>14182</v>
      </c>
      <c r="F6377" s="4" t="s">
        <v>14181</v>
      </c>
      <c r="G6377" s="5" t="str">
        <f>IFERROR(__xludf.DUMMYFUNCTION("GOOGLETRANSLATE(D6377,""gl"",""es"")"),"mano de obra")</f>
        <v>mano de obra</v>
      </c>
    </row>
    <row r="6378">
      <c r="A6378" s="4">
        <v>60.0</v>
      </c>
      <c r="B6378" s="4" t="s">
        <v>14045</v>
      </c>
      <c r="C6378" s="4"/>
      <c r="D6378" s="4" t="s">
        <v>14183</v>
      </c>
      <c r="E6378" s="4" t="s">
        <v>14184</v>
      </c>
      <c r="F6378" s="4" t="s">
        <v>14183</v>
      </c>
      <c r="G6378" s="5" t="str">
        <f>IFERROR(__xludf.DUMMYFUNCTION("GOOGLETRANSLATE(D6378,""gl"",""es"")"),"grieta")</f>
        <v>grieta</v>
      </c>
    </row>
    <row r="6379">
      <c r="A6379" s="4">
        <v>61.0</v>
      </c>
      <c r="B6379" s="4" t="s">
        <v>14045</v>
      </c>
      <c r="C6379" s="4"/>
      <c r="D6379" s="4" t="s">
        <v>2322</v>
      </c>
      <c r="E6379" s="4" t="s">
        <v>2323</v>
      </c>
      <c r="F6379" s="4" t="s">
        <v>2322</v>
      </c>
      <c r="G6379" s="5" t="str">
        <f>IFERROR(__xludf.DUMMYFUNCTION("GOOGLETRANSLATE(D6379,""gl"",""es"")"),"mal")</f>
        <v>mal</v>
      </c>
      <c r="H6379" s="4" t="s">
        <v>14185</v>
      </c>
      <c r="I6379" s="4" t="s">
        <v>14186</v>
      </c>
      <c r="J6379" s="4" t="s">
        <v>14187</v>
      </c>
      <c r="K6379" s="4" t="s">
        <v>6345</v>
      </c>
      <c r="L6379" s="4" t="s">
        <v>14188</v>
      </c>
      <c r="M6379" s="4" t="s">
        <v>14189</v>
      </c>
      <c r="N6379" s="4" t="s">
        <v>14190</v>
      </c>
      <c r="O6379" s="4" t="s">
        <v>12640</v>
      </c>
      <c r="P6379" s="4" t="s">
        <v>2343</v>
      </c>
      <c r="Q6379" s="4" t="s">
        <v>2344</v>
      </c>
      <c r="R6379" s="4" t="s">
        <v>2345</v>
      </c>
    </row>
    <row r="6380">
      <c r="A6380" s="4">
        <v>62.0</v>
      </c>
      <c r="B6380" s="4" t="s">
        <v>14045</v>
      </c>
      <c r="C6380" s="4"/>
      <c r="D6380" s="4" t="s">
        <v>14191</v>
      </c>
      <c r="E6380" s="4" t="s">
        <v>14192</v>
      </c>
      <c r="F6380" s="4" t="s">
        <v>14191</v>
      </c>
      <c r="G6380" s="5" t="str">
        <f>IFERROR(__xludf.DUMMYFUNCTION("GOOGLETRANSLATE(D6380,""gl"",""es"")"),"mesal")</f>
        <v>mesal</v>
      </c>
    </row>
    <row r="6381">
      <c r="A6381" s="4">
        <v>63.0</v>
      </c>
      <c r="B6381" s="4" t="s">
        <v>14045</v>
      </c>
      <c r="C6381" s="4"/>
      <c r="D6381" s="4" t="s">
        <v>2293</v>
      </c>
      <c r="E6381" s="4" t="s">
        <v>2473</v>
      </c>
      <c r="F6381" s="4" t="s">
        <v>2293</v>
      </c>
      <c r="G6381" s="5" t="str">
        <f>IFERROR(__xludf.DUMMYFUNCTION("GOOGLETRANSLATE(D6381,""gl"",""es"")"),"mar")</f>
        <v>mar</v>
      </c>
      <c r="H6381" s="4" t="s">
        <v>2474</v>
      </c>
    </row>
    <row r="6382">
      <c r="A6382" s="4">
        <v>64.0</v>
      </c>
      <c r="B6382" s="4" t="s">
        <v>14045</v>
      </c>
      <c r="C6382" s="4"/>
      <c r="D6382" s="4" t="s">
        <v>14193</v>
      </c>
      <c r="E6382" s="4" t="s">
        <v>14194</v>
      </c>
      <c r="F6382" s="4" t="s">
        <v>14195</v>
      </c>
      <c r="G6382" s="5" t="str">
        <f>IFERROR(__xludf.DUMMYFUNCTION("GOOGLETRANSLATE(D6382,""gl"",""es"")"),"mar")</f>
        <v>mar</v>
      </c>
    </row>
    <row r="6383">
      <c r="A6383" s="4">
        <v>65.0</v>
      </c>
      <c r="B6383" s="4" t="s">
        <v>14045</v>
      </c>
      <c r="C6383" s="4"/>
      <c r="D6383" s="4" t="s">
        <v>14196</v>
      </c>
      <c r="E6383" s="4" t="s">
        <v>14197</v>
      </c>
      <c r="F6383" s="4" t="s">
        <v>14198</v>
      </c>
      <c r="G6383" s="5" t="str">
        <f>IFERROR(__xludf.DUMMYFUNCTION("GOOGLETRANSLATE(D6383,""gl"",""es"")"),"mar")</f>
        <v>mar</v>
      </c>
    </row>
    <row r="6384">
      <c r="A6384" s="4">
        <v>66.0</v>
      </c>
      <c r="B6384" s="4" t="s">
        <v>14045</v>
      </c>
      <c r="C6384" s="4"/>
      <c r="D6384" s="4" t="s">
        <v>14199</v>
      </c>
      <c r="E6384" s="4" t="s">
        <v>14200</v>
      </c>
      <c r="F6384" s="4" t="s">
        <v>14201</v>
      </c>
      <c r="G6384" s="5" t="str">
        <f>IFERROR(__xludf.DUMMYFUNCTION("GOOGLETRANSLATE(D6384,""gl"",""es"")"),"mar")</f>
        <v>mar</v>
      </c>
    </row>
    <row r="6385">
      <c r="A6385" s="4">
        <v>67.0</v>
      </c>
      <c r="B6385" s="4" t="s">
        <v>14045</v>
      </c>
      <c r="C6385" s="4"/>
      <c r="D6385" s="4" t="s">
        <v>2566</v>
      </c>
      <c r="E6385" s="4" t="s">
        <v>2567</v>
      </c>
      <c r="F6385" s="4" t="s">
        <v>2566</v>
      </c>
      <c r="G6385" s="5" t="str">
        <f>IFERROR(__xludf.DUMMYFUNCTION("GOOGLETRANSLATE(D6385,""gl"",""es"")"),"matar")</f>
        <v>matar</v>
      </c>
      <c r="H6385" s="4" t="s">
        <v>2570</v>
      </c>
      <c r="I6385" s="4" t="s">
        <v>2570</v>
      </c>
    </row>
    <row r="6386">
      <c r="A6386" s="4">
        <v>68.0</v>
      </c>
      <c r="B6386" s="4" t="s">
        <v>14045</v>
      </c>
      <c r="C6386" s="4"/>
      <c r="D6386" s="4" t="s">
        <v>14202</v>
      </c>
      <c r="E6386" s="4" t="s">
        <v>14203</v>
      </c>
      <c r="F6386" s="4" t="s">
        <v>14204</v>
      </c>
      <c r="G6386" s="5" t="str">
        <f>IFERROR(__xludf.DUMMYFUNCTION("GOOGLETRANSLATE(D6386,""gl"",""es"")"),"malla")</f>
        <v>malla</v>
      </c>
    </row>
    <row r="6387">
      <c r="A6387" s="4">
        <v>69.0</v>
      </c>
      <c r="B6387" s="4" t="s">
        <v>14045</v>
      </c>
      <c r="C6387" s="4"/>
      <c r="D6387" s="4" t="s">
        <v>14202</v>
      </c>
      <c r="E6387" s="4" t="s">
        <v>14205</v>
      </c>
      <c r="F6387" s="4" t="s">
        <v>14206</v>
      </c>
      <c r="G6387" s="5" t="str">
        <f>IFERROR(__xludf.DUMMYFUNCTION("GOOGLETRANSLATE(D6387,""gl"",""es"")"),"malla")</f>
        <v>malla</v>
      </c>
    </row>
    <row r="6388">
      <c r="A6388" s="4">
        <v>70.0</v>
      </c>
      <c r="B6388" s="4" t="s">
        <v>14045</v>
      </c>
      <c r="C6388" s="4"/>
      <c r="D6388" s="4" t="s">
        <v>14207</v>
      </c>
      <c r="E6388" s="4" t="s">
        <v>2444</v>
      </c>
      <c r="F6388" s="4" t="s">
        <v>2445</v>
      </c>
      <c r="G6388" s="5" t="str">
        <f>IFERROR(__xludf.DUMMYFUNCTION("GOOGLETRANSLATE(D6388,""gl"",""es"")"),"Mañana")</f>
        <v>Mañana</v>
      </c>
      <c r="H6388" s="4" t="s">
        <v>14208</v>
      </c>
      <c r="I6388" s="4" t="s">
        <v>2576</v>
      </c>
      <c r="J6388" s="4" t="s">
        <v>2577</v>
      </c>
      <c r="K6388" s="4" t="s">
        <v>2578</v>
      </c>
      <c r="L6388" s="4" t="s">
        <v>2579</v>
      </c>
    </row>
    <row r="6389">
      <c r="A6389" s="4">
        <v>71.0</v>
      </c>
      <c r="B6389" s="4" t="s">
        <v>14045</v>
      </c>
      <c r="C6389" s="4"/>
      <c r="D6389" s="4" t="s">
        <v>342</v>
      </c>
      <c r="E6389" s="4" t="s">
        <v>341</v>
      </c>
      <c r="F6389" s="4" t="s">
        <v>342</v>
      </c>
      <c r="G6389" s="5" t="str">
        <f>IFERROR(__xludf.DUMMYFUNCTION("GOOGLETRANSLATE(D6389,""gl"",""es"")"),"yo")</f>
        <v>yo</v>
      </c>
    </row>
    <row r="6390">
      <c r="A6390" s="4">
        <v>72.0</v>
      </c>
      <c r="B6390" s="4" t="s">
        <v>14045</v>
      </c>
      <c r="C6390" s="4"/>
      <c r="D6390" s="4" t="s">
        <v>14209</v>
      </c>
      <c r="E6390" s="4" t="s">
        <v>14210</v>
      </c>
      <c r="F6390" s="4" t="s">
        <v>14211</v>
      </c>
      <c r="G6390" s="5" t="str">
        <f>IFERROR(__xludf.DUMMYFUNCTION("GOOGLETRANSLATE(D6390,""gl"",""es"")"),"menta")</f>
        <v>menta</v>
      </c>
    </row>
    <row r="6391">
      <c r="A6391" s="4">
        <v>73.0</v>
      </c>
      <c r="B6391" s="4" t="s">
        <v>14045</v>
      </c>
      <c r="C6391" s="4"/>
      <c r="D6391" s="4" t="s">
        <v>2622</v>
      </c>
      <c r="E6391" s="4" t="s">
        <v>2623</v>
      </c>
      <c r="F6391" s="4" t="s">
        <v>2622</v>
      </c>
      <c r="G6391" s="5" t="str">
        <f>IFERROR(__xludf.DUMMYFUNCTION("GOOGLETRANSLATE(D6391,""gl"",""es"")"),"mil")</f>
        <v>mil</v>
      </c>
      <c r="H6391" s="4" t="s">
        <v>2624</v>
      </c>
      <c r="I6391" s="4" t="s">
        <v>2625</v>
      </c>
      <c r="J6391" s="4">
        <v>1000.0</v>
      </c>
      <c r="K6391" s="4" t="s">
        <v>2628</v>
      </c>
      <c r="L6391" s="4" t="s">
        <v>2629</v>
      </c>
      <c r="M6391" s="4" t="s">
        <v>2630</v>
      </c>
      <c r="N6391" s="4" t="s">
        <v>2631</v>
      </c>
      <c r="O6391" s="4" t="s">
        <v>2632</v>
      </c>
      <c r="P6391" s="4" t="s">
        <v>2633</v>
      </c>
      <c r="Q6391" s="4" t="s">
        <v>2634</v>
      </c>
    </row>
    <row r="6392">
      <c r="A6392" s="4">
        <v>74.0</v>
      </c>
      <c r="B6392" s="4" t="s">
        <v>14045</v>
      </c>
      <c r="C6392" s="4"/>
      <c r="D6392" s="4" t="s">
        <v>14212</v>
      </c>
      <c r="E6392" s="4" t="s">
        <v>14213</v>
      </c>
      <c r="F6392" s="4" t="s">
        <v>14212</v>
      </c>
      <c r="G6392" s="5" t="str">
        <f>IFERROR(__xludf.DUMMYFUNCTION("GOOGLETRANSLATE(D6392,""gl"",""es"")"),"Mira")</f>
        <v>Mira</v>
      </c>
      <c r="H6392" s="4" t="s">
        <v>14214</v>
      </c>
      <c r="I6392" s="4" t="s">
        <v>14215</v>
      </c>
      <c r="J6392" s="4" t="s">
        <v>6669</v>
      </c>
      <c r="K6392" s="4" t="s">
        <v>14216</v>
      </c>
      <c r="L6392" s="4" t="s">
        <v>6686</v>
      </c>
    </row>
    <row r="6393">
      <c r="A6393" s="4">
        <v>75.0</v>
      </c>
      <c r="B6393" s="4" t="s">
        <v>14045</v>
      </c>
      <c r="C6393" s="4"/>
      <c r="D6393" s="4" t="s">
        <v>14217</v>
      </c>
      <c r="E6393" s="4" t="s">
        <v>14218</v>
      </c>
      <c r="F6393" s="4" t="s">
        <v>14219</v>
      </c>
      <c r="G6393" s="5" t="str">
        <f>IFERROR(__xludf.DUMMYFUNCTION("GOOGLETRANSLATE(D6393,""gl"",""es"")"),"Leche")</f>
        <v>Leche</v>
      </c>
    </row>
    <row r="6394">
      <c r="A6394" s="4">
        <v>76.0</v>
      </c>
      <c r="B6394" s="4" t="s">
        <v>14045</v>
      </c>
      <c r="C6394" s="4"/>
      <c r="D6394" s="4" t="s">
        <v>14220</v>
      </c>
      <c r="E6394" s="4" t="s">
        <v>14221</v>
      </c>
      <c r="F6394" s="4" t="s">
        <v>14222</v>
      </c>
      <c r="G6394" s="5" t="str">
        <f>IFERROR(__xludf.DUMMYFUNCTION("GOOGLETRANSLATE(D6394,""gl"",""es"")"),"madre")</f>
        <v>madre</v>
      </c>
      <c r="H6394" s="4" t="s">
        <v>8941</v>
      </c>
      <c r="I6394" s="4" t="s">
        <v>8942</v>
      </c>
      <c r="J6394" s="4" t="s">
        <v>8941</v>
      </c>
    </row>
    <row r="6395">
      <c r="A6395" s="4">
        <v>77.0</v>
      </c>
      <c r="B6395" s="4" t="s">
        <v>14045</v>
      </c>
      <c r="C6395" s="4"/>
      <c r="D6395" s="4" t="s">
        <v>14223</v>
      </c>
      <c r="E6395" s="4" t="s">
        <v>14224</v>
      </c>
      <c r="F6395" s="4" t="s">
        <v>14225</v>
      </c>
      <c r="G6395" s="5" t="str">
        <f>IFERROR(__xludf.DUMMYFUNCTION("GOOGLETRANSLATE(D6395,""gl"",""es"")"),"nariz")</f>
        <v>nariz</v>
      </c>
      <c r="H6395" s="4" t="s">
        <v>2933</v>
      </c>
      <c r="I6395" s="4" t="s">
        <v>2934</v>
      </c>
      <c r="J6395" s="4" t="s">
        <v>14225</v>
      </c>
    </row>
    <row r="6396">
      <c r="A6396" s="4">
        <v>78.0</v>
      </c>
      <c r="B6396" s="4" t="s">
        <v>14045</v>
      </c>
      <c r="C6396" s="4"/>
      <c r="D6396" s="4" t="s">
        <v>14223</v>
      </c>
      <c r="E6396" s="4" t="s">
        <v>14226</v>
      </c>
      <c r="F6396" s="4" t="s">
        <v>14227</v>
      </c>
      <c r="G6396" s="5" t="str">
        <f>IFERROR(__xludf.DUMMYFUNCTION("GOOGLETRANSLATE(D6396,""gl"",""es"")"),"nariz")</f>
        <v>nariz</v>
      </c>
      <c r="H6396" s="4" t="s">
        <v>2933</v>
      </c>
      <c r="I6396" s="4" t="s">
        <v>2934</v>
      </c>
      <c r="J6396" s="4" t="s">
        <v>14225</v>
      </c>
    </row>
    <row r="6397">
      <c r="A6397" s="4">
        <v>79.0</v>
      </c>
      <c r="B6397" s="4" t="s">
        <v>14045</v>
      </c>
      <c r="C6397" s="4"/>
      <c r="D6397" s="4" t="s">
        <v>13239</v>
      </c>
      <c r="E6397" s="4" t="s">
        <v>14228</v>
      </c>
      <c r="F6397" s="4" t="s">
        <v>2972</v>
      </c>
      <c r="G6397" s="5" t="str">
        <f>IFERROR(__xludf.DUMMYFUNCTION("GOOGLETRANSLATE(D6397,""gl"",""es"")"),"en el")</f>
        <v>en el</v>
      </c>
      <c r="H6397" s="4" t="s">
        <v>14229</v>
      </c>
      <c r="I6397" s="4" t="s">
        <v>14230</v>
      </c>
      <c r="J6397" s="4" t="s">
        <v>14231</v>
      </c>
    </row>
    <row r="6398">
      <c r="A6398" s="4">
        <v>80.0</v>
      </c>
      <c r="B6398" s="4" t="s">
        <v>14045</v>
      </c>
      <c r="C6398" s="4"/>
      <c r="D6398" s="4" t="s">
        <v>14232</v>
      </c>
      <c r="E6398" s="4" t="s">
        <v>14233</v>
      </c>
      <c r="F6398" s="4" t="s">
        <v>3046</v>
      </c>
      <c r="G6398" s="5" t="str">
        <f>IFERROR(__xludf.DUMMYFUNCTION("GOOGLETRANSLATE(D6398,""gl"",""es"")"),"nosotros")</f>
        <v>nosotros</v>
      </c>
    </row>
    <row r="6399">
      <c r="A6399" s="4">
        <v>81.0</v>
      </c>
      <c r="B6399" s="4" t="s">
        <v>14045</v>
      </c>
      <c r="C6399" s="4"/>
      <c r="D6399" s="4" t="s">
        <v>8580</v>
      </c>
      <c r="E6399" s="4" t="s">
        <v>14234</v>
      </c>
      <c r="F6399" s="4" t="s">
        <v>4668</v>
      </c>
      <c r="G6399" s="5" t="str">
        <f>IFERROR(__xludf.DUMMYFUNCTION("GOOGLETRANSLATE(D6399,""gl"",""es"")"),"la")</f>
        <v>la</v>
      </c>
      <c r="H6399" s="4" t="s">
        <v>8588</v>
      </c>
      <c r="I6399" s="4" t="s">
        <v>8580</v>
      </c>
      <c r="J6399" s="4" t="s">
        <v>8580</v>
      </c>
      <c r="K6399" s="4" t="s">
        <v>8582</v>
      </c>
      <c r="L6399" s="4" t="s">
        <v>8583</v>
      </c>
      <c r="M6399" s="4" t="s">
        <v>8584</v>
      </c>
    </row>
    <row r="6400">
      <c r="A6400" s="4">
        <v>82.0</v>
      </c>
      <c r="B6400" s="4" t="s">
        <v>14045</v>
      </c>
      <c r="C6400" s="4"/>
      <c r="D6400" s="4" t="s">
        <v>14235</v>
      </c>
      <c r="E6400" s="4" t="s">
        <v>14236</v>
      </c>
      <c r="F6400" s="4" t="s">
        <v>14237</v>
      </c>
      <c r="G6400" s="5" t="str">
        <f>IFERROR(__xludf.DUMMYFUNCTION("GOOGLETRANSLATE(D6400,""gl"",""es"")"),"pagar")</f>
        <v>pagar</v>
      </c>
      <c r="H6400" s="4" t="s">
        <v>3910</v>
      </c>
    </row>
    <row r="6401">
      <c r="A6401" s="4">
        <v>83.0</v>
      </c>
      <c r="B6401" s="4" t="s">
        <v>14045</v>
      </c>
      <c r="C6401" s="4"/>
      <c r="D6401" s="4" t="s">
        <v>14238</v>
      </c>
      <c r="E6401" s="4" t="s">
        <v>4850</v>
      </c>
      <c r="F6401" s="4" t="s">
        <v>3910</v>
      </c>
      <c r="G6401" s="5" t="str">
        <f>IFERROR(__xludf.DUMMYFUNCTION("GOOGLETRANSLATE(D6401,""gl"",""es"")"),"padre")</f>
        <v>padre</v>
      </c>
      <c r="H6401" s="4" t="s">
        <v>3294</v>
      </c>
      <c r="I6401" s="4" t="s">
        <v>3295</v>
      </c>
      <c r="J6401" s="4" t="s">
        <v>3296</v>
      </c>
      <c r="K6401" s="4" t="s">
        <v>3147</v>
      </c>
      <c r="L6401" s="4" t="s">
        <v>3292</v>
      </c>
      <c r="M6401" s="4" t="s">
        <v>3297</v>
      </c>
      <c r="N6401" s="4" t="s">
        <v>3298</v>
      </c>
      <c r="O6401" s="4" t="s">
        <v>3299</v>
      </c>
      <c r="P6401" s="4" t="s">
        <v>3300</v>
      </c>
      <c r="Q6401" s="4" t="s">
        <v>3301</v>
      </c>
    </row>
    <row r="6402">
      <c r="A6402" s="4">
        <v>84.0</v>
      </c>
      <c r="B6402" s="4" t="s">
        <v>14045</v>
      </c>
      <c r="C6402" s="4"/>
      <c r="D6402" s="4" t="s">
        <v>3319</v>
      </c>
      <c r="E6402" s="4" t="s">
        <v>3320</v>
      </c>
      <c r="F6402" s="4" t="s">
        <v>3319</v>
      </c>
      <c r="G6402" s="5" t="str">
        <f>IFERROR(__xludf.DUMMYFUNCTION("GOOGLETRANSLATE(D6402,""gl"",""es"")"),"papar")</f>
        <v>papar</v>
      </c>
    </row>
    <row r="6403">
      <c r="A6403" s="4">
        <v>85.0</v>
      </c>
      <c r="B6403" s="4" t="s">
        <v>14045</v>
      </c>
      <c r="C6403" s="4"/>
      <c r="D6403" s="4" t="s">
        <v>14239</v>
      </c>
      <c r="E6403" s="4" t="s">
        <v>14240</v>
      </c>
      <c r="F6403" s="4" t="s">
        <v>14239</v>
      </c>
      <c r="G6403" s="5" t="str">
        <f>IFERROR(__xludf.DUMMYFUNCTION("GOOGLETRANSLATE(D6403,""gl"",""es"")"),"junta")</f>
        <v>junta</v>
      </c>
    </row>
    <row r="6404">
      <c r="A6404" s="4">
        <v>86.0</v>
      </c>
      <c r="B6404" s="4" t="s">
        <v>14045</v>
      </c>
      <c r="C6404" s="4"/>
      <c r="D6404" s="4" t="s">
        <v>14241</v>
      </c>
      <c r="E6404" s="4" t="s">
        <v>3362</v>
      </c>
      <c r="F6404" s="4" t="s">
        <v>3361</v>
      </c>
      <c r="G6404" s="5" t="str">
        <f>IFERROR(__xludf.DUMMYFUNCTION("GOOGLETRANSLATE(D6404,""gl"",""es"")"),"paz")</f>
        <v>paz</v>
      </c>
      <c r="H6404" s="4" t="s">
        <v>444</v>
      </c>
    </row>
    <row r="6405">
      <c r="A6405" s="4">
        <v>87.0</v>
      </c>
      <c r="B6405" s="4" t="s">
        <v>14045</v>
      </c>
      <c r="C6405" s="4"/>
      <c r="D6405" s="4" t="s">
        <v>14241</v>
      </c>
      <c r="E6405" s="4" t="s">
        <v>14242</v>
      </c>
      <c r="F6405" s="4" t="s">
        <v>1112</v>
      </c>
      <c r="G6405" s="5" t="str">
        <f>IFERROR(__xludf.DUMMYFUNCTION("GOOGLETRANSLATE(D6405,""gl"",""es"")"),"paz")</f>
        <v>paz</v>
      </c>
      <c r="H6405" s="4" t="s">
        <v>444</v>
      </c>
    </row>
    <row r="6406">
      <c r="A6406" s="4">
        <v>88.0</v>
      </c>
      <c r="B6406" s="4" t="s">
        <v>14045</v>
      </c>
      <c r="C6406" s="4"/>
      <c r="D6406" s="4" t="s">
        <v>3480</v>
      </c>
      <c r="E6406" s="4" t="s">
        <v>3506</v>
      </c>
      <c r="F6406" s="4" t="s">
        <v>3507</v>
      </c>
      <c r="G6406" s="5" t="str">
        <f>IFERROR(__xludf.DUMMYFUNCTION("GOOGLETRANSLATE(D6406,""gl"",""es"")"),"picadura")</f>
        <v>picadura</v>
      </c>
      <c r="H6406" s="4" t="s">
        <v>4305</v>
      </c>
      <c r="I6406" s="4" t="s">
        <v>3501</v>
      </c>
    </row>
    <row r="6407">
      <c r="A6407" s="4">
        <v>89.0</v>
      </c>
      <c r="B6407" s="4" t="s">
        <v>14045</v>
      </c>
      <c r="C6407" s="4"/>
      <c r="D6407" s="4" t="s">
        <v>14243</v>
      </c>
      <c r="E6407" s="4" t="s">
        <v>14244</v>
      </c>
      <c r="F6407" s="4" t="s">
        <v>14243</v>
      </c>
      <c r="G6407" s="5" t="str">
        <f>IFERROR(__xludf.DUMMYFUNCTION("GOOGLETRANSLATE(D6407,""gl"",""es"")"),"huella")</f>
        <v>huella</v>
      </c>
    </row>
    <row r="6408">
      <c r="A6408" s="4">
        <v>90.0</v>
      </c>
      <c r="B6408" s="4" t="s">
        <v>14045</v>
      </c>
      <c r="C6408" s="4"/>
      <c r="D6408" s="4" t="s">
        <v>14245</v>
      </c>
      <c r="E6408" s="4" t="s">
        <v>14246</v>
      </c>
      <c r="F6408" s="4" t="s">
        <v>14245</v>
      </c>
      <c r="G6408" s="5" t="str">
        <f>IFERROR(__xludf.DUMMYFUNCTION("GOOGLETRANSLATE(D6408,""gl"",""es"")"),"curva")</f>
        <v>curva</v>
      </c>
    </row>
    <row r="6409">
      <c r="A6409" s="4">
        <v>91.0</v>
      </c>
      <c r="B6409" s="4" t="s">
        <v>14045</v>
      </c>
      <c r="C6409" s="4"/>
      <c r="D6409" s="4" t="s">
        <v>14247</v>
      </c>
      <c r="E6409" s="4" t="s">
        <v>14248</v>
      </c>
      <c r="F6409" s="4" t="s">
        <v>14249</v>
      </c>
      <c r="G6409" s="5" t="str">
        <f>IFERROR(__xludf.DUMMYFUNCTION("GOOGLETRANSLATE(D6409,""gl"",""es"")"),"polaco")</f>
        <v>polaco</v>
      </c>
    </row>
    <row r="6410">
      <c r="A6410" s="4">
        <v>92.0</v>
      </c>
      <c r="B6410" s="4" t="s">
        <v>14045</v>
      </c>
      <c r="C6410" s="4"/>
      <c r="D6410" s="4" t="s">
        <v>3726</v>
      </c>
      <c r="E6410" s="4" t="s">
        <v>3725</v>
      </c>
      <c r="F6410" s="4" t="s">
        <v>3726</v>
      </c>
      <c r="G6410" s="5" t="str">
        <f>IFERROR(__xludf.DUMMYFUNCTION("GOOGLETRANSLATE(D6410,""gl"",""es"")"),"daga")</f>
        <v>daga</v>
      </c>
    </row>
    <row r="6411">
      <c r="A6411" s="4">
        <v>93.0</v>
      </c>
      <c r="B6411" s="4" t="s">
        <v>14045</v>
      </c>
      <c r="C6411" s="4"/>
      <c r="D6411" s="4" t="s">
        <v>14250</v>
      </c>
      <c r="E6411" s="4" t="s">
        <v>14251</v>
      </c>
      <c r="F6411" s="4" t="s">
        <v>14250</v>
      </c>
      <c r="G6411" s="5" t="str">
        <f>IFERROR(__xludf.DUMMYFUNCTION("GOOGLETRANSLATE(D6411,""gl"",""es"")"),"poner")</f>
        <v>poner</v>
      </c>
    </row>
    <row r="6412">
      <c r="A6412" s="4">
        <v>94.0</v>
      </c>
      <c r="B6412" s="4" t="s">
        <v>14045</v>
      </c>
      <c r="C6412" s="4"/>
      <c r="D6412" s="4" t="s">
        <v>11577</v>
      </c>
      <c r="E6412" s="4" t="s">
        <v>14252</v>
      </c>
      <c r="F6412" s="4" t="s">
        <v>2014</v>
      </c>
      <c r="G6412" s="5" t="str">
        <f>IFERROR(__xludf.DUMMYFUNCTION("GOOGLETRANSLATE(D6412,""gl"",""es"")"),"qué")</f>
        <v>qué</v>
      </c>
    </row>
    <row r="6413">
      <c r="A6413" s="4">
        <v>95.0</v>
      </c>
      <c r="B6413" s="4" t="s">
        <v>14045</v>
      </c>
      <c r="C6413" s="4"/>
      <c r="D6413" s="4" t="s">
        <v>3861</v>
      </c>
      <c r="E6413" s="4" t="s">
        <v>3862</v>
      </c>
      <c r="F6413" s="4" t="s">
        <v>3861</v>
      </c>
      <c r="G6413" s="5" t="str">
        <f>IFERROR(__xludf.DUMMYFUNCTION("GOOGLETRANSLATE(D6413,""gl"",""es"")"),"sano")</f>
        <v>sano</v>
      </c>
    </row>
    <row r="6414">
      <c r="A6414" s="4">
        <v>96.0</v>
      </c>
      <c r="B6414" s="4" t="s">
        <v>14045</v>
      </c>
      <c r="C6414" s="4"/>
      <c r="D6414" s="4" t="s">
        <v>14253</v>
      </c>
      <c r="E6414" s="4" t="s">
        <v>14254</v>
      </c>
      <c r="F6414" s="4" t="s">
        <v>14255</v>
      </c>
      <c r="G6414" s="5" t="str">
        <f>IFERROR(__xludf.DUMMYFUNCTION("GOOGLETRANSLATE(D6414,""gl"",""es"")"),"retirar")</f>
        <v>retirar</v>
      </c>
      <c r="H6414" s="4" t="s">
        <v>538</v>
      </c>
      <c r="I6414" s="4" t="s">
        <v>887</v>
      </c>
      <c r="J6414" s="4" t="s">
        <v>7928</v>
      </c>
      <c r="K6414" s="4" t="s">
        <v>7929</v>
      </c>
      <c r="L6414" s="4" t="s">
        <v>14256</v>
      </c>
      <c r="M6414" s="4" t="s">
        <v>14257</v>
      </c>
      <c r="N6414" s="4" t="s">
        <v>14258</v>
      </c>
      <c r="O6414" s="4" t="s">
        <v>14259</v>
      </c>
      <c r="P6414" s="4" t="s">
        <v>538</v>
      </c>
      <c r="Q6414" s="4" t="s">
        <v>538</v>
      </c>
      <c r="R6414" s="4" t="s">
        <v>7308</v>
      </c>
      <c r="S6414" s="4" t="s">
        <v>14260</v>
      </c>
      <c r="T6414" s="4" t="s">
        <v>538</v>
      </c>
    </row>
    <row r="6415">
      <c r="A6415" s="4">
        <v>97.0</v>
      </c>
      <c r="B6415" s="4" t="s">
        <v>14045</v>
      </c>
      <c r="C6415" s="4"/>
      <c r="D6415" s="4" t="s">
        <v>14261</v>
      </c>
      <c r="E6415" s="4" t="s">
        <v>14262</v>
      </c>
      <c r="F6415" s="4" t="s">
        <v>14263</v>
      </c>
      <c r="G6415" s="5" t="str">
        <f>IFERROR(__xludf.DUMMYFUNCTION("GOOGLETRANSLATE(D6415,""gl"",""es"")"),"sal")</f>
        <v>sal</v>
      </c>
    </row>
    <row r="6416">
      <c r="A6416" s="4">
        <v>98.0</v>
      </c>
      <c r="B6416" s="4" t="s">
        <v>14045</v>
      </c>
      <c r="C6416" s="4"/>
      <c r="D6416" s="4" t="s">
        <v>14264</v>
      </c>
      <c r="E6416" s="4" t="s">
        <v>14265</v>
      </c>
      <c r="F6416" s="4" t="s">
        <v>14264</v>
      </c>
      <c r="G6416" s="5" t="str">
        <f>IFERROR(__xludf.DUMMYFUNCTION("GOOGLETRANSLATE(D6416,""gl"",""es"")"),"carpeta")</f>
        <v>carpeta</v>
      </c>
      <c r="H6416" s="4" t="s">
        <v>14266</v>
      </c>
      <c r="I6416" s="4" t="s">
        <v>14267</v>
      </c>
    </row>
    <row r="6417">
      <c r="A6417" s="4">
        <v>99.0</v>
      </c>
      <c r="B6417" s="4" t="s">
        <v>14045</v>
      </c>
      <c r="C6417" s="4"/>
      <c r="D6417" s="4" t="s">
        <v>14268</v>
      </c>
      <c r="E6417" s="4" t="s">
        <v>14269</v>
      </c>
      <c r="F6417" s="4" t="s">
        <v>14268</v>
      </c>
      <c r="G6417" s="5" t="str">
        <f>IFERROR(__xludf.DUMMYFUNCTION("GOOGLETRANSLATE(D6417,""gl"",""es"")"),"señal")</f>
        <v>señal</v>
      </c>
      <c r="H6417" s="4" t="s">
        <v>13645</v>
      </c>
      <c r="I6417" s="4" t="s">
        <v>13651</v>
      </c>
      <c r="J6417" s="4" t="s">
        <v>13648</v>
      </c>
    </row>
    <row r="6418">
      <c r="A6418" s="4">
        <v>100.0</v>
      </c>
      <c r="B6418" s="4" t="s">
        <v>14045</v>
      </c>
      <c r="C6418" s="4"/>
      <c r="D6418" s="4" t="s">
        <v>4113</v>
      </c>
      <c r="E6418" s="4" t="s">
        <v>4116</v>
      </c>
      <c r="F6418" s="4" t="s">
        <v>4117</v>
      </c>
      <c r="G6418" s="5" t="str">
        <f>IFERROR(__xludf.DUMMYFUNCTION("GOOGLETRANSLATE(D6418,""gl"",""es"")"),"munición")</f>
        <v>munición</v>
      </c>
    </row>
    <row r="6419">
      <c r="A6419" s="4">
        <v>101.0</v>
      </c>
      <c r="B6419" s="4" t="s">
        <v>14045</v>
      </c>
      <c r="C6419" s="4"/>
      <c r="D6419" s="4" t="s">
        <v>4284</v>
      </c>
      <c r="E6419" s="4" t="s">
        <v>4285</v>
      </c>
      <c r="F6419" s="4" t="s">
        <v>4284</v>
      </c>
      <c r="G6419" s="5" t="str">
        <f>IFERROR(__xludf.DUMMYFUNCTION("GOOGLETRANSLATE(D6419,""gl"",""es"")"),"parar")</f>
        <v>parar</v>
      </c>
    </row>
    <row r="6420">
      <c r="A6420" s="4">
        <v>102.0</v>
      </c>
      <c r="B6420" s="4" t="s">
        <v>14045</v>
      </c>
      <c r="C6420" s="4"/>
      <c r="D6420" s="4" t="s">
        <v>4339</v>
      </c>
      <c r="E6420" s="4" t="s">
        <v>4340</v>
      </c>
      <c r="F6420" s="4" t="s">
        <v>4339</v>
      </c>
      <c r="G6420" s="5" t="str">
        <f>IFERROR(__xludf.DUMMYFUNCTION("GOOGLETRANSLATE(D6420,""gl"",""es"")"),"cubrir")</f>
        <v>cubrir</v>
      </c>
      <c r="H6420" s="4" t="s">
        <v>4343</v>
      </c>
      <c r="I6420" s="4" t="s">
        <v>4344</v>
      </c>
      <c r="J6420" s="4" t="s">
        <v>4344</v>
      </c>
      <c r="K6420" s="4" t="s">
        <v>4346</v>
      </c>
      <c r="L6420" s="4" t="s">
        <v>2073</v>
      </c>
    </row>
    <row r="6421">
      <c r="A6421" s="4">
        <v>103.0</v>
      </c>
      <c r="B6421" s="4" t="s">
        <v>14045</v>
      </c>
      <c r="C6421" s="4"/>
      <c r="D6421" s="4" t="s">
        <v>422</v>
      </c>
      <c r="E6421" s="4" t="s">
        <v>421</v>
      </c>
      <c r="F6421" s="4" t="s">
        <v>422</v>
      </c>
      <c r="G6421" s="5" t="str">
        <f>IFERROR(__xludf.DUMMYFUNCTION("GOOGLETRANSLATE(D6421,""gl"",""es"")"),"tú")</f>
        <v>tú</v>
      </c>
      <c r="H6421" s="4" t="s">
        <v>4467</v>
      </c>
      <c r="I6421" s="4" t="s">
        <v>4468</v>
      </c>
      <c r="J6421" s="4" t="s">
        <v>4469</v>
      </c>
    </row>
    <row r="6422">
      <c r="A6422" s="4">
        <v>104.0</v>
      </c>
      <c r="B6422" s="4" t="s">
        <v>14045</v>
      </c>
      <c r="C6422" s="4"/>
      <c r="D6422" s="4" t="s">
        <v>14270</v>
      </c>
      <c r="E6422" s="4" t="s">
        <v>14271</v>
      </c>
      <c r="F6422" s="4" t="s">
        <v>14270</v>
      </c>
      <c r="G6422" s="5" t="str">
        <f>IFERROR(__xludf.DUMMYFUNCTION("GOOGLETRANSLATE(D6422,""gl"",""es"")"),"tillar")</f>
        <v>tillar</v>
      </c>
    </row>
    <row r="6423">
      <c r="A6423" s="4">
        <v>105.0</v>
      </c>
      <c r="B6423" s="4" t="s">
        <v>14045</v>
      </c>
      <c r="C6423" s="4"/>
      <c r="D6423" s="4" t="s">
        <v>4427</v>
      </c>
      <c r="E6423" s="4" t="s">
        <v>4450</v>
      </c>
      <c r="F6423" s="4" t="s">
        <v>4427</v>
      </c>
      <c r="G6423" s="5" t="str">
        <f>IFERROR(__xludf.DUMMYFUNCTION("GOOGLETRANSLATE(D6423,""gl"",""es"")"),"jalar")</f>
        <v>jalar</v>
      </c>
      <c r="H6423" s="4" t="s">
        <v>3624</v>
      </c>
      <c r="I6423" s="4" t="s">
        <v>6422</v>
      </c>
      <c r="J6423" s="4" t="s">
        <v>11397</v>
      </c>
    </row>
    <row r="6424">
      <c r="A6424" s="4">
        <v>106.0</v>
      </c>
      <c r="B6424" s="4" t="s">
        <v>14045</v>
      </c>
      <c r="C6424" s="4"/>
      <c r="D6424" s="4" t="s">
        <v>14272</v>
      </c>
      <c r="E6424" s="4" t="s">
        <v>14273</v>
      </c>
      <c r="F6424" s="4" t="s">
        <v>14272</v>
      </c>
      <c r="G6424" s="5" t="str">
        <f>IFERROR(__xludf.DUMMYFUNCTION("GOOGLETRANSLATE(D6424,""gl"",""es"")"),"tos")</f>
        <v>tos</v>
      </c>
    </row>
    <row r="6425">
      <c r="A6425" s="4">
        <v>107.0</v>
      </c>
      <c r="B6425" s="4" t="s">
        <v>14045</v>
      </c>
      <c r="C6425" s="4"/>
      <c r="D6425" s="4" t="s">
        <v>14274</v>
      </c>
      <c r="E6425" s="4" t="s">
        <v>4669</v>
      </c>
      <c r="F6425" s="4" t="s">
        <v>4668</v>
      </c>
      <c r="G6425" s="5" t="str">
        <f>IFERROR(__xludf.DUMMYFUNCTION("GOOGLETRANSLATE(D6425,""gl"",""es"")"),"Uz")</f>
        <v>Uz</v>
      </c>
    </row>
    <row r="6426">
      <c r="A6426" s="4">
        <v>108.0</v>
      </c>
      <c r="B6426" s="4" t="s">
        <v>14045</v>
      </c>
      <c r="C6426" s="4"/>
      <c r="D6426" s="4" t="s">
        <v>14274</v>
      </c>
      <c r="E6426" s="4" t="s">
        <v>14275</v>
      </c>
      <c r="F6426" s="4" t="s">
        <v>14276</v>
      </c>
      <c r="G6426" s="5" t="str">
        <f>IFERROR(__xludf.DUMMYFUNCTION("GOOGLETRANSLATE(D6426,""gl"",""es"")"),"Uz")</f>
        <v>Uz</v>
      </c>
    </row>
    <row r="6427">
      <c r="A6427" s="4">
        <v>109.0</v>
      </c>
      <c r="B6427" s="4" t="s">
        <v>14045</v>
      </c>
      <c r="C6427" s="4"/>
      <c r="D6427" s="4" t="s">
        <v>4670</v>
      </c>
      <c r="E6427" s="4" t="s">
        <v>4671</v>
      </c>
      <c r="F6427" s="4" t="s">
        <v>4672</v>
      </c>
      <c r="G6427" s="5" t="str">
        <f>IFERROR(__xludf.DUMMYFUNCTION("GOOGLETRANSLATE(D6427,""gl"",""es"")"),"ya")</f>
        <v>ya</v>
      </c>
    </row>
    <row r="6428">
      <c r="A6428" s="4">
        <v>110.0</v>
      </c>
      <c r="B6428" s="4" t="s">
        <v>14045</v>
      </c>
      <c r="C6428" s="4"/>
      <c r="D6428" s="4" t="s">
        <v>14277</v>
      </c>
      <c r="E6428" s="4" t="s">
        <v>14278</v>
      </c>
      <c r="F6428" s="4" t="s">
        <v>14279</v>
      </c>
      <c r="G6428" s="5" t="str">
        <f>IFERROR(__xludf.DUMMYFUNCTION("GOOGLETRANSLATE(D6428,""gl"",""es"")"),"comprimir")</f>
        <v>comprimir</v>
      </c>
    </row>
    <row r="6429">
      <c r="A6429" s="4">
        <v>111.0</v>
      </c>
      <c r="B6429" s="4" t="s">
        <v>14045</v>
      </c>
      <c r="C6429" s="4"/>
      <c r="D6429" s="4" t="s">
        <v>14280</v>
      </c>
      <c r="E6429" s="4" t="s">
        <v>14281</v>
      </c>
      <c r="F6429" s="4" t="s">
        <v>4117</v>
      </c>
      <c r="G6429" s="5" t="str">
        <f>IFERROR(__xludf.DUMMYFUNCTION("GOOGLETRANSLATE(D6429,""gl"",""es"")"),"chupar")</f>
        <v>chupar</v>
      </c>
    </row>
    <row r="6430">
      <c r="A6430" s="4">
        <v>112.0</v>
      </c>
      <c r="B6430" s="4" t="s">
        <v>14045</v>
      </c>
      <c r="C6430" s="4"/>
      <c r="D6430" s="4" t="s">
        <v>14280</v>
      </c>
      <c r="E6430" s="4" t="s">
        <v>14282</v>
      </c>
      <c r="F6430" s="4" t="s">
        <v>14283</v>
      </c>
      <c r="G6430" s="5" t="str">
        <f>IFERROR(__xludf.DUMMYFUNCTION("GOOGLETRANSLATE(D6430,""gl"",""es"")"),"chupar")</f>
        <v>chupar</v>
      </c>
    </row>
    <row r="6431">
      <c r="A6431" s="4">
        <v>113.0</v>
      </c>
      <c r="B6431" s="4" t="s">
        <v>14045</v>
      </c>
      <c r="C6431" s="4"/>
      <c r="D6431" s="4" t="s">
        <v>14284</v>
      </c>
      <c r="E6431" s="4" t="s">
        <v>294</v>
      </c>
      <c r="F6431" s="4" t="s">
        <v>295</v>
      </c>
      <c r="G6431" s="5" t="str">
        <f>IFERROR(__xludf.DUMMYFUNCTION("GOOGLETRANSLATE(D6431,""gl"",""es"")"),"as")</f>
        <v>as</v>
      </c>
    </row>
    <row r="6432">
      <c r="A6432" s="4">
        <v>1.0</v>
      </c>
      <c r="B6432" s="4" t="s">
        <v>14285</v>
      </c>
      <c r="C6432" s="4"/>
      <c r="D6432" s="4" t="s">
        <v>14286</v>
      </c>
      <c r="E6432" s="4" t="s">
        <v>14287</v>
      </c>
      <c r="F6432" s="4" t="s">
        <v>14288</v>
      </c>
      <c r="G6432" s="5" t="str">
        <f>IFERROR(__xludf.DUMMYFUNCTION("GOOGLETRANSLATE(D6432,""gl"",""es"")"),"caricia")</f>
        <v>caricia</v>
      </c>
    </row>
    <row r="6433">
      <c r="A6433" s="4">
        <v>2.0</v>
      </c>
      <c r="B6433" s="4" t="s">
        <v>14285</v>
      </c>
      <c r="C6433" s="4"/>
      <c r="D6433" s="4" t="s">
        <v>14289</v>
      </c>
      <c r="E6433" s="4" t="s">
        <v>14290</v>
      </c>
      <c r="F6433" s="4" t="s">
        <v>14291</v>
      </c>
      <c r="G6433" s="5" t="str">
        <f>IFERROR(__xludf.DUMMYFUNCTION("GOOGLETRANSLATE(D6433,""gl"",""es"")"),"aficionado")</f>
        <v>aficionado</v>
      </c>
      <c r="H6433" s="4" t="s">
        <v>14292</v>
      </c>
      <c r="I6433" s="4" t="s">
        <v>14293</v>
      </c>
      <c r="J6433" s="4" t="s">
        <v>14294</v>
      </c>
      <c r="K6433" s="4" t="s">
        <v>14295</v>
      </c>
      <c r="L6433" s="4" t="s">
        <v>10082</v>
      </c>
      <c r="M6433" s="4" t="s">
        <v>4624</v>
      </c>
      <c r="N6433" s="4" t="s">
        <v>14296</v>
      </c>
      <c r="O6433" s="4" t="s">
        <v>14297</v>
      </c>
      <c r="P6433" s="4" t="s">
        <v>14298</v>
      </c>
    </row>
    <row r="6434">
      <c r="A6434" s="4">
        <v>3.0</v>
      </c>
      <c r="B6434" s="4" t="s">
        <v>14285</v>
      </c>
      <c r="C6434" s="4"/>
      <c r="D6434" s="4" t="s">
        <v>503</v>
      </c>
      <c r="E6434" s="4" t="s">
        <v>504</v>
      </c>
      <c r="F6434" s="4" t="s">
        <v>505</v>
      </c>
      <c r="G6434" s="5" t="str">
        <f>IFERROR(__xludf.DUMMYFUNCTION("GOOGLETRANSLATE(D6434,""gl"",""es"")"),"aire")</f>
        <v>aire</v>
      </c>
    </row>
    <row r="6435">
      <c r="A6435" s="4">
        <v>4.0</v>
      </c>
      <c r="B6435" s="4" t="s">
        <v>14285</v>
      </c>
      <c r="C6435" s="4"/>
      <c r="D6435" s="4" t="s">
        <v>14299</v>
      </c>
      <c r="E6435" s="4" t="s">
        <v>14300</v>
      </c>
      <c r="F6435" s="4" t="s">
        <v>9204</v>
      </c>
      <c r="G6435" s="5" t="str">
        <f>IFERROR(__xludf.DUMMYFUNCTION("GOOGLETRANSLATE(D6435,""gl"",""es"")"),"agrio")</f>
        <v>agrio</v>
      </c>
    </row>
    <row r="6436">
      <c r="A6436" s="4">
        <v>5.0</v>
      </c>
      <c r="B6436" s="4" t="s">
        <v>14285</v>
      </c>
      <c r="C6436" s="4"/>
      <c r="D6436" s="4" t="s">
        <v>14301</v>
      </c>
      <c r="E6436" s="4" t="s">
        <v>14302</v>
      </c>
      <c r="F6436" s="4" t="s">
        <v>14303</v>
      </c>
      <c r="G6436" s="5" t="str">
        <f>IFERROR(__xludf.DUMMYFUNCTION("GOOGLETRANSLATE(D6436,""gl"",""es"")"),"renta")</f>
        <v>renta</v>
      </c>
    </row>
    <row r="6437">
      <c r="A6437" s="4">
        <v>6.0</v>
      </c>
      <c r="B6437" s="4" t="s">
        <v>14285</v>
      </c>
      <c r="C6437" s="4"/>
      <c r="D6437" s="4" t="s">
        <v>14304</v>
      </c>
      <c r="E6437" s="4" t="s">
        <v>14305</v>
      </c>
      <c r="F6437" s="4" t="s">
        <v>14304</v>
      </c>
      <c r="G6437" s="5" t="str">
        <f>IFERROR(__xludf.DUMMYFUNCTION("GOOGLETRANSLATE(D6437,""gl"",""es"")"),"jadear")</f>
        <v>jadear</v>
      </c>
    </row>
    <row r="6438">
      <c r="A6438" s="4">
        <v>7.0</v>
      </c>
      <c r="B6438" s="4" t="s">
        <v>14285</v>
      </c>
      <c r="C6438" s="4"/>
      <c r="D6438" s="4" t="s">
        <v>14306</v>
      </c>
      <c r="E6438" s="4" t="s">
        <v>14307</v>
      </c>
      <c r="F6438" s="4" t="s">
        <v>14308</v>
      </c>
      <c r="G6438" s="5" t="str">
        <f>IFERROR(__xludf.DUMMYFUNCTION("GOOGLETRANSLATE(D6438,""gl"",""es"")"),"ajo")</f>
        <v>ajo</v>
      </c>
      <c r="H6438" s="4" t="s">
        <v>526</v>
      </c>
      <c r="I6438" s="4" t="s">
        <v>528</v>
      </c>
    </row>
    <row r="6439">
      <c r="A6439" s="4">
        <v>8.0</v>
      </c>
      <c r="B6439" s="4" t="s">
        <v>14285</v>
      </c>
      <c r="C6439" s="4"/>
      <c r="D6439" s="4" t="s">
        <v>14309</v>
      </c>
      <c r="E6439" s="4" t="s">
        <v>14310</v>
      </c>
      <c r="F6439" s="4" t="s">
        <v>14311</v>
      </c>
      <c r="G6439" s="5" t="str">
        <f>IFERROR(__xludf.DUMMYFUNCTION("GOOGLETRANSLATE(D6439,""gl"",""es"")"),"amarillo")</f>
        <v>amarillo</v>
      </c>
    </row>
    <row r="6440">
      <c r="A6440" s="4">
        <v>9.0</v>
      </c>
      <c r="B6440" s="4" t="s">
        <v>14285</v>
      </c>
      <c r="C6440" s="4"/>
      <c r="D6440" s="4" t="s">
        <v>14312</v>
      </c>
      <c r="E6440" s="4" t="s">
        <v>14313</v>
      </c>
      <c r="F6440" s="4" t="s">
        <v>14312</v>
      </c>
      <c r="G6440" s="5" t="str">
        <f>IFERROR(__xludf.DUMMYFUNCTION("GOOGLETRANSLATE(D6440,""gl"",""es"")"),"amasar")</f>
        <v>amasar</v>
      </c>
    </row>
    <row r="6441">
      <c r="A6441" s="4">
        <v>10.0</v>
      </c>
      <c r="B6441" s="4" t="s">
        <v>14285</v>
      </c>
      <c r="C6441" s="4"/>
      <c r="D6441" s="4" t="s">
        <v>14314</v>
      </c>
      <c r="E6441" s="4" t="s">
        <v>14315</v>
      </c>
      <c r="F6441" s="4" t="s">
        <v>14316</v>
      </c>
      <c r="G6441" s="5" t="str">
        <f>IFERROR(__xludf.DUMMYFUNCTION("GOOGLETRANSLATE(D6441,""gl"",""es"")"),"adelantar")</f>
        <v>adelantar</v>
      </c>
    </row>
    <row r="6442">
      <c r="A6442" s="4">
        <v>11.0</v>
      </c>
      <c r="B6442" s="4" t="s">
        <v>14285</v>
      </c>
      <c r="C6442" s="4"/>
      <c r="D6442" s="4" t="s">
        <v>14317</v>
      </c>
      <c r="E6442" s="4" t="s">
        <v>14318</v>
      </c>
      <c r="F6442" s="4" t="s">
        <v>14319</v>
      </c>
      <c r="G6442" s="5" t="str">
        <f>IFERROR(__xludf.DUMMYFUNCTION("GOOGLETRANSLATE(D6442,""gl"",""es"")"),"giro")</f>
        <v>giro</v>
      </c>
      <c r="H6442" s="4" t="s">
        <v>8995</v>
      </c>
      <c r="I6442" s="4" t="s">
        <v>8996</v>
      </c>
      <c r="J6442" s="4" t="s">
        <v>8997</v>
      </c>
      <c r="K6442" s="4" t="s">
        <v>8998</v>
      </c>
    </row>
    <row r="6443">
      <c r="A6443" s="4">
        <v>12.0</v>
      </c>
      <c r="B6443" s="4" t="s">
        <v>14285</v>
      </c>
      <c r="C6443" s="4"/>
      <c r="D6443" s="4" t="s">
        <v>14320</v>
      </c>
      <c r="E6443" s="4" t="s">
        <v>14321</v>
      </c>
      <c r="F6443" s="4" t="s">
        <v>14322</v>
      </c>
      <c r="G6443" s="5" t="str">
        <f>IFERROR(__xludf.DUMMYFUNCTION("GOOGLETRANSLATE(D6443,""gl"",""es"")"),"apopp")</f>
        <v>apopp</v>
      </c>
    </row>
    <row r="6444">
      <c r="A6444" s="4">
        <v>13.0</v>
      </c>
      <c r="B6444" s="4" t="s">
        <v>14285</v>
      </c>
      <c r="C6444" s="4"/>
      <c r="D6444" s="4" t="s">
        <v>14323</v>
      </c>
      <c r="E6444" s="4" t="s">
        <v>14324</v>
      </c>
      <c r="F6444" s="4" t="s">
        <v>14323</v>
      </c>
      <c r="G6444" s="5" t="str">
        <f>IFERROR(__xludf.DUMMYFUNCTION("GOOGLETRANSLATE(D6444,""gl"",""es"")"),"aire")</f>
        <v>aire</v>
      </c>
      <c r="H6444" s="4" t="s">
        <v>14325</v>
      </c>
      <c r="I6444" s="4" t="s">
        <v>14326</v>
      </c>
      <c r="J6444" s="4" t="s">
        <v>14327</v>
      </c>
      <c r="K6444" s="4" t="s">
        <v>13054</v>
      </c>
    </row>
    <row r="6445">
      <c r="A6445" s="4">
        <v>14.0</v>
      </c>
      <c r="B6445" s="4" t="s">
        <v>14285</v>
      </c>
      <c r="C6445" s="4"/>
      <c r="D6445" s="4" t="s">
        <v>14328</v>
      </c>
      <c r="E6445" s="4" t="s">
        <v>14329</v>
      </c>
      <c r="F6445" s="4" t="s">
        <v>14328</v>
      </c>
      <c r="G6445" s="5" t="str">
        <f>IFERROR(__xludf.DUMMYFUNCTION("GOOGLETRANSLATE(D6445,""gl"",""es"")"),"arrugada")</f>
        <v>arrugada</v>
      </c>
    </row>
    <row r="6446">
      <c r="A6446" s="4">
        <v>15.0</v>
      </c>
      <c r="B6446" s="4" t="s">
        <v>14285</v>
      </c>
      <c r="C6446" s="4"/>
      <c r="D6446" s="4" t="s">
        <v>911</v>
      </c>
      <c r="E6446" s="4" t="s">
        <v>912</v>
      </c>
      <c r="F6446" s="4" t="s">
        <v>913</v>
      </c>
      <c r="G6446" s="5" t="str">
        <f>IFERROR(__xludf.DUMMYFUNCTION("GOOGLETRANSLATE(D6446,""gl"",""es"")"),"ataque")</f>
        <v>ataque</v>
      </c>
      <c r="H6446" s="4" t="s">
        <v>914</v>
      </c>
      <c r="I6446" s="4" t="s">
        <v>915</v>
      </c>
      <c r="J6446" s="4" t="s">
        <v>916</v>
      </c>
      <c r="K6446" s="4" t="s">
        <v>895</v>
      </c>
    </row>
    <row r="6447">
      <c r="A6447" s="4">
        <v>16.0</v>
      </c>
      <c r="B6447" s="4" t="s">
        <v>14285</v>
      </c>
      <c r="C6447" s="4"/>
      <c r="D6447" s="4" t="s">
        <v>12290</v>
      </c>
      <c r="E6447" s="4" t="s">
        <v>14330</v>
      </c>
      <c r="F6447" s="4" t="s">
        <v>5888</v>
      </c>
      <c r="G6447" s="5" t="str">
        <f>IFERROR(__xludf.DUMMYFUNCTION("GOOGLETRANSLATE(D6447,""gl"",""es"")"),"aplicación")</f>
        <v>aplicación</v>
      </c>
    </row>
    <row r="6448">
      <c r="A6448" s="4">
        <v>17.0</v>
      </c>
      <c r="B6448" s="4" t="s">
        <v>14285</v>
      </c>
      <c r="C6448" s="4"/>
      <c r="D6448" s="4" t="s">
        <v>14331</v>
      </c>
      <c r="E6448" s="4" t="s">
        <v>14332</v>
      </c>
      <c r="F6448" s="4" t="s">
        <v>14333</v>
      </c>
      <c r="G6448" s="5" t="str">
        <f>IFERROR(__xludf.DUMMYFUNCTION("GOOGLETRANSLATE(D6448,""gl"",""es"")"),"ano")</f>
        <v>ano</v>
      </c>
    </row>
    <row r="6449">
      <c r="A6449" s="4">
        <v>18.0</v>
      </c>
      <c r="B6449" s="4" t="s">
        <v>14285</v>
      </c>
      <c r="C6449" s="4"/>
      <c r="D6449" s="4" t="s">
        <v>990</v>
      </c>
      <c r="E6449" s="4" t="s">
        <v>14334</v>
      </c>
      <c r="F6449" s="4" t="s">
        <v>992</v>
      </c>
      <c r="G6449" s="5" t="str">
        <f>IFERROR(__xludf.DUMMYFUNCTION("GOOGLETRANSLATE(D6449,""gl"",""es"")"),"cerrado")</f>
        <v>cerrado</v>
      </c>
      <c r="H6449" s="4" t="s">
        <v>14335</v>
      </c>
      <c r="I6449" s="4" t="s">
        <v>14336</v>
      </c>
      <c r="J6449" s="4" t="s">
        <v>14337</v>
      </c>
      <c r="K6449" s="4" t="s">
        <v>1018</v>
      </c>
      <c r="L6449" s="4" t="s">
        <v>1019</v>
      </c>
      <c r="M6449" s="4" t="s">
        <v>1020</v>
      </c>
      <c r="N6449" s="4" t="s">
        <v>1021</v>
      </c>
      <c r="O6449" s="4" t="s">
        <v>1022</v>
      </c>
      <c r="P6449" s="4" t="s">
        <v>1023</v>
      </c>
      <c r="Q6449" s="4" t="s">
        <v>1024</v>
      </c>
      <c r="R6449" s="4" t="s">
        <v>1025</v>
      </c>
    </row>
    <row r="6450">
      <c r="A6450" s="4">
        <v>19.0</v>
      </c>
      <c r="B6450" s="4" t="s">
        <v>14285</v>
      </c>
      <c r="C6450" s="4"/>
      <c r="D6450" s="4" t="s">
        <v>1033</v>
      </c>
      <c r="E6450" s="4" t="s">
        <v>14338</v>
      </c>
      <c r="F6450" s="4" t="s">
        <v>1035</v>
      </c>
      <c r="G6450" s="5" t="str">
        <f>IFERROR(__xludf.DUMMYFUNCTION("GOOGLETRANSLATE(D6450,""gl"",""es"")"),"calo")</f>
        <v>calo</v>
      </c>
    </row>
    <row r="6451">
      <c r="A6451" s="4">
        <v>20.0</v>
      </c>
      <c r="B6451" s="4" t="s">
        <v>14285</v>
      </c>
      <c r="C6451" s="4"/>
      <c r="D6451" s="4" t="s">
        <v>1244</v>
      </c>
      <c r="E6451" s="4" t="s">
        <v>1245</v>
      </c>
      <c r="F6451" s="4" t="s">
        <v>1246</v>
      </c>
      <c r="G6451" s="5" t="str">
        <f>IFERROR(__xludf.DUMMYFUNCTION("GOOGLETRANSLATE(D6451,""gl"",""es"")"),"git")</f>
        <v>git</v>
      </c>
    </row>
    <row r="6452">
      <c r="A6452" s="4">
        <v>21.0</v>
      </c>
      <c r="B6452" s="4" t="s">
        <v>14285</v>
      </c>
      <c r="C6452" s="4"/>
      <c r="D6452" s="4" t="s">
        <v>14339</v>
      </c>
      <c r="E6452" s="4" t="s">
        <v>14340</v>
      </c>
      <c r="F6452" s="4" t="s">
        <v>1253</v>
      </c>
      <c r="G6452" s="5" t="str">
        <f>IFERROR(__xludf.DUMMYFUNCTION("GOOGLETRANSLATE(D6452,""gl"",""es"")"),"capaz")</f>
        <v>capaz</v>
      </c>
      <c r="H6452" s="4" t="s">
        <v>1254</v>
      </c>
      <c r="I6452" s="4" t="s">
        <v>1258</v>
      </c>
      <c r="J6452" s="4" t="s">
        <v>1258</v>
      </c>
    </row>
    <row r="6453">
      <c r="A6453" s="4">
        <v>22.0</v>
      </c>
      <c r="B6453" s="4" t="s">
        <v>14285</v>
      </c>
      <c r="C6453" s="4"/>
      <c r="D6453" s="4" t="s">
        <v>14339</v>
      </c>
      <c r="E6453" s="4" t="s">
        <v>14341</v>
      </c>
      <c r="F6453" s="4" t="s">
        <v>14342</v>
      </c>
      <c r="G6453" s="5" t="str">
        <f>IFERROR(__xludf.DUMMYFUNCTION("GOOGLETRANSLATE(D6453,""gl"",""es"")"),"capaz")</f>
        <v>capaz</v>
      </c>
      <c r="H6453" s="4" t="s">
        <v>1254</v>
      </c>
      <c r="I6453" s="4" t="s">
        <v>1258</v>
      </c>
      <c r="J6453" s="4" t="s">
        <v>1258</v>
      </c>
    </row>
    <row r="6454">
      <c r="A6454" s="4">
        <v>23.0</v>
      </c>
      <c r="B6454" s="4" t="s">
        <v>14285</v>
      </c>
      <c r="C6454" s="4"/>
      <c r="D6454" s="4" t="s">
        <v>14343</v>
      </c>
      <c r="E6454" s="4" t="s">
        <v>14344</v>
      </c>
      <c r="F6454" s="4" t="s">
        <v>14345</v>
      </c>
      <c r="G6454" s="5" t="str">
        <f>IFERROR(__xludf.DUMMYFUNCTION("GOOGLETRANSLATE(D6454,""gl"",""es"")"),"Me enfrentaré")</f>
        <v>Me enfrentaré</v>
      </c>
    </row>
    <row r="6455">
      <c r="A6455" s="4">
        <v>24.0</v>
      </c>
      <c r="B6455" s="4" t="s">
        <v>14285</v>
      </c>
      <c r="C6455" s="4"/>
      <c r="D6455" s="4" t="s">
        <v>14346</v>
      </c>
      <c r="E6455" s="4" t="s">
        <v>14347</v>
      </c>
      <c r="F6455" s="4" t="s">
        <v>14348</v>
      </c>
      <c r="G6455" s="5" t="str">
        <f>IFERROR(__xludf.DUMMYFUNCTION("GOOGLETRANSLATE(D6455,""gl"",""es"")"),"extraterrestre")</f>
        <v>extraterrestre</v>
      </c>
    </row>
    <row r="6456">
      <c r="A6456" s="4">
        <v>25.0</v>
      </c>
      <c r="B6456" s="4" t="s">
        <v>14285</v>
      </c>
      <c r="C6456" s="4"/>
      <c r="D6456" s="4" t="s">
        <v>14346</v>
      </c>
      <c r="E6456" s="4" t="s">
        <v>14349</v>
      </c>
      <c r="F6456" s="4" t="s">
        <v>14350</v>
      </c>
      <c r="G6456" s="5" t="str">
        <f>IFERROR(__xludf.DUMMYFUNCTION("GOOGLETRANSLATE(D6456,""gl"",""es"")"),"extraterrestre")</f>
        <v>extraterrestre</v>
      </c>
    </row>
    <row r="6457">
      <c r="A6457" s="4">
        <v>26.0</v>
      </c>
      <c r="B6457" s="4" t="s">
        <v>14285</v>
      </c>
      <c r="C6457" s="4"/>
      <c r="D6457" s="4" t="s">
        <v>14351</v>
      </c>
      <c r="E6457" s="4" t="s">
        <v>14352</v>
      </c>
      <c r="F6457" s="4" t="s">
        <v>14353</v>
      </c>
      <c r="G6457" s="5" t="str">
        <f>IFERROR(__xludf.DUMMYFUNCTION("GOOGLETRANSLATE(D6457,""gl"",""es"")"),"caro")</f>
        <v>caro</v>
      </c>
      <c r="H6457" s="4" t="s">
        <v>1304</v>
      </c>
    </row>
    <row r="6458">
      <c r="A6458" s="4">
        <v>27.0</v>
      </c>
      <c r="B6458" s="4" t="s">
        <v>14285</v>
      </c>
      <c r="C6458" s="4"/>
      <c r="D6458" s="4" t="s">
        <v>14354</v>
      </c>
      <c r="E6458" s="4" t="s">
        <v>1371</v>
      </c>
      <c r="F6458" s="4" t="s">
        <v>1372</v>
      </c>
      <c r="G6458" s="5" t="str">
        <f>IFERROR(__xludf.DUMMYFUNCTION("GOOGLETRANSLATE(D6458,""gl"",""es"")"),"casar")</f>
        <v>casar</v>
      </c>
    </row>
    <row r="6459">
      <c r="A6459" s="4">
        <v>28.0</v>
      </c>
      <c r="B6459" s="4" t="s">
        <v>14285</v>
      </c>
      <c r="C6459" s="4"/>
      <c r="D6459" s="4" t="s">
        <v>1337</v>
      </c>
      <c r="E6459" s="4" t="s">
        <v>14355</v>
      </c>
      <c r="F6459" s="4" t="s">
        <v>8121</v>
      </c>
      <c r="G6459" s="5" t="str">
        <f>IFERROR(__xludf.DUMMYFUNCTION("GOOGLETRANSLATE(D6459,""gl"",""es"")"),"casi")</f>
        <v>casi</v>
      </c>
    </row>
    <row r="6460">
      <c r="A6460" s="4">
        <v>29.0</v>
      </c>
      <c r="B6460" s="4" t="s">
        <v>14285</v>
      </c>
      <c r="C6460" s="4"/>
      <c r="D6460" s="4" t="s">
        <v>14356</v>
      </c>
      <c r="E6460" s="4" t="s">
        <v>14357</v>
      </c>
      <c r="F6460" s="4" t="s">
        <v>14358</v>
      </c>
      <c r="G6460" s="5" t="str">
        <f>IFERROR(__xludf.DUMMYFUNCTION("GOOGLETRANSLATE(D6460,""gl"",""es"")"),"cajato")</f>
        <v>cajato</v>
      </c>
    </row>
    <row r="6461">
      <c r="A6461" s="4">
        <v>30.0</v>
      </c>
      <c r="B6461" s="4" t="s">
        <v>14285</v>
      </c>
      <c r="C6461" s="4"/>
      <c r="D6461" s="4" t="s">
        <v>14359</v>
      </c>
      <c r="E6461" s="4" t="s">
        <v>14360</v>
      </c>
      <c r="F6461" s="4" t="s">
        <v>14361</v>
      </c>
      <c r="G6461" s="5" t="str">
        <f>IFERROR(__xludf.DUMMYFUNCTION("GOOGLETRANSLATE(D6461,""gl"",""es"")"),"caxigo")</f>
        <v>caxigo</v>
      </c>
    </row>
    <row r="6462">
      <c r="A6462" s="4">
        <v>31.0</v>
      </c>
      <c r="B6462" s="4" t="s">
        <v>14285</v>
      </c>
      <c r="C6462" s="4"/>
      <c r="D6462" s="4" t="s">
        <v>14362</v>
      </c>
      <c r="E6462" s="4" t="s">
        <v>14363</v>
      </c>
      <c r="F6462" s="4" t="s">
        <v>1372</v>
      </c>
      <c r="G6462" s="5" t="str">
        <f>IFERROR(__xludf.DUMMYFUNCTION("GOOGLETRANSLATE(D6462,""gl"",""es"")"),"perseguir")</f>
        <v>perseguir</v>
      </c>
      <c r="H6462" s="4" t="s">
        <v>1364</v>
      </c>
      <c r="I6462" s="4" t="s">
        <v>646</v>
      </c>
      <c r="J6462" s="4" t="s">
        <v>1373</v>
      </c>
      <c r="K6462" s="4" t="s">
        <v>1374</v>
      </c>
    </row>
    <row r="6463">
      <c r="A6463" s="4">
        <v>32.0</v>
      </c>
      <c r="B6463" s="4" t="s">
        <v>14285</v>
      </c>
      <c r="C6463" s="4"/>
      <c r="D6463" s="4" t="s">
        <v>14362</v>
      </c>
      <c r="E6463" s="4" t="s">
        <v>14364</v>
      </c>
      <c r="F6463" s="4" t="s">
        <v>14365</v>
      </c>
      <c r="G6463" s="5" t="str">
        <f>IFERROR(__xludf.DUMMYFUNCTION("GOOGLETRANSLATE(D6463,""gl"",""es"")"),"perseguir")</f>
        <v>perseguir</v>
      </c>
      <c r="H6463" s="4" t="s">
        <v>1364</v>
      </c>
      <c r="I6463" s="4" t="s">
        <v>646</v>
      </c>
      <c r="J6463" s="4" t="s">
        <v>1373</v>
      </c>
      <c r="K6463" s="4" t="s">
        <v>1374</v>
      </c>
    </row>
    <row r="6464">
      <c r="A6464" s="4">
        <v>33.0</v>
      </c>
      <c r="B6464" s="4" t="s">
        <v>14285</v>
      </c>
      <c r="C6464" s="4"/>
      <c r="D6464" s="4" t="s">
        <v>14366</v>
      </c>
      <c r="E6464" s="4" t="s">
        <v>14367</v>
      </c>
      <c r="F6464" s="4" t="s">
        <v>1378</v>
      </c>
      <c r="G6464" s="5" t="str">
        <f>IFERROR(__xludf.DUMMYFUNCTION("GOOGLETRANSLATE(D6464,""gl"",""es"")"),"sartén")</f>
        <v>sartén</v>
      </c>
    </row>
    <row r="6465">
      <c r="A6465" s="4">
        <v>34.0</v>
      </c>
      <c r="B6465" s="4" t="s">
        <v>14285</v>
      </c>
      <c r="C6465" s="4"/>
      <c r="D6465" s="4" t="s">
        <v>14366</v>
      </c>
      <c r="E6465" s="4" t="s">
        <v>14368</v>
      </c>
      <c r="F6465" s="4" t="s">
        <v>14369</v>
      </c>
      <c r="G6465" s="5" t="str">
        <f>IFERROR(__xludf.DUMMYFUNCTION("GOOGLETRANSLATE(D6465,""gl"",""es"")"),"sartén")</f>
        <v>sartén</v>
      </c>
    </row>
    <row r="6466">
      <c r="A6466" s="4">
        <v>35.0</v>
      </c>
      <c r="B6466" s="4" t="s">
        <v>14285</v>
      </c>
      <c r="C6466" s="4"/>
      <c r="D6466" s="4" t="s">
        <v>14370</v>
      </c>
      <c r="E6466" s="4" t="s">
        <v>14371</v>
      </c>
      <c r="F6466" s="4" t="s">
        <v>14372</v>
      </c>
      <c r="G6466" s="5" t="str">
        <f>IFERROR(__xludf.DUMMYFUNCTION("GOOGLETRANSLATE(D6466,""gl"",""es"")"),"krown")</f>
        <v>krown</v>
      </c>
    </row>
    <row r="6467">
      <c r="A6467" s="4">
        <v>36.0</v>
      </c>
      <c r="B6467" s="4" t="s">
        <v>14285</v>
      </c>
      <c r="C6467" s="4"/>
      <c r="D6467" s="4" t="s">
        <v>14373</v>
      </c>
      <c r="E6467" s="4" t="s">
        <v>14374</v>
      </c>
      <c r="F6467" s="4" t="s">
        <v>14375</v>
      </c>
      <c r="G6467" s="5" t="str">
        <f>IFERROR(__xludf.DUMMYFUNCTION("GOOGLETRANSLATE(D6467,""gl"",""es"")"),"parte superior")</f>
        <v>parte superior</v>
      </c>
    </row>
    <row r="6468">
      <c r="A6468" s="4">
        <v>37.0</v>
      </c>
      <c r="B6468" s="4" t="s">
        <v>14285</v>
      </c>
      <c r="C6468" s="4"/>
      <c r="D6468" s="4" t="s">
        <v>1580</v>
      </c>
      <c r="E6468" s="4" t="s">
        <v>1581</v>
      </c>
      <c r="F6468" s="4" t="s">
        <v>1582</v>
      </c>
      <c r="G6468" s="5" t="str">
        <f>IFERROR(__xludf.DUMMYFUNCTION("GOOGLETRANSLATE(D6468,""gl"",""es"")"),"culo")</f>
        <v>culo</v>
      </c>
      <c r="H6468" s="4" t="s">
        <v>8235</v>
      </c>
      <c r="I6468" s="4" t="s">
        <v>14376</v>
      </c>
      <c r="J6468" s="4" t="s">
        <v>14377</v>
      </c>
    </row>
    <row r="6469">
      <c r="A6469" s="4">
        <v>38.0</v>
      </c>
      <c r="B6469" s="4" t="s">
        <v>14285</v>
      </c>
      <c r="C6469" s="4"/>
      <c r="D6469" s="4" t="s">
        <v>14378</v>
      </c>
      <c r="E6469" s="4" t="s">
        <v>14379</v>
      </c>
      <c r="F6469" s="4" t="s">
        <v>9114</v>
      </c>
      <c r="G6469" s="5" t="str">
        <f>IFERROR(__xludf.DUMMYFUNCTION("GOOGLETRANSLATE(D6469,""gl"",""es"")"),"balde")</f>
        <v>balde</v>
      </c>
    </row>
    <row r="6470">
      <c r="A6470" s="4">
        <v>39.0</v>
      </c>
      <c r="B6470" s="4" t="s">
        <v>14285</v>
      </c>
      <c r="C6470" s="4"/>
      <c r="D6470" s="4" t="s">
        <v>14380</v>
      </c>
      <c r="E6470" s="4" t="s">
        <v>14381</v>
      </c>
      <c r="F6470" s="4" t="s">
        <v>14382</v>
      </c>
      <c r="G6470" s="5" t="str">
        <f>IFERROR(__xludf.DUMMYFUNCTION("GOOGLETRANSLATE(D6470,""gl"",""es"")"),"búho")</f>
        <v>búho</v>
      </c>
    </row>
    <row r="6471">
      <c r="A6471" s="4">
        <v>40.0</v>
      </c>
      <c r="B6471" s="4" t="s">
        <v>14285</v>
      </c>
      <c r="C6471" s="4"/>
      <c r="D6471" s="4" t="s">
        <v>14383</v>
      </c>
      <c r="E6471" s="4" t="s">
        <v>14384</v>
      </c>
      <c r="F6471" s="4" t="s">
        <v>14385</v>
      </c>
      <c r="G6471" s="5" t="str">
        <f>IFERROR(__xludf.DUMMYFUNCTION("GOOGLETRANSLATE(D6471,""gl"",""es"")"),"becerro")</f>
        <v>becerro</v>
      </c>
    </row>
    <row r="6472">
      <c r="A6472" s="4">
        <v>41.0</v>
      </c>
      <c r="B6472" s="4" t="s">
        <v>14285</v>
      </c>
      <c r="C6472" s="4"/>
      <c r="D6472" s="4" t="s">
        <v>14386</v>
      </c>
      <c r="E6472" s="4" t="s">
        <v>14387</v>
      </c>
      <c r="F6472" s="4" t="s">
        <v>14388</v>
      </c>
      <c r="G6472" s="5" t="str">
        <f>IFERROR(__xludf.DUMMYFUNCTION("GOOGLETRANSLATE(D6472,""gl"",""es"")"),"hacer trampa")</f>
        <v>hacer trampa</v>
      </c>
    </row>
    <row r="6473">
      <c r="A6473" s="4">
        <v>42.0</v>
      </c>
      <c r="B6473" s="4" t="s">
        <v>14285</v>
      </c>
      <c r="C6473" s="4"/>
      <c r="D6473" s="4" t="s">
        <v>14389</v>
      </c>
      <c r="E6473" s="4" t="s">
        <v>14390</v>
      </c>
      <c r="F6473" s="4" t="s">
        <v>14391</v>
      </c>
      <c r="G6473" s="5" t="str">
        <f>IFERROR(__xludf.DUMMYFUNCTION("GOOGLETRANSLATE(D6473,""gl"",""es"")"),"pijón")</f>
        <v>pijón</v>
      </c>
      <c r="H6473" s="4" t="s">
        <v>14392</v>
      </c>
    </row>
    <row r="6474">
      <c r="A6474" s="4">
        <v>43.0</v>
      </c>
      <c r="B6474" s="4" t="s">
        <v>14285</v>
      </c>
      <c r="C6474" s="4"/>
      <c r="D6474" s="4" t="s">
        <v>14393</v>
      </c>
      <c r="E6474" s="4" t="s">
        <v>14394</v>
      </c>
      <c r="F6474" s="4" t="s">
        <v>11837</v>
      </c>
      <c r="G6474" s="5" t="str">
        <f>IFERROR(__xludf.DUMMYFUNCTION("GOOGLETRANSLATE(D6474,""gl"",""es"")"),"gorra")</f>
        <v>gorra</v>
      </c>
      <c r="H6474" s="4" t="s">
        <v>11838</v>
      </c>
      <c r="I6474" s="4" t="s">
        <v>11839</v>
      </c>
    </row>
    <row r="6475">
      <c r="A6475" s="4">
        <v>44.0</v>
      </c>
      <c r="B6475" s="4" t="s">
        <v>14285</v>
      </c>
      <c r="C6475" s="4"/>
      <c r="D6475" s="4" t="s">
        <v>14393</v>
      </c>
      <c r="E6475" s="4" t="s">
        <v>14395</v>
      </c>
      <c r="F6475" s="4" t="s">
        <v>14396</v>
      </c>
      <c r="G6475" s="5" t="str">
        <f>IFERROR(__xludf.DUMMYFUNCTION("GOOGLETRANSLATE(D6475,""gl"",""es"")"),"gorra")</f>
        <v>gorra</v>
      </c>
      <c r="H6475" s="4" t="s">
        <v>11838</v>
      </c>
      <c r="I6475" s="4" t="s">
        <v>11839</v>
      </c>
    </row>
    <row r="6476">
      <c r="A6476" s="4">
        <v>45.0</v>
      </c>
      <c r="B6476" s="4" t="s">
        <v>14285</v>
      </c>
      <c r="C6476" s="4"/>
      <c r="D6476" s="4" t="s">
        <v>14397</v>
      </c>
      <c r="E6476" s="4" t="s">
        <v>14398</v>
      </c>
      <c r="F6476" s="4" t="s">
        <v>14399</v>
      </c>
      <c r="G6476" s="5" t="str">
        <f>IFERROR(__xludf.DUMMYFUNCTION("GOOGLETRANSLATE(D6476,""gl"",""es"")"),"himno")</f>
        <v>himno</v>
      </c>
      <c r="H6476" s="4" t="s">
        <v>6321</v>
      </c>
      <c r="I6476" s="4" t="s">
        <v>6322</v>
      </c>
    </row>
    <row r="6477">
      <c r="A6477" s="4">
        <v>46.0</v>
      </c>
      <c r="B6477" s="4" t="s">
        <v>14285</v>
      </c>
      <c r="C6477" s="4"/>
      <c r="D6477" s="4" t="s">
        <v>14400</v>
      </c>
      <c r="E6477" s="4" t="s">
        <v>14401</v>
      </c>
      <c r="F6477" s="4" t="s">
        <v>14402</v>
      </c>
      <c r="G6477" s="5" t="str">
        <f>IFERROR(__xludf.DUMMYFUNCTION("GOOGLETRANSLATE(D6477,""gl"",""es"")"),"Yago")</f>
        <v>Yago</v>
      </c>
    </row>
    <row r="6478">
      <c r="A6478" s="4">
        <v>47.0</v>
      </c>
      <c r="B6478" s="4" t="s">
        <v>14285</v>
      </c>
      <c r="C6478" s="4"/>
      <c r="D6478" s="4" t="s">
        <v>14403</v>
      </c>
      <c r="E6478" s="4" t="s">
        <v>14404</v>
      </c>
      <c r="F6478" s="4" t="s">
        <v>14405</v>
      </c>
      <c r="G6478" s="5" t="str">
        <f>IFERROR(__xludf.DUMMYFUNCTION("GOOGLETRANSLATE(D6478,""gl"",""es"")"),"jarra")</f>
        <v>jarra</v>
      </c>
    </row>
    <row r="6479">
      <c r="A6479" s="4">
        <v>48.0</v>
      </c>
      <c r="B6479" s="4" t="s">
        <v>14285</v>
      </c>
      <c r="C6479" s="4"/>
      <c r="D6479" s="4" t="s">
        <v>14406</v>
      </c>
      <c r="E6479" s="4" t="s">
        <v>14407</v>
      </c>
      <c r="F6479" s="4" t="s">
        <v>14408</v>
      </c>
      <c r="G6479" s="5" t="str">
        <f>IFERROR(__xludf.DUMMYFUNCTION("GOOGLETRANSLATE(D6479,""gl"",""es"")"),"imagen")</f>
        <v>imagen</v>
      </c>
    </row>
    <row r="6480">
      <c r="A6480" s="4">
        <v>49.0</v>
      </c>
      <c r="B6480" s="4" t="s">
        <v>14285</v>
      </c>
      <c r="C6480" s="4"/>
      <c r="D6480" s="4" t="s">
        <v>14409</v>
      </c>
      <c r="E6480" s="4" t="s">
        <v>14410</v>
      </c>
      <c r="F6480" s="4" t="s">
        <v>14411</v>
      </c>
      <c r="G6480" s="5" t="str">
        <f>IFERROR(__xludf.DUMMYFUNCTION("GOOGLETRANSLATE(D6480,""gl"",""es"")"),"enemigo")</f>
        <v>enemigo</v>
      </c>
      <c r="H6480" s="4" t="s">
        <v>14412</v>
      </c>
      <c r="I6480" s="4" t="s">
        <v>14413</v>
      </c>
    </row>
    <row r="6481">
      <c r="A6481" s="4">
        <v>50.0</v>
      </c>
      <c r="B6481" s="4" t="s">
        <v>14285</v>
      </c>
      <c r="C6481" s="4"/>
      <c r="D6481" s="4" t="s">
        <v>14414</v>
      </c>
      <c r="E6481" s="4" t="s">
        <v>14415</v>
      </c>
      <c r="F6481" s="4" t="s">
        <v>14416</v>
      </c>
      <c r="G6481" s="5" t="str">
        <f>IFERROR(__xludf.DUMMYFUNCTION("GOOGLETRANSLATE(D6481,""gl"",""es"")"),"que")</f>
        <v>que</v>
      </c>
    </row>
    <row r="6482">
      <c r="A6482" s="4">
        <v>51.0</v>
      </c>
      <c r="B6482" s="4" t="s">
        <v>14285</v>
      </c>
      <c r="C6482" s="4"/>
      <c r="D6482" s="4" t="s">
        <v>14417</v>
      </c>
      <c r="E6482" s="4" t="s">
        <v>14418</v>
      </c>
      <c r="F6482" s="4" t="s">
        <v>8430</v>
      </c>
      <c r="G6482" s="5" t="str">
        <f>IFERROR(__xludf.DUMMYFUNCTION("GOOGLETRANSLATE(D6482,""gl"",""es"")"),"lazo")</f>
        <v>lazo</v>
      </c>
      <c r="H6482" s="4" t="s">
        <v>2189</v>
      </c>
    </row>
    <row r="6483">
      <c r="A6483" s="4">
        <v>52.0</v>
      </c>
      <c r="B6483" s="4" t="s">
        <v>14285</v>
      </c>
      <c r="C6483" s="4"/>
      <c r="D6483" s="4" t="s">
        <v>14419</v>
      </c>
      <c r="E6483" s="4" t="s">
        <v>14420</v>
      </c>
      <c r="F6483" s="4" t="s">
        <v>14419</v>
      </c>
      <c r="G6483" s="5" t="str">
        <f>IFERROR(__xludf.DUMMYFUNCTION("GOOGLETRANSLATE(D6483,""gl"",""es"")"),"palo")</f>
        <v>palo</v>
      </c>
    </row>
    <row r="6484">
      <c r="A6484" s="4">
        <v>53.0</v>
      </c>
      <c r="B6484" s="4" t="s">
        <v>14285</v>
      </c>
      <c r="C6484" s="4"/>
      <c r="D6484" s="4" t="s">
        <v>14421</v>
      </c>
      <c r="E6484" s="4" t="s">
        <v>14422</v>
      </c>
      <c r="F6484" s="4" t="s">
        <v>6661</v>
      </c>
      <c r="G6484" s="5" t="str">
        <f>IFERROR(__xludf.DUMMYFUNCTION("GOOGLETRANSLATE(D6484,""gl"",""es"")"),"lipe")</f>
        <v>lipe</v>
      </c>
    </row>
    <row r="6485">
      <c r="A6485" s="4">
        <v>54.0</v>
      </c>
      <c r="B6485" s="4" t="s">
        <v>14285</v>
      </c>
      <c r="C6485" s="4"/>
      <c r="D6485" s="4" t="s">
        <v>14423</v>
      </c>
      <c r="E6485" s="4" t="s">
        <v>14424</v>
      </c>
      <c r="F6485" s="4" t="s">
        <v>14425</v>
      </c>
      <c r="G6485" s="5" t="str">
        <f>IFERROR(__xludf.DUMMYFUNCTION("GOOGLETRANSLATE(D6485,""gl"",""es"")"),"destello")</f>
        <v>destello</v>
      </c>
    </row>
    <row r="6486">
      <c r="A6486" s="4">
        <v>55.0</v>
      </c>
      <c r="B6486" s="4" t="s">
        <v>14285</v>
      </c>
      <c r="C6486" s="4"/>
      <c r="D6486" s="4" t="s">
        <v>14426</v>
      </c>
      <c r="E6486" s="4" t="s">
        <v>14427</v>
      </c>
      <c r="F6486" s="4" t="s">
        <v>14428</v>
      </c>
      <c r="G6486" s="5" t="str">
        <f>IFERROR(__xludf.DUMMYFUNCTION("GOOGLETRANSLATE(D6486,""gl"",""es"")"),"lugar")</f>
        <v>lugar</v>
      </c>
      <c r="H6486" s="4" t="s">
        <v>14429</v>
      </c>
      <c r="I6486" s="4" t="s">
        <v>14430</v>
      </c>
      <c r="J6486" s="4" t="s">
        <v>14431</v>
      </c>
      <c r="K6486" s="4" t="s">
        <v>14432</v>
      </c>
      <c r="L6486" s="4" t="s">
        <v>14433</v>
      </c>
    </row>
    <row r="6487">
      <c r="A6487" s="4">
        <v>56.0</v>
      </c>
      <c r="B6487" s="4" t="s">
        <v>14285</v>
      </c>
      <c r="C6487" s="4"/>
      <c r="D6487" s="4" t="s">
        <v>14434</v>
      </c>
      <c r="E6487" s="4" t="s">
        <v>14435</v>
      </c>
      <c r="F6487" s="4" t="s">
        <v>10397</v>
      </c>
      <c r="G6487" s="5" t="str">
        <f>IFERROR(__xludf.DUMMYFUNCTION("GOOGLETRANSLATE(D6487,""gl"",""es"")"),"Lugo")</f>
        <v>Lugo</v>
      </c>
    </row>
    <row r="6488">
      <c r="A6488" s="4">
        <v>57.0</v>
      </c>
      <c r="B6488" s="4" t="s">
        <v>14285</v>
      </c>
      <c r="C6488" s="4"/>
      <c r="D6488" s="4" t="s">
        <v>14436</v>
      </c>
      <c r="E6488" s="4" t="s">
        <v>14437</v>
      </c>
      <c r="F6488" s="4" t="s">
        <v>10409</v>
      </c>
      <c r="G6488" s="5" t="str">
        <f>IFERROR(__xludf.DUMMYFUNCTION("GOOGLETRANSLATE(D6488,""gl"",""es"")"),"fuego")</f>
        <v>fuego</v>
      </c>
      <c r="H6488" s="4" t="s">
        <v>907</v>
      </c>
      <c r="I6488" s="4" t="s">
        <v>11479</v>
      </c>
      <c r="J6488" s="4" t="s">
        <v>11480</v>
      </c>
      <c r="K6488" s="4" t="s">
        <v>907</v>
      </c>
      <c r="L6488" s="4" t="s">
        <v>907</v>
      </c>
    </row>
    <row r="6489">
      <c r="A6489" s="4">
        <v>58.0</v>
      </c>
      <c r="B6489" s="4" t="s">
        <v>14285</v>
      </c>
      <c r="C6489" s="4"/>
      <c r="D6489" s="4" t="s">
        <v>14438</v>
      </c>
      <c r="E6489" s="4" t="s">
        <v>14439</v>
      </c>
      <c r="F6489" s="4" t="s">
        <v>14440</v>
      </c>
      <c r="G6489" s="5" t="str">
        <f>IFERROR(__xludf.DUMMYFUNCTION("GOOGLETRANSLATE(D6489,""gl"",""es"")"),"luz")</f>
        <v>luz</v>
      </c>
      <c r="H6489" s="4" t="s">
        <v>997</v>
      </c>
      <c r="I6489" s="4" t="s">
        <v>2204</v>
      </c>
      <c r="J6489" s="4" t="s">
        <v>997</v>
      </c>
      <c r="K6489" s="4" t="s">
        <v>2207</v>
      </c>
      <c r="L6489" s="4" t="s">
        <v>2208</v>
      </c>
    </row>
    <row r="6490">
      <c r="A6490" s="4">
        <v>59.0</v>
      </c>
      <c r="B6490" s="4" t="s">
        <v>14285</v>
      </c>
      <c r="C6490" s="4"/>
      <c r="D6490" s="4" t="s">
        <v>14438</v>
      </c>
      <c r="E6490" s="4" t="s">
        <v>14441</v>
      </c>
      <c r="F6490" s="4" t="s">
        <v>14442</v>
      </c>
      <c r="G6490" s="5" t="str">
        <f>IFERROR(__xludf.DUMMYFUNCTION("GOOGLETRANSLATE(D6490,""gl"",""es"")"),"luz")</f>
        <v>luz</v>
      </c>
      <c r="H6490" s="4" t="s">
        <v>997</v>
      </c>
      <c r="I6490" s="4" t="s">
        <v>2204</v>
      </c>
      <c r="J6490" s="4" t="s">
        <v>997</v>
      </c>
      <c r="K6490" s="4" t="s">
        <v>2207</v>
      </c>
      <c r="L6490" s="4" t="s">
        <v>2208</v>
      </c>
    </row>
    <row r="6491">
      <c r="A6491" s="4">
        <v>60.0</v>
      </c>
      <c r="B6491" s="4" t="s">
        <v>14285</v>
      </c>
      <c r="C6491" s="4"/>
      <c r="D6491" s="4" t="s">
        <v>14443</v>
      </c>
      <c r="E6491" s="4" t="s">
        <v>14444</v>
      </c>
      <c r="F6491" s="4" t="s">
        <v>14445</v>
      </c>
      <c r="G6491" s="5" t="str">
        <f>IFERROR(__xludf.DUMMYFUNCTION("GOOGLETRANSLATE(D6491,""gl"",""es"")"),"macoso")</f>
        <v>macoso</v>
      </c>
    </row>
    <row r="6492">
      <c r="A6492" s="4">
        <v>61.0</v>
      </c>
      <c r="B6492" s="4" t="s">
        <v>14285</v>
      </c>
      <c r="C6492" s="4"/>
      <c r="D6492" s="4" t="s">
        <v>14446</v>
      </c>
      <c r="E6492" s="4" t="s">
        <v>14447</v>
      </c>
      <c r="F6492" s="4" t="s">
        <v>14448</v>
      </c>
      <c r="G6492" s="5" t="str">
        <f>IFERROR(__xludf.DUMMYFUNCTION("GOOGLETRANSLATE(D6492,""gl"",""es"")"),"macick")</f>
        <v>macick</v>
      </c>
    </row>
    <row r="6493">
      <c r="A6493" s="4">
        <v>62.0</v>
      </c>
      <c r="B6493" s="4" t="s">
        <v>14285</v>
      </c>
      <c r="C6493" s="4"/>
      <c r="D6493" s="4" t="s">
        <v>14446</v>
      </c>
      <c r="E6493" s="4" t="s">
        <v>14449</v>
      </c>
      <c r="F6493" s="4" t="s">
        <v>14450</v>
      </c>
      <c r="G6493" s="5" t="str">
        <f>IFERROR(__xludf.DUMMYFUNCTION("GOOGLETRANSLATE(D6493,""gl"",""es"")"),"macick")</f>
        <v>macick</v>
      </c>
    </row>
    <row r="6494">
      <c r="A6494" s="4">
        <v>63.0</v>
      </c>
      <c r="B6494" s="4" t="s">
        <v>14285</v>
      </c>
      <c r="C6494" s="4"/>
      <c r="D6494" s="4" t="s">
        <v>14451</v>
      </c>
      <c r="E6494" s="4" t="s">
        <v>14452</v>
      </c>
      <c r="F6494" s="4" t="s">
        <v>14453</v>
      </c>
      <c r="G6494" s="5" t="str">
        <f>IFERROR(__xludf.DUMMYFUNCTION("GOOGLETRANSLATE(D6494,""gl"",""es"")"),"masivo")</f>
        <v>masivo</v>
      </c>
    </row>
    <row r="6495">
      <c r="A6495" s="4">
        <v>64.0</v>
      </c>
      <c r="B6495" s="4" t="s">
        <v>14285</v>
      </c>
      <c r="C6495" s="4"/>
      <c r="D6495" s="4" t="s">
        <v>14451</v>
      </c>
      <c r="E6495" s="4" t="s">
        <v>14454</v>
      </c>
      <c r="F6495" s="4" t="s">
        <v>14455</v>
      </c>
      <c r="G6495" s="5" t="str">
        <f>IFERROR(__xludf.DUMMYFUNCTION("GOOGLETRANSLATE(D6495,""gl"",""es"")"),"masivo")</f>
        <v>masivo</v>
      </c>
    </row>
    <row r="6496">
      <c r="A6496" s="4">
        <v>65.0</v>
      </c>
      <c r="B6496" s="4" t="s">
        <v>14285</v>
      </c>
      <c r="C6496" s="4"/>
      <c r="D6496" s="4" t="s">
        <v>14456</v>
      </c>
      <c r="E6496" s="4" t="s">
        <v>14457</v>
      </c>
      <c r="F6496" s="4" t="s">
        <v>14458</v>
      </c>
      <c r="G6496" s="5" t="str">
        <f>IFERROR(__xludf.DUMMYFUNCTION("GOOGLETRANSLATE(D6496,""gl"",""es"")"),"masivo")</f>
        <v>masivo</v>
      </c>
      <c r="H6496" s="4" t="s">
        <v>2548</v>
      </c>
    </row>
    <row r="6497">
      <c r="A6497" s="4">
        <v>66.0</v>
      </c>
      <c r="B6497" s="4" t="s">
        <v>14285</v>
      </c>
      <c r="C6497" s="4"/>
      <c r="D6497" s="4" t="s">
        <v>14459</v>
      </c>
      <c r="E6497" s="4" t="s">
        <v>14460</v>
      </c>
      <c r="F6497" s="4" t="s">
        <v>14461</v>
      </c>
      <c r="G6497" s="5" t="str">
        <f>IFERROR(__xludf.DUMMYFUNCTION("GOOGLETRANSLATE(D6497,""gl"",""es"")"),"seno")</f>
        <v>seno</v>
      </c>
    </row>
    <row r="6498">
      <c r="A6498" s="4">
        <v>67.0</v>
      </c>
      <c r="B6498" s="4" t="s">
        <v>14285</v>
      </c>
      <c r="C6498" s="4"/>
      <c r="D6498" s="4" t="s">
        <v>14462</v>
      </c>
      <c r="E6498" s="4" t="s">
        <v>14463</v>
      </c>
      <c r="F6498" s="4" t="s">
        <v>14464</v>
      </c>
      <c r="G6498" s="5" t="str">
        <f>IFERROR(__xludf.DUMMYFUNCTION("GOOGLETRANSLATE(D6498,""gl"",""es"")"),"seno")</f>
        <v>seno</v>
      </c>
    </row>
    <row r="6499">
      <c r="A6499" s="4">
        <v>68.0</v>
      </c>
      <c r="B6499" s="4" t="s">
        <v>14285</v>
      </c>
      <c r="C6499" s="4"/>
      <c r="D6499" s="4" t="s">
        <v>14465</v>
      </c>
      <c r="E6499" s="4" t="s">
        <v>2382</v>
      </c>
      <c r="F6499" s="4" t="s">
        <v>2381</v>
      </c>
      <c r="G6499" s="5" t="str">
        <f>IFERROR(__xludf.DUMMYFUNCTION("GOOGLETRANSLATE(D6499,""gl"",""es"")"),"mamá")</f>
        <v>mamá</v>
      </c>
      <c r="H6499" s="4" t="s">
        <v>2278</v>
      </c>
      <c r="I6499" s="4" t="s">
        <v>2381</v>
      </c>
      <c r="J6499" s="4" t="s">
        <v>2384</v>
      </c>
      <c r="K6499" s="4" t="s">
        <v>2385</v>
      </c>
      <c r="L6499" s="4" t="s">
        <v>2386</v>
      </c>
      <c r="M6499" s="4" t="s">
        <v>2387</v>
      </c>
      <c r="N6499" s="4" t="s">
        <v>2388</v>
      </c>
      <c r="O6499" s="4" t="s">
        <v>2389</v>
      </c>
      <c r="P6499" s="4" t="s">
        <v>2390</v>
      </c>
    </row>
    <row r="6500">
      <c r="A6500" s="4">
        <v>69.0</v>
      </c>
      <c r="B6500" s="4" t="s">
        <v>14285</v>
      </c>
      <c r="C6500" s="4"/>
      <c r="D6500" s="4" t="s">
        <v>14466</v>
      </c>
      <c r="E6500" s="4" t="s">
        <v>14467</v>
      </c>
      <c r="F6500" s="4" t="s">
        <v>14468</v>
      </c>
      <c r="G6500" s="5" t="str">
        <f>IFERROR(__xludf.DUMMYFUNCTION("GOOGLETRANSLATE(D6500,""gl"",""es"")"),"maule")</f>
        <v>maule</v>
      </c>
    </row>
    <row r="6501">
      <c r="A6501" s="4">
        <v>70.0</v>
      </c>
      <c r="B6501" s="4" t="s">
        <v>14285</v>
      </c>
      <c r="C6501" s="4"/>
      <c r="D6501" s="4" t="s">
        <v>14469</v>
      </c>
      <c r="E6501" s="4" t="s">
        <v>14470</v>
      </c>
      <c r="F6501" s="4" t="s">
        <v>14471</v>
      </c>
      <c r="G6501" s="5" t="str">
        <f>IFERROR(__xludf.DUMMYFUNCTION("GOOGLETRANSLATE(D6501,""gl"",""es"")"),"mar")</f>
        <v>mar</v>
      </c>
    </row>
    <row r="6502">
      <c r="A6502" s="4">
        <v>71.0</v>
      </c>
      <c r="B6502" s="4" t="s">
        <v>14285</v>
      </c>
      <c r="C6502" s="4"/>
      <c r="D6502" s="4" t="s">
        <v>14472</v>
      </c>
      <c r="E6502" s="4" t="s">
        <v>14473</v>
      </c>
      <c r="F6502" s="4" t="s">
        <v>14472</v>
      </c>
      <c r="G6502" s="5" t="str">
        <f>IFERROR(__xludf.DUMMYFUNCTION("GOOGLETRANSLATE(D6502,""gl"",""es"")"),"mil")</f>
        <v>mil</v>
      </c>
    </row>
    <row r="6503">
      <c r="A6503" s="4">
        <v>72.0</v>
      </c>
      <c r="B6503" s="4" t="s">
        <v>14285</v>
      </c>
      <c r="C6503" s="4"/>
      <c r="D6503" s="4" t="s">
        <v>14474</v>
      </c>
      <c r="E6503" s="4" t="s">
        <v>14475</v>
      </c>
      <c r="F6503" s="4" t="s">
        <v>14476</v>
      </c>
      <c r="G6503" s="5" t="str">
        <f>IFERROR(__xludf.DUMMYFUNCTION("GOOGLETRANSLATE(D6503,""gl"",""es"")"),"maíz")</f>
        <v>maíz</v>
      </c>
      <c r="H6503" s="4" t="s">
        <v>3288</v>
      </c>
      <c r="I6503" s="4" t="s">
        <v>3289</v>
      </c>
      <c r="J6503" s="4" t="s">
        <v>3290</v>
      </c>
      <c r="K6503" s="4" t="s">
        <v>3291</v>
      </c>
    </row>
    <row r="6504">
      <c r="A6504" s="4">
        <v>73.0</v>
      </c>
      <c r="B6504" s="4" t="s">
        <v>14285</v>
      </c>
      <c r="C6504" s="4"/>
      <c r="D6504" s="4" t="s">
        <v>14477</v>
      </c>
      <c r="E6504" s="4" t="s">
        <v>14478</v>
      </c>
      <c r="F6504" s="4" t="s">
        <v>14479</v>
      </c>
      <c r="G6504" s="5" t="str">
        <f>IFERROR(__xludf.DUMMYFUNCTION("GOOGLETRANSLATE(D6504,""gl"",""es"")"),"mula")</f>
        <v>mula</v>
      </c>
      <c r="H6504" s="4" t="s">
        <v>14480</v>
      </c>
    </row>
    <row r="6505">
      <c r="A6505" s="4">
        <v>74.0</v>
      </c>
      <c r="B6505" s="4" t="s">
        <v>14285</v>
      </c>
      <c r="C6505" s="4"/>
      <c r="D6505" s="4" t="s">
        <v>14481</v>
      </c>
      <c r="E6505" s="4" t="s">
        <v>14482</v>
      </c>
      <c r="F6505" s="4" t="s">
        <v>14483</v>
      </c>
      <c r="G6505" s="5" t="str">
        <f>IFERROR(__xludf.DUMMYFUNCTION("GOOGLETRANSLATE(D6505,""gl"",""es"")"),"mula")</f>
        <v>mula</v>
      </c>
    </row>
    <row r="6506">
      <c r="A6506" s="4">
        <v>75.0</v>
      </c>
      <c r="B6506" s="4" t="s">
        <v>14285</v>
      </c>
      <c r="C6506" s="4"/>
      <c r="D6506" s="4" t="s">
        <v>14484</v>
      </c>
      <c r="E6506" s="4" t="s">
        <v>14485</v>
      </c>
      <c r="F6506" s="4" t="s">
        <v>14486</v>
      </c>
      <c r="G6506" s="5" t="str">
        <f>IFERROR(__xludf.DUMMYFUNCTION("GOOGLETRANSLATE(D6506,""gl"",""es"")"),"músico")</f>
        <v>músico</v>
      </c>
      <c r="H6506" s="4" t="s">
        <v>14487</v>
      </c>
      <c r="I6506" s="4" t="s">
        <v>14488</v>
      </c>
      <c r="J6506" s="4" t="s">
        <v>14489</v>
      </c>
    </row>
    <row r="6507">
      <c r="A6507" s="4">
        <v>76.0</v>
      </c>
      <c r="B6507" s="4" t="s">
        <v>14285</v>
      </c>
      <c r="C6507" s="4"/>
      <c r="D6507" s="4" t="s">
        <v>3147</v>
      </c>
      <c r="E6507" s="4" t="s">
        <v>3148</v>
      </c>
      <c r="F6507" s="4" t="s">
        <v>3147</v>
      </c>
      <c r="G6507" s="5" t="str">
        <f>IFERROR(__xludf.DUMMYFUNCTION("GOOGLETRANSLATE(D6507,""gl"",""es"")"),"pala")</f>
        <v>pala</v>
      </c>
      <c r="H6507" s="4" t="s">
        <v>14490</v>
      </c>
      <c r="I6507" s="4" t="s">
        <v>14491</v>
      </c>
      <c r="J6507" s="4" t="s">
        <v>3153</v>
      </c>
      <c r="K6507" s="4" t="s">
        <v>14492</v>
      </c>
    </row>
    <row r="6508">
      <c r="A6508" s="4">
        <v>77.0</v>
      </c>
      <c r="B6508" s="4" t="s">
        <v>14285</v>
      </c>
      <c r="C6508" s="4"/>
      <c r="D6508" s="4" t="s">
        <v>3158</v>
      </c>
      <c r="E6508" s="4" t="s">
        <v>14493</v>
      </c>
      <c r="F6508" s="4" t="s">
        <v>3160</v>
      </c>
      <c r="G6508" s="5" t="str">
        <f>IFERROR(__xludf.DUMMYFUNCTION("GOOGLETRANSLATE(D6508,""gl"",""es"")"),"extendido")</f>
        <v>extendido</v>
      </c>
    </row>
    <row r="6509">
      <c r="A6509" s="4">
        <v>78.0</v>
      </c>
      <c r="B6509" s="4" t="s">
        <v>14285</v>
      </c>
      <c r="C6509" s="4"/>
      <c r="D6509" s="4" t="s">
        <v>14494</v>
      </c>
      <c r="E6509" s="4" t="s">
        <v>14495</v>
      </c>
      <c r="F6509" s="4" t="s">
        <v>14494</v>
      </c>
      <c r="G6509" s="5" t="str">
        <f>IFERROR(__xludf.DUMMYFUNCTION("GOOGLETRANSLATE(D6509,""gl"",""es"")"),"aliviar")</f>
        <v>aliviar</v>
      </c>
    </row>
    <row r="6510">
      <c r="A6510" s="4">
        <v>79.0</v>
      </c>
      <c r="B6510" s="4" t="s">
        <v>14285</v>
      </c>
      <c r="C6510" s="4"/>
      <c r="D6510" s="4" t="s">
        <v>14496</v>
      </c>
      <c r="E6510" s="4" t="s">
        <v>14497</v>
      </c>
      <c r="F6510" s="4" t="s">
        <v>14498</v>
      </c>
      <c r="G6510" s="5" t="str">
        <f>IFERROR(__xludf.DUMMYFUNCTION("GOOGLETRANSLATE(D6510,""gl"",""es"")"),"palillo de dientes")</f>
        <v>palillo de dientes</v>
      </c>
      <c r="H6510" s="4" t="s">
        <v>14499</v>
      </c>
      <c r="I6510" s="4" t="s">
        <v>14500</v>
      </c>
      <c r="J6510" s="4" t="s">
        <v>14501</v>
      </c>
    </row>
    <row r="6511">
      <c r="A6511" s="4">
        <v>80.0</v>
      </c>
      <c r="B6511" s="4" t="s">
        <v>14285</v>
      </c>
      <c r="C6511" s="4"/>
      <c r="D6511" s="4" t="s">
        <v>14502</v>
      </c>
      <c r="E6511" s="4" t="s">
        <v>14503</v>
      </c>
      <c r="F6511" s="4" t="s">
        <v>14504</v>
      </c>
      <c r="G6511" s="5" t="str">
        <f>IFERROR(__xludf.DUMMYFUNCTION("GOOGLETRANSLATE(D6511,""gl"",""es"")"),"payaso")</f>
        <v>payaso</v>
      </c>
    </row>
    <row r="6512">
      <c r="A6512" s="4">
        <v>81.0</v>
      </c>
      <c r="B6512" s="4" t="s">
        <v>14285</v>
      </c>
      <c r="C6512" s="4"/>
      <c r="D6512" s="4" t="s">
        <v>14505</v>
      </c>
      <c r="E6512" s="4" t="s">
        <v>14506</v>
      </c>
      <c r="F6512" s="4" t="s">
        <v>14507</v>
      </c>
      <c r="G6512" s="5" t="str">
        <f>IFERROR(__xludf.DUMMYFUNCTION("GOOGLETRANSLATE(D6512,""gl"",""es"")"),"loro")</f>
        <v>loro</v>
      </c>
    </row>
    <row r="6513">
      <c r="A6513" s="4">
        <v>82.0</v>
      </c>
      <c r="B6513" s="4" t="s">
        <v>14285</v>
      </c>
      <c r="C6513" s="4"/>
      <c r="D6513" s="4" t="s">
        <v>3344</v>
      </c>
      <c r="E6513" s="4" t="s">
        <v>3345</v>
      </c>
      <c r="F6513" s="4" t="s">
        <v>3344</v>
      </c>
      <c r="G6513" s="5" t="str">
        <f>IFERROR(__xludf.DUMMYFUNCTION("GOOGLETRANSLATE(D6513,""gl"",""es"")"),"deténgase")</f>
        <v>deténgase</v>
      </c>
      <c r="H6513" s="4" t="s">
        <v>945</v>
      </c>
      <c r="I6513" s="4" t="s">
        <v>945</v>
      </c>
      <c r="J6513" s="4" t="s">
        <v>948</v>
      </c>
    </row>
    <row r="6514">
      <c r="A6514" s="4">
        <v>83.0</v>
      </c>
      <c r="B6514" s="4" t="s">
        <v>14285</v>
      </c>
      <c r="C6514" s="4"/>
      <c r="D6514" s="4" t="s">
        <v>14508</v>
      </c>
      <c r="E6514" s="4" t="s">
        <v>14509</v>
      </c>
      <c r="F6514" s="4" t="s">
        <v>14508</v>
      </c>
      <c r="G6514" s="5" t="str">
        <f>IFERROR(__xludf.DUMMYFUNCTION("GOOGLETRANSLATE(D6514,""gl"",""es"")"),"similar")</f>
        <v>similar</v>
      </c>
    </row>
    <row r="6515">
      <c r="A6515" s="4">
        <v>84.0</v>
      </c>
      <c r="B6515" s="4" t="s">
        <v>14285</v>
      </c>
      <c r="C6515" s="4"/>
      <c r="D6515" s="4" t="s">
        <v>3396</v>
      </c>
      <c r="E6515" s="4" t="s">
        <v>3395</v>
      </c>
      <c r="F6515" s="4" t="s">
        <v>3396</v>
      </c>
      <c r="G6515" s="5" t="str">
        <f>IFERROR(__xludf.DUMMYFUNCTION("GOOGLETRANSLATE(D6515,""gl"",""es"")"),"pasar")</f>
        <v>pasar</v>
      </c>
      <c r="H6515" s="4" t="s">
        <v>3398</v>
      </c>
      <c r="I6515" s="4" t="s">
        <v>3399</v>
      </c>
      <c r="J6515" s="4" t="s">
        <v>3400</v>
      </c>
      <c r="K6515" s="4" t="s">
        <v>3401</v>
      </c>
      <c r="L6515" s="4" t="s">
        <v>3402</v>
      </c>
      <c r="M6515" s="4" t="s">
        <v>647</v>
      </c>
      <c r="N6515" s="4" t="s">
        <v>3403</v>
      </c>
      <c r="O6515" s="4" t="s">
        <v>3404</v>
      </c>
      <c r="P6515" s="4" t="s">
        <v>3405</v>
      </c>
      <c r="Q6515" s="4" t="s">
        <v>3413</v>
      </c>
      <c r="R6515" s="4" t="s">
        <v>646</v>
      </c>
      <c r="S6515" s="4" t="s">
        <v>3414</v>
      </c>
      <c r="T6515" s="4" t="s">
        <v>647</v>
      </c>
      <c r="U6515" s="4" t="s">
        <v>647</v>
      </c>
      <c r="V6515" s="4" t="s">
        <v>3422</v>
      </c>
      <c r="W6515" s="4" t="s">
        <v>647</v>
      </c>
      <c r="X6515" s="4" t="s">
        <v>2858</v>
      </c>
      <c r="Y6515" s="4" t="s">
        <v>3423</v>
      </c>
      <c r="Z6515" s="4" t="s">
        <v>1496</v>
      </c>
      <c r="AA6515" s="4" t="s">
        <v>3424</v>
      </c>
      <c r="AB6515" s="4" t="s">
        <v>1503</v>
      </c>
      <c r="AC6515" s="4" t="s">
        <v>637</v>
      </c>
      <c r="AD6515" s="4" t="s">
        <v>3425</v>
      </c>
      <c r="AE6515" s="4" t="s">
        <v>647</v>
      </c>
      <c r="AF6515" s="4" t="s">
        <v>3426</v>
      </c>
    </row>
    <row r="6516">
      <c r="A6516" s="4">
        <v>85.0</v>
      </c>
      <c r="B6516" s="4" t="s">
        <v>14285</v>
      </c>
      <c r="C6516" s="4"/>
      <c r="D6516" s="4" t="s">
        <v>14510</v>
      </c>
      <c r="E6516" s="4" t="s">
        <v>14511</v>
      </c>
      <c r="F6516" s="4" t="s">
        <v>14512</v>
      </c>
      <c r="G6516" s="5" t="str">
        <f>IFERROR(__xludf.DUMMYFUNCTION("GOOGLETRANSLATE(D6516,""gl"",""es"")"),"paso")</f>
        <v>paso</v>
      </c>
      <c r="H6516" s="4" t="s">
        <v>3363</v>
      </c>
      <c r="I6516" s="4" t="s">
        <v>3363</v>
      </c>
      <c r="J6516" s="4" t="s">
        <v>14513</v>
      </c>
    </row>
    <row r="6517">
      <c r="A6517" s="4">
        <v>86.0</v>
      </c>
      <c r="B6517" s="4" t="s">
        <v>14285</v>
      </c>
      <c r="C6517" s="4"/>
      <c r="D6517" s="4" t="s">
        <v>14514</v>
      </c>
      <c r="E6517" s="4" t="s">
        <v>14515</v>
      </c>
      <c r="F6517" s="4" t="s">
        <v>3429</v>
      </c>
      <c r="G6517" s="5" t="str">
        <f>IFERROR(__xludf.DUMMYFUNCTION("GOOGLETRANSLATE(D6517,""gl"",""es"")"),"paso")</f>
        <v>paso</v>
      </c>
      <c r="H6517" s="4" t="s">
        <v>3363</v>
      </c>
      <c r="I6517" s="4" t="s">
        <v>3363</v>
      </c>
      <c r="J6517" s="4" t="s">
        <v>14513</v>
      </c>
    </row>
    <row r="6518">
      <c r="A6518" s="4">
        <v>87.0</v>
      </c>
      <c r="B6518" s="4" t="s">
        <v>14285</v>
      </c>
      <c r="C6518" s="4"/>
      <c r="D6518" s="4" t="s">
        <v>14516</v>
      </c>
      <c r="E6518" s="4" t="s">
        <v>14517</v>
      </c>
      <c r="F6518" s="4" t="s">
        <v>14518</v>
      </c>
      <c r="G6518" s="5" t="str">
        <f>IFERROR(__xludf.DUMMYFUNCTION("GOOGLETRANSLATE(D6518,""gl"",""es"")"),"pato")</f>
        <v>pato</v>
      </c>
      <c r="H6518" s="4" t="s">
        <v>11872</v>
      </c>
    </row>
    <row r="6519">
      <c r="A6519" s="4">
        <v>88.0</v>
      </c>
      <c r="B6519" s="4" t="s">
        <v>14285</v>
      </c>
      <c r="C6519" s="4"/>
      <c r="D6519" s="4" t="s">
        <v>14519</v>
      </c>
      <c r="E6519" s="4" t="s">
        <v>14520</v>
      </c>
      <c r="F6519" s="4" t="s">
        <v>14521</v>
      </c>
      <c r="G6519" s="5" t="str">
        <f>IFERROR(__xludf.DUMMYFUNCTION("GOOGLETRANSLATE(D6519,""gl"",""es"")"),"pájaro")</f>
        <v>pájaro</v>
      </c>
    </row>
    <row r="6520">
      <c r="A6520" s="4">
        <v>89.0</v>
      </c>
      <c r="B6520" s="4" t="s">
        <v>14285</v>
      </c>
      <c r="C6520" s="4"/>
      <c r="D6520" s="4" t="s">
        <v>14522</v>
      </c>
      <c r="E6520" s="4" t="s">
        <v>14523</v>
      </c>
      <c r="F6520" s="4" t="s">
        <v>14524</v>
      </c>
      <c r="G6520" s="5" t="str">
        <f>IFERROR(__xludf.DUMMYFUNCTION("GOOGLETRANSLATE(D6520,""gl"",""es"")"),"aves")</f>
        <v>aves</v>
      </c>
    </row>
    <row r="6521">
      <c r="A6521" s="4">
        <v>90.0</v>
      </c>
      <c r="B6521" s="4" t="s">
        <v>14285</v>
      </c>
      <c r="C6521" s="4"/>
      <c r="D6521" s="4" t="s">
        <v>14525</v>
      </c>
      <c r="E6521" s="4" t="s">
        <v>14526</v>
      </c>
      <c r="F6521" s="4" t="s">
        <v>14527</v>
      </c>
      <c r="G6521" s="5" t="str">
        <f>IFERROR(__xludf.DUMMYFUNCTION("GOOGLETRANSLATE(D6521,""gl"",""es"")"),"pájaro")</f>
        <v>pájaro</v>
      </c>
    </row>
    <row r="6522">
      <c r="A6522" s="4">
        <v>91.0</v>
      </c>
      <c r="B6522" s="4" t="s">
        <v>14285</v>
      </c>
      <c r="C6522" s="4"/>
      <c r="D6522" s="4" t="s">
        <v>14241</v>
      </c>
      <c r="E6522" s="4" t="s">
        <v>14242</v>
      </c>
      <c r="F6522" s="4" t="s">
        <v>1112</v>
      </c>
      <c r="G6522" s="5" t="str">
        <f>IFERROR(__xludf.DUMMYFUNCTION("GOOGLETRANSLATE(D6522,""gl"",""es"")"),"paz")</f>
        <v>paz</v>
      </c>
      <c r="H6522" s="4" t="s">
        <v>444</v>
      </c>
    </row>
    <row r="6523">
      <c r="A6523" s="4">
        <v>92.0</v>
      </c>
      <c r="B6523" s="4" t="s">
        <v>14285</v>
      </c>
      <c r="C6523" s="4"/>
      <c r="D6523" s="4" t="s">
        <v>14528</v>
      </c>
      <c r="E6523" s="4" t="s">
        <v>14529</v>
      </c>
      <c r="F6523" s="4" t="s">
        <v>14530</v>
      </c>
      <c r="G6523" s="5" t="str">
        <f>IFERROR(__xludf.DUMMYFUNCTION("GOOGLETRANSLATE(D6523,""gl"",""es"")"),"multa")</f>
        <v>multa</v>
      </c>
    </row>
    <row r="6524">
      <c r="A6524" s="4">
        <v>93.0</v>
      </c>
      <c r="B6524" s="4" t="s">
        <v>14285</v>
      </c>
      <c r="C6524" s="4"/>
      <c r="D6524" s="4" t="s">
        <v>14531</v>
      </c>
      <c r="E6524" s="4" t="s">
        <v>14532</v>
      </c>
      <c r="F6524" s="4" t="s">
        <v>14533</v>
      </c>
      <c r="G6524" s="5" t="str">
        <f>IFERROR(__xludf.DUMMYFUNCTION("GOOGLETRANSLATE(D6524,""gl"",""es"")"),"pipo")</f>
        <v>pipo</v>
      </c>
    </row>
    <row r="6525">
      <c r="A6525" s="4">
        <v>94.0</v>
      </c>
      <c r="B6525" s="4" t="s">
        <v>14285</v>
      </c>
      <c r="C6525" s="4"/>
      <c r="D6525" s="4" t="s">
        <v>14534</v>
      </c>
      <c r="E6525" s="4" t="s">
        <v>14535</v>
      </c>
      <c r="F6525" s="4" t="s">
        <v>11001</v>
      </c>
      <c r="G6525" s="5" t="str">
        <f>IFERROR(__xludf.DUMMYFUNCTION("GOOGLETRANSLATE(D6525,""gl"",""es"")"),"plano")</f>
        <v>plano</v>
      </c>
      <c r="H6525" s="4" t="s">
        <v>3572</v>
      </c>
      <c r="I6525" s="4" t="s">
        <v>2186</v>
      </c>
      <c r="J6525" s="4" t="s">
        <v>3578</v>
      </c>
      <c r="K6525" s="4" t="s">
        <v>2187</v>
      </c>
      <c r="L6525" s="4" t="s">
        <v>3579</v>
      </c>
      <c r="M6525" s="4" t="s">
        <v>3580</v>
      </c>
    </row>
    <row r="6526">
      <c r="A6526" s="4">
        <v>95.0</v>
      </c>
      <c r="B6526" s="4" t="s">
        <v>14285</v>
      </c>
      <c r="C6526" s="4"/>
      <c r="D6526" s="4" t="s">
        <v>14536</v>
      </c>
      <c r="E6526" s="4" t="s">
        <v>14537</v>
      </c>
      <c r="F6526" s="4" t="s">
        <v>14538</v>
      </c>
      <c r="G6526" s="5" t="str">
        <f>IFERROR(__xludf.DUMMYFUNCTION("GOOGLETRANSLATE(D6526,""gl"",""es"")"),"ranura")</f>
        <v>ranura</v>
      </c>
    </row>
    <row r="6527">
      <c r="A6527" s="4">
        <v>96.0</v>
      </c>
      <c r="B6527" s="4" t="s">
        <v>14285</v>
      </c>
      <c r="C6527" s="4"/>
      <c r="D6527" s="4" t="s">
        <v>14539</v>
      </c>
      <c r="E6527" s="4" t="s">
        <v>14540</v>
      </c>
      <c r="F6527" s="4" t="s">
        <v>11018</v>
      </c>
      <c r="G6527" s="5" t="str">
        <f>IFERROR(__xludf.DUMMYFUNCTION("GOOGLETRANSLATE(D6527,""gl"",""es"")"),"pollo")</f>
        <v>pollo</v>
      </c>
      <c r="H6527" s="4" t="s">
        <v>14539</v>
      </c>
    </row>
    <row r="6528">
      <c r="A6528" s="4">
        <v>97.0</v>
      </c>
      <c r="B6528" s="4" t="s">
        <v>14285</v>
      </c>
      <c r="C6528" s="4"/>
      <c r="D6528" s="4" t="s">
        <v>14541</v>
      </c>
      <c r="E6528" s="4" t="s">
        <v>14542</v>
      </c>
      <c r="F6528" s="4" t="s">
        <v>14543</v>
      </c>
      <c r="G6528" s="5" t="str">
        <f>IFERROR(__xludf.DUMMYFUNCTION("GOOGLETRANSLATE(D6528,""gl"",""es"")"),"parar")</f>
        <v>parar</v>
      </c>
    </row>
    <row r="6529">
      <c r="A6529" s="4">
        <v>98.0</v>
      </c>
      <c r="B6529" s="4" t="s">
        <v>14285</v>
      </c>
      <c r="C6529" s="4"/>
      <c r="D6529" s="4" t="s">
        <v>14544</v>
      </c>
      <c r="E6529" s="4" t="s">
        <v>14545</v>
      </c>
      <c r="F6529" s="4" t="s">
        <v>14546</v>
      </c>
      <c r="G6529" s="5" t="str">
        <f>IFERROR(__xludf.DUMMYFUNCTION("GOOGLETRANSLATE(D6529,""gl"",""es"")"),"llaves")</f>
        <v>llaves</v>
      </c>
    </row>
    <row r="6530">
      <c r="A6530" s="4">
        <v>99.0</v>
      </c>
      <c r="B6530" s="4" t="s">
        <v>14285</v>
      </c>
      <c r="C6530" s="4"/>
      <c r="D6530" s="4" t="s">
        <v>14547</v>
      </c>
      <c r="E6530" s="4" t="s">
        <v>14548</v>
      </c>
      <c r="F6530" s="4" t="s">
        <v>14549</v>
      </c>
      <c r="G6530" s="5" t="str">
        <f>IFERROR(__xludf.DUMMYFUNCTION("GOOGLETRANSLATE(D6530,""gl"",""es"")"),"quino")</f>
        <v>quino</v>
      </c>
    </row>
    <row r="6531">
      <c r="A6531" s="4">
        <v>100.0</v>
      </c>
      <c r="B6531" s="4" t="s">
        <v>14285</v>
      </c>
      <c r="C6531" s="4"/>
      <c r="D6531" s="4" t="s">
        <v>14550</v>
      </c>
      <c r="E6531" s="4" t="s">
        <v>14551</v>
      </c>
      <c r="F6531" s="4" t="s">
        <v>14552</v>
      </c>
      <c r="G6531" s="5" t="str">
        <f>IFERROR(__xludf.DUMMYFUNCTION("GOOGLETRANSLATE(D6531,""gl"",""es"")"),"skay")</f>
        <v>skay</v>
      </c>
    </row>
    <row r="6532">
      <c r="A6532" s="4">
        <v>101.0</v>
      </c>
      <c r="B6532" s="4" t="s">
        <v>14285</v>
      </c>
      <c r="C6532" s="4"/>
      <c r="D6532" s="4" t="s">
        <v>8791</v>
      </c>
      <c r="E6532" s="4" t="s">
        <v>14553</v>
      </c>
      <c r="F6532" s="4" t="s">
        <v>8717</v>
      </c>
      <c r="G6532" s="5" t="str">
        <f>IFERROR(__xludf.DUMMYFUNCTION("GOOGLETRANSLATE(D6532,""gl"",""es"")"),"solamente")</f>
        <v>solamente</v>
      </c>
    </row>
    <row r="6533">
      <c r="A6533" s="4">
        <v>102.0</v>
      </c>
      <c r="B6533" s="4" t="s">
        <v>14285</v>
      </c>
      <c r="C6533" s="4"/>
      <c r="D6533" s="4" t="s">
        <v>14554</v>
      </c>
      <c r="E6533" s="4" t="s">
        <v>14281</v>
      </c>
      <c r="F6533" s="4" t="s">
        <v>4117</v>
      </c>
      <c r="G6533" s="5" t="str">
        <f>IFERROR(__xludf.DUMMYFUNCTION("GOOGLETRANSLATE(D6533,""gl"",""es"")"),"azúcar")</f>
        <v>azúcar</v>
      </c>
    </row>
    <row r="6534">
      <c r="A6534" s="4">
        <v>103.0</v>
      </c>
      <c r="B6534" s="4" t="s">
        <v>14285</v>
      </c>
      <c r="C6534" s="4"/>
      <c r="D6534" s="4" t="s">
        <v>14555</v>
      </c>
      <c r="E6534" s="4" t="s">
        <v>14556</v>
      </c>
      <c r="F6534" s="4" t="s">
        <v>14555</v>
      </c>
      <c r="G6534" s="5" t="str">
        <f>IFERROR(__xludf.DUMMYFUNCTION("GOOGLETRANSLATE(D6534,""gl"",""es"")"),"subterraneo")</f>
        <v>subterraneo</v>
      </c>
    </row>
    <row r="6535">
      <c r="A6535" s="4">
        <v>104.0</v>
      </c>
      <c r="B6535" s="4" t="s">
        <v>14285</v>
      </c>
      <c r="C6535" s="4"/>
      <c r="D6535" s="4" t="s">
        <v>14557</v>
      </c>
      <c r="E6535" s="4" t="s">
        <v>14558</v>
      </c>
      <c r="F6535" s="4" t="s">
        <v>14557</v>
      </c>
      <c r="G6535" s="5" t="str">
        <f>IFERROR(__xludf.DUMMYFUNCTION("GOOGLETRANSLATE(D6535,""gl"",""es"")"),"sutil")</f>
        <v>sutil</v>
      </c>
      <c r="H6535" s="4" t="s">
        <v>14559</v>
      </c>
      <c r="I6535" s="4" t="s">
        <v>3224</v>
      </c>
    </row>
    <row r="6536">
      <c r="A6536" s="4">
        <v>105.0</v>
      </c>
      <c r="B6536" s="4" t="s">
        <v>14285</v>
      </c>
      <c r="C6536" s="4"/>
      <c r="D6536" s="4" t="s">
        <v>4251</v>
      </c>
      <c r="E6536" s="4" t="s">
        <v>4252</v>
      </c>
      <c r="F6536" s="4" t="s">
        <v>4251</v>
      </c>
      <c r="G6536" s="5" t="str">
        <f>IFERROR(__xludf.DUMMYFUNCTION("GOOGLETRANSLATE(D6536,""gl"",""es"")"),"tal")</f>
        <v>tal</v>
      </c>
    </row>
    <row r="6537">
      <c r="A6537" s="4">
        <v>106.0</v>
      </c>
      <c r="B6537" s="4" t="s">
        <v>14285</v>
      </c>
      <c r="C6537" s="4"/>
      <c r="D6537" s="4" t="s">
        <v>14560</v>
      </c>
      <c r="E6537" s="4" t="s">
        <v>14561</v>
      </c>
      <c r="F6537" s="4" t="s">
        <v>14562</v>
      </c>
      <c r="G6537" s="5" t="str">
        <f>IFERROR(__xludf.DUMMYFUNCTION("GOOGLETRANSLATE(D6537,""gl"",""es"")"),"refugio")</f>
        <v>refugio</v>
      </c>
    </row>
    <row r="6538">
      <c r="A6538" s="4">
        <v>107.0</v>
      </c>
      <c r="B6538" s="4" t="s">
        <v>14285</v>
      </c>
      <c r="C6538" s="4"/>
      <c r="D6538" s="4" t="s">
        <v>14560</v>
      </c>
      <c r="E6538" s="4" t="s">
        <v>14563</v>
      </c>
      <c r="F6538" s="4" t="s">
        <v>14564</v>
      </c>
      <c r="G6538" s="5" t="str">
        <f>IFERROR(__xludf.DUMMYFUNCTION("GOOGLETRANSLATE(D6538,""gl"",""es"")"),"refugio")</f>
        <v>refugio</v>
      </c>
    </row>
    <row r="6539">
      <c r="A6539" s="4">
        <v>108.0</v>
      </c>
      <c r="B6539" s="4" t="s">
        <v>14285</v>
      </c>
      <c r="C6539" s="4"/>
      <c r="D6539" s="4" t="s">
        <v>14565</v>
      </c>
      <c r="E6539" s="4" t="s">
        <v>14566</v>
      </c>
      <c r="F6539" s="4" t="s">
        <v>14567</v>
      </c>
      <c r="G6539" s="5" t="str">
        <f>IFERROR(__xludf.DUMMYFUNCTION("GOOGLETRANSLATE(D6539,""gl"",""es"")"),"Talla")</f>
        <v>Talla</v>
      </c>
    </row>
    <row r="6540">
      <c r="A6540" s="4">
        <v>109.0</v>
      </c>
      <c r="B6540" s="4" t="s">
        <v>14285</v>
      </c>
      <c r="C6540" s="4"/>
      <c r="D6540" s="4" t="s">
        <v>14568</v>
      </c>
      <c r="E6540" s="4" t="s">
        <v>4350</v>
      </c>
      <c r="F6540" s="4" t="s">
        <v>4351</v>
      </c>
      <c r="G6540" s="5" t="str">
        <f>IFERROR(__xludf.DUMMYFUNCTION("GOOGLETRANSLATE(D6540,""gl"",""es"")"),"cinta")</f>
        <v>cinta</v>
      </c>
      <c r="H6540" s="4" t="s">
        <v>4352</v>
      </c>
      <c r="I6540" s="4" t="s">
        <v>4353</v>
      </c>
    </row>
    <row r="6541">
      <c r="A6541" s="4">
        <v>110.0</v>
      </c>
      <c r="B6541" s="4" t="s">
        <v>14285</v>
      </c>
      <c r="C6541" s="4"/>
      <c r="D6541" s="4" t="s">
        <v>14568</v>
      </c>
      <c r="E6541" s="4" t="s">
        <v>14569</v>
      </c>
      <c r="F6541" s="4" t="s">
        <v>14570</v>
      </c>
      <c r="G6541" s="5" t="str">
        <f>IFERROR(__xludf.DUMMYFUNCTION("GOOGLETRANSLATE(D6541,""gl"",""es"")"),"cinta")</f>
        <v>cinta</v>
      </c>
      <c r="H6541" s="4" t="s">
        <v>4352</v>
      </c>
      <c r="I6541" s="4" t="s">
        <v>4353</v>
      </c>
    </row>
    <row r="6542">
      <c r="A6542" s="4">
        <v>111.0</v>
      </c>
      <c r="B6542" s="4" t="s">
        <v>14285</v>
      </c>
      <c r="C6542" s="4"/>
      <c r="D6542" s="4" t="s">
        <v>14571</v>
      </c>
      <c r="E6542" s="4" t="s">
        <v>14572</v>
      </c>
      <c r="F6542" s="4" t="s">
        <v>14573</v>
      </c>
      <c r="G6542" s="5" t="str">
        <f>IFERROR(__xludf.DUMMYFUNCTION("GOOGLETRANSLATE(D6542,""gl"",""es"")"),"Uzal")</f>
        <v>Uzal</v>
      </c>
    </row>
    <row r="6543">
      <c r="A6543" s="4">
        <v>112.0</v>
      </c>
      <c r="B6543" s="4" t="s">
        <v>14285</v>
      </c>
      <c r="C6543" s="4"/>
      <c r="D6543" s="4" t="s">
        <v>14571</v>
      </c>
      <c r="E6543" s="4" t="s">
        <v>14574</v>
      </c>
      <c r="F6543" s="4" t="s">
        <v>14575</v>
      </c>
      <c r="G6543" s="5" t="str">
        <f>IFERROR(__xludf.DUMMYFUNCTION("GOOGLETRANSLATE(D6543,""gl"",""es"")"),"Uzal")</f>
        <v>Uzal</v>
      </c>
    </row>
    <row r="6544">
      <c r="A6544" s="4">
        <v>113.0</v>
      </c>
      <c r="B6544" s="4" t="s">
        <v>14285</v>
      </c>
      <c r="C6544" s="4"/>
      <c r="D6544" s="4" t="s">
        <v>14576</v>
      </c>
      <c r="E6544" s="4" t="s">
        <v>14577</v>
      </c>
      <c r="F6544" s="4" t="s">
        <v>14578</v>
      </c>
      <c r="G6544" s="5" t="str">
        <f>IFERROR(__xludf.DUMMYFUNCTION("GOOGLETRANSLATE(D6544,""gl"",""es"")"),"yugo")</f>
        <v>yugo</v>
      </c>
      <c r="H6544" s="4" t="s">
        <v>14579</v>
      </c>
    </row>
    <row r="6545">
      <c r="A6545" s="4">
        <v>114.0</v>
      </c>
      <c r="B6545" s="4" t="s">
        <v>14285</v>
      </c>
      <c r="C6545" s="4"/>
      <c r="D6545" s="4" t="s">
        <v>14580</v>
      </c>
      <c r="E6545" s="4" t="s">
        <v>14581</v>
      </c>
      <c r="F6545" s="4" t="s">
        <v>14582</v>
      </c>
      <c r="G6545" s="5" t="str">
        <f>IFERROR(__xludf.DUMMYFUNCTION("GOOGLETRANSLATE(D6545,""gl"",""es"")"),"jurar")</f>
        <v>jurar</v>
      </c>
    </row>
    <row r="6546">
      <c r="A6546" s="4">
        <v>115.0</v>
      </c>
      <c r="B6546" s="4" t="s">
        <v>14285</v>
      </c>
      <c r="C6546" s="4"/>
      <c r="D6546" s="4" t="s">
        <v>14583</v>
      </c>
      <c r="E6546" s="4" t="s">
        <v>14584</v>
      </c>
      <c r="F6546" s="4" t="s">
        <v>14585</v>
      </c>
      <c r="G6546" s="5" t="str">
        <f>IFERROR(__xludf.DUMMYFUNCTION("GOOGLETRANSLATE(D6546,""gl"",""es"")"),"interés")</f>
        <v>interés</v>
      </c>
    </row>
    <row r="6547">
      <c r="A6547" s="4">
        <v>116.0</v>
      </c>
      <c r="B6547" s="4" t="s">
        <v>14285</v>
      </c>
      <c r="C6547" s="4"/>
      <c r="D6547" s="4" t="s">
        <v>14586</v>
      </c>
      <c r="E6547" s="4" t="s">
        <v>14587</v>
      </c>
      <c r="F6547" s="4" t="s">
        <v>13720</v>
      </c>
      <c r="G6547" s="5" t="str">
        <f>IFERROR(__xludf.DUMMYFUNCTION("GOOGLETRANSLATE(D6547,""gl"",""es"")"),"jugo")</f>
        <v>jugo</v>
      </c>
      <c r="H6547" s="4" t="s">
        <v>4110</v>
      </c>
      <c r="I6547" s="4" t="s">
        <v>14588</v>
      </c>
      <c r="J6547" s="4" t="s">
        <v>4110</v>
      </c>
      <c r="K6547" s="4" t="s">
        <v>3951</v>
      </c>
    </row>
    <row r="6548">
      <c r="A6548" s="4">
        <v>117.0</v>
      </c>
      <c r="B6548" s="4" t="s">
        <v>14285</v>
      </c>
      <c r="C6548" s="4"/>
      <c r="D6548" s="4" t="s">
        <v>14586</v>
      </c>
      <c r="E6548" s="4" t="s">
        <v>14589</v>
      </c>
      <c r="F6548" s="4" t="s">
        <v>14590</v>
      </c>
      <c r="G6548" s="5" t="str">
        <f>IFERROR(__xludf.DUMMYFUNCTION("GOOGLETRANSLATE(D6548,""gl"",""es"")"),"jugo")</f>
        <v>jugo</v>
      </c>
      <c r="H6548" s="4" t="s">
        <v>4110</v>
      </c>
      <c r="I6548" s="4" t="s">
        <v>14588</v>
      </c>
      <c r="J6548" s="4" t="s">
        <v>4110</v>
      </c>
      <c r="K6548" s="4" t="s">
        <v>3951</v>
      </c>
    </row>
    <row r="6549">
      <c r="A6549" s="4">
        <v>1.0</v>
      </c>
      <c r="B6549" s="4" t="s">
        <v>14591</v>
      </c>
      <c r="C6549" s="7"/>
      <c r="D6549" s="7" t="s">
        <v>14592</v>
      </c>
      <c r="E6549" s="4" t="s">
        <v>8932</v>
      </c>
      <c r="F6549" s="4" t="s">
        <v>8931</v>
      </c>
      <c r="G6549" s="5" t="str">
        <f>IFERROR(__xludf.DUMMYFUNCTION("GOOGLETRANSLATE(D6549,""iw"",""es"")"),"Una carpa")</f>
        <v>Una carpa</v>
      </c>
    </row>
    <row r="6550">
      <c r="A6550" s="4">
        <v>2.0</v>
      </c>
      <c r="B6550" s="4" t="s">
        <v>14591</v>
      </c>
      <c r="C6550" s="7"/>
      <c r="D6550" s="7" t="s">
        <v>14593</v>
      </c>
      <c r="E6550" s="4" t="s">
        <v>14594</v>
      </c>
      <c r="F6550" s="4" t="s">
        <v>14595</v>
      </c>
      <c r="G6550" s="5" t="str">
        <f>IFERROR(__xludf.DUMMYFUNCTION("GOOGLETRANSLATE(D6550,""iw"",""es"")"),"Quizás")</f>
        <v>Quizás</v>
      </c>
    </row>
    <row r="6551">
      <c r="A6551" s="4">
        <v>3.0</v>
      </c>
      <c r="B6551" s="4" t="s">
        <v>14591</v>
      </c>
      <c r="C6551" s="7"/>
      <c r="D6551" s="7" t="s">
        <v>14596</v>
      </c>
      <c r="E6551" s="4" t="s">
        <v>4813</v>
      </c>
      <c r="F6551" s="4" t="s">
        <v>4812</v>
      </c>
      <c r="G6551" s="5" t="str">
        <f>IFERROR(__xludf.DUMMYFUNCTION("GOOGLETRANSLATE(D6551,""iw"",""es"")"),"Dios-")</f>
        <v>Dios-</v>
      </c>
    </row>
    <row r="6552">
      <c r="A6552" s="4">
        <v>4.0</v>
      </c>
      <c r="B6552" s="4" t="s">
        <v>14591</v>
      </c>
      <c r="C6552" s="7"/>
      <c r="D6552" s="7" t="s">
        <v>14597</v>
      </c>
      <c r="E6552" s="4" t="s">
        <v>14598</v>
      </c>
      <c r="F6552" s="4" t="s">
        <v>14599</v>
      </c>
      <c r="G6552" s="5" t="str">
        <f>IFERROR(__xludf.DUMMYFUNCTION("GOOGLETRANSLATE(D6552,""iw"",""es"")"),"él")</f>
        <v>él</v>
      </c>
    </row>
    <row r="6553">
      <c r="A6553" s="4">
        <v>5.0</v>
      </c>
      <c r="B6553" s="4" t="s">
        <v>14591</v>
      </c>
      <c r="C6553" s="7"/>
      <c r="D6553" s="7" t="s">
        <v>14600</v>
      </c>
      <c r="E6553" s="4" t="s">
        <v>14601</v>
      </c>
      <c r="F6553" s="4" t="s">
        <v>14602</v>
      </c>
      <c r="G6553" s="5" t="str">
        <f>IFERROR(__xludf.DUMMYFUNCTION("GOOGLETRANSLATE(D6553,""iw"",""es"")"),"Estaba")</f>
        <v>Estaba</v>
      </c>
    </row>
    <row r="6554">
      <c r="A6554" s="4">
        <v>6.0</v>
      </c>
      <c r="B6554" s="4" t="s">
        <v>14591</v>
      </c>
      <c r="C6554" s="7"/>
      <c r="D6554" s="7" t="s">
        <v>14603</v>
      </c>
      <c r="E6554" s="4" t="s">
        <v>14604</v>
      </c>
      <c r="F6554" s="4" t="s">
        <v>14605</v>
      </c>
      <c r="G6554" s="5" t="str">
        <f>IFERROR(__xludf.DUMMYFUNCTION("GOOGLETRANSLATE(D6554,""iw"",""es"")"),"Granero")</f>
        <v>Granero</v>
      </c>
    </row>
    <row r="6555">
      <c r="A6555" s="4">
        <v>7.0</v>
      </c>
      <c r="B6555" s="4" t="s">
        <v>14591</v>
      </c>
      <c r="C6555" s="7"/>
      <c r="D6555" s="7" t="s">
        <v>14606</v>
      </c>
      <c r="E6555" s="4" t="s">
        <v>14607</v>
      </c>
      <c r="F6555" s="4" t="s">
        <v>14608</v>
      </c>
      <c r="G6555" s="5" t="str">
        <f>IFERROR(__xludf.DUMMYFUNCTION("GOOGLETRANSLATE(D6555,""iw"",""es"")"),"inteligente")</f>
        <v>inteligente</v>
      </c>
    </row>
    <row r="6556">
      <c r="A6556" s="4">
        <v>8.0</v>
      </c>
      <c r="B6556" s="4" t="s">
        <v>14591</v>
      </c>
      <c r="C6556" s="7"/>
      <c r="D6556" s="7" t="s">
        <v>14609</v>
      </c>
      <c r="E6556" s="4" t="s">
        <v>14610</v>
      </c>
      <c r="F6556" s="4" t="s">
        <v>14611</v>
      </c>
      <c r="G6556" s="5" t="str">
        <f>IFERROR(__xludf.DUMMYFUNCTION("GOOGLETRANSLATE(D6556,""iw"",""es"")"),"cinco")</f>
        <v>cinco</v>
      </c>
    </row>
    <row r="6557">
      <c r="A6557" s="4">
        <v>9.0</v>
      </c>
      <c r="B6557" s="4" t="s">
        <v>14591</v>
      </c>
      <c r="C6557" s="7"/>
      <c r="D6557" s="7" t="s">
        <v>14612</v>
      </c>
      <c r="E6557" s="4" t="s">
        <v>14613</v>
      </c>
      <c r="F6557" s="4" t="s">
        <v>14614</v>
      </c>
      <c r="G6557" s="5" t="str">
        <f>IFERROR(__xludf.DUMMYFUNCTION("GOOGLETRANSLATE(D6557,""iw"",""es"")"),"gato")</f>
        <v>gato</v>
      </c>
    </row>
    <row r="6558">
      <c r="A6558" s="4">
        <v>10.0</v>
      </c>
      <c r="B6558" s="4" t="s">
        <v>14591</v>
      </c>
      <c r="C6558" s="7"/>
      <c r="D6558" s="7" t="s">
        <v>14615</v>
      </c>
      <c r="E6558" s="4" t="s">
        <v>14616</v>
      </c>
      <c r="F6558" s="4" t="s">
        <v>14617</v>
      </c>
      <c r="G6558" s="5" t="str">
        <f>IFERROR(__xludf.DUMMYFUNCTION("GOOGLETRANSLATE(D6558,""iw"",""es"")"),"vino")</f>
        <v>vino</v>
      </c>
    </row>
    <row r="6559">
      <c r="A6559" s="4">
        <v>11.0</v>
      </c>
      <c r="B6559" s="4" t="s">
        <v>14591</v>
      </c>
      <c r="C6559" s="7"/>
      <c r="D6559" s="7" t="s">
        <v>14618</v>
      </c>
      <c r="E6559" s="4" t="s">
        <v>3807</v>
      </c>
      <c r="F6559" s="4" t="s">
        <v>3808</v>
      </c>
      <c r="G6559" s="5" t="str">
        <f>IFERROR(__xludf.DUMMYFUNCTION("GOOGLETRANSLATE(D6559,""iw"",""es"")"),"me gusta")</f>
        <v>me gusta</v>
      </c>
    </row>
    <row r="6560">
      <c r="A6560" s="4">
        <v>12.0</v>
      </c>
      <c r="B6560" s="4" t="s">
        <v>14591</v>
      </c>
      <c r="C6560" s="7"/>
      <c r="D6560" s="7" t="s">
        <v>14619</v>
      </c>
      <c r="E6560" s="4" t="s">
        <v>1476</v>
      </c>
      <c r="F6560" s="4" t="s">
        <v>1477</v>
      </c>
      <c r="G6560" s="5" t="str">
        <f>IFERROR(__xludf.DUMMYFUNCTION("GOOGLETRANSLATE(D6560,""iw"",""es"")"),"Todos")</f>
        <v>Todos</v>
      </c>
    </row>
    <row r="6561">
      <c r="A6561" s="4">
        <v>13.0</v>
      </c>
      <c r="B6561" s="4" t="s">
        <v>14591</v>
      </c>
      <c r="C6561" s="7"/>
      <c r="D6561" s="7" t="s">
        <v>14620</v>
      </c>
      <c r="E6561" s="4" t="s">
        <v>14621</v>
      </c>
      <c r="F6561" s="4" t="s">
        <v>8267</v>
      </c>
      <c r="G6561" s="5" t="str">
        <f>IFERROR(__xludf.DUMMYFUNCTION("GOOGLETRANSLATE(D6561,""iw"",""es"")"),"Todo el mundo")</f>
        <v>Todo el mundo</v>
      </c>
    </row>
    <row r="6562">
      <c r="A6562" s="4">
        <v>14.0</v>
      </c>
      <c r="B6562" s="4" t="s">
        <v>14591</v>
      </c>
      <c r="C6562" s="7"/>
      <c r="D6562" s="7" t="s">
        <v>14622</v>
      </c>
      <c r="E6562" s="4" t="s">
        <v>14623</v>
      </c>
      <c r="F6562" s="4" t="s">
        <v>14624</v>
      </c>
      <c r="G6562" s="5" t="str">
        <f>IFERROR(__xludf.DUMMYFUNCTION("GOOGLETRANSLATE(D6562,""iw"",""es"")"),"Todos nosotros")</f>
        <v>Todos nosotros</v>
      </c>
    </row>
    <row r="6563">
      <c r="A6563" s="4">
        <v>15.0</v>
      </c>
      <c r="B6563" s="4" t="s">
        <v>14591</v>
      </c>
      <c r="C6563" s="7"/>
      <c r="D6563" s="7" t="s">
        <v>14625</v>
      </c>
      <c r="E6563" s="4" t="s">
        <v>14626</v>
      </c>
      <c r="F6563" s="4" t="s">
        <v>14627</v>
      </c>
      <c r="G6563" s="5" t="str">
        <f>IFERROR(__xludf.DUMMYFUNCTION("GOOGLETRANSLATE(D6563,""iw"",""es"")"),"regla")</f>
        <v>regla</v>
      </c>
    </row>
    <row r="6564">
      <c r="A6564" s="4">
        <v>16.0</v>
      </c>
      <c r="B6564" s="4" t="s">
        <v>14591</v>
      </c>
      <c r="C6564" s="7"/>
      <c r="D6564" s="7" t="s">
        <v>14628</v>
      </c>
      <c r="E6564" s="4" t="s">
        <v>1121</v>
      </c>
      <c r="F6564" s="4" t="s">
        <v>1122</v>
      </c>
      <c r="G6564" s="5" t="str">
        <f>IFERROR(__xludf.DUMMYFUNCTION("GOOGLETRANSLATE(D6564,""iw"",""es"")"),"Sí")</f>
        <v>Sí</v>
      </c>
    </row>
    <row r="6565">
      <c r="A6565" s="4">
        <v>17.0</v>
      </c>
      <c r="B6565" s="4" t="s">
        <v>14591</v>
      </c>
      <c r="C6565" s="7"/>
      <c r="D6565" s="7" t="s">
        <v>14629</v>
      </c>
      <c r="E6565" s="4" t="s">
        <v>2016</v>
      </c>
      <c r="F6565" s="4" t="s">
        <v>2015</v>
      </c>
      <c r="G6565" s="5" t="str">
        <f>IFERROR(__xludf.DUMMYFUNCTION("GOOGLETRANSLATE(D6565,""iw"",""es"")"),"A-")</f>
        <v>A-</v>
      </c>
    </row>
    <row r="6566">
      <c r="A6566" s="4">
        <v>18.0</v>
      </c>
      <c r="B6566" s="4" t="s">
        <v>14591</v>
      </c>
      <c r="C6566" s="7"/>
      <c r="D6566" s="7" t="s">
        <v>14629</v>
      </c>
      <c r="E6566" s="4" t="s">
        <v>2038</v>
      </c>
      <c r="F6566" s="4" t="s">
        <v>2037</v>
      </c>
      <c r="G6566" s="5" t="str">
        <f>IFERROR(__xludf.DUMMYFUNCTION("GOOGLETRANSLATE(D6566,""iw"",""es"")"),"A-")</f>
        <v>A-</v>
      </c>
    </row>
    <row r="6567">
      <c r="A6567" s="4">
        <v>19.0</v>
      </c>
      <c r="B6567" s="4" t="s">
        <v>14591</v>
      </c>
      <c r="C6567" s="7"/>
      <c r="D6567" s="7" t="s">
        <v>14630</v>
      </c>
      <c r="E6567" s="4" t="s">
        <v>2016</v>
      </c>
      <c r="F6567" s="4" t="s">
        <v>2015</v>
      </c>
      <c r="G6567" s="5" t="str">
        <f>IFERROR(__xludf.DUMMYFUNCTION("GOOGLETRANSLATE(D6567,""iw"",""es"")"),"su")</f>
        <v>su</v>
      </c>
    </row>
    <row r="6568">
      <c r="A6568" s="4">
        <v>20.0</v>
      </c>
      <c r="B6568" s="4" t="s">
        <v>14591</v>
      </c>
      <c r="C6568" s="7"/>
      <c r="D6568" s="7" t="s">
        <v>14631</v>
      </c>
      <c r="E6568" s="4" t="s">
        <v>14632</v>
      </c>
      <c r="F6568" s="4" t="s">
        <v>14633</v>
      </c>
      <c r="G6568" s="5" t="str">
        <f>IFERROR(__xludf.DUMMYFUNCTION("GOOGLETRANSLATE(D6568,""iw"",""es"")"),"una banda")</f>
        <v>una banda</v>
      </c>
    </row>
    <row r="6569">
      <c r="A6569" s="4">
        <v>21.0</v>
      </c>
      <c r="B6569" s="4" t="s">
        <v>14591</v>
      </c>
      <c r="C6569" s="7"/>
      <c r="D6569" s="7" t="s">
        <v>14634</v>
      </c>
      <c r="E6569" s="4" t="s">
        <v>2240</v>
      </c>
      <c r="F6569" s="4" t="s">
        <v>2241</v>
      </c>
      <c r="G6569" s="5" t="str">
        <f>IFERROR(__xludf.DUMMYFUNCTION("GOOGLETRANSLATE(D6569,""iw"",""es"")"),"a él")</f>
        <v>a él</v>
      </c>
    </row>
    <row r="6570">
      <c r="A6570" s="4">
        <v>22.0</v>
      </c>
      <c r="B6570" s="4" t="s">
        <v>14591</v>
      </c>
      <c r="C6570" s="7"/>
      <c r="D6570" s="7" t="s">
        <v>14635</v>
      </c>
      <c r="E6570" s="4" t="s">
        <v>14636</v>
      </c>
      <c r="F6570" s="4" t="s">
        <v>14637</v>
      </c>
      <c r="G6570" s="5" t="str">
        <f>IFERROR(__xludf.DUMMYFUNCTION("GOOGLETRANSLATE(D6570,""iw"",""es"")"),"Lakop")</f>
        <v>Lakop</v>
      </c>
    </row>
    <row r="6571">
      <c r="A6571" s="4">
        <v>23.0</v>
      </c>
      <c r="B6571" s="4" t="s">
        <v>14591</v>
      </c>
      <c r="C6571" s="7"/>
      <c r="D6571" s="7" t="s">
        <v>14638</v>
      </c>
      <c r="E6571" s="4" t="s">
        <v>341</v>
      </c>
      <c r="F6571" s="4" t="s">
        <v>342</v>
      </c>
      <c r="G6571" s="5" t="str">
        <f>IFERROR(__xludf.DUMMYFUNCTION("GOOGLETRANSLATE(D6571,""iw"",""es"")"),"METRO-")</f>
        <v>METRO-</v>
      </c>
    </row>
    <row r="6572">
      <c r="A6572" s="4">
        <v>24.0</v>
      </c>
      <c r="B6572" s="4" t="s">
        <v>14591</v>
      </c>
      <c r="C6572" s="7"/>
      <c r="D6572" s="7" t="s">
        <v>14639</v>
      </c>
      <c r="E6572" s="4" t="s">
        <v>14640</v>
      </c>
      <c r="F6572" s="4" t="s">
        <v>14641</v>
      </c>
      <c r="G6572" s="5" t="str">
        <f>IFERROR(__xludf.DUMMYFUNCTION("GOOGLETRANSLATE(D6572,""iw"",""es"")"),"Doscientos")</f>
        <v>Doscientos</v>
      </c>
    </row>
    <row r="6573">
      <c r="A6573" s="4">
        <v>25.0</v>
      </c>
      <c r="B6573" s="4" t="s">
        <v>14591</v>
      </c>
      <c r="C6573" s="7"/>
      <c r="D6573" s="7" t="s">
        <v>14642</v>
      </c>
      <c r="E6573" s="4" t="s">
        <v>14643</v>
      </c>
      <c r="F6573" s="4" t="s">
        <v>2601</v>
      </c>
      <c r="G6573" s="5" t="str">
        <f>IFERROR(__xludf.DUMMYFUNCTION("GOOGLETRANSLATE(D6573,""iw"",""es"")"),"Micah")</f>
        <v>Micah</v>
      </c>
    </row>
    <row r="6574">
      <c r="A6574" s="4">
        <v>26.0</v>
      </c>
      <c r="B6574" s="4" t="s">
        <v>14591</v>
      </c>
      <c r="C6574" s="7"/>
      <c r="D6574" s="7" t="s">
        <v>14644</v>
      </c>
      <c r="E6574" s="4" t="s">
        <v>9129</v>
      </c>
      <c r="F6574" s="4" t="s">
        <v>6841</v>
      </c>
      <c r="G6574" s="5" t="str">
        <f>IFERROR(__xludf.DUMMYFUNCTION("GOOGLETRANSLATE(D6574,""iw"",""es"")"),"sexo")</f>
        <v>sexo</v>
      </c>
    </row>
    <row r="6575">
      <c r="A6575" s="4">
        <v>27.0</v>
      </c>
      <c r="B6575" s="4" t="s">
        <v>14591</v>
      </c>
      <c r="C6575" s="7"/>
      <c r="D6575" s="7" t="s">
        <v>14645</v>
      </c>
      <c r="E6575" s="4" t="s">
        <v>12907</v>
      </c>
      <c r="F6575" s="4" t="s">
        <v>6851</v>
      </c>
      <c r="G6575" s="5" t="str">
        <f>IFERROR(__xludf.DUMMYFUNCTION("GOOGLETRANSLATE(D6575,""iw"",""es"")"),"sexual")</f>
        <v>sexual</v>
      </c>
    </row>
    <row r="6576">
      <c r="A6576" s="4">
        <v>28.0</v>
      </c>
      <c r="B6576" s="4" t="s">
        <v>14591</v>
      </c>
      <c r="C6576" s="7"/>
      <c r="D6576" s="7" t="s">
        <v>14646</v>
      </c>
      <c r="E6576" s="4" t="s">
        <v>14647</v>
      </c>
      <c r="F6576" s="4" t="s">
        <v>14648</v>
      </c>
      <c r="G6576" s="5" t="str">
        <f>IFERROR(__xludf.DUMMYFUNCTION("GOOGLETRANSLATE(D6576,""iw"",""es"")"),"alguien")</f>
        <v>alguien</v>
      </c>
    </row>
    <row r="6577">
      <c r="A6577" s="4">
        <v>29.0</v>
      </c>
      <c r="B6577" s="4" t="s">
        <v>14591</v>
      </c>
      <c r="C6577" s="7"/>
      <c r="D6577" s="7" t="s">
        <v>14649</v>
      </c>
      <c r="E6577" s="4" t="s">
        <v>14650</v>
      </c>
      <c r="F6577" s="4" t="s">
        <v>14651</v>
      </c>
      <c r="G6577" s="5" t="str">
        <f>IFERROR(__xludf.DUMMYFUNCTION("GOOGLETRANSLATE(D6577,""iw"",""es"")"),"De Verdad")</f>
        <v>De Verdad</v>
      </c>
    </row>
    <row r="6578">
      <c r="A6578" s="4">
        <v>30.0</v>
      </c>
      <c r="B6578" s="4" t="s">
        <v>14591</v>
      </c>
      <c r="C6578" s="7"/>
      <c r="D6578" s="7" t="s">
        <v>14652</v>
      </c>
      <c r="E6578" s="4" t="s">
        <v>14653</v>
      </c>
      <c r="F6578" s="4" t="s">
        <v>14654</v>
      </c>
      <c r="G6578" s="5" t="str">
        <f>IFERROR(__xludf.DUMMYFUNCTION("GOOGLETRANSLATE(D6578,""iw"",""es"")"),"Cuando")</f>
        <v>Cuando</v>
      </c>
    </row>
    <row r="6579">
      <c r="A6579" s="4">
        <v>31.0</v>
      </c>
      <c r="B6579" s="4" t="s">
        <v>14591</v>
      </c>
      <c r="C6579" s="7"/>
      <c r="D6579" s="7" t="s">
        <v>14652</v>
      </c>
      <c r="E6579" s="4" t="s">
        <v>2574</v>
      </c>
      <c r="F6579" s="4" t="s">
        <v>2575</v>
      </c>
      <c r="G6579" s="5" t="str">
        <f>IFERROR(__xludf.DUMMYFUNCTION("GOOGLETRANSLATE(D6579,""iw"",""es"")"),"Cuando")</f>
        <v>Cuando</v>
      </c>
    </row>
    <row r="6580">
      <c r="A6580" s="4">
        <v>32.0</v>
      </c>
      <c r="B6580" s="4" t="s">
        <v>14591</v>
      </c>
      <c r="C6580" s="7"/>
      <c r="D6580" s="7" t="s">
        <v>14655</v>
      </c>
      <c r="E6580" s="4" t="s">
        <v>14656</v>
      </c>
      <c r="F6580" s="4" t="s">
        <v>14657</v>
      </c>
      <c r="G6580" s="5" t="str">
        <f>IFERROR(__xludf.DUMMYFUNCTION("GOOGLETRANSLATE(D6580,""iw"",""es"")"),"Nilo")</f>
        <v>Nilo</v>
      </c>
    </row>
    <row r="6581">
      <c r="A6581" s="4">
        <v>33.0</v>
      </c>
      <c r="B6581" s="4" t="s">
        <v>14591</v>
      </c>
      <c r="C6581" s="7"/>
      <c r="D6581" s="7" t="s">
        <v>14658</v>
      </c>
      <c r="E6581" s="4" t="s">
        <v>14659</v>
      </c>
      <c r="F6581" s="4" t="s">
        <v>14660</v>
      </c>
      <c r="G6581" s="5" t="str">
        <f>IFERROR(__xludf.DUMMYFUNCTION("GOOGLETRANSLATE(D6581,""iw"",""es"")"),"Puerto")</f>
        <v>Puerto</v>
      </c>
    </row>
    <row r="6582">
      <c r="A6582" s="4">
        <v>34.0</v>
      </c>
      <c r="B6582" s="4" t="s">
        <v>14591</v>
      </c>
      <c r="C6582" s="7"/>
      <c r="D6582" s="7" t="s">
        <v>14661</v>
      </c>
      <c r="E6582" s="4" t="s">
        <v>11293</v>
      </c>
      <c r="F6582" s="4" t="s">
        <v>11292</v>
      </c>
      <c r="G6582" s="5" t="str">
        <f>IFERROR(__xludf.DUMMYFUNCTION("GOOGLETRANSLATE(D6582,""iw"",""es"")"),"caballo")</f>
        <v>caballo</v>
      </c>
    </row>
    <row r="6583">
      <c r="A6583" s="4">
        <v>35.0</v>
      </c>
      <c r="B6583" s="4" t="s">
        <v>14591</v>
      </c>
      <c r="C6583" s="7"/>
      <c r="D6583" s="7" t="s">
        <v>14662</v>
      </c>
      <c r="E6583" s="4" t="s">
        <v>14663</v>
      </c>
      <c r="F6583" s="4" t="s">
        <v>14664</v>
      </c>
      <c r="G6583" s="5" t="str">
        <f>IFERROR(__xludf.DUMMYFUNCTION("GOOGLETRANSLATE(D6583,""iw"",""es"")"),"símbolo")</f>
        <v>símbolo</v>
      </c>
    </row>
    <row r="6584">
      <c r="A6584" s="4">
        <v>36.0</v>
      </c>
      <c r="B6584" s="4" t="s">
        <v>14591</v>
      </c>
      <c r="C6584" s="7"/>
      <c r="D6584" s="7" t="s">
        <v>14665</v>
      </c>
      <c r="E6584" s="4" t="s">
        <v>14666</v>
      </c>
      <c r="F6584" s="4" t="s">
        <v>5921</v>
      </c>
      <c r="G6584" s="5" t="str">
        <f>IFERROR(__xludf.DUMMYFUNCTION("GOOGLETRANSLATE(D6584,""iw"",""es"")"),"ojo")</f>
        <v>ojo</v>
      </c>
    </row>
    <row r="6585">
      <c r="A6585" s="4">
        <v>37.0</v>
      </c>
      <c r="B6585" s="4" t="s">
        <v>14591</v>
      </c>
      <c r="C6585" s="7"/>
      <c r="D6585" s="7" t="s">
        <v>14667</v>
      </c>
      <c r="E6585" s="4" t="s">
        <v>507</v>
      </c>
      <c r="F6585" s="4" t="s">
        <v>506</v>
      </c>
      <c r="G6585" s="5" t="str">
        <f>IFERROR(__xludf.DUMMYFUNCTION("GOOGLETRANSLATE(D6585,""iw"",""es"")"),"En")</f>
        <v>En</v>
      </c>
    </row>
    <row r="6586">
      <c r="A6586" s="4">
        <v>38.0</v>
      </c>
      <c r="B6586" s="4" t="s">
        <v>14591</v>
      </c>
      <c r="C6586" s="7"/>
      <c r="D6586" s="7" t="s">
        <v>14668</v>
      </c>
      <c r="E6586" s="4" t="s">
        <v>591</v>
      </c>
      <c r="F6586" s="4" t="s">
        <v>592</v>
      </c>
      <c r="G6586" s="5" t="str">
        <f>IFERROR(__xludf.DUMMYFUNCTION("GOOGLETRANSLATE(D6586,""iw"",""es"")"),"Con")</f>
        <v>Con</v>
      </c>
    </row>
    <row r="6587">
      <c r="A6587" s="4">
        <v>39.0</v>
      </c>
      <c r="B6587" s="4" t="s">
        <v>14591</v>
      </c>
      <c r="C6587" s="7"/>
      <c r="D6587" s="7" t="s">
        <v>14668</v>
      </c>
      <c r="E6587" s="4" t="s">
        <v>303</v>
      </c>
      <c r="F6587" s="4" t="s">
        <v>304</v>
      </c>
      <c r="G6587" s="5" t="str">
        <f>IFERROR(__xludf.DUMMYFUNCTION("GOOGLETRANSLATE(D6587,""iw"",""es"")"),"Con")</f>
        <v>Con</v>
      </c>
    </row>
    <row r="6588">
      <c r="A6588" s="4">
        <v>40.0</v>
      </c>
      <c r="B6588" s="4" t="s">
        <v>14591</v>
      </c>
      <c r="C6588" s="7"/>
      <c r="D6588" s="7" t="s">
        <v>14669</v>
      </c>
      <c r="E6588" s="4" t="s">
        <v>11592</v>
      </c>
      <c r="F6588" s="4" t="s">
        <v>5876</v>
      </c>
      <c r="G6588" s="5" t="str">
        <f>IFERROR(__xludf.DUMMYFUNCTION("GOOGLETRANSLATE(D6588,""iw"",""es"")"),"polilla")</f>
        <v>polilla</v>
      </c>
    </row>
    <row r="6589">
      <c r="A6589" s="4">
        <v>41.0</v>
      </c>
      <c r="B6589" s="4" t="s">
        <v>14591</v>
      </c>
      <c r="C6589" s="7"/>
      <c r="D6589" s="7" t="s">
        <v>14670</v>
      </c>
      <c r="E6589" s="4" t="s">
        <v>14671</v>
      </c>
      <c r="F6589" s="4" t="s">
        <v>14672</v>
      </c>
      <c r="G6589" s="5" t="str">
        <f>IFERROR(__xludf.DUMMYFUNCTION("GOOGLETRANSLATE(D6589,""iw"",""es"")"),"Hecha")</f>
        <v>Hecha</v>
      </c>
    </row>
    <row r="6590">
      <c r="A6590" s="4">
        <v>42.0</v>
      </c>
      <c r="B6590" s="4" t="s">
        <v>14591</v>
      </c>
      <c r="C6590" s="7"/>
      <c r="D6590" s="7" t="s">
        <v>14673</v>
      </c>
      <c r="E6590" s="4" t="s">
        <v>14674</v>
      </c>
      <c r="F6590" s="4" t="s">
        <v>14675</v>
      </c>
      <c r="G6590" s="5" t="str">
        <f>IFERROR(__xludf.DUMMYFUNCTION("GOOGLETRANSLATE(D6590,""iw"",""es"")"),"Polilla")</f>
        <v>Polilla</v>
      </c>
    </row>
    <row r="6591">
      <c r="A6591" s="4">
        <v>43.0</v>
      </c>
      <c r="B6591" s="4" t="s">
        <v>14591</v>
      </c>
      <c r="C6591" s="7"/>
      <c r="D6591" s="7" t="s">
        <v>14676</v>
      </c>
      <c r="E6591" s="4" t="s">
        <v>229</v>
      </c>
      <c r="F6591" s="4" t="s">
        <v>230</v>
      </c>
      <c r="G6591" s="5" t="str">
        <f>IFERROR(__xludf.DUMMYFUNCTION("GOOGLETRANSLATE(D6591,""iw"",""es"")"),"veces")</f>
        <v>veces</v>
      </c>
    </row>
    <row r="6592">
      <c r="A6592" s="4">
        <v>44.0</v>
      </c>
      <c r="B6592" s="4" t="s">
        <v>14591</v>
      </c>
      <c r="C6592" s="7"/>
      <c r="D6592" s="7" t="s">
        <v>14677</v>
      </c>
      <c r="E6592" s="4" t="s">
        <v>3539</v>
      </c>
      <c r="F6592" s="4" t="s">
        <v>3170</v>
      </c>
      <c r="G6592" s="5" t="str">
        <f>IFERROR(__xludf.DUMMYFUNCTION("GOOGLETRANSLATE(D6592,""iw"",""es"")"),"pene")</f>
        <v>pene</v>
      </c>
    </row>
    <row r="6593">
      <c r="A6593" s="4">
        <v>45.0</v>
      </c>
      <c r="B6593" s="4" t="s">
        <v>14591</v>
      </c>
      <c r="C6593" s="7"/>
      <c r="D6593" s="7" t="s">
        <v>14678</v>
      </c>
      <c r="E6593" s="4" t="s">
        <v>14679</v>
      </c>
      <c r="F6593" s="4" t="s">
        <v>14680</v>
      </c>
      <c r="G6593" s="5" t="str">
        <f>IFERROR(__xludf.DUMMYFUNCTION("GOOGLETRANSLATE(D6593,""iw"",""es"")"),"linterna")</f>
        <v>linterna</v>
      </c>
    </row>
    <row r="6594">
      <c r="A6594" s="4">
        <v>46.0</v>
      </c>
      <c r="B6594" s="4" t="s">
        <v>14591</v>
      </c>
      <c r="C6594" s="7"/>
      <c r="D6594" s="7" t="s">
        <v>14681</v>
      </c>
      <c r="E6594" s="4" t="s">
        <v>14682</v>
      </c>
      <c r="F6594" s="4" t="s">
        <v>14683</v>
      </c>
      <c r="G6594" s="5" t="str">
        <f>IFERROR(__xludf.DUMMYFUNCTION("GOOGLETRANSLATE(D6594,""iw"",""es"")"),"Pasas")</f>
        <v>Pasas</v>
      </c>
    </row>
    <row r="6595">
      <c r="A6595" s="4">
        <v>47.0</v>
      </c>
      <c r="B6595" s="4" t="s">
        <v>14591</v>
      </c>
      <c r="C6595" s="7"/>
      <c r="D6595" s="7" t="s">
        <v>14684</v>
      </c>
      <c r="E6595" s="4" t="s">
        <v>14685</v>
      </c>
      <c r="F6595" s="4" t="s">
        <v>14686</v>
      </c>
      <c r="G6595" s="5" t="str">
        <f>IFERROR(__xludf.DUMMYFUNCTION("GOOGLETRANSLATE(D6595,""iw"",""es"")"),"multitud")</f>
        <v>multitud</v>
      </c>
    </row>
    <row r="6596">
      <c r="A6596" s="4">
        <v>48.0</v>
      </c>
      <c r="B6596" s="4" t="s">
        <v>14591</v>
      </c>
      <c r="C6596" s="7"/>
      <c r="D6596" s="7" t="s">
        <v>14687</v>
      </c>
      <c r="E6596" s="4" t="s">
        <v>1600</v>
      </c>
      <c r="F6596" s="4" t="s">
        <v>1601</v>
      </c>
      <c r="G6596" s="5" t="str">
        <f>IFERROR(__xludf.DUMMYFUNCTION("GOOGLETRANSLATE(D6596,""iw"",""es"")"),"Voz")</f>
        <v>Voz</v>
      </c>
    </row>
    <row r="6597">
      <c r="A6597" s="4">
        <v>49.0</v>
      </c>
      <c r="B6597" s="4" t="s">
        <v>14591</v>
      </c>
      <c r="C6597" s="7"/>
      <c r="D6597" s="7" t="s">
        <v>14688</v>
      </c>
      <c r="E6597" s="4" t="s">
        <v>14689</v>
      </c>
      <c r="F6597" s="4" t="s">
        <v>6092</v>
      </c>
      <c r="G6597" s="5" t="str">
        <f>IFERROR(__xludf.DUMMYFUNCTION("GOOGLETRANSLATE(D6597,""iw"",""es"")"),"levantarse")</f>
        <v>levantarse</v>
      </c>
    </row>
    <row r="6598">
      <c r="A6598" s="4">
        <v>50.0</v>
      </c>
      <c r="B6598" s="4" t="s">
        <v>14591</v>
      </c>
      <c r="C6598" s="7"/>
      <c r="D6598" s="7" t="s">
        <v>14690</v>
      </c>
      <c r="E6598" s="4" t="s">
        <v>14691</v>
      </c>
      <c r="F6598" s="4" t="s">
        <v>10014</v>
      </c>
      <c r="G6598" s="5" t="str">
        <f>IFERROR(__xludf.DUMMYFUNCTION("GOOGLETRANSLATE(D6598,""iw"",""es"")"),"sacrificio")</f>
        <v>sacrificio</v>
      </c>
    </row>
    <row r="6599">
      <c r="A6599" s="4">
        <v>51.0</v>
      </c>
      <c r="B6599" s="4" t="s">
        <v>14591</v>
      </c>
      <c r="C6599" s="7"/>
      <c r="D6599" s="7" t="s">
        <v>14692</v>
      </c>
      <c r="E6599" s="4" t="s">
        <v>11947</v>
      </c>
      <c r="F6599" s="4" t="s">
        <v>11948</v>
      </c>
      <c r="G6599" s="5" t="str">
        <f>IFERROR(__xludf.DUMMYFUNCTION("GOOGLETRANSLATE(D6599,""iw"",""es"")"),"Poco")</f>
        <v>Poco</v>
      </c>
    </row>
    <row r="6600">
      <c r="A6600" s="4">
        <v>52.0</v>
      </c>
      <c r="B6600" s="4" t="s">
        <v>14591</v>
      </c>
      <c r="C6600" s="7"/>
      <c r="D6600" s="7" t="s">
        <v>14693</v>
      </c>
      <c r="E6600" s="4" t="s">
        <v>14694</v>
      </c>
      <c r="F6600" s="4" t="s">
        <v>14695</v>
      </c>
      <c r="G6600" s="5" t="str">
        <f>IFERROR(__xludf.DUMMYFUNCTION("GOOGLETRANSLATE(D6600,""iw"",""es"")"),"Caín")</f>
        <v>Caín</v>
      </c>
    </row>
    <row r="6601">
      <c r="A6601" s="4">
        <v>53.0</v>
      </c>
      <c r="B6601" s="4" t="s">
        <v>14591</v>
      </c>
      <c r="C6601" s="7"/>
      <c r="D6601" s="7" t="s">
        <v>14696</v>
      </c>
      <c r="E6601" s="4" t="s">
        <v>974</v>
      </c>
      <c r="F6601" s="4" t="s">
        <v>975</v>
      </c>
      <c r="G6601" s="5" t="str">
        <f>IFERROR(__xludf.DUMMYFUNCTION("GOOGLETRANSLATE(D6601,""iw"",""es"")"),"fácil")</f>
        <v>fácil</v>
      </c>
    </row>
    <row r="6602">
      <c r="A6602" s="4">
        <v>54.0</v>
      </c>
      <c r="B6602" s="4" t="s">
        <v>14591</v>
      </c>
      <c r="C6602" s="7"/>
      <c r="D6602" s="7" t="s">
        <v>14697</v>
      </c>
      <c r="E6602" s="4" t="s">
        <v>977</v>
      </c>
      <c r="F6602" s="4" t="s">
        <v>978</v>
      </c>
      <c r="G6602" s="5" t="str">
        <f>IFERROR(__xludf.DUMMYFUNCTION("GOOGLETRANSLATE(D6602,""iw"",""es"")"),"Leve")</f>
        <v>Leve</v>
      </c>
    </row>
    <row r="6603">
      <c r="A6603" s="4">
        <v>55.0</v>
      </c>
      <c r="B6603" s="4" t="s">
        <v>14591</v>
      </c>
      <c r="C6603" s="7"/>
      <c r="D6603" s="7" t="s">
        <v>14698</v>
      </c>
      <c r="E6603" s="4" t="s">
        <v>1124</v>
      </c>
      <c r="F6603" s="4" t="s">
        <v>1125</v>
      </c>
      <c r="G6603" s="5" t="str">
        <f>IFERROR(__xludf.DUMMYFUNCTION("GOOGLETRANSLATE(D6603,""iw"",""es"")"),"barril")</f>
        <v>barril</v>
      </c>
    </row>
    <row r="6604">
      <c r="A6604" s="4">
        <v>56.0</v>
      </c>
      <c r="B6604" s="4" t="s">
        <v>14591</v>
      </c>
      <c r="C6604" s="7"/>
      <c r="D6604" s="7" t="s">
        <v>14699</v>
      </c>
      <c r="E6604" s="4" t="s">
        <v>8026</v>
      </c>
      <c r="F6604" s="4" t="s">
        <v>5924</v>
      </c>
      <c r="G6604" s="5" t="str">
        <f>IFERROR(__xludf.DUMMYFUNCTION("GOOGLETRANSLATE(D6604,""iw"",""es"")"),"Paja")</f>
        <v>Paja</v>
      </c>
    </row>
    <row r="6605">
      <c r="A6605" s="4">
        <v>57.0</v>
      </c>
      <c r="B6605" s="4" t="s">
        <v>14591</v>
      </c>
      <c r="C6605" s="7"/>
      <c r="D6605" s="7" t="s">
        <v>14700</v>
      </c>
      <c r="E6605" s="4" t="s">
        <v>14701</v>
      </c>
      <c r="F6605" s="4" t="s">
        <v>14702</v>
      </c>
      <c r="G6605" s="5" t="str">
        <f>IFERROR(__xludf.DUMMYFUNCTION("GOOGLETRANSLATE(D6605,""iw"",""es"")"),"Arcoíris")</f>
        <v>Arcoíris</v>
      </c>
    </row>
    <row r="6606">
      <c r="A6606" s="4">
        <v>58.0</v>
      </c>
      <c r="B6606" s="4" t="s">
        <v>14591</v>
      </c>
      <c r="C6606" s="7"/>
      <c r="D6606" s="7" t="s">
        <v>14700</v>
      </c>
      <c r="E6606" s="4" t="s">
        <v>14703</v>
      </c>
      <c r="F6606" s="4" t="s">
        <v>14702</v>
      </c>
      <c r="G6606" s="5" t="str">
        <f>IFERROR(__xludf.DUMMYFUNCTION("GOOGLETRANSLATE(D6606,""iw"",""es"")"),"Arcoíris")</f>
        <v>Arcoíris</v>
      </c>
    </row>
    <row r="6607">
      <c r="A6607" s="4">
        <v>59.0</v>
      </c>
      <c r="B6607" s="4" t="s">
        <v>14591</v>
      </c>
      <c r="C6607" s="7"/>
      <c r="D6607" s="7" t="s">
        <v>14704</v>
      </c>
      <c r="E6607" s="4" t="s">
        <v>14705</v>
      </c>
      <c r="F6607" s="4" t="s">
        <v>12357</v>
      </c>
      <c r="G6607" s="5" t="str">
        <f>IFERROR(__xludf.DUMMYFUNCTION("GOOGLETRANSLATE(D6607,""iw"",""es"")"),"Seis")</f>
        <v>Seis</v>
      </c>
    </row>
    <row r="6608">
      <c r="A6608" s="4">
        <v>60.0</v>
      </c>
      <c r="B6608" s="4" t="s">
        <v>14591</v>
      </c>
      <c r="C6608" s="7"/>
      <c r="D6608" s="7" t="s">
        <v>14706</v>
      </c>
      <c r="E6608" s="4" t="s">
        <v>14707</v>
      </c>
      <c r="F6608" s="4" t="s">
        <v>14708</v>
      </c>
      <c r="G6608" s="5" t="str">
        <f>IFERROR(__xludf.DUMMYFUNCTION("GOOGLETRANSLATE(D6608,""iw"",""es"")"),"cielo")</f>
        <v>cielo</v>
      </c>
    </row>
    <row r="6609">
      <c r="A6609" s="4">
        <v>61.0</v>
      </c>
      <c r="B6609" s="4" t="s">
        <v>14591</v>
      </c>
      <c r="C6609" s="7"/>
      <c r="D6609" s="7" t="s">
        <v>14709</v>
      </c>
      <c r="E6609" s="4" t="s">
        <v>11980</v>
      </c>
      <c r="F6609" s="4" t="s">
        <v>11981</v>
      </c>
      <c r="G6609" s="5" t="str">
        <f>IFERROR(__xludf.DUMMYFUNCTION("GOOGLETRANSLATE(D6609,""iw"",""es"")"),"gordo")</f>
        <v>gordo</v>
      </c>
    </row>
    <row r="6610">
      <c r="A6610" s="4">
        <v>62.0</v>
      </c>
      <c r="B6610" s="4" t="s">
        <v>14591</v>
      </c>
      <c r="C6610" s="7"/>
      <c r="D6610" s="7" t="s">
        <v>14709</v>
      </c>
      <c r="E6610" s="4" t="s">
        <v>14710</v>
      </c>
      <c r="F6610" s="4" t="s">
        <v>14711</v>
      </c>
      <c r="G6610" s="5" t="str">
        <f>IFERROR(__xludf.DUMMYFUNCTION("GOOGLETRANSLATE(D6610,""iw"",""es"")"),"gordo")</f>
        <v>gordo</v>
      </c>
    </row>
    <row r="6611">
      <c r="A6611" s="4">
        <v>63.0</v>
      </c>
      <c r="B6611" s="4" t="s">
        <v>14591</v>
      </c>
      <c r="C6611" s="7"/>
      <c r="D6611" s="7" t="s">
        <v>14712</v>
      </c>
      <c r="E6611" s="4" t="s">
        <v>14713</v>
      </c>
      <c r="F6611" s="4" t="s">
        <v>14714</v>
      </c>
      <c r="G6611" s="5" t="str">
        <f>IFERROR(__xludf.DUMMYFUNCTION("GOOGLETRANSLATE(D6611,""iw"",""es"")"),"Audio")</f>
        <v>Audio</v>
      </c>
    </row>
    <row r="6612">
      <c r="A6612" s="4">
        <v>64.0</v>
      </c>
      <c r="B6612" s="4" t="s">
        <v>14591</v>
      </c>
      <c r="C6612" s="7"/>
      <c r="D6612" s="7" t="s">
        <v>14715</v>
      </c>
      <c r="E6612" s="4" t="s">
        <v>14716</v>
      </c>
      <c r="F6612" s="4" t="s">
        <v>14717</v>
      </c>
      <c r="G6612" s="5" t="str">
        <f>IFERROR(__xludf.DUMMYFUNCTION("GOOGLETRANSLATE(D6612,""iw"",""es"")"),"dormir")</f>
        <v>dormir</v>
      </c>
    </row>
    <row r="6613">
      <c r="A6613" s="4">
        <v>65.0</v>
      </c>
      <c r="B6613" s="4" t="s">
        <v>14591</v>
      </c>
      <c r="C6613" s="7"/>
      <c r="D6613" s="7" t="s">
        <v>14718</v>
      </c>
      <c r="E6613" s="4" t="s">
        <v>3867</v>
      </c>
      <c r="F6613" s="4" t="s">
        <v>3868</v>
      </c>
      <c r="G6613" s="5" t="str">
        <f>IFERROR(__xludf.DUMMYFUNCTION("GOOGLETRANSLATE(D6613,""iw"",""es"")"),"bolsa")</f>
        <v>bolsa</v>
      </c>
    </row>
    <row r="6614">
      <c r="A6614" s="4">
        <v>66.0</v>
      </c>
      <c r="B6614" s="4" t="s">
        <v>14591</v>
      </c>
      <c r="C6614" s="7"/>
      <c r="D6614" s="7" t="s">
        <v>14719</v>
      </c>
      <c r="E6614" s="4" t="s">
        <v>14720</v>
      </c>
      <c r="F6614" s="4" t="s">
        <v>14721</v>
      </c>
      <c r="G6614" s="4" t="s">
        <v>14722</v>
      </c>
    </row>
    <row r="6615">
      <c r="A6615" s="4">
        <v>67.0</v>
      </c>
      <c r="B6615" s="4" t="s">
        <v>14591</v>
      </c>
      <c r="C6615" s="7"/>
      <c r="D6615" s="7" t="s">
        <v>14723</v>
      </c>
      <c r="E6615" s="4" t="s">
        <v>11953</v>
      </c>
      <c r="F6615" s="4" t="s">
        <v>11954</v>
      </c>
      <c r="G6615" s="5" t="str">
        <f>IFERROR(__xludf.DUMMYFUNCTION("GOOGLETRANSLATE(D6615,""iw"",""es"")"),"Nis")</f>
        <v>Nis</v>
      </c>
    </row>
    <row r="6616">
      <c r="A6616" s="4">
        <v>68.0</v>
      </c>
      <c r="B6616" s="4" t="s">
        <v>14591</v>
      </c>
      <c r="C6616" s="7"/>
      <c r="D6616" s="7" t="s">
        <v>14723</v>
      </c>
      <c r="E6616" s="4" t="s">
        <v>14724</v>
      </c>
      <c r="F6616" s="4" t="s">
        <v>14725</v>
      </c>
      <c r="G6616" s="5" t="str">
        <f>IFERROR(__xludf.DUMMYFUNCTION("GOOGLETRANSLATE(D6616,""iw"",""es"")"),"Nis")</f>
        <v>Nis</v>
      </c>
    </row>
    <row r="6617">
      <c r="A6617" s="4">
        <v>69.0</v>
      </c>
      <c r="B6617" s="4" t="s">
        <v>14591</v>
      </c>
      <c r="C6617" s="7"/>
      <c r="D6617" s="7" t="s">
        <v>14726</v>
      </c>
      <c r="E6617" s="4" t="s">
        <v>14727</v>
      </c>
      <c r="F6617" s="4" t="s">
        <v>14728</v>
      </c>
      <c r="G6617" s="5" t="str">
        <f>IFERROR(__xludf.DUMMYFUNCTION("GOOGLETRANSLATE(D6617,""iw"",""es"")"),"Bebiendo")</f>
        <v>Bebiendo</v>
      </c>
    </row>
    <row r="6618">
      <c r="A6618" s="4">
        <v>70.0</v>
      </c>
      <c r="B6618" s="4" t="s">
        <v>14591</v>
      </c>
      <c r="C6618" s="7"/>
      <c r="D6618" s="7" t="s">
        <v>14729</v>
      </c>
      <c r="E6618" s="4" t="s">
        <v>14730</v>
      </c>
      <c r="F6618" s="4" t="s">
        <v>14731</v>
      </c>
      <c r="G6618" s="5" t="str">
        <f>IFERROR(__xludf.DUMMYFUNCTION("GOOGLETRANSLATE(D6618,""iw"",""es"")"),"injerto")</f>
        <v>injerto</v>
      </c>
    </row>
    <row r="6619">
      <c r="A6619" s="4">
        <v>71.0</v>
      </c>
      <c r="B6619" s="4" t="s">
        <v>14591</v>
      </c>
      <c r="C6619" s="7"/>
      <c r="D6619" s="7" t="s">
        <v>14732</v>
      </c>
      <c r="E6619" s="4" t="s">
        <v>13750</v>
      </c>
      <c r="F6619" s="4" t="s">
        <v>11522</v>
      </c>
      <c r="G6619" s="5" t="str">
        <f>IFERROR(__xludf.DUMMYFUNCTION("GOOGLETRANSLATE(D6619,""iw"",""es"")"),"célula")</f>
        <v>célula</v>
      </c>
    </row>
    <row r="6620">
      <c r="A6620" s="4">
        <v>72.0</v>
      </c>
      <c r="B6620" s="4" t="s">
        <v>14591</v>
      </c>
      <c r="C6620" s="7"/>
      <c r="D6620" s="7" t="s">
        <v>14733</v>
      </c>
      <c r="E6620" s="4" t="s">
        <v>14734</v>
      </c>
      <c r="F6620" s="4" t="s">
        <v>14735</v>
      </c>
      <c r="G6620" s="5" t="str">
        <f>IFERROR(__xludf.DUMMYFUNCTION("GOOGLETRANSLATE(D6620,""iw"",""es"")"),"por debajo")</f>
        <v>por debajo</v>
      </c>
    </row>
    <row r="6621">
      <c r="A6621" s="4">
        <v>73.0</v>
      </c>
      <c r="B6621" s="4" t="s">
        <v>14591</v>
      </c>
      <c r="C6621" s="7"/>
      <c r="D6621" s="7" t="s">
        <v>14736</v>
      </c>
      <c r="E6621" s="4" t="s">
        <v>14737</v>
      </c>
      <c r="F6621" s="4" t="s">
        <v>14738</v>
      </c>
      <c r="G6621" s="5" t="str">
        <f>IFERROR(__xludf.DUMMYFUNCTION("GOOGLETRANSLATE(D6621,""iw"",""es"")"),"dependiente")</f>
        <v>dependiente</v>
      </c>
    </row>
    <row r="6622">
      <c r="A6622" s="4">
        <v>1.0</v>
      </c>
      <c r="B6622" s="4" t="s">
        <v>14739</v>
      </c>
      <c r="C6622" s="7"/>
      <c r="D6622" s="7" t="s">
        <v>14603</v>
      </c>
      <c r="E6622" s="4" t="s">
        <v>14604</v>
      </c>
      <c r="F6622" s="4" t="s">
        <v>14605</v>
      </c>
      <c r="G6622" s="5" t="str">
        <f>IFERROR(__xludf.DUMMYFUNCTION("GOOGLETRANSLATE(D6622,""iw"",""es"")"),"Granero")</f>
        <v>Granero</v>
      </c>
    </row>
    <row r="6623">
      <c r="A6623" s="4">
        <v>2.0</v>
      </c>
      <c r="B6623" s="4" t="s">
        <v>14739</v>
      </c>
      <c r="C6623" s="7"/>
      <c r="D6623" s="7" t="s">
        <v>14603</v>
      </c>
      <c r="E6623" s="4" t="s">
        <v>14740</v>
      </c>
      <c r="F6623" s="4" t="s">
        <v>14605</v>
      </c>
      <c r="G6623" s="5" t="str">
        <f>IFERROR(__xludf.DUMMYFUNCTION("GOOGLETRANSLATE(D6623,""iw"",""es"")"),"Granero")</f>
        <v>Granero</v>
      </c>
    </row>
    <row r="6624">
      <c r="A6624" s="4">
        <v>3.0</v>
      </c>
      <c r="B6624" s="4" t="s">
        <v>14739</v>
      </c>
      <c r="C6624" s="7"/>
      <c r="D6624" s="7" t="s">
        <v>14612</v>
      </c>
      <c r="E6624" s="4" t="s">
        <v>14741</v>
      </c>
      <c r="F6624" s="4" t="s">
        <v>14742</v>
      </c>
      <c r="G6624" s="5" t="str">
        <f>IFERROR(__xludf.DUMMYFUNCTION("GOOGLETRANSLATE(D6624,""iw"",""es"")"),"gato")</f>
        <v>gato</v>
      </c>
    </row>
    <row r="6625">
      <c r="A6625" s="4">
        <v>4.0</v>
      </c>
      <c r="B6625" s="4" t="s">
        <v>14739</v>
      </c>
      <c r="C6625" s="7"/>
      <c r="D6625" s="7" t="s">
        <v>14743</v>
      </c>
      <c r="E6625" s="4" t="s">
        <v>1121</v>
      </c>
      <c r="F6625" s="4" t="s">
        <v>1122</v>
      </c>
      <c r="G6625" s="5" t="str">
        <f>IFERROR(__xludf.DUMMYFUNCTION("GOOGLETRANSLATE(D6625,""iw"",""es"")"),"Aquí")</f>
        <v>Aquí</v>
      </c>
    </row>
    <row r="6626">
      <c r="A6626" s="4">
        <v>5.0</v>
      </c>
      <c r="B6626" s="4" t="s">
        <v>14739</v>
      </c>
      <c r="C6626" s="7"/>
      <c r="D6626" s="7" t="s">
        <v>14744</v>
      </c>
      <c r="E6626" s="4" t="s">
        <v>14745</v>
      </c>
      <c r="F6626" s="4" t="s">
        <v>14746</v>
      </c>
      <c r="G6626" s="5" t="str">
        <f>IFERROR(__xludf.DUMMYFUNCTION("GOOGLETRANSLATE(D6626,""iw"",""es"")"),"alguna cosa")</f>
        <v>alguna cosa</v>
      </c>
    </row>
    <row r="6627">
      <c r="A6627" s="4">
        <v>1.0</v>
      </c>
      <c r="B6627" s="4" t="s">
        <v>14747</v>
      </c>
      <c r="C6627" s="4"/>
      <c r="D6627" s="4" t="s">
        <v>4747</v>
      </c>
      <c r="E6627" s="4" t="s">
        <v>4746</v>
      </c>
      <c r="F6627" s="4" t="s">
        <v>4747</v>
      </c>
      <c r="G6627" s="5" t="str">
        <f>IFERROR(__xludf.DUMMYFUNCTION("GOOGLETRANSLATE(D6627,""id"",""es"")"),"voluntad")</f>
        <v>voluntad</v>
      </c>
    </row>
    <row r="6628">
      <c r="A6628" s="4">
        <v>2.0</v>
      </c>
      <c r="B6628" s="4" t="s">
        <v>14747</v>
      </c>
      <c r="C6628" s="4"/>
      <c r="D6628" s="4" t="s">
        <v>14748</v>
      </c>
      <c r="E6628" s="4" t="s">
        <v>14749</v>
      </c>
      <c r="F6628" s="4" t="s">
        <v>14748</v>
      </c>
      <c r="G6628" s="5" t="str">
        <f>IFERROR(__xludf.DUMMYFUNCTION("GOOGLETRANSLATE(D6628,""id"",""es"")"),"Akil")</f>
        <v>Akil</v>
      </c>
    </row>
    <row r="6629">
      <c r="A6629" s="4">
        <v>3.0</v>
      </c>
      <c r="B6629" s="4" t="s">
        <v>14747</v>
      </c>
      <c r="C6629" s="4"/>
      <c r="D6629" s="4" t="s">
        <v>4910</v>
      </c>
      <c r="E6629" s="4" t="s">
        <v>14750</v>
      </c>
      <c r="F6629" s="4" t="s">
        <v>4910</v>
      </c>
      <c r="G6629" s="5" t="str">
        <f>IFERROR(__xludf.DUMMYFUNCTION("GOOGLETRANSLATE(D6629,""id"",""es"")"),"yo")</f>
        <v>yo</v>
      </c>
      <c r="H6629" s="4" t="s">
        <v>8511</v>
      </c>
      <c r="I6629" s="4" t="s">
        <v>8512</v>
      </c>
      <c r="J6629" s="4" t="s">
        <v>8513</v>
      </c>
    </row>
    <row r="6630">
      <c r="A6630" s="4">
        <v>4.0</v>
      </c>
      <c r="B6630" s="4" t="s">
        <v>14747</v>
      </c>
      <c r="C6630" s="4"/>
      <c r="D6630" s="4" t="s">
        <v>4900</v>
      </c>
      <c r="E6630" s="4" t="s">
        <v>4899</v>
      </c>
      <c r="F6630" s="4" t="s">
        <v>4900</v>
      </c>
      <c r="G6630" s="5" t="str">
        <f>IFERROR(__xludf.DUMMYFUNCTION("GOOGLETRANSLATE(D6630,""id"",""es"")"),"Pobre de mí")</f>
        <v>Pobre de mí</v>
      </c>
      <c r="H6630" s="4" t="s">
        <v>14751</v>
      </c>
      <c r="I6630" s="4" t="s">
        <v>13526</v>
      </c>
      <c r="J6630" s="4" t="s">
        <v>13678</v>
      </c>
      <c r="K6630" s="4" t="s">
        <v>14752</v>
      </c>
      <c r="L6630" s="4" t="s">
        <v>14753</v>
      </c>
      <c r="M6630" s="4" t="s">
        <v>13526</v>
      </c>
      <c r="N6630" s="4" t="s">
        <v>13526</v>
      </c>
      <c r="O6630" s="4" t="s">
        <v>14754</v>
      </c>
      <c r="P6630" s="4" t="s">
        <v>14755</v>
      </c>
      <c r="Q6630" s="4" t="s">
        <v>13526</v>
      </c>
      <c r="R6630" s="4" t="s">
        <v>3869</v>
      </c>
      <c r="S6630" s="4" t="s">
        <v>13526</v>
      </c>
      <c r="T6630" s="4" t="s">
        <v>14756</v>
      </c>
      <c r="U6630" s="4" t="s">
        <v>13526</v>
      </c>
      <c r="V6630" s="4" t="s">
        <v>1241</v>
      </c>
      <c r="W6630" s="4" t="s">
        <v>14757</v>
      </c>
      <c r="X6630" s="4" t="s">
        <v>13526</v>
      </c>
      <c r="Y6630" s="4" t="s">
        <v>1608</v>
      </c>
      <c r="Z6630" s="4" t="s">
        <v>7188</v>
      </c>
      <c r="AA6630" s="4" t="s">
        <v>14758</v>
      </c>
      <c r="AB6630" s="4" t="s">
        <v>14759</v>
      </c>
      <c r="AC6630" s="4" t="s">
        <v>14760</v>
      </c>
      <c r="AD6630" s="4" t="s">
        <v>14761</v>
      </c>
      <c r="AE6630" s="4" t="s">
        <v>14762</v>
      </c>
      <c r="AF6630" s="4" t="s">
        <v>14762</v>
      </c>
      <c r="AG6630" s="4" t="s">
        <v>14761</v>
      </c>
      <c r="AH6630" s="4" t="s">
        <v>12844</v>
      </c>
      <c r="AI6630" s="4" t="s">
        <v>14763</v>
      </c>
      <c r="AJ6630" s="4" t="s">
        <v>14754</v>
      </c>
      <c r="AK6630" s="4" t="s">
        <v>14764</v>
      </c>
      <c r="AL6630" s="4" t="s">
        <v>14765</v>
      </c>
      <c r="AM6630" s="4" t="s">
        <v>9759</v>
      </c>
      <c r="AN6630" s="4" t="s">
        <v>14766</v>
      </c>
      <c r="AO6630" s="4" t="s">
        <v>14767</v>
      </c>
      <c r="AP6630" s="4" t="s">
        <v>14768</v>
      </c>
      <c r="AQ6630" s="4" t="s">
        <v>13526</v>
      </c>
      <c r="AR6630" s="4" t="s">
        <v>1187</v>
      </c>
      <c r="AS6630" s="4" t="s">
        <v>8877</v>
      </c>
      <c r="AT6630" s="4" t="s">
        <v>14769</v>
      </c>
      <c r="AU6630" s="4" t="s">
        <v>3578</v>
      </c>
      <c r="AV6630" s="4" t="s">
        <v>13526</v>
      </c>
      <c r="AW6630" s="4" t="s">
        <v>14770</v>
      </c>
      <c r="AX6630" s="4" t="s">
        <v>14771</v>
      </c>
      <c r="AY6630" s="4" t="s">
        <v>14772</v>
      </c>
      <c r="AZ6630" s="4" t="s">
        <v>14773</v>
      </c>
      <c r="BA6630" s="4" t="s">
        <v>14774</v>
      </c>
      <c r="BB6630" s="4" t="s">
        <v>13526</v>
      </c>
      <c r="BC6630" s="4" t="s">
        <v>2125</v>
      </c>
      <c r="BD6630" s="4" t="s">
        <v>13526</v>
      </c>
      <c r="BE6630" s="4" t="s">
        <v>13526</v>
      </c>
      <c r="BF6630" s="4" t="s">
        <v>13526</v>
      </c>
      <c r="BG6630" s="4" t="s">
        <v>14775</v>
      </c>
      <c r="BH6630" s="4" t="s">
        <v>14776</v>
      </c>
      <c r="BI6630" s="4" t="s">
        <v>13526</v>
      </c>
      <c r="BJ6630" s="4" t="s">
        <v>13526</v>
      </c>
      <c r="BK6630" s="4" t="s">
        <v>14777</v>
      </c>
    </row>
    <row r="6631">
      <c r="A6631" s="4">
        <v>5.0</v>
      </c>
      <c r="B6631" s="4" t="s">
        <v>14747</v>
      </c>
      <c r="C6631" s="4"/>
      <c r="D6631" s="4" t="s">
        <v>5801</v>
      </c>
      <c r="E6631" s="4" t="s">
        <v>11618</v>
      </c>
      <c r="F6631" s="4" t="s">
        <v>5801</v>
      </c>
      <c r="G6631" s="5" t="str">
        <f>IFERROR(__xludf.DUMMYFUNCTION("GOOGLETRANSLATE(D6631,""id"",""es"")"),"ceja")</f>
        <v>ceja</v>
      </c>
      <c r="H6631" s="4" t="s">
        <v>14778</v>
      </c>
      <c r="I6631" s="4" t="s">
        <v>14779</v>
      </c>
      <c r="J6631" s="4" t="s">
        <v>14780</v>
      </c>
      <c r="K6631" s="4" t="s">
        <v>14779</v>
      </c>
      <c r="L6631" s="4" t="s">
        <v>14781</v>
      </c>
    </row>
    <row r="6632">
      <c r="A6632" s="4">
        <v>6.0</v>
      </c>
      <c r="B6632" s="4" t="s">
        <v>14747</v>
      </c>
      <c r="C6632" s="4"/>
      <c r="D6632" s="4" t="s">
        <v>592</v>
      </c>
      <c r="E6632" s="4" t="s">
        <v>591</v>
      </c>
      <c r="F6632" s="4" t="s">
        <v>592</v>
      </c>
      <c r="G6632" s="5" t="str">
        <f>IFERROR(__xludf.DUMMYFUNCTION("GOOGLETRANSLATE(D6632,""id"",""es"")"),"Soy")</f>
        <v>Soy</v>
      </c>
      <c r="H6632" s="4" t="s">
        <v>1529</v>
      </c>
      <c r="I6632" s="4" t="s">
        <v>14782</v>
      </c>
      <c r="J6632" s="4" t="s">
        <v>14783</v>
      </c>
      <c r="K6632" s="4" t="s">
        <v>14784</v>
      </c>
      <c r="L6632" s="4" t="s">
        <v>14785</v>
      </c>
      <c r="M6632" s="4" t="s">
        <v>14786</v>
      </c>
      <c r="N6632" s="4" t="s">
        <v>14016</v>
      </c>
      <c r="O6632" s="4" t="s">
        <v>14017</v>
      </c>
      <c r="P6632" s="4" t="s">
        <v>14785</v>
      </c>
      <c r="Q6632" s="4" t="s">
        <v>14785</v>
      </c>
      <c r="R6632" s="4" t="s">
        <v>1529</v>
      </c>
      <c r="S6632" s="4" t="s">
        <v>1535</v>
      </c>
      <c r="T6632" s="4" t="s">
        <v>1534</v>
      </c>
      <c r="U6632" s="4" t="s">
        <v>1536</v>
      </c>
    </row>
    <row r="6633">
      <c r="A6633" s="4">
        <v>7.0</v>
      </c>
      <c r="B6633" s="4" t="s">
        <v>14747</v>
      </c>
      <c r="C6633" s="4"/>
      <c r="D6633" s="4" t="s">
        <v>298</v>
      </c>
      <c r="E6633" s="4" t="s">
        <v>297</v>
      </c>
      <c r="F6633" s="4" t="s">
        <v>298</v>
      </c>
      <c r="G6633" s="5" t="str">
        <f>IFERROR(__xludf.DUMMYFUNCTION("GOOGLETRANSLATE(D6633,""id"",""es"")"),"seguro")</f>
        <v>seguro</v>
      </c>
      <c r="H6633" s="4" t="s">
        <v>14787</v>
      </c>
      <c r="I6633" s="4" t="s">
        <v>439</v>
      </c>
      <c r="J6633" s="4" t="s">
        <v>6319</v>
      </c>
      <c r="K6633" s="4" t="s">
        <v>8118</v>
      </c>
      <c r="L6633" s="4" t="s">
        <v>3625</v>
      </c>
      <c r="M6633" s="4" t="s">
        <v>14788</v>
      </c>
      <c r="N6633" s="4" t="s">
        <v>8117</v>
      </c>
      <c r="O6633" s="4" t="s">
        <v>8097</v>
      </c>
      <c r="P6633" s="4" t="s">
        <v>8116</v>
      </c>
      <c r="Q6633" s="4" t="s">
        <v>8117</v>
      </c>
      <c r="R6633" s="4" t="s">
        <v>8118</v>
      </c>
      <c r="S6633" s="4" t="s">
        <v>14789</v>
      </c>
      <c r="T6633" s="4" t="s">
        <v>14790</v>
      </c>
      <c r="U6633" s="4" t="s">
        <v>14791</v>
      </c>
      <c r="V6633" s="4" t="s">
        <v>439</v>
      </c>
      <c r="W6633" s="4" t="s">
        <v>14792</v>
      </c>
      <c r="X6633" s="4" t="s">
        <v>14793</v>
      </c>
      <c r="Y6633" s="4" t="s">
        <v>14794</v>
      </c>
      <c r="Z6633" s="4" t="s">
        <v>14795</v>
      </c>
      <c r="AA6633" s="4" t="s">
        <v>4342</v>
      </c>
      <c r="AB6633" s="4" t="s">
        <v>14796</v>
      </c>
      <c r="AC6633" s="4" t="s">
        <v>14797</v>
      </c>
      <c r="AD6633" s="4" t="s">
        <v>4342</v>
      </c>
    </row>
    <row r="6634">
      <c r="A6634" s="4">
        <v>8.0</v>
      </c>
      <c r="B6634" s="4" t="s">
        <v>14747</v>
      </c>
      <c r="C6634" s="4"/>
      <c r="D6634" s="4" t="s">
        <v>4994</v>
      </c>
      <c r="E6634" s="4" t="s">
        <v>14798</v>
      </c>
      <c r="F6634" s="4" t="s">
        <v>4994</v>
      </c>
      <c r="G6634" s="5" t="str">
        <f>IFERROR(__xludf.DUMMYFUNCTION("GOOGLETRANSLATE(D6634,""id"",""es"")"),"Amén")</f>
        <v>Amén</v>
      </c>
      <c r="H6634" s="4" t="s">
        <v>14799</v>
      </c>
      <c r="I6634" s="4" t="s">
        <v>14800</v>
      </c>
      <c r="J6634" s="4" t="s">
        <v>14801</v>
      </c>
    </row>
    <row r="6635">
      <c r="A6635" s="4">
        <v>9.0</v>
      </c>
      <c r="B6635" s="4" t="s">
        <v>14747</v>
      </c>
      <c r="C6635" s="4"/>
      <c r="D6635" s="4" t="s">
        <v>741</v>
      </c>
      <c r="E6635" s="4" t="s">
        <v>740</v>
      </c>
      <c r="F6635" s="4" t="s">
        <v>741</v>
      </c>
      <c r="G6635" s="5" t="str">
        <f>IFERROR(__xludf.DUMMYFUNCTION("GOOGLETRANSLATE(D6635,""id"",""es"")"),"Ana")</f>
        <v>Ana</v>
      </c>
      <c r="H6635" s="4" t="s">
        <v>14802</v>
      </c>
    </row>
    <row r="6636">
      <c r="A6636" s="4">
        <v>10.0</v>
      </c>
      <c r="B6636" s="4" t="s">
        <v>14747</v>
      </c>
      <c r="C6636" s="4"/>
      <c r="D6636" s="4" t="s">
        <v>14803</v>
      </c>
      <c r="E6636" s="4" t="s">
        <v>14804</v>
      </c>
      <c r="F6636" s="4" t="s">
        <v>14803</v>
      </c>
      <c r="G6636" s="5" t="str">
        <f>IFERROR(__xludf.DUMMYFUNCTION("GOOGLETRANSLATE(D6636,""id"",""es"")"),"niño")</f>
        <v>niño</v>
      </c>
      <c r="H6636" s="4" t="s">
        <v>8916</v>
      </c>
      <c r="I6636" s="4" t="s">
        <v>13276</v>
      </c>
      <c r="J6636" s="4" t="s">
        <v>2283</v>
      </c>
      <c r="K6636" s="4" t="s">
        <v>13441</v>
      </c>
      <c r="L6636" s="4" t="s">
        <v>14805</v>
      </c>
      <c r="M6636" s="4" t="s">
        <v>1583</v>
      </c>
      <c r="N6636" s="4" t="s">
        <v>14806</v>
      </c>
      <c r="O6636" s="4" t="s">
        <v>8916</v>
      </c>
      <c r="P6636" s="4" t="s">
        <v>13282</v>
      </c>
      <c r="Q6636" s="4" t="s">
        <v>11435</v>
      </c>
      <c r="R6636" s="4" t="s">
        <v>9966</v>
      </c>
      <c r="S6636" s="4" t="s">
        <v>14807</v>
      </c>
      <c r="T6636" s="4" t="s">
        <v>4701</v>
      </c>
      <c r="U6636" s="4" t="s">
        <v>4702</v>
      </c>
      <c r="V6636" s="4" t="s">
        <v>4703</v>
      </c>
      <c r="W6636" s="4" t="s">
        <v>4704</v>
      </c>
      <c r="X6636" s="4" t="s">
        <v>4705</v>
      </c>
      <c r="Y6636" s="4" t="s">
        <v>4706</v>
      </c>
      <c r="Z6636" s="4" t="s">
        <v>4707</v>
      </c>
      <c r="AA6636" s="4" t="s">
        <v>4708</v>
      </c>
      <c r="AB6636" s="4" t="s">
        <v>3256</v>
      </c>
      <c r="AC6636" s="4" t="s">
        <v>3255</v>
      </c>
      <c r="AD6636" s="4" t="s">
        <v>4709</v>
      </c>
      <c r="AE6636" s="4" t="s">
        <v>4710</v>
      </c>
      <c r="AF6636" s="4" t="s">
        <v>4701</v>
      </c>
      <c r="AG6636" s="4" t="s">
        <v>4702</v>
      </c>
      <c r="AH6636" s="4" t="s">
        <v>4701</v>
      </c>
      <c r="AI6636" s="4" t="s">
        <v>2283</v>
      </c>
      <c r="AJ6636" s="4" t="s">
        <v>4701</v>
      </c>
      <c r="AK6636" s="4" t="s">
        <v>14808</v>
      </c>
      <c r="AL6636" s="4" t="s">
        <v>14809</v>
      </c>
      <c r="AM6636" s="4" t="s">
        <v>6861</v>
      </c>
      <c r="AN6636" s="4" t="s">
        <v>9702</v>
      </c>
      <c r="AO6636" s="4" t="s">
        <v>13276</v>
      </c>
      <c r="AP6636" s="4" t="s">
        <v>14810</v>
      </c>
      <c r="AQ6636" s="4" t="s">
        <v>8878</v>
      </c>
      <c r="AR6636" s="4" t="s">
        <v>14811</v>
      </c>
      <c r="AS6636" s="4" t="s">
        <v>14812</v>
      </c>
      <c r="AT6636" s="4" t="s">
        <v>14813</v>
      </c>
      <c r="AU6636" s="4" t="s">
        <v>4138</v>
      </c>
      <c r="AV6636" s="4" t="s">
        <v>14814</v>
      </c>
      <c r="AW6636" s="4" t="s">
        <v>14815</v>
      </c>
      <c r="AX6636" s="4" t="s">
        <v>6626</v>
      </c>
      <c r="AY6636" s="4" t="s">
        <v>14816</v>
      </c>
      <c r="AZ6636" s="4" t="s">
        <v>8965</v>
      </c>
    </row>
    <row r="6637">
      <c r="A6637" s="4">
        <v>11.0</v>
      </c>
      <c r="B6637" s="4" t="s">
        <v>14747</v>
      </c>
      <c r="C6637" s="4"/>
      <c r="D6637" s="4" t="s">
        <v>14817</v>
      </c>
      <c r="E6637" s="4" t="s">
        <v>14818</v>
      </c>
      <c r="F6637" s="4" t="s">
        <v>14817</v>
      </c>
      <c r="G6637" s="5" t="str">
        <f>IFERROR(__xludf.DUMMYFUNCTION("GOOGLETRANSLATE(D6637,""id"",""es"")"),"análisis")</f>
        <v>análisis</v>
      </c>
      <c r="H6637" s="4" t="s">
        <v>4998</v>
      </c>
      <c r="I6637" s="4" t="s">
        <v>14819</v>
      </c>
      <c r="J6637" s="4" t="s">
        <v>4998</v>
      </c>
      <c r="K6637" s="4" t="s">
        <v>14820</v>
      </c>
      <c r="L6637" s="4" t="s">
        <v>4998</v>
      </c>
      <c r="M6637" s="4" t="s">
        <v>4999</v>
      </c>
      <c r="N6637" s="4" t="s">
        <v>13200</v>
      </c>
      <c r="O6637" s="4" t="s">
        <v>14821</v>
      </c>
    </row>
    <row r="6638">
      <c r="A6638" s="4">
        <v>12.0</v>
      </c>
      <c r="B6638" s="4" t="s">
        <v>14747</v>
      </c>
      <c r="C6638" s="4"/>
      <c r="D6638" s="4" t="s">
        <v>14822</v>
      </c>
      <c r="E6638" s="4" t="s">
        <v>14823</v>
      </c>
      <c r="F6638" s="4" t="s">
        <v>14822</v>
      </c>
      <c r="G6638" s="5" t="str">
        <f>IFERROR(__xludf.DUMMYFUNCTION("GOOGLETRANSLATE(D6638,""id"",""es"")"),"Ananim")</f>
        <v>Ananim</v>
      </c>
    </row>
    <row r="6639">
      <c r="A6639" s="4">
        <v>13.0</v>
      </c>
      <c r="B6639" s="4" t="s">
        <v>14747</v>
      </c>
      <c r="C6639" s="4"/>
      <c r="D6639" s="4" t="s">
        <v>14824</v>
      </c>
      <c r="E6639" s="4" t="s">
        <v>14825</v>
      </c>
      <c r="F6639" s="4" t="s">
        <v>14824</v>
      </c>
      <c r="G6639" s="5" t="str">
        <f>IFERROR(__xludf.DUMMYFUNCTION("GOOGLETRANSLATE(D6639,""id"",""es"")"),"animación")</f>
        <v>animación</v>
      </c>
      <c r="H6639" s="4" t="s">
        <v>14826</v>
      </c>
      <c r="I6639" s="4" t="s">
        <v>14827</v>
      </c>
      <c r="J6639" s="4" t="s">
        <v>14828</v>
      </c>
      <c r="K6639" s="4" t="s">
        <v>14829</v>
      </c>
      <c r="L6639" s="4" t="s">
        <v>14830</v>
      </c>
      <c r="M6639" s="4" t="s">
        <v>14828</v>
      </c>
      <c r="N6639" s="4" t="s">
        <v>14831</v>
      </c>
      <c r="O6639" s="4" t="s">
        <v>14826</v>
      </c>
      <c r="P6639" s="4" t="s">
        <v>14832</v>
      </c>
      <c r="Q6639" s="4" t="s">
        <v>11469</v>
      </c>
      <c r="R6639" s="4" t="s">
        <v>14833</v>
      </c>
    </row>
    <row r="6640">
      <c r="A6640" s="4">
        <v>14.0</v>
      </c>
      <c r="B6640" s="4" t="s">
        <v>14747</v>
      </c>
      <c r="C6640" s="4"/>
      <c r="D6640" s="4" t="s">
        <v>755</v>
      </c>
      <c r="E6640" s="4" t="s">
        <v>756</v>
      </c>
      <c r="F6640" s="4" t="s">
        <v>755</v>
      </c>
      <c r="G6640" s="5" t="str">
        <f>IFERROR(__xludf.DUMMYFUNCTION("GOOGLETRANSLATE(D6640,""id"",""es"")"),"qué")</f>
        <v>qué</v>
      </c>
    </row>
    <row r="6641">
      <c r="A6641" s="4">
        <v>15.0</v>
      </c>
      <c r="B6641" s="4" t="s">
        <v>14747</v>
      </c>
      <c r="C6641" s="4"/>
      <c r="D6641" s="4" t="s">
        <v>14834</v>
      </c>
      <c r="E6641" s="4" t="s">
        <v>14835</v>
      </c>
      <c r="F6641" s="4" t="s">
        <v>14834</v>
      </c>
      <c r="G6641" s="5" t="str">
        <f>IFERROR(__xludf.DUMMYFUNCTION("GOOGLETRANSLATE(D6641,""id"",""es"")"),"rancio")</f>
        <v>rancio</v>
      </c>
    </row>
    <row r="6642">
      <c r="A6642" s="4">
        <v>16.0</v>
      </c>
      <c r="B6642" s="4" t="s">
        <v>14747</v>
      </c>
      <c r="C6642" s="4"/>
      <c r="D6642" s="4" t="s">
        <v>5904</v>
      </c>
      <c r="E6642" s="4" t="s">
        <v>14836</v>
      </c>
      <c r="F6642" s="4" t="s">
        <v>5904</v>
      </c>
      <c r="G6642" s="5" t="str">
        <f>IFERROR(__xludf.DUMMYFUNCTION("GOOGLETRANSLATE(D6642,""id"",""es"")"),"agrio")</f>
        <v>agrio</v>
      </c>
      <c r="H6642" s="4" t="s">
        <v>14837</v>
      </c>
      <c r="I6642" s="4" t="s">
        <v>9465</v>
      </c>
      <c r="J6642" s="4" t="s">
        <v>14838</v>
      </c>
      <c r="K6642" s="4" t="s">
        <v>14839</v>
      </c>
      <c r="L6642" s="4" t="s">
        <v>9464</v>
      </c>
    </row>
    <row r="6643">
      <c r="A6643" s="4">
        <v>17.0</v>
      </c>
      <c r="B6643" s="4" t="s">
        <v>14747</v>
      </c>
      <c r="C6643" s="4"/>
      <c r="D6643" s="4" t="s">
        <v>14840</v>
      </c>
      <c r="E6643" s="4" t="s">
        <v>14841</v>
      </c>
      <c r="F6643" s="4" t="s">
        <v>14842</v>
      </c>
      <c r="G6643" s="5" t="str">
        <f>IFERROR(__xludf.DUMMYFUNCTION("GOOGLETRANSLATE(D6643,""id"",""es"")"),"divertida")</f>
        <v>divertida</v>
      </c>
      <c r="H6643" s="4" t="s">
        <v>14843</v>
      </c>
      <c r="I6643" s="4" t="s">
        <v>14844</v>
      </c>
      <c r="J6643" s="4" t="s">
        <v>14845</v>
      </c>
      <c r="K6643" s="4" t="s">
        <v>14846</v>
      </c>
      <c r="L6643" s="4" t="s">
        <v>14847</v>
      </c>
      <c r="M6643" s="4" t="s">
        <v>14848</v>
      </c>
      <c r="N6643" s="4" t="s">
        <v>14849</v>
      </c>
      <c r="O6643" s="4" t="s">
        <v>14850</v>
      </c>
      <c r="P6643" s="4" t="s">
        <v>14851</v>
      </c>
      <c r="Q6643" s="4" t="s">
        <v>14852</v>
      </c>
      <c r="R6643" s="4" t="s">
        <v>14853</v>
      </c>
      <c r="S6643" s="4" t="s">
        <v>14854</v>
      </c>
      <c r="T6643" s="4" t="s">
        <v>14855</v>
      </c>
      <c r="U6643" s="4" t="s">
        <v>1959</v>
      </c>
      <c r="V6643" s="4" t="s">
        <v>14856</v>
      </c>
      <c r="W6643" s="4" t="s">
        <v>14857</v>
      </c>
      <c r="X6643" s="4" t="s">
        <v>14858</v>
      </c>
      <c r="Y6643" s="4" t="s">
        <v>14859</v>
      </c>
      <c r="Z6643" s="4" t="s">
        <v>14860</v>
      </c>
      <c r="AA6643" s="4" t="s">
        <v>14861</v>
      </c>
      <c r="AB6643" s="4" t="s">
        <v>14862</v>
      </c>
      <c r="AC6643" s="4" t="s">
        <v>14863</v>
      </c>
      <c r="AD6643" s="4" t="s">
        <v>14864</v>
      </c>
      <c r="AE6643" s="4" t="s">
        <v>14865</v>
      </c>
    </row>
    <row r="6644">
      <c r="A6644" s="4">
        <v>18.0</v>
      </c>
      <c r="B6644" s="4" t="s">
        <v>14747</v>
      </c>
      <c r="C6644" s="4"/>
      <c r="D6644" s="4" t="s">
        <v>14840</v>
      </c>
      <c r="E6644" s="4" t="s">
        <v>14866</v>
      </c>
      <c r="F6644" s="4" t="s">
        <v>14867</v>
      </c>
      <c r="G6644" s="5" t="str">
        <f>IFERROR(__xludf.DUMMYFUNCTION("GOOGLETRANSLATE(D6644,""id"",""es"")"),"divertida")</f>
        <v>divertida</v>
      </c>
      <c r="H6644" s="4" t="s">
        <v>14843</v>
      </c>
      <c r="I6644" s="4" t="s">
        <v>14844</v>
      </c>
      <c r="J6644" s="4" t="s">
        <v>14845</v>
      </c>
      <c r="K6644" s="4" t="s">
        <v>14846</v>
      </c>
      <c r="L6644" s="4" t="s">
        <v>14847</v>
      </c>
      <c r="M6644" s="4" t="s">
        <v>14848</v>
      </c>
      <c r="N6644" s="4" t="s">
        <v>14849</v>
      </c>
      <c r="O6644" s="4" t="s">
        <v>14850</v>
      </c>
      <c r="P6644" s="4" t="s">
        <v>14851</v>
      </c>
      <c r="Q6644" s="4" t="s">
        <v>14852</v>
      </c>
      <c r="R6644" s="4" t="s">
        <v>14853</v>
      </c>
      <c r="S6644" s="4" t="s">
        <v>14854</v>
      </c>
      <c r="T6644" s="4" t="s">
        <v>14855</v>
      </c>
      <c r="U6644" s="4" t="s">
        <v>1959</v>
      </c>
      <c r="V6644" s="4" t="s">
        <v>14856</v>
      </c>
      <c r="W6644" s="4" t="s">
        <v>14857</v>
      </c>
      <c r="X6644" s="4" t="s">
        <v>14858</v>
      </c>
      <c r="Y6644" s="4" t="s">
        <v>14859</v>
      </c>
      <c r="Z6644" s="4" t="s">
        <v>14860</v>
      </c>
      <c r="AA6644" s="4" t="s">
        <v>14861</v>
      </c>
      <c r="AB6644" s="4" t="s">
        <v>14862</v>
      </c>
      <c r="AC6644" s="4" t="s">
        <v>14863</v>
      </c>
      <c r="AD6644" s="4" t="s">
        <v>14864</v>
      </c>
      <c r="AE6644" s="4" t="s">
        <v>14865</v>
      </c>
    </row>
    <row r="6645">
      <c r="A6645" s="4">
        <v>19.0</v>
      </c>
      <c r="B6645" s="4" t="s">
        <v>14747</v>
      </c>
      <c r="C6645" s="4"/>
      <c r="D6645" s="4" t="s">
        <v>14868</v>
      </c>
      <c r="E6645" s="4" t="s">
        <v>14869</v>
      </c>
      <c r="F6645" s="4" t="s">
        <v>14868</v>
      </c>
      <c r="G6645" s="5" t="str">
        <f>IFERROR(__xludf.DUMMYFUNCTION("GOOGLETRANSLATE(D6645,""id"",""es"")"),"pollo")</f>
        <v>pollo</v>
      </c>
      <c r="H6645" s="4" t="s">
        <v>14870</v>
      </c>
      <c r="I6645" s="4" t="s">
        <v>14871</v>
      </c>
      <c r="J6645" s="4" t="s">
        <v>14872</v>
      </c>
      <c r="K6645" s="4" t="s">
        <v>3655</v>
      </c>
      <c r="L6645" s="4" t="s">
        <v>9964</v>
      </c>
      <c r="M6645" s="4" t="s">
        <v>3596</v>
      </c>
      <c r="N6645" s="4" t="s">
        <v>8162</v>
      </c>
      <c r="O6645" s="4" t="s">
        <v>5515</v>
      </c>
      <c r="P6645" s="4" t="s">
        <v>14871</v>
      </c>
      <c r="Q6645" s="4" t="s">
        <v>3655</v>
      </c>
      <c r="R6645" s="4" t="s">
        <v>9967</v>
      </c>
      <c r="S6645" s="4" t="s">
        <v>9968</v>
      </c>
      <c r="T6645" s="4" t="s">
        <v>9965</v>
      </c>
      <c r="U6645" s="4" t="s">
        <v>14873</v>
      </c>
    </row>
    <row r="6646">
      <c r="A6646" s="4">
        <v>20.0</v>
      </c>
      <c r="B6646" s="4" t="s">
        <v>14747</v>
      </c>
      <c r="C6646" s="4"/>
      <c r="D6646" s="4" t="s">
        <v>14874</v>
      </c>
      <c r="E6646" s="4" t="s">
        <v>14875</v>
      </c>
      <c r="F6646" s="4" t="s">
        <v>14874</v>
      </c>
      <c r="G6646" s="5" t="str">
        <f>IFERROR(__xludf.DUMMYFUNCTION("GOOGLETRANSLATE(D6646,""id"",""es"")"),"ritmo")</f>
        <v>ritmo</v>
      </c>
      <c r="H6646" s="4" t="s">
        <v>14876</v>
      </c>
      <c r="I6646" s="4" t="s">
        <v>14877</v>
      </c>
      <c r="J6646" s="4" t="s">
        <v>14878</v>
      </c>
      <c r="K6646" s="4" t="s">
        <v>7516</v>
      </c>
      <c r="L6646" s="4" t="s">
        <v>7517</v>
      </c>
      <c r="M6646" s="4" t="s">
        <v>2700</v>
      </c>
      <c r="N6646" s="4" t="s">
        <v>7516</v>
      </c>
      <c r="O6646" s="4" t="s">
        <v>7517</v>
      </c>
    </row>
    <row r="6647">
      <c r="A6647" s="4">
        <v>21.0</v>
      </c>
      <c r="B6647" s="4" t="s">
        <v>14747</v>
      </c>
      <c r="C6647" s="4"/>
      <c r="D6647" s="4" t="s">
        <v>12281</v>
      </c>
      <c r="E6647" s="4" t="s">
        <v>4813</v>
      </c>
      <c r="F6647" s="4" t="s">
        <v>4812</v>
      </c>
      <c r="G6647" s="5" t="str">
        <f>IFERROR(__xludf.DUMMYFUNCTION("GOOGLETRANSLATE(D6647,""id"",""es"")"),"H")</f>
        <v>H</v>
      </c>
    </row>
    <row r="6648">
      <c r="A6648" s="4">
        <v>22.0</v>
      </c>
      <c r="B6648" s="4" t="s">
        <v>14747</v>
      </c>
      <c r="C6648" s="4"/>
      <c r="D6648" s="4" t="s">
        <v>4814</v>
      </c>
      <c r="E6648" s="4" t="s">
        <v>4815</v>
      </c>
      <c r="F6648" s="4" t="s">
        <v>4814</v>
      </c>
      <c r="G6648" s="5" t="str">
        <f>IFERROR(__xludf.DUMMYFUNCTION("GOOGLETRANSLATE(D6648,""id"",""es"")"),"Cosa")</f>
        <v>Cosa</v>
      </c>
      <c r="H6648" s="4" t="s">
        <v>14879</v>
      </c>
      <c r="I6648" s="4" t="s">
        <v>11916</v>
      </c>
      <c r="J6648" s="4" t="s">
        <v>11016</v>
      </c>
      <c r="K6648" s="4" t="s">
        <v>1337</v>
      </c>
      <c r="L6648" s="4" t="s">
        <v>11917</v>
      </c>
      <c r="M6648" s="4" t="s">
        <v>11918</v>
      </c>
      <c r="N6648" s="4" t="s">
        <v>14879</v>
      </c>
      <c r="O6648" s="4" t="s">
        <v>8879</v>
      </c>
      <c r="P6648" s="4" t="s">
        <v>14880</v>
      </c>
      <c r="Q6648" s="4" t="s">
        <v>14879</v>
      </c>
      <c r="R6648" s="4" t="s">
        <v>8874</v>
      </c>
      <c r="S6648" s="4" t="s">
        <v>1069</v>
      </c>
      <c r="T6648" s="4" t="s">
        <v>8878</v>
      </c>
      <c r="U6648" s="4" t="s">
        <v>8879</v>
      </c>
      <c r="V6648" s="4" t="s">
        <v>8878</v>
      </c>
      <c r="W6648" s="4" t="s">
        <v>1337</v>
      </c>
      <c r="X6648" s="4" t="s">
        <v>14881</v>
      </c>
      <c r="Y6648" s="4" t="s">
        <v>14882</v>
      </c>
      <c r="Z6648" s="4" t="s">
        <v>14879</v>
      </c>
      <c r="AA6648" s="4" t="s">
        <v>1069</v>
      </c>
      <c r="AB6648" s="4" t="s">
        <v>1069</v>
      </c>
      <c r="AC6648" s="4" t="s">
        <v>3706</v>
      </c>
      <c r="AD6648" s="4" t="s">
        <v>3705</v>
      </c>
      <c r="AE6648" s="4" t="s">
        <v>1069</v>
      </c>
      <c r="AF6648" s="4" t="s">
        <v>8874</v>
      </c>
      <c r="AG6648" s="4" t="s">
        <v>8877</v>
      </c>
      <c r="AH6648" s="4" t="s">
        <v>14883</v>
      </c>
      <c r="AI6648" s="4" t="s">
        <v>14879</v>
      </c>
      <c r="AJ6648" s="4" t="s">
        <v>1337</v>
      </c>
      <c r="AK6648" s="4" t="s">
        <v>14879</v>
      </c>
      <c r="AL6648" s="4" t="s">
        <v>1337</v>
      </c>
      <c r="AM6648" s="4" t="s">
        <v>11926</v>
      </c>
      <c r="AN6648" s="4" t="s">
        <v>11927</v>
      </c>
      <c r="AO6648" s="4" t="s">
        <v>1339</v>
      </c>
      <c r="AP6648" s="4" t="s">
        <v>1337</v>
      </c>
      <c r="AQ6648" s="4" t="s">
        <v>14879</v>
      </c>
    </row>
    <row r="6649">
      <c r="A6649" s="4">
        <v>23.0</v>
      </c>
      <c r="B6649" s="4" t="s">
        <v>14747</v>
      </c>
      <c r="C6649" s="4"/>
      <c r="D6649" s="4" t="s">
        <v>14884</v>
      </c>
      <c r="E6649" s="4" t="s">
        <v>14885</v>
      </c>
      <c r="F6649" s="4" t="s">
        <v>14884</v>
      </c>
      <c r="G6649" s="5" t="str">
        <f>IFERROR(__xludf.DUMMYFUNCTION("GOOGLETRANSLATE(D6649,""id"",""es"")"),"página")</f>
        <v>página</v>
      </c>
      <c r="H6649" s="4" t="s">
        <v>4641</v>
      </c>
      <c r="I6649" s="4" t="s">
        <v>3444</v>
      </c>
      <c r="J6649" s="4" t="s">
        <v>3445</v>
      </c>
      <c r="K6649" s="4" t="s">
        <v>2634</v>
      </c>
      <c r="L6649" s="4" t="s">
        <v>2634</v>
      </c>
      <c r="M6649" s="4" t="s">
        <v>14886</v>
      </c>
      <c r="N6649" s="4" t="s">
        <v>14887</v>
      </c>
      <c r="O6649" s="4" t="s">
        <v>2634</v>
      </c>
      <c r="P6649" s="4" t="s">
        <v>2634</v>
      </c>
    </row>
    <row r="6650">
      <c r="A6650" s="4">
        <v>24.0</v>
      </c>
      <c r="B6650" s="4" t="s">
        <v>14747</v>
      </c>
      <c r="C6650" s="4"/>
      <c r="D6650" s="4" t="s">
        <v>14888</v>
      </c>
      <c r="E6650" s="4" t="s">
        <v>14889</v>
      </c>
      <c r="F6650" s="4" t="s">
        <v>14888</v>
      </c>
      <c r="G6650" s="5" t="str">
        <f>IFERROR(__xludf.DUMMYFUNCTION("GOOGLETRANSLATE(D6650,""id"",""es"")"),"alucinaciones")</f>
        <v>alucinaciones</v>
      </c>
      <c r="H6650" s="4" t="s">
        <v>14890</v>
      </c>
    </row>
    <row r="6651">
      <c r="A6651" s="4">
        <v>25.0</v>
      </c>
      <c r="B6651" s="4" t="s">
        <v>14747</v>
      </c>
      <c r="C6651" s="4"/>
      <c r="D6651" s="4" t="s">
        <v>14891</v>
      </c>
      <c r="E6651" s="4" t="s">
        <v>14892</v>
      </c>
      <c r="F6651" s="4" t="s">
        <v>14893</v>
      </c>
      <c r="G6651" s="5" t="str">
        <f>IFERROR(__xludf.DUMMYFUNCTION("GOOGLETRANSLATE(D6651,""id"",""es"")"),"solamente")</f>
        <v>solamente</v>
      </c>
      <c r="H6651" s="4" t="s">
        <v>14894</v>
      </c>
      <c r="I6651" s="4" t="s">
        <v>14895</v>
      </c>
      <c r="J6651" s="4" t="s">
        <v>9656</v>
      </c>
      <c r="K6651" s="4" t="s">
        <v>14896</v>
      </c>
      <c r="L6651" s="4" t="s">
        <v>14897</v>
      </c>
      <c r="M6651" s="4" t="s">
        <v>14895</v>
      </c>
      <c r="N6651" s="4" t="s">
        <v>14896</v>
      </c>
      <c r="O6651" s="4" t="s">
        <v>14898</v>
      </c>
      <c r="P6651" s="4" t="s">
        <v>14899</v>
      </c>
      <c r="Q6651" s="4" t="s">
        <v>9656</v>
      </c>
      <c r="R6651" s="4" t="s">
        <v>4039</v>
      </c>
      <c r="S6651" s="4" t="s">
        <v>14900</v>
      </c>
      <c r="T6651" s="4" t="s">
        <v>13887</v>
      </c>
      <c r="U6651" s="4" t="s">
        <v>14901</v>
      </c>
      <c r="V6651" s="4" t="s">
        <v>14902</v>
      </c>
      <c r="W6651" s="4" t="s">
        <v>4787</v>
      </c>
      <c r="X6651" s="4" t="s">
        <v>4039</v>
      </c>
      <c r="Y6651" s="4" t="s">
        <v>14903</v>
      </c>
      <c r="Z6651" s="4" t="s">
        <v>14904</v>
      </c>
      <c r="AA6651" s="4" t="s">
        <v>14905</v>
      </c>
      <c r="AB6651" s="4" t="s">
        <v>4787</v>
      </c>
      <c r="AC6651" s="4" t="s">
        <v>4039</v>
      </c>
    </row>
    <row r="6652">
      <c r="A6652" s="4">
        <v>26.0</v>
      </c>
      <c r="B6652" s="4" t="s">
        <v>14747</v>
      </c>
      <c r="C6652" s="4"/>
      <c r="D6652" s="4" t="s">
        <v>14906</v>
      </c>
      <c r="E6652" s="4" t="s">
        <v>14907</v>
      </c>
      <c r="F6652" s="4" t="s">
        <v>14906</v>
      </c>
      <c r="G6652" s="5" t="str">
        <f>IFERROR(__xludf.DUMMYFUNCTION("GOOGLETRANSLATE(D6652,""id"",""es"")"),"corazón")</f>
        <v>corazón</v>
      </c>
      <c r="H6652" s="4" t="s">
        <v>4624</v>
      </c>
      <c r="I6652" s="4" t="s">
        <v>4751</v>
      </c>
      <c r="J6652" s="4" t="s">
        <v>4624</v>
      </c>
      <c r="K6652" s="4" t="s">
        <v>11209</v>
      </c>
      <c r="L6652" s="4" t="s">
        <v>1312</v>
      </c>
      <c r="M6652" s="4" t="s">
        <v>11210</v>
      </c>
      <c r="N6652" s="4" t="s">
        <v>4920</v>
      </c>
      <c r="O6652" s="4" t="s">
        <v>4624</v>
      </c>
      <c r="P6652" s="4" t="s">
        <v>4759</v>
      </c>
      <c r="Q6652" s="4" t="s">
        <v>7263</v>
      </c>
      <c r="R6652" s="4" t="s">
        <v>5326</v>
      </c>
      <c r="S6652" s="4" t="s">
        <v>7264</v>
      </c>
      <c r="T6652" s="4" t="s">
        <v>4621</v>
      </c>
      <c r="U6652" s="4" t="s">
        <v>4622</v>
      </c>
      <c r="V6652" s="4" t="s">
        <v>7265</v>
      </c>
      <c r="W6652" s="4" t="s">
        <v>7266</v>
      </c>
      <c r="X6652" s="4" t="s">
        <v>4624</v>
      </c>
      <c r="Y6652" s="4" t="s">
        <v>7267</v>
      </c>
      <c r="Z6652" s="4" t="s">
        <v>7268</v>
      </c>
      <c r="AA6652" s="4" t="s">
        <v>7269</v>
      </c>
      <c r="AB6652" s="4" t="s">
        <v>7270</v>
      </c>
      <c r="AC6652" s="4" t="s">
        <v>7271</v>
      </c>
      <c r="AD6652" s="4" t="s">
        <v>7261</v>
      </c>
      <c r="AE6652" s="4" t="s">
        <v>4123</v>
      </c>
      <c r="AF6652" s="4" t="s">
        <v>7272</v>
      </c>
      <c r="AG6652" s="4" t="s">
        <v>4624</v>
      </c>
      <c r="AH6652" s="4" t="s">
        <v>4920</v>
      </c>
      <c r="AI6652" s="4" t="s">
        <v>4624</v>
      </c>
      <c r="AJ6652" s="4" t="s">
        <v>14908</v>
      </c>
    </row>
    <row r="6653">
      <c r="A6653" s="4">
        <v>27.0</v>
      </c>
      <c r="B6653" s="4" t="s">
        <v>14747</v>
      </c>
      <c r="C6653" s="4"/>
      <c r="D6653" s="4" t="s">
        <v>14909</v>
      </c>
      <c r="E6653" s="4" t="s">
        <v>14910</v>
      </c>
      <c r="F6653" s="4" t="s">
        <v>14909</v>
      </c>
      <c r="G6653" s="5" t="str">
        <f>IFERROR(__xludf.DUMMYFUNCTION("GOOGLETRANSLATE(D6653,""id"",""es"")"),"biológico")</f>
        <v>biológico</v>
      </c>
      <c r="H6653" s="4" t="s">
        <v>14911</v>
      </c>
      <c r="I6653" s="4" t="s">
        <v>14912</v>
      </c>
    </row>
    <row r="6654">
      <c r="A6654" s="4">
        <v>28.0</v>
      </c>
      <c r="B6654" s="4" t="s">
        <v>14747</v>
      </c>
      <c r="C6654" s="4"/>
      <c r="D6654" s="4" t="s">
        <v>9515</v>
      </c>
      <c r="E6654" s="4" t="s">
        <v>14913</v>
      </c>
      <c r="F6654" s="4" t="s">
        <v>9515</v>
      </c>
      <c r="G6654" s="5" t="str">
        <f>IFERROR(__xludf.DUMMYFUNCTION("GOOGLETRANSLATE(D6654,""id"",""es"")"),"despreciable")</f>
        <v>despreciable</v>
      </c>
      <c r="H6654" s="4" t="s">
        <v>9936</v>
      </c>
      <c r="I6654" s="4" t="s">
        <v>9937</v>
      </c>
      <c r="J6654" s="4" t="s">
        <v>9938</v>
      </c>
      <c r="K6654" s="4" t="s">
        <v>9939</v>
      </c>
      <c r="L6654" s="4" t="s">
        <v>9940</v>
      </c>
      <c r="M6654" s="4" t="s">
        <v>7568</v>
      </c>
      <c r="N6654" s="4" t="s">
        <v>7569</v>
      </c>
      <c r="O6654" s="4" t="s">
        <v>7570</v>
      </c>
      <c r="P6654" s="4" t="s">
        <v>7571</v>
      </c>
      <c r="Q6654" s="4" t="s">
        <v>7572</v>
      </c>
      <c r="R6654" s="4" t="s">
        <v>4402</v>
      </c>
      <c r="S6654" s="4" t="s">
        <v>14914</v>
      </c>
      <c r="T6654" s="4" t="s">
        <v>14915</v>
      </c>
      <c r="U6654" s="4" t="s">
        <v>14916</v>
      </c>
      <c r="V6654" s="4" t="s">
        <v>12681</v>
      </c>
      <c r="W6654" s="4" t="s">
        <v>14917</v>
      </c>
      <c r="X6654" s="4" t="s">
        <v>14918</v>
      </c>
      <c r="Y6654" s="4" t="s">
        <v>11168</v>
      </c>
      <c r="Z6654" s="4" t="s">
        <v>8071</v>
      </c>
      <c r="AA6654" s="4" t="s">
        <v>14919</v>
      </c>
      <c r="AB6654" s="4" t="s">
        <v>14920</v>
      </c>
      <c r="AC6654" s="4" t="s">
        <v>14921</v>
      </c>
      <c r="AD6654" s="4" t="s">
        <v>14922</v>
      </c>
      <c r="AE6654" s="4" t="s">
        <v>12681</v>
      </c>
      <c r="AF6654" s="4" t="s">
        <v>1839</v>
      </c>
      <c r="AG6654" s="4" t="s">
        <v>12682</v>
      </c>
      <c r="AH6654" s="4" t="s">
        <v>12683</v>
      </c>
      <c r="AI6654" s="4" t="s">
        <v>12684</v>
      </c>
      <c r="AJ6654" s="4" t="s">
        <v>12685</v>
      </c>
      <c r="AK6654" s="4" t="s">
        <v>12681</v>
      </c>
      <c r="AL6654" s="4" t="s">
        <v>14923</v>
      </c>
      <c r="AM6654" s="4" t="s">
        <v>9940</v>
      </c>
      <c r="AN6654" s="4" t="s">
        <v>14924</v>
      </c>
      <c r="AO6654" s="4" t="s">
        <v>14925</v>
      </c>
      <c r="AP6654" s="4" t="s">
        <v>14926</v>
      </c>
      <c r="AQ6654" s="4" t="s">
        <v>14927</v>
      </c>
      <c r="AR6654" s="4" t="s">
        <v>14928</v>
      </c>
      <c r="AS6654" s="4" t="s">
        <v>14920</v>
      </c>
      <c r="AT6654" s="4" t="s">
        <v>14921</v>
      </c>
      <c r="AU6654" s="4" t="s">
        <v>4047</v>
      </c>
      <c r="AV6654" s="4" t="s">
        <v>13575</v>
      </c>
      <c r="AW6654" s="4" t="s">
        <v>6334</v>
      </c>
      <c r="AX6654" s="4" t="s">
        <v>14929</v>
      </c>
      <c r="AY6654" s="4" t="s">
        <v>14930</v>
      </c>
      <c r="AZ6654" s="4" t="s">
        <v>14931</v>
      </c>
      <c r="BA6654" s="4" t="s">
        <v>14932</v>
      </c>
      <c r="BB6654" s="4" t="s">
        <v>1837</v>
      </c>
      <c r="BC6654" s="4" t="s">
        <v>1837</v>
      </c>
      <c r="BD6654" s="4" t="s">
        <v>1839</v>
      </c>
      <c r="BE6654" s="4" t="s">
        <v>1838</v>
      </c>
      <c r="BF6654" s="4" t="s">
        <v>1840</v>
      </c>
      <c r="BG6654" s="4" t="s">
        <v>1841</v>
      </c>
      <c r="BH6654" s="4" t="s">
        <v>14933</v>
      </c>
      <c r="BI6654" s="4" t="s">
        <v>14934</v>
      </c>
      <c r="BJ6654" s="4" t="s">
        <v>14917</v>
      </c>
      <c r="BK6654" s="4" t="s">
        <v>14935</v>
      </c>
      <c r="BL6654" s="4" t="s">
        <v>3365</v>
      </c>
      <c r="BM6654" s="4" t="s">
        <v>14936</v>
      </c>
      <c r="BN6654" s="4" t="s">
        <v>14917</v>
      </c>
      <c r="BO6654" s="4" t="s">
        <v>14920</v>
      </c>
      <c r="BP6654" s="4" t="s">
        <v>14937</v>
      </c>
      <c r="BQ6654" s="4" t="s">
        <v>14938</v>
      </c>
      <c r="BR6654" s="4" t="s">
        <v>14939</v>
      </c>
      <c r="BS6654" s="4" t="s">
        <v>13526</v>
      </c>
    </row>
    <row r="6655">
      <c r="A6655" s="4">
        <v>29.0</v>
      </c>
      <c r="B6655" s="4" t="s">
        <v>14747</v>
      </c>
      <c r="C6655" s="4"/>
      <c r="D6655" s="4" t="s">
        <v>14940</v>
      </c>
      <c r="E6655" s="4" t="s">
        <v>14941</v>
      </c>
      <c r="F6655" s="4" t="s">
        <v>14940</v>
      </c>
      <c r="G6655" s="5" t="str">
        <f>IFERROR(__xludf.DUMMYFUNCTION("GOOGLETRANSLATE(D6655,""id"",""es"")"),"ley")</f>
        <v>ley</v>
      </c>
      <c r="H6655" s="4" t="s">
        <v>10230</v>
      </c>
      <c r="I6655" s="4" t="s">
        <v>14942</v>
      </c>
      <c r="J6655" s="4" t="s">
        <v>14943</v>
      </c>
      <c r="K6655" s="4" t="s">
        <v>14944</v>
      </c>
      <c r="L6655" s="4" t="s">
        <v>14945</v>
      </c>
      <c r="M6655" s="4" t="s">
        <v>14946</v>
      </c>
      <c r="N6655" s="4" t="s">
        <v>14947</v>
      </c>
      <c r="O6655" s="4" t="s">
        <v>14948</v>
      </c>
      <c r="P6655" s="4" t="s">
        <v>14949</v>
      </c>
      <c r="Q6655" s="4" t="s">
        <v>3697</v>
      </c>
      <c r="R6655" s="4" t="s">
        <v>3698</v>
      </c>
      <c r="S6655" s="4" t="s">
        <v>3699</v>
      </c>
      <c r="T6655" s="4" t="s">
        <v>14950</v>
      </c>
      <c r="U6655" s="4" t="s">
        <v>10230</v>
      </c>
      <c r="V6655" s="4" t="s">
        <v>10231</v>
      </c>
      <c r="W6655" s="4" t="s">
        <v>10230</v>
      </c>
      <c r="X6655" s="4" t="s">
        <v>10232</v>
      </c>
      <c r="Y6655" s="4" t="s">
        <v>10239</v>
      </c>
      <c r="Z6655" s="4" t="s">
        <v>10230</v>
      </c>
      <c r="AA6655" s="4" t="s">
        <v>14951</v>
      </c>
      <c r="AB6655" s="4" t="s">
        <v>10233</v>
      </c>
      <c r="AC6655" s="4" t="s">
        <v>10234</v>
      </c>
      <c r="AD6655" s="4" t="s">
        <v>10235</v>
      </c>
      <c r="AE6655" s="4" t="s">
        <v>10230</v>
      </c>
      <c r="AF6655" s="4" t="s">
        <v>14952</v>
      </c>
      <c r="AG6655" s="4" t="s">
        <v>14953</v>
      </c>
      <c r="AH6655" s="4" t="s">
        <v>10230</v>
      </c>
      <c r="AI6655" s="4" t="s">
        <v>10239</v>
      </c>
    </row>
    <row r="6656">
      <c r="A6656" s="4">
        <v>30.0</v>
      </c>
      <c r="B6656" s="4" t="s">
        <v>14747</v>
      </c>
      <c r="C6656" s="4"/>
      <c r="D6656" s="4" t="s">
        <v>14954</v>
      </c>
      <c r="E6656" s="4" t="s">
        <v>14955</v>
      </c>
      <c r="F6656" s="4" t="s">
        <v>14954</v>
      </c>
      <c r="G6656" s="5" t="str">
        <f>IFERROR(__xludf.DUMMYFUNCTION("GOOGLETRANSLATE(D6656,""id"",""es"")"),"castigo")</f>
        <v>castigo</v>
      </c>
      <c r="H6656" s="4" t="s">
        <v>10229</v>
      </c>
      <c r="I6656" s="4" t="s">
        <v>14946</v>
      </c>
      <c r="J6656" s="4" t="s">
        <v>14947</v>
      </c>
      <c r="K6656" s="4" t="s">
        <v>14948</v>
      </c>
      <c r="L6656" s="4" t="s">
        <v>14949</v>
      </c>
      <c r="M6656" s="4" t="s">
        <v>3204</v>
      </c>
      <c r="N6656" s="4" t="s">
        <v>3205</v>
      </c>
      <c r="O6656" s="4" t="s">
        <v>3206</v>
      </c>
      <c r="P6656" s="4" t="s">
        <v>3207</v>
      </c>
      <c r="Q6656" s="4" t="s">
        <v>3208</v>
      </c>
      <c r="R6656" s="4" t="s">
        <v>3209</v>
      </c>
      <c r="S6656" s="4" t="s">
        <v>3210</v>
      </c>
      <c r="T6656" s="4" t="s">
        <v>1068</v>
      </c>
      <c r="U6656" s="4" t="s">
        <v>14956</v>
      </c>
      <c r="V6656" s="4" t="s">
        <v>14957</v>
      </c>
      <c r="W6656" s="4" t="s">
        <v>14958</v>
      </c>
      <c r="X6656" s="4" t="s">
        <v>14959</v>
      </c>
      <c r="Y6656" s="4" t="s">
        <v>14943</v>
      </c>
      <c r="Z6656" s="4" t="s">
        <v>14947</v>
      </c>
      <c r="AA6656" s="4" t="s">
        <v>10230</v>
      </c>
      <c r="AB6656" s="4" t="s">
        <v>10239</v>
      </c>
      <c r="AC6656" s="4" t="s">
        <v>14947</v>
      </c>
      <c r="AD6656" s="4" t="s">
        <v>14960</v>
      </c>
      <c r="AE6656" s="4" t="s">
        <v>14961</v>
      </c>
      <c r="AF6656" s="4" t="s">
        <v>14962</v>
      </c>
      <c r="AG6656" s="4" t="s">
        <v>14943</v>
      </c>
      <c r="AH6656" s="4" t="s">
        <v>14963</v>
      </c>
    </row>
    <row r="6657">
      <c r="A6657" s="4">
        <v>31.0</v>
      </c>
      <c r="B6657" s="4" t="s">
        <v>14747</v>
      </c>
      <c r="C6657" s="4"/>
      <c r="D6657" s="4" t="s">
        <v>14964</v>
      </c>
      <c r="E6657" s="4" t="s">
        <v>14965</v>
      </c>
      <c r="F6657" s="4" t="s">
        <v>14964</v>
      </c>
      <c r="G6657" s="5" t="str">
        <f>IFERROR(__xludf.DUMMYFUNCTION("GOOGLETRANSLATE(D6657,""id"",""es"")"),"Vivir")</f>
        <v>Vivir</v>
      </c>
    </row>
    <row r="6658">
      <c r="A6658" s="4">
        <v>32.0</v>
      </c>
      <c r="B6658" s="4" t="s">
        <v>14747</v>
      </c>
      <c r="C6658" s="4"/>
      <c r="D6658" s="4" t="s">
        <v>14966</v>
      </c>
      <c r="E6658" s="4" t="s">
        <v>14967</v>
      </c>
      <c r="F6658" s="4" t="s">
        <v>14966</v>
      </c>
      <c r="G6658" s="5" t="str">
        <f>IFERROR(__xludf.DUMMYFUNCTION("GOOGLETRANSLATE(D6658,""id"",""es"")"),"bosque")</f>
        <v>bosque</v>
      </c>
      <c r="H6658" s="4" t="s">
        <v>2956</v>
      </c>
      <c r="I6658" s="4" t="s">
        <v>2956</v>
      </c>
      <c r="J6658" s="4" t="s">
        <v>14968</v>
      </c>
      <c r="K6658" s="4" t="s">
        <v>14969</v>
      </c>
      <c r="L6658" s="4" t="s">
        <v>14970</v>
      </c>
      <c r="M6658" s="4" t="s">
        <v>14971</v>
      </c>
      <c r="N6658" s="4" t="s">
        <v>14972</v>
      </c>
      <c r="O6658" s="4" t="s">
        <v>14973</v>
      </c>
      <c r="P6658" s="4" t="s">
        <v>14973</v>
      </c>
      <c r="Q6658" s="4" t="s">
        <v>14974</v>
      </c>
      <c r="R6658" s="4" t="s">
        <v>2956</v>
      </c>
      <c r="S6658" s="4" t="s">
        <v>14969</v>
      </c>
      <c r="T6658" s="4" t="s">
        <v>14975</v>
      </c>
      <c r="U6658" s="4" t="s">
        <v>14976</v>
      </c>
      <c r="V6658" s="4" t="s">
        <v>14977</v>
      </c>
    </row>
    <row r="6659">
      <c r="A6659" s="4">
        <v>33.0</v>
      </c>
      <c r="B6659" s="4" t="s">
        <v>14747</v>
      </c>
      <c r="C6659" s="4"/>
      <c r="D6659" s="4" t="s">
        <v>5093</v>
      </c>
      <c r="E6659" s="4" t="s">
        <v>14978</v>
      </c>
      <c r="F6659" s="4" t="s">
        <v>5093</v>
      </c>
      <c r="G6659" s="5" t="str">
        <f>IFERROR(__xludf.DUMMYFUNCTION("GOOGLETRANSLATE(D6659,""id"",""es"")"),"pez")</f>
        <v>pez</v>
      </c>
      <c r="H6659" s="4" t="s">
        <v>9886</v>
      </c>
      <c r="I6659" s="4" t="s">
        <v>9886</v>
      </c>
      <c r="J6659" s="4" t="s">
        <v>14979</v>
      </c>
      <c r="K6659" s="4" t="s">
        <v>14980</v>
      </c>
    </row>
    <row r="6660">
      <c r="A6660" s="4">
        <v>34.0</v>
      </c>
      <c r="B6660" s="4" t="s">
        <v>14747</v>
      </c>
      <c r="C6660" s="4"/>
      <c r="D6660" s="4" t="s">
        <v>310</v>
      </c>
      <c r="E6660" s="4" t="s">
        <v>309</v>
      </c>
      <c r="F6660" s="4" t="s">
        <v>310</v>
      </c>
      <c r="G6660" s="5" t="str">
        <f>IFERROR(__xludf.DUMMYFUNCTION("GOOGLETRANSLATE(D6660,""id"",""es"")"),"sacerdote")</f>
        <v>sacerdote</v>
      </c>
      <c r="H6660" s="4" t="s">
        <v>310</v>
      </c>
      <c r="I6660" s="4" t="s">
        <v>1900</v>
      </c>
    </row>
    <row r="6661">
      <c r="A6661" s="4">
        <v>35.0</v>
      </c>
      <c r="B6661" s="4" t="s">
        <v>14747</v>
      </c>
      <c r="C6661" s="4"/>
      <c r="D6661" s="4" t="s">
        <v>1903</v>
      </c>
      <c r="E6661" s="4" t="s">
        <v>1902</v>
      </c>
      <c r="F6661" s="4" t="s">
        <v>1903</v>
      </c>
      <c r="G6661" s="5" t="str">
        <f>IFERROR(__xludf.DUMMYFUNCTION("GOOGLETRANSLATE(D6661,""id"",""es"")"),"fe")</f>
        <v>fe</v>
      </c>
      <c r="H6661" s="4" t="s">
        <v>14981</v>
      </c>
      <c r="I6661" s="4" t="s">
        <v>14982</v>
      </c>
      <c r="J6661" s="4" t="s">
        <v>14983</v>
      </c>
      <c r="K6661" s="4" t="s">
        <v>14984</v>
      </c>
      <c r="L6661" s="4" t="s">
        <v>14985</v>
      </c>
    </row>
    <row r="6662">
      <c r="A6662" s="4">
        <v>36.0</v>
      </c>
      <c r="B6662" s="4" t="s">
        <v>14747</v>
      </c>
      <c r="C6662" s="4"/>
      <c r="D6662" s="4" t="s">
        <v>14986</v>
      </c>
      <c r="E6662" s="4" t="s">
        <v>14987</v>
      </c>
      <c r="F6662" s="4" t="s">
        <v>14986</v>
      </c>
      <c r="G6662" s="5" t="str">
        <f>IFERROR(__xludf.DUMMYFUNCTION("GOOGLETRANSLATE(D6662,""id"",""es"")"),"Ciencias Naturales")</f>
        <v>Ciencias Naturales</v>
      </c>
    </row>
    <row r="6663">
      <c r="A6663" s="4">
        <v>37.0</v>
      </c>
      <c r="B6663" s="4" t="s">
        <v>14747</v>
      </c>
      <c r="C6663" s="4"/>
      <c r="D6663" s="4" t="s">
        <v>1798</v>
      </c>
      <c r="E6663" s="4" t="s">
        <v>1797</v>
      </c>
      <c r="F6663" s="4" t="s">
        <v>1798</v>
      </c>
      <c r="G6663" s="5" t="str">
        <f>IFERROR(__xludf.DUMMYFUNCTION("GOOGLETRANSLATE(D6663,""id"",""es"")"),"Es un")</f>
        <v>Es un</v>
      </c>
    </row>
    <row r="6664">
      <c r="A6664" s="4">
        <v>38.0</v>
      </c>
      <c r="B6664" s="4" t="s">
        <v>14747</v>
      </c>
      <c r="C6664" s="4"/>
      <c r="D6664" s="4" t="s">
        <v>14988</v>
      </c>
      <c r="E6664" s="4" t="s">
        <v>14989</v>
      </c>
      <c r="F6664" s="4" t="s">
        <v>14988</v>
      </c>
      <c r="G6664" s="5" t="str">
        <f>IFERROR(__xludf.DUMMYFUNCTION("GOOGLETRANSLATE(D6664,""id"",""es"")"),"Esama")</f>
        <v>Esama</v>
      </c>
    </row>
    <row r="6665">
      <c r="A6665" s="4">
        <v>39.0</v>
      </c>
      <c r="B6665" s="4" t="s">
        <v>14747</v>
      </c>
      <c r="C6665" s="4"/>
      <c r="D6665" s="4" t="s">
        <v>14990</v>
      </c>
      <c r="E6665" s="4" t="s">
        <v>14991</v>
      </c>
      <c r="F6665" s="4" t="s">
        <v>14990</v>
      </c>
      <c r="G6665" s="5" t="str">
        <f>IFERROR(__xludf.DUMMYFUNCTION("GOOGLETRANSLATE(D6665,""id"",""es"")"),"succión")</f>
        <v>succión</v>
      </c>
    </row>
    <row r="6666">
      <c r="A6666" s="4">
        <v>40.0</v>
      </c>
      <c r="B6666" s="4" t="s">
        <v>14747</v>
      </c>
      <c r="C6666" s="4"/>
      <c r="D6666" s="4" t="s">
        <v>14416</v>
      </c>
      <c r="E6666" s="4" t="s">
        <v>14992</v>
      </c>
      <c r="F6666" s="4" t="s">
        <v>14416</v>
      </c>
      <c r="G6666" s="5" t="str">
        <f>IFERROR(__xludf.DUMMYFUNCTION("GOOGLETRANSLATE(D6666,""id"",""es"")"),"tema")</f>
        <v>tema</v>
      </c>
      <c r="H6666" s="4" t="s">
        <v>14993</v>
      </c>
      <c r="I6666" s="4" t="s">
        <v>14258</v>
      </c>
      <c r="J6666" s="4" t="s">
        <v>14994</v>
      </c>
      <c r="K6666" s="4" t="s">
        <v>8878</v>
      </c>
      <c r="L6666" s="4" t="s">
        <v>3379</v>
      </c>
      <c r="M6666" s="4" t="s">
        <v>8878</v>
      </c>
      <c r="N6666" s="4" t="s">
        <v>14995</v>
      </c>
      <c r="O6666" s="4" t="s">
        <v>14996</v>
      </c>
      <c r="P6666" s="4" t="s">
        <v>8878</v>
      </c>
      <c r="Q6666" s="4" t="s">
        <v>14997</v>
      </c>
      <c r="R6666" s="4" t="s">
        <v>8878</v>
      </c>
    </row>
    <row r="6667">
      <c r="A6667" s="4">
        <v>41.0</v>
      </c>
      <c r="B6667" s="4" t="s">
        <v>14747</v>
      </c>
      <c r="C6667" s="4"/>
      <c r="D6667" s="4" t="s">
        <v>14998</v>
      </c>
      <c r="E6667" s="4" t="s">
        <v>14999</v>
      </c>
      <c r="F6667" s="4" t="s">
        <v>14998</v>
      </c>
      <c r="G6667" s="5" t="str">
        <f>IFERROR(__xludf.DUMMYFUNCTION("GOOGLETRANSLATE(D6667,""id"",""es"")"),"Como")</f>
        <v>Como</v>
      </c>
    </row>
    <row r="6668">
      <c r="A6668" s="4">
        <v>42.0</v>
      </c>
      <c r="B6668" s="4" t="s">
        <v>14747</v>
      </c>
      <c r="C6668" s="4"/>
      <c r="D6668" s="4" t="s">
        <v>2627</v>
      </c>
      <c r="E6668" s="4" t="s">
        <v>961</v>
      </c>
      <c r="F6668" s="4" t="s">
        <v>962</v>
      </c>
      <c r="G6668" s="5" t="str">
        <f>IFERROR(__xludf.DUMMYFUNCTION("GOOGLETRANSLATE(D6668,""id"",""es"")"),"K.")</f>
        <v>K.</v>
      </c>
    </row>
    <row r="6669">
      <c r="A6669" s="4">
        <v>43.0</v>
      </c>
      <c r="B6669" s="4" t="s">
        <v>14747</v>
      </c>
      <c r="C6669" s="4"/>
      <c r="D6669" s="4" t="s">
        <v>15000</v>
      </c>
      <c r="E6669" s="4" t="s">
        <v>15001</v>
      </c>
      <c r="F6669" s="4" t="s">
        <v>15000</v>
      </c>
      <c r="G6669" s="5" t="str">
        <f>IFERROR(__xludf.DUMMYFUNCTION("GOOGLETRANSLATE(D6669,""id"",""es"")"),"inodoro")</f>
        <v>inodoro</v>
      </c>
    </row>
    <row r="6670">
      <c r="A6670" s="4">
        <v>44.0</v>
      </c>
      <c r="B6670" s="4" t="s">
        <v>14747</v>
      </c>
      <c r="C6670" s="4"/>
      <c r="D6670" s="4" t="s">
        <v>5148</v>
      </c>
      <c r="E6670" s="4" t="s">
        <v>5147</v>
      </c>
      <c r="F6670" s="4" t="s">
        <v>5148</v>
      </c>
      <c r="G6670" s="5" t="str">
        <f>IFERROR(__xludf.DUMMYFUNCTION("GOOGLETRANSLATE(D6670,""id"",""es"")"),"tiempo")</f>
        <v>tiempo</v>
      </c>
      <c r="H6670" s="4" t="s">
        <v>11990</v>
      </c>
      <c r="I6670" s="4" t="s">
        <v>14963</v>
      </c>
      <c r="J6670" s="4" t="s">
        <v>928</v>
      </c>
      <c r="K6670" s="4" t="s">
        <v>15002</v>
      </c>
      <c r="L6670" s="4" t="s">
        <v>9912</v>
      </c>
      <c r="M6670" s="4" t="s">
        <v>15003</v>
      </c>
    </row>
    <row r="6671">
      <c r="A6671" s="4">
        <v>45.0</v>
      </c>
      <c r="B6671" s="4" t="s">
        <v>14747</v>
      </c>
      <c r="C6671" s="4"/>
      <c r="D6671" s="4" t="s">
        <v>1042</v>
      </c>
      <c r="E6671" s="4" t="s">
        <v>1041</v>
      </c>
      <c r="F6671" s="4" t="s">
        <v>1042</v>
      </c>
      <c r="G6671" s="5" t="str">
        <f>IFERROR(__xludf.DUMMYFUNCTION("GOOGLETRANSLATE(D6671,""id"",""es"")"),"Kama")</f>
        <v>Kama</v>
      </c>
      <c r="H6671" s="4" t="s">
        <v>9933</v>
      </c>
    </row>
    <row r="6672">
      <c r="A6672" s="4">
        <v>46.0</v>
      </c>
      <c r="B6672" s="4" t="s">
        <v>14747</v>
      </c>
      <c r="C6672" s="4"/>
      <c r="D6672" s="4" t="s">
        <v>1108</v>
      </c>
      <c r="E6672" s="4" t="s">
        <v>1107</v>
      </c>
      <c r="F6672" s="4" t="s">
        <v>1108</v>
      </c>
      <c r="G6672" s="5" t="str">
        <f>IFERROR(__xludf.DUMMYFUNCTION("GOOGLETRANSLATE(D6672,""id"",""es"")"),"nosotros")</f>
        <v>nosotros</v>
      </c>
      <c r="H6672" s="4" t="s">
        <v>15004</v>
      </c>
      <c r="I6672" s="4" t="s">
        <v>15004</v>
      </c>
    </row>
    <row r="6673">
      <c r="A6673" s="4">
        <v>47.0</v>
      </c>
      <c r="B6673" s="4" t="s">
        <v>14747</v>
      </c>
      <c r="C6673" s="4"/>
      <c r="D6673" s="4" t="s">
        <v>5942</v>
      </c>
      <c r="E6673" s="4" t="s">
        <v>15005</v>
      </c>
      <c r="F6673" s="4" t="s">
        <v>5942</v>
      </c>
      <c r="G6673" s="5" t="str">
        <f>IFERROR(__xludf.DUMMYFUNCTION("GOOGLETRANSLATE(D6673,""id"",""es"")"),"jueves")</f>
        <v>jueves</v>
      </c>
      <c r="H6673" s="4" t="s">
        <v>15006</v>
      </c>
      <c r="I6673" s="4" t="s">
        <v>15007</v>
      </c>
      <c r="J6673" s="4" t="s">
        <v>15006</v>
      </c>
      <c r="K6673" s="4" t="s">
        <v>15007</v>
      </c>
    </row>
    <row r="6674">
      <c r="A6674" s="4">
        <v>48.0</v>
      </c>
      <c r="B6674" s="4" t="s">
        <v>14747</v>
      </c>
      <c r="C6674" s="4"/>
      <c r="D6674" s="4" t="s">
        <v>9961</v>
      </c>
      <c r="E6674" s="4" t="s">
        <v>15008</v>
      </c>
      <c r="F6674" s="4" t="s">
        <v>9961</v>
      </c>
      <c r="G6674" s="5" t="str">
        <f>IFERROR(__xludf.DUMMYFUNCTION("GOOGLETRANSLATE(D6674,""id"",""es"")"),"tú")</f>
        <v>tú</v>
      </c>
    </row>
    <row r="6675">
      <c r="A6675" s="4">
        <v>49.0</v>
      </c>
      <c r="B6675" s="4" t="s">
        <v>14747</v>
      </c>
      <c r="C6675" s="4"/>
      <c r="D6675" s="4" t="s">
        <v>15009</v>
      </c>
      <c r="E6675" s="4" t="s">
        <v>15010</v>
      </c>
      <c r="F6675" s="4" t="s">
        <v>15009</v>
      </c>
      <c r="G6675" s="5" t="str">
        <f>IFERROR(__xludf.DUMMYFUNCTION("GOOGLETRANSLATE(D6675,""id"",""es"")"),"barco")</f>
        <v>barco</v>
      </c>
      <c r="H6675" s="4" t="s">
        <v>15011</v>
      </c>
      <c r="I6675" s="4" t="s">
        <v>15012</v>
      </c>
      <c r="J6675" s="4" t="s">
        <v>15013</v>
      </c>
      <c r="K6675" s="4" t="s">
        <v>15014</v>
      </c>
      <c r="L6675" s="4" t="s">
        <v>2449</v>
      </c>
      <c r="M6675" s="4" t="s">
        <v>14761</v>
      </c>
      <c r="N6675" s="4" t="s">
        <v>15015</v>
      </c>
      <c r="O6675" s="4" t="s">
        <v>4715</v>
      </c>
      <c r="P6675" s="4" t="s">
        <v>4829</v>
      </c>
      <c r="Q6675" s="4" t="s">
        <v>9286</v>
      </c>
      <c r="R6675" s="4" t="s">
        <v>15016</v>
      </c>
      <c r="S6675" s="4" t="s">
        <v>15017</v>
      </c>
      <c r="T6675" s="4" t="s">
        <v>15018</v>
      </c>
      <c r="U6675" s="4" t="s">
        <v>4829</v>
      </c>
      <c r="V6675" s="4" t="s">
        <v>4830</v>
      </c>
    </row>
    <row r="6676">
      <c r="A6676" s="4">
        <v>50.0</v>
      </c>
      <c r="B6676" s="4" t="s">
        <v>14747</v>
      </c>
      <c r="C6676" s="4"/>
      <c r="D6676" s="4" t="s">
        <v>15019</v>
      </c>
      <c r="E6676" s="4" t="s">
        <v>15020</v>
      </c>
      <c r="F6676" s="4" t="s">
        <v>15019</v>
      </c>
      <c r="G6676" s="5" t="str">
        <f>IFERROR(__xludf.DUMMYFUNCTION("GOOGLETRANSLATE(D6676,""id"",""es"")"),"callos")</f>
        <v>callos</v>
      </c>
      <c r="H6676" s="4" t="s">
        <v>11820</v>
      </c>
      <c r="I6676" s="4" t="s">
        <v>1013</v>
      </c>
    </row>
    <row r="6677">
      <c r="A6677" s="4">
        <v>51.0</v>
      </c>
      <c r="B6677" s="4" t="s">
        <v>14747</v>
      </c>
      <c r="C6677" s="4"/>
      <c r="D6677" s="4" t="s">
        <v>15021</v>
      </c>
      <c r="E6677" s="4" t="s">
        <v>15022</v>
      </c>
      <c r="F6677" s="4" t="s">
        <v>15021</v>
      </c>
      <c r="G6677" s="5" t="str">
        <f>IFERROR(__xludf.DUMMYFUNCTION("GOOGLETRANSLATE(D6677,""id"",""es"")"),"cuando")</f>
        <v>cuando</v>
      </c>
    </row>
    <row r="6678">
      <c r="A6678" s="4">
        <v>52.0</v>
      </c>
      <c r="B6678" s="4" t="s">
        <v>14747</v>
      </c>
      <c r="C6678" s="4"/>
      <c r="D6678" s="4" t="s">
        <v>1253</v>
      </c>
      <c r="E6678" s="4" t="s">
        <v>1252</v>
      </c>
      <c r="F6678" s="4" t="s">
        <v>1253</v>
      </c>
      <c r="G6678" s="5" t="str">
        <f>IFERROR(__xludf.DUMMYFUNCTION("GOOGLETRANSLATE(D6678,""id"",""es"")"),"algodón")</f>
        <v>algodón</v>
      </c>
      <c r="H6678" s="4" t="s">
        <v>15023</v>
      </c>
      <c r="I6678" s="4" t="s">
        <v>15024</v>
      </c>
      <c r="J6678" s="4" t="s">
        <v>15025</v>
      </c>
      <c r="K6678" s="4" t="s">
        <v>15026</v>
      </c>
      <c r="L6678" s="4" t="s">
        <v>15027</v>
      </c>
      <c r="M6678" s="4" t="s">
        <v>15027</v>
      </c>
      <c r="N6678" s="4" t="s">
        <v>15027</v>
      </c>
      <c r="O6678" s="4" t="s">
        <v>15028</v>
      </c>
      <c r="P6678" s="4" t="s">
        <v>15027</v>
      </c>
      <c r="Q6678" s="4" t="s">
        <v>15029</v>
      </c>
      <c r="R6678" s="4" t="s">
        <v>15030</v>
      </c>
    </row>
    <row r="6679">
      <c r="A6679" s="4">
        <v>53.0</v>
      </c>
      <c r="B6679" s="4" t="s">
        <v>14747</v>
      </c>
      <c r="C6679" s="4"/>
      <c r="D6679" s="4" t="s">
        <v>5986</v>
      </c>
      <c r="E6679" s="4" t="s">
        <v>15031</v>
      </c>
      <c r="F6679" s="4" t="s">
        <v>5986</v>
      </c>
      <c r="G6679" s="5" t="str">
        <f>IFERROR(__xludf.DUMMYFUNCTION("GOOGLETRANSLATE(D6679,""id"",""es"")"),"teniente")</f>
        <v>teniente</v>
      </c>
    </row>
    <row r="6680">
      <c r="A6680" s="4">
        <v>54.0</v>
      </c>
      <c r="B6680" s="4" t="s">
        <v>14747</v>
      </c>
      <c r="C6680" s="4"/>
      <c r="D6680" s="4" t="s">
        <v>15032</v>
      </c>
      <c r="E6680" s="4" t="s">
        <v>15033</v>
      </c>
      <c r="F6680" s="4" t="s">
        <v>15032</v>
      </c>
      <c r="G6680" s="5" t="str">
        <f>IFERROR(__xludf.DUMMYFUNCTION("GOOGLETRANSLATE(D6680,""id"",""es"")"),"algodón")</f>
        <v>algodón</v>
      </c>
    </row>
    <row r="6681">
      <c r="A6681" s="4">
        <v>55.0</v>
      </c>
      <c r="B6681" s="4" t="s">
        <v>14747</v>
      </c>
      <c r="C6681" s="4"/>
      <c r="D6681" s="4" t="s">
        <v>15034</v>
      </c>
      <c r="E6681" s="4" t="s">
        <v>15035</v>
      </c>
      <c r="F6681" s="4" t="s">
        <v>15034</v>
      </c>
      <c r="G6681" s="5" t="str">
        <f>IFERROR(__xludf.DUMMYFUNCTION("GOOGLETRANSLATE(D6681,""id"",""es"")"),"Kayas")</f>
        <v>Kayas</v>
      </c>
    </row>
    <row r="6682">
      <c r="A6682" s="4">
        <v>56.0</v>
      </c>
      <c r="B6682" s="4" t="s">
        <v>14747</v>
      </c>
      <c r="C6682" s="4"/>
      <c r="D6682" s="4" t="s">
        <v>15036</v>
      </c>
      <c r="E6682" s="4" t="s">
        <v>15037</v>
      </c>
      <c r="F6682" s="4" t="s">
        <v>15038</v>
      </c>
      <c r="G6682" s="5" t="str">
        <f>IFERROR(__xludf.DUMMYFUNCTION("GOOGLETRANSLATE(D6682,""id"",""es"")"),"Khatam")</f>
        <v>Khatam</v>
      </c>
      <c r="H6682" s="4" t="s">
        <v>15039</v>
      </c>
      <c r="I6682" s="4" t="s">
        <v>15040</v>
      </c>
      <c r="J6682" s="4" t="s">
        <v>951</v>
      </c>
    </row>
    <row r="6683">
      <c r="A6683" s="4">
        <v>57.0</v>
      </c>
      <c r="B6683" s="4" t="s">
        <v>14747</v>
      </c>
      <c r="C6683" s="4"/>
      <c r="D6683" s="4" t="s">
        <v>15036</v>
      </c>
      <c r="E6683" s="4" t="s">
        <v>15041</v>
      </c>
      <c r="F6683" s="4" t="s">
        <v>15042</v>
      </c>
      <c r="G6683" s="5" t="str">
        <f>IFERROR(__xludf.DUMMYFUNCTION("GOOGLETRANSLATE(D6683,""id"",""es"")"),"Khatam")</f>
        <v>Khatam</v>
      </c>
      <c r="H6683" s="4" t="s">
        <v>15039</v>
      </c>
      <c r="I6683" s="4" t="s">
        <v>15040</v>
      </c>
      <c r="J6683" s="4" t="s">
        <v>951</v>
      </c>
    </row>
    <row r="6684">
      <c r="A6684" s="4">
        <v>58.0</v>
      </c>
      <c r="B6684" s="4" t="s">
        <v>14747</v>
      </c>
      <c r="C6684" s="4"/>
      <c r="D6684" s="4" t="s">
        <v>15036</v>
      </c>
      <c r="E6684" s="4" t="s">
        <v>15043</v>
      </c>
      <c r="F6684" s="4" t="s">
        <v>15042</v>
      </c>
      <c r="G6684" s="5" t="str">
        <f>IFERROR(__xludf.DUMMYFUNCTION("GOOGLETRANSLATE(D6684,""id"",""es"")"),"Khatam")</f>
        <v>Khatam</v>
      </c>
      <c r="H6684" s="4" t="s">
        <v>15039</v>
      </c>
      <c r="I6684" s="4" t="s">
        <v>15040</v>
      </c>
      <c r="J6684" s="4" t="s">
        <v>951</v>
      </c>
    </row>
    <row r="6685">
      <c r="A6685" s="4">
        <v>59.0</v>
      </c>
      <c r="B6685" s="4" t="s">
        <v>14747</v>
      </c>
      <c r="C6685" s="4"/>
      <c r="D6685" s="4" t="s">
        <v>15044</v>
      </c>
      <c r="E6685" s="4" t="s">
        <v>15045</v>
      </c>
      <c r="F6685" s="4" t="s">
        <v>15044</v>
      </c>
      <c r="G6685" s="5" t="str">
        <f>IFERROR(__xludf.DUMMYFUNCTION("GOOGLETRANSLATE(D6685,""id"",""es"")"),"enrejado")</f>
        <v>enrejado</v>
      </c>
      <c r="H6685" s="4" t="s">
        <v>12197</v>
      </c>
      <c r="I6685" s="4" t="s">
        <v>7113</v>
      </c>
      <c r="J6685" s="4" t="s">
        <v>7113</v>
      </c>
      <c r="K6685" s="4" t="s">
        <v>15046</v>
      </c>
      <c r="L6685" s="4" t="s">
        <v>15047</v>
      </c>
      <c r="M6685" s="4" t="s">
        <v>15048</v>
      </c>
      <c r="N6685" s="4" t="s">
        <v>15049</v>
      </c>
    </row>
    <row r="6686">
      <c r="A6686" s="4">
        <v>60.0</v>
      </c>
      <c r="B6686" s="4" t="s">
        <v>14747</v>
      </c>
      <c r="C6686" s="4"/>
      <c r="D6686" s="4" t="s">
        <v>3835</v>
      </c>
      <c r="E6686" s="4" t="s">
        <v>3834</v>
      </c>
      <c r="F6686" s="4" t="s">
        <v>3835</v>
      </c>
      <c r="G6686" s="5" t="str">
        <f>IFERROR(__xludf.DUMMYFUNCTION("GOOGLETRANSLATE(D6686,""id"",""es"")"),"nuestro")</f>
        <v>nuestro</v>
      </c>
      <c r="H6686" s="4" t="s">
        <v>15050</v>
      </c>
      <c r="I6686" s="4" t="s">
        <v>15051</v>
      </c>
      <c r="J6686" s="4" t="s">
        <v>15052</v>
      </c>
      <c r="K6686" s="4" t="s">
        <v>15053</v>
      </c>
      <c r="L6686" s="4" t="s">
        <v>15054</v>
      </c>
      <c r="M6686" s="4" t="s">
        <v>15055</v>
      </c>
      <c r="N6686" s="4" t="s">
        <v>15056</v>
      </c>
      <c r="O6686" s="4" t="s">
        <v>15057</v>
      </c>
    </row>
    <row r="6687">
      <c r="A6687" s="4">
        <v>61.0</v>
      </c>
      <c r="B6687" s="4" t="s">
        <v>14747</v>
      </c>
      <c r="C6687" s="4"/>
      <c r="D6687" s="4" t="s">
        <v>15058</v>
      </c>
      <c r="E6687" s="4" t="s">
        <v>15059</v>
      </c>
      <c r="F6687" s="4" t="s">
        <v>15058</v>
      </c>
      <c r="G6687" s="5" t="str">
        <f>IFERROR(__xludf.DUMMYFUNCTION("GOOGLETRANSLATE(D6687,""id"",""es"")"),"Kitas")</f>
        <v>Kitas</v>
      </c>
    </row>
    <row r="6688">
      <c r="A6688" s="4">
        <v>62.0</v>
      </c>
      <c r="B6688" s="4" t="s">
        <v>14747</v>
      </c>
      <c r="C6688" s="4"/>
      <c r="D6688" s="4" t="s">
        <v>15060</v>
      </c>
      <c r="E6688" s="4" t="s">
        <v>11794</v>
      </c>
      <c r="F6688" s="4" t="s">
        <v>9073</v>
      </c>
      <c r="G6688" s="5" t="str">
        <f>IFERROR(__xludf.DUMMYFUNCTION("GOOGLETRANSLATE(D6688,""id"",""es"")"),"Kk")</f>
        <v>Kk</v>
      </c>
    </row>
    <row r="6689">
      <c r="A6689" s="4">
        <v>63.0</v>
      </c>
      <c r="B6689" s="4" t="s">
        <v>14747</v>
      </c>
      <c r="C6689" s="4"/>
      <c r="D6689" s="4" t="s">
        <v>1582</v>
      </c>
      <c r="E6689" s="4" t="s">
        <v>1581</v>
      </c>
      <c r="F6689" s="4" t="s">
        <v>1582</v>
      </c>
      <c r="G6689" s="5" t="str">
        <f>IFERROR(__xludf.DUMMYFUNCTION("GOOGLETRANSLATE(D6689,""id"",""es"")"),"mi")</f>
        <v>mi</v>
      </c>
    </row>
    <row r="6690">
      <c r="A6690" s="4">
        <v>64.0</v>
      </c>
      <c r="B6690" s="4" t="s">
        <v>14747</v>
      </c>
      <c r="C6690" s="4"/>
      <c r="D6690" s="4" t="s">
        <v>9114</v>
      </c>
      <c r="E6690" s="4" t="s">
        <v>9115</v>
      </c>
      <c r="F6690" s="4" t="s">
        <v>9114</v>
      </c>
      <c r="G6690" s="5" t="str">
        <f>IFERROR(__xludf.DUMMYFUNCTION("GOOGLETRANSLATE(D6690,""id"",""es"")"),"uña")</f>
        <v>uña</v>
      </c>
      <c r="H6690" s="4" t="s">
        <v>15061</v>
      </c>
      <c r="I6690" s="4" t="s">
        <v>15061</v>
      </c>
      <c r="J6690" s="4" t="s">
        <v>6284</v>
      </c>
      <c r="K6690" s="4" t="s">
        <v>6284</v>
      </c>
      <c r="L6690" s="4" t="s">
        <v>8236</v>
      </c>
      <c r="M6690" s="4" t="s">
        <v>15062</v>
      </c>
    </row>
    <row r="6691">
      <c r="A6691" s="4">
        <v>65.0</v>
      </c>
      <c r="B6691" s="4" t="s">
        <v>14747</v>
      </c>
      <c r="C6691" s="4"/>
      <c r="D6691" s="4" t="s">
        <v>15063</v>
      </c>
      <c r="E6691" s="4" t="s">
        <v>15064</v>
      </c>
      <c r="F6691" s="4" t="s">
        <v>15063</v>
      </c>
      <c r="G6691" s="5" t="str">
        <f>IFERROR(__xludf.DUMMYFUNCTION("GOOGLETRANSLATE(D6691,""id"",""es"")"),"vapor")</f>
        <v>vapor</v>
      </c>
      <c r="H6691" s="4" t="s">
        <v>15065</v>
      </c>
    </row>
    <row r="6692">
      <c r="A6692" s="4">
        <v>66.0</v>
      </c>
      <c r="B6692" s="4" t="s">
        <v>14747</v>
      </c>
      <c r="C6692" s="4"/>
      <c r="D6692" s="4" t="s">
        <v>10135</v>
      </c>
      <c r="E6692" s="4" t="s">
        <v>15066</v>
      </c>
      <c r="F6692" s="4" t="s">
        <v>10135</v>
      </c>
      <c r="G6692" s="5" t="str">
        <f>IFERROR(__xludf.DUMMYFUNCTION("GOOGLETRANSLATE(D6692,""id"",""es"")"),"Kuna")</f>
        <v>Kuna</v>
      </c>
    </row>
    <row r="6693">
      <c r="A6693" s="4">
        <v>67.0</v>
      </c>
      <c r="B6693" s="4" t="s">
        <v>14747</v>
      </c>
      <c r="C6693" s="4"/>
      <c r="D6693" s="4" t="s">
        <v>15067</v>
      </c>
      <c r="E6693" s="4" t="s">
        <v>15068</v>
      </c>
      <c r="F6693" s="4" t="s">
        <v>15067</v>
      </c>
      <c r="G6693" s="5" t="str">
        <f>IFERROR(__xludf.DUMMYFUNCTION("GOOGLETRANSLATE(D6693,""id"",""es"")"),"Kusuma")</f>
        <v>Kusuma</v>
      </c>
    </row>
    <row r="6694">
      <c r="A6694" s="4">
        <v>68.0</v>
      </c>
      <c r="B6694" s="4" t="s">
        <v>14747</v>
      </c>
      <c r="C6694" s="4"/>
      <c r="D6694" s="4" t="s">
        <v>6531</v>
      </c>
      <c r="E6694" s="4" t="s">
        <v>15069</v>
      </c>
      <c r="F6694" s="4" t="s">
        <v>6531</v>
      </c>
      <c r="G6694" s="5" t="str">
        <f>IFERROR(__xludf.DUMMYFUNCTION("GOOGLETRANSLATE(D6694,""id"",""es"")"),"hombre")</f>
        <v>hombre</v>
      </c>
      <c r="H6694" s="4" t="s">
        <v>15070</v>
      </c>
      <c r="I6694" s="4" t="s">
        <v>15071</v>
      </c>
      <c r="J6694" s="4" t="s">
        <v>15072</v>
      </c>
    </row>
    <row r="6695">
      <c r="A6695" s="4">
        <v>69.0</v>
      </c>
      <c r="B6695" s="4" t="s">
        <v>14747</v>
      </c>
      <c r="C6695" s="4"/>
      <c r="D6695" s="4" t="s">
        <v>10242</v>
      </c>
      <c r="E6695" s="4" t="s">
        <v>15073</v>
      </c>
      <c r="F6695" s="4" t="s">
        <v>10242</v>
      </c>
      <c r="G6695" s="5" t="str">
        <f>IFERROR(__xludf.DUMMYFUNCTION("GOOGLETRANSLATE(D6695,""id"",""es"")"),"en demanda")</f>
        <v>en demanda</v>
      </c>
      <c r="H6695" s="4" t="s">
        <v>15074</v>
      </c>
      <c r="I6695" s="4" t="s">
        <v>15075</v>
      </c>
      <c r="J6695" s="4" t="s">
        <v>639</v>
      </c>
      <c r="K6695" s="4" t="s">
        <v>5699</v>
      </c>
      <c r="L6695" s="4" t="s">
        <v>11352</v>
      </c>
      <c r="M6695" s="4" t="s">
        <v>15076</v>
      </c>
    </row>
    <row r="6696">
      <c r="A6696" s="4">
        <v>70.0</v>
      </c>
      <c r="B6696" s="4" t="s">
        <v>14747</v>
      </c>
      <c r="C6696" s="4"/>
      <c r="D6696" s="4" t="s">
        <v>10244</v>
      </c>
      <c r="E6696" s="4" t="s">
        <v>12499</v>
      </c>
      <c r="F6696" s="4" t="s">
        <v>10244</v>
      </c>
      <c r="G6696" s="5" t="str">
        <f>IFERROR(__xludf.DUMMYFUNCTION("GOOGLETRANSLATE(D6696,""id"",""es"")"),"largo")</f>
        <v>largo</v>
      </c>
      <c r="H6696" s="4" t="s">
        <v>2226</v>
      </c>
      <c r="I6696" s="4" t="s">
        <v>15077</v>
      </c>
      <c r="J6696" s="4" t="s">
        <v>15078</v>
      </c>
      <c r="K6696" s="4" t="s">
        <v>15079</v>
      </c>
      <c r="L6696" s="4" t="s">
        <v>2227</v>
      </c>
      <c r="M6696" s="4" t="s">
        <v>2228</v>
      </c>
      <c r="N6696" s="4" t="s">
        <v>2229</v>
      </c>
      <c r="O6696" s="4" t="s">
        <v>15080</v>
      </c>
      <c r="P6696" s="4" t="s">
        <v>15078</v>
      </c>
      <c r="Q6696" s="4" t="s">
        <v>15081</v>
      </c>
      <c r="R6696" s="4" t="s">
        <v>15079</v>
      </c>
      <c r="S6696" s="4" t="s">
        <v>15082</v>
      </c>
      <c r="T6696" s="4" t="s">
        <v>15083</v>
      </c>
      <c r="U6696" s="4" t="s">
        <v>15084</v>
      </c>
      <c r="V6696" s="4" t="s">
        <v>15085</v>
      </c>
      <c r="W6696" s="4" t="s">
        <v>15086</v>
      </c>
      <c r="X6696" s="4" t="s">
        <v>15078</v>
      </c>
      <c r="Y6696" s="4" t="s">
        <v>1925</v>
      </c>
      <c r="Z6696" s="4" t="s">
        <v>15087</v>
      </c>
      <c r="AA6696" s="4" t="s">
        <v>15088</v>
      </c>
      <c r="AB6696" s="4" t="s">
        <v>7784</v>
      </c>
      <c r="AC6696" s="4" t="s">
        <v>15089</v>
      </c>
      <c r="AD6696" s="4" t="s">
        <v>15090</v>
      </c>
      <c r="AE6696" s="4" t="s">
        <v>15091</v>
      </c>
      <c r="AF6696" s="4" t="s">
        <v>15078</v>
      </c>
      <c r="AG6696" s="4" t="s">
        <v>15092</v>
      </c>
      <c r="AH6696" s="4" t="s">
        <v>15093</v>
      </c>
      <c r="AI6696" s="4" t="s">
        <v>15094</v>
      </c>
      <c r="AJ6696" s="4" t="s">
        <v>15095</v>
      </c>
      <c r="AK6696" s="4" t="s">
        <v>15096</v>
      </c>
      <c r="AL6696" s="4" t="s">
        <v>15097</v>
      </c>
      <c r="AM6696" s="4" t="s">
        <v>15079</v>
      </c>
      <c r="AN6696" s="4" t="s">
        <v>10382</v>
      </c>
      <c r="AO6696" s="4" t="s">
        <v>2099</v>
      </c>
      <c r="AP6696" s="4" t="s">
        <v>10246</v>
      </c>
      <c r="AQ6696" s="4" t="s">
        <v>10247</v>
      </c>
      <c r="AR6696" s="4" t="s">
        <v>15098</v>
      </c>
      <c r="AS6696" s="4" t="s">
        <v>15099</v>
      </c>
      <c r="AT6696" s="4" t="s">
        <v>10244</v>
      </c>
      <c r="AU6696" s="4" t="s">
        <v>10244</v>
      </c>
      <c r="AV6696" s="4" t="s">
        <v>15078</v>
      </c>
      <c r="AW6696" s="4" t="s">
        <v>15100</v>
      </c>
      <c r="AX6696" s="4" t="s">
        <v>15101</v>
      </c>
    </row>
    <row r="6697">
      <c r="A6697" s="4">
        <v>71.0</v>
      </c>
      <c r="B6697" s="4" t="s">
        <v>14747</v>
      </c>
      <c r="C6697" s="4"/>
      <c r="D6697" s="4" t="s">
        <v>15102</v>
      </c>
      <c r="E6697" s="4" t="s">
        <v>15103</v>
      </c>
      <c r="F6697" s="4" t="s">
        <v>15102</v>
      </c>
      <c r="G6697" s="5" t="str">
        <f>IFERROR(__xludf.DUMMYFUNCTION("GOOGLETRANSLATE(D6697,""id"",""es"")"),"página")</f>
        <v>página</v>
      </c>
    </row>
    <row r="6698">
      <c r="A6698" s="4">
        <v>72.0</v>
      </c>
      <c r="B6698" s="4" t="s">
        <v>14747</v>
      </c>
      <c r="C6698" s="4"/>
      <c r="D6698" s="4" t="s">
        <v>15104</v>
      </c>
      <c r="E6698" s="4" t="s">
        <v>15105</v>
      </c>
      <c r="F6698" s="4" t="s">
        <v>15104</v>
      </c>
      <c r="G6698" s="5" t="str">
        <f>IFERROR(__xludf.DUMMYFUNCTION("GOOGLETRANSLATE(D6698,""id"",""es"")"),"Lásik")</f>
        <v>Lásik</v>
      </c>
    </row>
    <row r="6699">
      <c r="A6699" s="4">
        <v>73.0</v>
      </c>
      <c r="B6699" s="4" t="s">
        <v>14747</v>
      </c>
      <c r="C6699" s="4"/>
      <c r="D6699" s="4" t="s">
        <v>15106</v>
      </c>
      <c r="E6699" s="4" t="s">
        <v>15107</v>
      </c>
      <c r="F6699" s="4" t="s">
        <v>15106</v>
      </c>
      <c r="G6699" s="5" t="str">
        <f>IFERROR(__xludf.DUMMYFUNCTION("GOOGLETRANSLATE(D6699,""id"",""es"")"),"Sayan")</f>
        <v>Sayan</v>
      </c>
      <c r="H6699" s="4" t="s">
        <v>15108</v>
      </c>
      <c r="I6699" s="4" t="s">
        <v>10711</v>
      </c>
      <c r="J6699" s="4" t="s">
        <v>2426</v>
      </c>
      <c r="K6699" s="4" t="s">
        <v>15109</v>
      </c>
    </row>
    <row r="6700">
      <c r="A6700" s="4">
        <v>74.0</v>
      </c>
      <c r="B6700" s="4" t="s">
        <v>14747</v>
      </c>
      <c r="C6700" s="4"/>
      <c r="D6700" s="4" t="s">
        <v>15110</v>
      </c>
      <c r="E6700" s="4" t="s">
        <v>15111</v>
      </c>
      <c r="F6700" s="4" t="s">
        <v>15110</v>
      </c>
      <c r="G6700" s="5" t="str">
        <f>IFERROR(__xludf.DUMMYFUNCTION("GOOGLETRANSLATE(D6700,""id"",""es"")"),"Servicio")</f>
        <v>Servicio</v>
      </c>
      <c r="H6700" s="4" t="s">
        <v>9337</v>
      </c>
      <c r="I6700" s="4" t="s">
        <v>9337</v>
      </c>
      <c r="J6700" s="4" t="s">
        <v>1649</v>
      </c>
      <c r="K6700" s="4" t="s">
        <v>1650</v>
      </c>
      <c r="L6700" s="4" t="s">
        <v>1651</v>
      </c>
      <c r="M6700" s="4" t="s">
        <v>1652</v>
      </c>
      <c r="N6700" s="4" t="s">
        <v>15112</v>
      </c>
      <c r="O6700" s="4" t="s">
        <v>15113</v>
      </c>
      <c r="P6700" s="4" t="s">
        <v>9337</v>
      </c>
      <c r="Q6700" s="4" t="s">
        <v>15114</v>
      </c>
      <c r="R6700" s="4" t="s">
        <v>15115</v>
      </c>
      <c r="S6700" s="4" t="s">
        <v>1737</v>
      </c>
    </row>
    <row r="6701">
      <c r="A6701" s="4">
        <v>75.0</v>
      </c>
      <c r="B6701" s="4" t="s">
        <v>14747</v>
      </c>
      <c r="C6701" s="4"/>
      <c r="D6701" s="4" t="s">
        <v>5294</v>
      </c>
      <c r="E6701" s="4" t="s">
        <v>5293</v>
      </c>
      <c r="F6701" s="4" t="s">
        <v>5294</v>
      </c>
      <c r="G6701" s="5" t="str">
        <f>IFERROR(__xludf.DUMMYFUNCTION("GOOGLETRANSLATE(D6701,""id"",""es"")"),"oral")</f>
        <v>oral</v>
      </c>
      <c r="H6701" s="4" t="s">
        <v>15116</v>
      </c>
      <c r="I6701" s="4" t="s">
        <v>3134</v>
      </c>
      <c r="J6701" s="4" t="s">
        <v>15116</v>
      </c>
      <c r="K6701" s="4" t="s">
        <v>15117</v>
      </c>
      <c r="L6701" s="4" t="s">
        <v>3134</v>
      </c>
      <c r="M6701" s="4" t="s">
        <v>15118</v>
      </c>
      <c r="N6701" s="4" t="s">
        <v>15116</v>
      </c>
      <c r="O6701" s="4" t="s">
        <v>15119</v>
      </c>
      <c r="P6701" s="4" t="s">
        <v>15120</v>
      </c>
      <c r="Q6701" s="4" t="s">
        <v>15121</v>
      </c>
      <c r="R6701" s="4" t="s">
        <v>15122</v>
      </c>
      <c r="S6701" s="4" t="s">
        <v>2</v>
      </c>
      <c r="T6701" s="4" t="s">
        <v>15123</v>
      </c>
      <c r="U6701" s="4" t="s">
        <v>15124</v>
      </c>
      <c r="V6701" s="4" t="s">
        <v>3134</v>
      </c>
      <c r="W6701" s="4" t="s">
        <v>3137</v>
      </c>
      <c r="X6701" s="4" t="s">
        <v>3138</v>
      </c>
      <c r="Y6701" s="4" t="s">
        <v>3139</v>
      </c>
      <c r="Z6701" s="4" t="s">
        <v>3140</v>
      </c>
    </row>
    <row r="6702">
      <c r="A6702" s="4">
        <v>76.0</v>
      </c>
      <c r="B6702" s="4" t="s">
        <v>14747</v>
      </c>
      <c r="C6702" s="4"/>
      <c r="D6702" s="4" t="s">
        <v>15125</v>
      </c>
      <c r="E6702" s="4" t="s">
        <v>15126</v>
      </c>
      <c r="F6702" s="4" t="s">
        <v>15125</v>
      </c>
      <c r="G6702" s="5" t="str">
        <f>IFERROR(__xludf.DUMMYFUNCTION("GOOGLETRANSLATE(D6702,""id"",""es"")"),"graduado de")</f>
        <v>graduado de</v>
      </c>
    </row>
    <row r="6703">
      <c r="A6703" s="4">
        <v>77.0</v>
      </c>
      <c r="B6703" s="4" t="s">
        <v>14747</v>
      </c>
      <c r="C6703" s="4"/>
      <c r="D6703" s="4" t="s">
        <v>2251</v>
      </c>
      <c r="E6703" s="4" t="s">
        <v>2252</v>
      </c>
      <c r="F6703" s="4" t="s">
        <v>2251</v>
      </c>
      <c r="G6703" s="5" t="str">
        <f>IFERROR(__xludf.DUMMYFUNCTION("GOOGLETRANSLATE(D6703,""id"",""es"")"),"olvidar")</f>
        <v>olvidar</v>
      </c>
      <c r="H6703" s="4" t="s">
        <v>15127</v>
      </c>
      <c r="I6703" s="4" t="s">
        <v>326</v>
      </c>
      <c r="J6703" s="4" t="s">
        <v>15128</v>
      </c>
      <c r="K6703" s="4" t="s">
        <v>15129</v>
      </c>
      <c r="L6703" s="4" t="s">
        <v>15127</v>
      </c>
      <c r="M6703" s="4" t="s">
        <v>15130</v>
      </c>
      <c r="N6703" s="4" t="s">
        <v>15127</v>
      </c>
      <c r="O6703" s="4" t="s">
        <v>643</v>
      </c>
      <c r="P6703" s="4" t="s">
        <v>15127</v>
      </c>
      <c r="Q6703" s="4" t="s">
        <v>3416</v>
      </c>
    </row>
    <row r="6704">
      <c r="A6704" s="4">
        <v>78.0</v>
      </c>
      <c r="B6704" s="4" t="s">
        <v>14747</v>
      </c>
      <c r="C6704" s="4"/>
      <c r="D6704" s="4" t="s">
        <v>15131</v>
      </c>
      <c r="E6704" s="4" t="s">
        <v>15132</v>
      </c>
      <c r="F6704" s="4" t="s">
        <v>15131</v>
      </c>
      <c r="G6704" s="5" t="str">
        <f>IFERROR(__xludf.DUMMYFUNCTION("GOOGLETRANSLATE(D6704,""id"",""es"")"),"docena")</f>
        <v>docena</v>
      </c>
      <c r="H6704" s="4" t="s">
        <v>15133</v>
      </c>
      <c r="I6704" s="4">
        <v>12.0</v>
      </c>
      <c r="J6704" s="4" t="s">
        <v>15134</v>
      </c>
      <c r="K6704" s="4" t="s">
        <v>15135</v>
      </c>
    </row>
    <row r="6705">
      <c r="A6705" s="4">
        <v>79.0</v>
      </c>
      <c r="B6705" s="4" t="s">
        <v>14747</v>
      </c>
      <c r="C6705" s="4"/>
      <c r="D6705" s="4" t="s">
        <v>2299</v>
      </c>
      <c r="E6705" s="4" t="s">
        <v>15136</v>
      </c>
      <c r="F6705" s="4" t="s">
        <v>2301</v>
      </c>
      <c r="G6705" s="5" t="str">
        <f>IFERROR(__xludf.DUMMYFUNCTION("GOOGLETRANSLATE(D6705,""id"",""es"")"),"Revista")</f>
        <v>Revista</v>
      </c>
    </row>
    <row r="6706">
      <c r="A6706" s="4">
        <v>80.0</v>
      </c>
      <c r="B6706" s="4" t="s">
        <v>14747</v>
      </c>
      <c r="C6706" s="4"/>
      <c r="D6706" s="4" t="s">
        <v>15137</v>
      </c>
      <c r="E6706" s="4" t="s">
        <v>15138</v>
      </c>
      <c r="F6706" s="4" t="s">
        <v>15137</v>
      </c>
      <c r="G6706" s="5" t="str">
        <f>IFERROR(__xludf.DUMMYFUNCTION("GOOGLETRANSLATE(D6706,""id"",""es"")"),"comer")</f>
        <v>comer</v>
      </c>
      <c r="H6706" s="4" t="s">
        <v>9089</v>
      </c>
      <c r="I6706" s="4" t="s">
        <v>9090</v>
      </c>
      <c r="J6706" s="4" t="s">
        <v>7945</v>
      </c>
      <c r="K6706" s="4" t="s">
        <v>887</v>
      </c>
      <c r="L6706" s="4" t="s">
        <v>7946</v>
      </c>
      <c r="M6706" s="4" t="s">
        <v>538</v>
      </c>
      <c r="N6706" s="4" t="s">
        <v>887</v>
      </c>
      <c r="O6706" s="4" t="s">
        <v>7928</v>
      </c>
      <c r="P6706" s="4" t="s">
        <v>7929</v>
      </c>
      <c r="Q6706" s="4" t="s">
        <v>15139</v>
      </c>
      <c r="R6706" s="4" t="s">
        <v>15140</v>
      </c>
      <c r="S6706" s="4" t="s">
        <v>3632</v>
      </c>
      <c r="T6706" s="4" t="s">
        <v>15141</v>
      </c>
      <c r="U6706" s="4" t="s">
        <v>895</v>
      </c>
      <c r="V6706" s="4" t="s">
        <v>883</v>
      </c>
      <c r="W6706" s="4" t="s">
        <v>884</v>
      </c>
      <c r="X6706" s="4" t="s">
        <v>885</v>
      </c>
      <c r="Y6706" s="4" t="s">
        <v>886</v>
      </c>
      <c r="Z6706" s="4" t="s">
        <v>887</v>
      </c>
      <c r="AA6706" s="4" t="s">
        <v>7934</v>
      </c>
      <c r="AB6706" s="4" t="s">
        <v>1074</v>
      </c>
      <c r="AC6706" s="4" t="s">
        <v>7912</v>
      </c>
      <c r="AD6706" s="4" t="s">
        <v>887</v>
      </c>
      <c r="AE6706" s="4" t="s">
        <v>878</v>
      </c>
      <c r="AF6706" s="4" t="s">
        <v>876</v>
      </c>
      <c r="AG6706" s="4" t="s">
        <v>879</v>
      </c>
      <c r="AH6706" s="4" t="s">
        <v>486</v>
      </c>
      <c r="AI6706" s="4" t="s">
        <v>887</v>
      </c>
      <c r="AJ6706" s="4" t="s">
        <v>7912</v>
      </c>
      <c r="AK6706" s="4" t="s">
        <v>7917</v>
      </c>
      <c r="AL6706" s="4" t="s">
        <v>15142</v>
      </c>
      <c r="AM6706" s="4" t="s">
        <v>9095</v>
      </c>
      <c r="AN6706" s="4" t="s">
        <v>887</v>
      </c>
      <c r="AO6706" s="4" t="s">
        <v>7931</v>
      </c>
      <c r="AP6706" s="4" t="s">
        <v>7914</v>
      </c>
      <c r="AQ6706" s="4" t="s">
        <v>887</v>
      </c>
      <c r="AR6706" s="4" t="s">
        <v>7915</v>
      </c>
      <c r="AS6706" s="4" t="s">
        <v>7916</v>
      </c>
      <c r="AT6706" s="4" t="s">
        <v>7918</v>
      </c>
      <c r="AU6706" s="4" t="s">
        <v>887</v>
      </c>
      <c r="AV6706" s="4" t="s">
        <v>1737</v>
      </c>
      <c r="AW6706" s="4" t="s">
        <v>7919</v>
      </c>
      <c r="AX6706" s="4" t="s">
        <v>2410</v>
      </c>
      <c r="AY6706" s="4" t="s">
        <v>7924</v>
      </c>
      <c r="AZ6706" s="4" t="s">
        <v>7921</v>
      </c>
      <c r="BA6706" s="4" t="s">
        <v>7924</v>
      </c>
      <c r="BB6706" s="4" t="s">
        <v>6687</v>
      </c>
      <c r="BC6706" s="4" t="s">
        <v>7935</v>
      </c>
      <c r="BD6706" s="4" t="s">
        <v>887</v>
      </c>
      <c r="BE6706" s="4" t="s">
        <v>7936</v>
      </c>
      <c r="BF6706" s="4" t="s">
        <v>7935</v>
      </c>
      <c r="BG6706" s="4" t="s">
        <v>887</v>
      </c>
      <c r="BH6706" s="4" t="s">
        <v>9095</v>
      </c>
      <c r="BI6706" s="4" t="s">
        <v>15143</v>
      </c>
      <c r="BJ6706" s="4" t="s">
        <v>15144</v>
      </c>
      <c r="BK6706" s="4" t="s">
        <v>7929</v>
      </c>
      <c r="BL6706" s="4" t="s">
        <v>15145</v>
      </c>
      <c r="BM6706" s="4" t="s">
        <v>15146</v>
      </c>
      <c r="BN6706" s="4" t="s">
        <v>1240</v>
      </c>
      <c r="BO6706" s="4" t="s">
        <v>4430</v>
      </c>
      <c r="BP6706" s="4" t="s">
        <v>887</v>
      </c>
      <c r="BQ6706" s="4" t="s">
        <v>15147</v>
      </c>
      <c r="BR6706" s="4" t="s">
        <v>15148</v>
      </c>
      <c r="BS6706" s="4" t="s">
        <v>9095</v>
      </c>
      <c r="BT6706" s="4" t="s">
        <v>887</v>
      </c>
      <c r="BU6706" s="4" t="s">
        <v>7937</v>
      </c>
      <c r="BV6706" s="4" t="s">
        <v>887</v>
      </c>
      <c r="BW6706" s="4" t="s">
        <v>7938</v>
      </c>
      <c r="BX6706" s="4" t="s">
        <v>7939</v>
      </c>
      <c r="BY6706" s="4" t="s">
        <v>7909</v>
      </c>
      <c r="BZ6706" s="4" t="s">
        <v>7930</v>
      </c>
      <c r="CA6706" s="4" t="s">
        <v>879</v>
      </c>
      <c r="CB6706" s="4" t="s">
        <v>486</v>
      </c>
      <c r="CC6706" s="4" t="s">
        <v>887</v>
      </c>
      <c r="CD6706" s="4" t="s">
        <v>311</v>
      </c>
      <c r="CE6706" s="4" t="s">
        <v>7930</v>
      </c>
      <c r="CF6706" s="4" t="s">
        <v>15149</v>
      </c>
      <c r="CG6706" s="4" t="s">
        <v>7908</v>
      </c>
      <c r="CH6706" s="4" t="s">
        <v>9092</v>
      </c>
      <c r="CI6706" s="4" t="s">
        <v>15150</v>
      </c>
      <c r="CJ6706" s="4" t="s">
        <v>7410</v>
      </c>
      <c r="CK6706" s="4" t="s">
        <v>15151</v>
      </c>
      <c r="CL6706" s="4" t="s">
        <v>6431</v>
      </c>
      <c r="CM6706" s="4" t="s">
        <v>7930</v>
      </c>
      <c r="CN6706" s="4" t="s">
        <v>15152</v>
      </c>
      <c r="CO6706" s="4" t="s">
        <v>8987</v>
      </c>
      <c r="CP6706" s="4" t="s">
        <v>15153</v>
      </c>
      <c r="CQ6706" s="4" t="s">
        <v>9092</v>
      </c>
      <c r="CR6706" s="4" t="s">
        <v>4100</v>
      </c>
      <c r="CS6706" s="4" t="s">
        <v>9092</v>
      </c>
      <c r="CT6706" s="4" t="s">
        <v>15154</v>
      </c>
      <c r="CU6706" s="4" t="s">
        <v>15155</v>
      </c>
      <c r="CV6706" s="4" t="s">
        <v>15156</v>
      </c>
      <c r="CW6706" s="4" t="s">
        <v>15157</v>
      </c>
      <c r="CX6706" s="4" t="s">
        <v>3712</v>
      </c>
      <c r="CY6706" s="4" t="s">
        <v>15158</v>
      </c>
      <c r="CZ6706" s="4" t="s">
        <v>15159</v>
      </c>
      <c r="DA6706" s="4" t="s">
        <v>2412</v>
      </c>
      <c r="DB6706" s="4" t="s">
        <v>9092</v>
      </c>
      <c r="DC6706" s="4" t="s">
        <v>15160</v>
      </c>
      <c r="DD6706" s="4" t="s">
        <v>6528</v>
      </c>
      <c r="DE6706" s="4" t="s">
        <v>7923</v>
      </c>
      <c r="DF6706" s="4" t="s">
        <v>7924</v>
      </c>
      <c r="DG6706" s="4" t="s">
        <v>15161</v>
      </c>
      <c r="DH6706" s="4" t="s">
        <v>15162</v>
      </c>
      <c r="DI6706" s="4" t="s">
        <v>15163</v>
      </c>
      <c r="DJ6706" s="4" t="s">
        <v>15164</v>
      </c>
      <c r="DK6706" s="4" t="s">
        <v>15165</v>
      </c>
      <c r="DL6706" s="4" t="s">
        <v>9932</v>
      </c>
      <c r="DM6706" s="4" t="s">
        <v>15166</v>
      </c>
      <c r="DN6706" s="4" t="s">
        <v>15167</v>
      </c>
      <c r="DO6706" s="4" t="s">
        <v>15168</v>
      </c>
      <c r="DP6706" s="4" t="s">
        <v>15169</v>
      </c>
      <c r="DQ6706" s="4" t="s">
        <v>15170</v>
      </c>
      <c r="DR6706" s="4" t="s">
        <v>15171</v>
      </c>
      <c r="DS6706" s="4" t="s">
        <v>15172</v>
      </c>
      <c r="DT6706" s="4" t="s">
        <v>15173</v>
      </c>
      <c r="DU6706" s="4" t="s">
        <v>15174</v>
      </c>
      <c r="DV6706" s="4" t="s">
        <v>15175</v>
      </c>
      <c r="DW6706" s="4" t="s">
        <v>9094</v>
      </c>
      <c r="DX6706" s="4" t="s">
        <v>3624</v>
      </c>
      <c r="DY6706" s="4" t="s">
        <v>7930</v>
      </c>
      <c r="DZ6706" s="4" t="s">
        <v>7118</v>
      </c>
      <c r="EA6706" s="4" t="s">
        <v>9438</v>
      </c>
      <c r="EB6706" s="4" t="s">
        <v>9095</v>
      </c>
      <c r="EC6706" s="4" t="s">
        <v>1001</v>
      </c>
      <c r="ED6706" s="4" t="s">
        <v>15176</v>
      </c>
      <c r="EE6706" s="4" t="s">
        <v>3086</v>
      </c>
      <c r="EF6706" s="4" t="s">
        <v>887</v>
      </c>
      <c r="EG6706" s="4" t="s">
        <v>7911</v>
      </c>
      <c r="EH6706" s="4" t="s">
        <v>15148</v>
      </c>
      <c r="EI6706" s="4" t="s">
        <v>14028</v>
      </c>
      <c r="EJ6706" s="4" t="s">
        <v>887</v>
      </c>
      <c r="EK6706" s="4" t="s">
        <v>311</v>
      </c>
      <c r="EL6706" s="4" t="s">
        <v>15148</v>
      </c>
      <c r="EM6706" s="4" t="s">
        <v>15177</v>
      </c>
      <c r="EN6706" s="4" t="s">
        <v>7930</v>
      </c>
      <c r="EO6706" s="4" t="s">
        <v>15178</v>
      </c>
      <c r="EP6706" s="4" t="s">
        <v>9095</v>
      </c>
      <c r="EQ6706" s="4" t="s">
        <v>15179</v>
      </c>
      <c r="ER6706" s="4" t="s">
        <v>15130</v>
      </c>
      <c r="ES6706" s="4" t="s">
        <v>15149</v>
      </c>
      <c r="ET6706" s="4" t="s">
        <v>15148</v>
      </c>
      <c r="EU6706" s="4" t="s">
        <v>15180</v>
      </c>
      <c r="EV6706" s="4" t="s">
        <v>7337</v>
      </c>
      <c r="EW6706" s="4" t="s">
        <v>887</v>
      </c>
      <c r="EX6706" s="4" t="s">
        <v>883</v>
      </c>
      <c r="EY6706" s="4" t="s">
        <v>887</v>
      </c>
      <c r="EZ6706" s="4" t="s">
        <v>903</v>
      </c>
      <c r="FA6706" s="4" t="s">
        <v>7932</v>
      </c>
      <c r="FB6706" s="4" t="s">
        <v>648</v>
      </c>
      <c r="FC6706" s="4" t="s">
        <v>887</v>
      </c>
      <c r="FD6706" s="4" t="s">
        <v>7909</v>
      </c>
      <c r="FE6706" s="4" t="s">
        <v>7910</v>
      </c>
      <c r="FF6706" s="4" t="s">
        <v>3413</v>
      </c>
      <c r="FG6706" s="4" t="s">
        <v>887</v>
      </c>
      <c r="FH6706" s="4" t="s">
        <v>3000</v>
      </c>
      <c r="FI6706" s="4" t="s">
        <v>7913</v>
      </c>
      <c r="FJ6706" s="4" t="s">
        <v>1500</v>
      </c>
      <c r="FK6706" s="4" t="s">
        <v>887</v>
      </c>
      <c r="FL6706" s="4" t="s">
        <v>15181</v>
      </c>
      <c r="FM6706" s="4" t="s">
        <v>887</v>
      </c>
      <c r="FN6706" s="4" t="s">
        <v>887</v>
      </c>
      <c r="FO6706" s="4" t="s">
        <v>7940</v>
      </c>
      <c r="FP6706" s="4" t="s">
        <v>7941</v>
      </c>
      <c r="FQ6706" s="4" t="s">
        <v>3084</v>
      </c>
      <c r="FR6706" s="4" t="s">
        <v>7942</v>
      </c>
      <c r="FS6706" s="4" t="s">
        <v>3081</v>
      </c>
      <c r="FT6706" s="4" t="s">
        <v>887</v>
      </c>
      <c r="FU6706" s="4" t="s">
        <v>7943</v>
      </c>
      <c r="FV6706" s="4" t="s">
        <v>7944</v>
      </c>
      <c r="FW6706" s="4" t="s">
        <v>887</v>
      </c>
      <c r="FX6706" s="4" t="s">
        <v>887</v>
      </c>
      <c r="FY6706" s="4" t="s">
        <v>7917</v>
      </c>
      <c r="FZ6706" s="4" t="s">
        <v>7917</v>
      </c>
      <c r="GA6706" s="4" t="s">
        <v>887</v>
      </c>
      <c r="GB6706" s="4" t="s">
        <v>311</v>
      </c>
      <c r="GC6706" s="4" t="s">
        <v>7917</v>
      </c>
      <c r="GD6706" s="4" t="s">
        <v>7933</v>
      </c>
      <c r="GE6706" s="4" t="s">
        <v>887</v>
      </c>
      <c r="GF6706" s="4" t="s">
        <v>886</v>
      </c>
      <c r="GG6706" s="4" t="s">
        <v>887</v>
      </c>
      <c r="GH6706" s="4" t="s">
        <v>3082</v>
      </c>
      <c r="GI6706" s="4" t="s">
        <v>7908</v>
      </c>
      <c r="GJ6706" s="4" t="s">
        <v>3086</v>
      </c>
      <c r="GK6706" s="4" t="s">
        <v>887</v>
      </c>
      <c r="GL6706" s="4" t="s">
        <v>3082</v>
      </c>
      <c r="GM6706" s="4" t="s">
        <v>887</v>
      </c>
      <c r="GN6706" s="4" t="s">
        <v>7920</v>
      </c>
      <c r="GO6706" s="4" t="s">
        <v>7921</v>
      </c>
      <c r="GP6706" s="4" t="s">
        <v>7922</v>
      </c>
      <c r="GQ6706" s="4" t="s">
        <v>7923</v>
      </c>
      <c r="GR6706" s="4" t="s">
        <v>7924</v>
      </c>
      <c r="GS6706" s="4" t="s">
        <v>887</v>
      </c>
      <c r="GT6706" s="4" t="s">
        <v>7925</v>
      </c>
      <c r="GU6706" s="4" t="s">
        <v>7926</v>
      </c>
      <c r="GV6706" s="4" t="s">
        <v>7927</v>
      </c>
      <c r="GW6706" s="4" t="s">
        <v>2074</v>
      </c>
      <c r="GX6706" s="4" t="s">
        <v>887</v>
      </c>
      <c r="GY6706" s="4" t="s">
        <v>313</v>
      </c>
      <c r="GZ6706" s="4" t="s">
        <v>7048</v>
      </c>
      <c r="HA6706" s="4" t="s">
        <v>2543</v>
      </c>
      <c r="HB6706" s="4" t="s">
        <v>887</v>
      </c>
      <c r="HC6706" s="4" t="s">
        <v>7917</v>
      </c>
      <c r="HD6706" s="4" t="s">
        <v>887</v>
      </c>
    </row>
    <row r="6707">
      <c r="A6707" s="4">
        <v>81.0</v>
      </c>
      <c r="B6707" s="4" t="s">
        <v>14747</v>
      </c>
      <c r="C6707" s="4"/>
      <c r="D6707" s="4" t="s">
        <v>15182</v>
      </c>
      <c r="E6707" s="4" t="s">
        <v>15183</v>
      </c>
      <c r="F6707" s="4" t="s">
        <v>15182</v>
      </c>
      <c r="G6707" s="5" t="str">
        <f>IFERROR(__xludf.DUMMYFUNCTION("GOOGLETRANSLATE(D6707,""id"",""es"")"),"alimento")</f>
        <v>alimento</v>
      </c>
      <c r="H6707" s="4" t="s">
        <v>9089</v>
      </c>
      <c r="I6707" s="4" t="s">
        <v>9090</v>
      </c>
      <c r="J6707" s="4" t="s">
        <v>15145</v>
      </c>
      <c r="K6707" s="4" t="s">
        <v>15146</v>
      </c>
      <c r="L6707" s="4" t="s">
        <v>4136</v>
      </c>
      <c r="M6707" s="4" t="s">
        <v>7685</v>
      </c>
      <c r="N6707" s="4" t="s">
        <v>15184</v>
      </c>
      <c r="O6707" s="4" t="s">
        <v>15185</v>
      </c>
      <c r="P6707" s="4" t="s">
        <v>15184</v>
      </c>
      <c r="Q6707" s="4" t="s">
        <v>15186</v>
      </c>
      <c r="R6707" s="4" t="s">
        <v>15146</v>
      </c>
      <c r="S6707" s="4" t="s">
        <v>15187</v>
      </c>
      <c r="T6707" s="4" t="s">
        <v>15188</v>
      </c>
      <c r="U6707" s="4" t="s">
        <v>15184</v>
      </c>
      <c r="V6707" s="4" t="s">
        <v>15189</v>
      </c>
      <c r="W6707" s="4" t="s">
        <v>15190</v>
      </c>
      <c r="X6707" s="4" t="s">
        <v>15184</v>
      </c>
      <c r="Y6707" s="4" t="s">
        <v>15188</v>
      </c>
      <c r="Z6707" s="4" t="s">
        <v>15191</v>
      </c>
      <c r="AA6707" s="4" t="s">
        <v>15192</v>
      </c>
      <c r="AB6707" s="4" t="s">
        <v>8878</v>
      </c>
      <c r="AC6707" s="4" t="s">
        <v>15184</v>
      </c>
      <c r="AD6707" s="4" t="s">
        <v>9089</v>
      </c>
      <c r="AE6707" s="4" t="s">
        <v>15193</v>
      </c>
      <c r="AF6707" s="4" t="s">
        <v>15194</v>
      </c>
      <c r="AG6707" s="4" t="s">
        <v>9089</v>
      </c>
      <c r="AH6707" s="4" t="s">
        <v>15195</v>
      </c>
      <c r="AI6707" s="4" t="s">
        <v>10723</v>
      </c>
      <c r="AJ6707" s="4" t="s">
        <v>15196</v>
      </c>
      <c r="AK6707" s="4" t="s">
        <v>3487</v>
      </c>
      <c r="AL6707" s="4" t="s">
        <v>3487</v>
      </c>
      <c r="AM6707" s="4" t="s">
        <v>15197</v>
      </c>
      <c r="AN6707" s="4" t="s">
        <v>7550</v>
      </c>
      <c r="AO6707" s="4" t="s">
        <v>15198</v>
      </c>
      <c r="AP6707" s="4" t="s">
        <v>1589</v>
      </c>
      <c r="AQ6707" s="4" t="s">
        <v>13585</v>
      </c>
      <c r="AR6707" s="4" t="s">
        <v>15199</v>
      </c>
      <c r="AS6707" s="4" t="s">
        <v>15200</v>
      </c>
      <c r="AT6707" s="4" t="s">
        <v>15201</v>
      </c>
      <c r="AU6707" s="4" t="s">
        <v>15202</v>
      </c>
      <c r="AV6707" s="4" t="s">
        <v>11471</v>
      </c>
      <c r="AW6707" s="4" t="s">
        <v>15203</v>
      </c>
      <c r="AX6707" s="4" t="s">
        <v>15187</v>
      </c>
      <c r="AY6707" s="4" t="s">
        <v>15204</v>
      </c>
      <c r="AZ6707" s="4" t="s">
        <v>15205</v>
      </c>
      <c r="BA6707" s="4" t="s">
        <v>15206</v>
      </c>
      <c r="BB6707" s="4" t="s">
        <v>15207</v>
      </c>
      <c r="BC6707" s="4" t="s">
        <v>15208</v>
      </c>
      <c r="BD6707" s="4" t="s">
        <v>15204</v>
      </c>
      <c r="BE6707" s="4" t="s">
        <v>15209</v>
      </c>
      <c r="BF6707" s="4" t="s">
        <v>15210</v>
      </c>
      <c r="BG6707" s="4" t="s">
        <v>15184</v>
      </c>
    </row>
    <row r="6708">
      <c r="A6708" s="4">
        <v>82.0</v>
      </c>
      <c r="B6708" s="4" t="s">
        <v>14747</v>
      </c>
      <c r="C6708" s="4"/>
      <c r="D6708" s="4" t="s">
        <v>15211</v>
      </c>
      <c r="E6708" s="4" t="s">
        <v>15212</v>
      </c>
      <c r="F6708" s="4" t="s">
        <v>15211</v>
      </c>
      <c r="G6708" s="5" t="str">
        <f>IFERROR(__xludf.DUMMYFUNCTION("GOOGLETRANSLATE(D6708,""id"",""es"")"),"noche")</f>
        <v>noche</v>
      </c>
      <c r="H6708" s="4" t="s">
        <v>15213</v>
      </c>
      <c r="I6708" s="4" t="s">
        <v>15213</v>
      </c>
      <c r="J6708" s="4" t="s">
        <v>15214</v>
      </c>
      <c r="K6708" s="4" t="s">
        <v>15215</v>
      </c>
      <c r="L6708" s="4" t="s">
        <v>15214</v>
      </c>
      <c r="M6708" s="4" t="s">
        <v>15216</v>
      </c>
      <c r="N6708" s="4" t="s">
        <v>15217</v>
      </c>
      <c r="O6708" s="4" t="s">
        <v>15216</v>
      </c>
      <c r="P6708" s="4" t="s">
        <v>15218</v>
      </c>
      <c r="Q6708" s="4" t="s">
        <v>15219</v>
      </c>
      <c r="R6708" s="4" t="s">
        <v>15214</v>
      </c>
      <c r="S6708" s="4" t="s">
        <v>15220</v>
      </c>
      <c r="T6708" s="4" t="s">
        <v>9049</v>
      </c>
      <c r="U6708" s="4" t="s">
        <v>15214</v>
      </c>
      <c r="V6708" s="4" t="s">
        <v>15214</v>
      </c>
      <c r="W6708" s="4" t="s">
        <v>15217</v>
      </c>
      <c r="X6708" s="4" t="s">
        <v>15214</v>
      </c>
      <c r="Y6708" s="4" t="s">
        <v>15217</v>
      </c>
    </row>
    <row r="6709">
      <c r="A6709" s="4">
        <v>83.0</v>
      </c>
      <c r="B6709" s="4" t="s">
        <v>14747</v>
      </c>
      <c r="C6709" s="4"/>
      <c r="D6709" s="4" t="s">
        <v>2401</v>
      </c>
      <c r="E6709" s="4" t="s">
        <v>2402</v>
      </c>
      <c r="F6709" s="4" t="s">
        <v>2401</v>
      </c>
      <c r="G6709" s="5" t="str">
        <f>IFERROR(__xludf.DUMMYFUNCTION("GOOGLETRANSLATE(D6709,""id"",""es"")"),"dónde")</f>
        <v>dónde</v>
      </c>
      <c r="H6709" s="4" t="s">
        <v>12820</v>
      </c>
      <c r="I6709" s="4" t="s">
        <v>12821</v>
      </c>
      <c r="J6709" s="4" t="s">
        <v>11310</v>
      </c>
    </row>
    <row r="6710">
      <c r="A6710" s="4">
        <v>84.0</v>
      </c>
      <c r="B6710" s="4" t="s">
        <v>14747</v>
      </c>
      <c r="C6710" s="4"/>
      <c r="D6710" s="4" t="s">
        <v>15221</v>
      </c>
      <c r="E6710" s="4" t="s">
        <v>15222</v>
      </c>
      <c r="F6710" s="4" t="s">
        <v>15221</v>
      </c>
      <c r="G6710" s="5" t="str">
        <f>IFERROR(__xludf.DUMMYFUNCTION("GOOGLETRANSLATE(D6710,""id"",""es"")"),"agrio")</f>
        <v>agrio</v>
      </c>
      <c r="H6710" s="4" t="s">
        <v>9049</v>
      </c>
      <c r="I6710" s="4" t="s">
        <v>9467</v>
      </c>
      <c r="J6710" s="4" t="s">
        <v>9468</v>
      </c>
      <c r="K6710" s="4" t="s">
        <v>9469</v>
      </c>
      <c r="L6710" s="4" t="s">
        <v>9470</v>
      </c>
      <c r="M6710" s="4" t="s">
        <v>9471</v>
      </c>
      <c r="N6710" s="4" t="s">
        <v>9472</v>
      </c>
      <c r="O6710" s="4" t="s">
        <v>9465</v>
      </c>
      <c r="P6710" s="4" t="s">
        <v>9473</v>
      </c>
      <c r="Q6710" s="4" t="s">
        <v>15223</v>
      </c>
      <c r="R6710" s="4" t="s">
        <v>9940</v>
      </c>
      <c r="S6710" s="4" t="s">
        <v>9465</v>
      </c>
      <c r="T6710" s="4" t="s">
        <v>15224</v>
      </c>
      <c r="U6710" s="4" t="s">
        <v>15225</v>
      </c>
      <c r="V6710" s="4" t="s">
        <v>15226</v>
      </c>
      <c r="W6710" s="4" t="s">
        <v>9465</v>
      </c>
      <c r="X6710" s="4" t="s">
        <v>9483</v>
      </c>
      <c r="Y6710" s="4" t="s">
        <v>9484</v>
      </c>
      <c r="Z6710" s="4" t="s">
        <v>9485</v>
      </c>
      <c r="AA6710" s="4" t="s">
        <v>9486</v>
      </c>
      <c r="AB6710" s="4" t="s">
        <v>9487</v>
      </c>
      <c r="AC6710" s="4" t="s">
        <v>9465</v>
      </c>
    </row>
    <row r="6711">
      <c r="A6711" s="4">
        <v>85.0</v>
      </c>
      <c r="B6711" s="4" t="s">
        <v>14747</v>
      </c>
      <c r="C6711" s="4"/>
      <c r="D6711" s="4" t="s">
        <v>2553</v>
      </c>
      <c r="E6711" s="4" t="s">
        <v>2554</v>
      </c>
      <c r="F6711" s="4" t="s">
        <v>2553</v>
      </c>
      <c r="G6711" s="5" t="str">
        <f>IFERROR(__xludf.DUMMYFUNCTION("GOOGLETRANSLATE(D6711,""id"",""es"")"),"ojo")</f>
        <v>ojo</v>
      </c>
      <c r="H6711" s="4" t="s">
        <v>7727</v>
      </c>
      <c r="I6711" s="4" t="s">
        <v>646</v>
      </c>
      <c r="J6711" s="4" t="s">
        <v>4143</v>
      </c>
      <c r="K6711" s="4" t="s">
        <v>10259</v>
      </c>
      <c r="L6711" s="4" t="s">
        <v>3069</v>
      </c>
      <c r="M6711" s="4" t="s">
        <v>3072</v>
      </c>
      <c r="N6711" s="4" t="s">
        <v>3073</v>
      </c>
      <c r="O6711" s="4" t="s">
        <v>3074</v>
      </c>
      <c r="P6711" s="4" t="s">
        <v>2067</v>
      </c>
      <c r="Q6711" s="4" t="s">
        <v>4619</v>
      </c>
      <c r="R6711" s="4" t="s">
        <v>3076</v>
      </c>
      <c r="S6711" s="4" t="s">
        <v>3069</v>
      </c>
      <c r="T6711" s="4" t="s">
        <v>1209</v>
      </c>
      <c r="U6711" s="4" t="s">
        <v>8380</v>
      </c>
      <c r="V6711" s="4" t="s">
        <v>3705</v>
      </c>
      <c r="W6711" s="4" t="s">
        <v>8389</v>
      </c>
      <c r="X6711" s="4" t="s">
        <v>8380</v>
      </c>
      <c r="Y6711" s="4" t="s">
        <v>4619</v>
      </c>
      <c r="Z6711" s="4" t="s">
        <v>4620</v>
      </c>
      <c r="AA6711" s="4" t="s">
        <v>3072</v>
      </c>
      <c r="AB6711" s="4" t="s">
        <v>4619</v>
      </c>
      <c r="AC6711" s="4" t="s">
        <v>3008</v>
      </c>
      <c r="AD6711" s="4" t="s">
        <v>1680</v>
      </c>
      <c r="AE6711" s="4" t="s">
        <v>7727</v>
      </c>
      <c r="AF6711" s="4" t="s">
        <v>8380</v>
      </c>
      <c r="AG6711" s="4" t="s">
        <v>2298</v>
      </c>
      <c r="AH6711" s="4" t="s">
        <v>4851</v>
      </c>
      <c r="AI6711" s="4" t="s">
        <v>8384</v>
      </c>
      <c r="AJ6711" s="4" t="s">
        <v>8385</v>
      </c>
      <c r="AK6711" s="4" t="s">
        <v>3909</v>
      </c>
      <c r="AL6711" s="4" t="s">
        <v>3910</v>
      </c>
      <c r="AM6711" s="4" t="s">
        <v>3911</v>
      </c>
      <c r="AN6711" s="4" t="s">
        <v>3912</v>
      </c>
      <c r="AO6711" s="4" t="s">
        <v>3913</v>
      </c>
      <c r="AP6711" s="4" t="s">
        <v>7727</v>
      </c>
      <c r="AQ6711" s="4" t="s">
        <v>3705</v>
      </c>
      <c r="AR6711" s="4" t="s">
        <v>1209</v>
      </c>
    </row>
    <row r="6712">
      <c r="A6712" s="4">
        <v>86.0</v>
      </c>
      <c r="B6712" s="4" t="s">
        <v>14747</v>
      </c>
      <c r="C6712" s="4"/>
      <c r="D6712" s="4" t="s">
        <v>2315</v>
      </c>
      <c r="E6712" s="4" t="s">
        <v>2314</v>
      </c>
      <c r="F6712" s="4" t="s">
        <v>2315</v>
      </c>
      <c r="G6712" s="5" t="str">
        <f>IFERROR(__xludf.DUMMYFUNCTION("GOOGLETRANSLATE(D6712,""id"",""es"")"),"maya")</f>
        <v>maya</v>
      </c>
      <c r="H6712" s="4" t="s">
        <v>15227</v>
      </c>
      <c r="I6712" s="4" t="s">
        <v>15228</v>
      </c>
      <c r="J6712" s="4" t="s">
        <v>15229</v>
      </c>
      <c r="K6712" s="4" t="s">
        <v>15230</v>
      </c>
      <c r="L6712" s="4" t="s">
        <v>15231</v>
      </c>
      <c r="M6712" s="4" t="s">
        <v>15232</v>
      </c>
      <c r="N6712" s="4" t="s">
        <v>15233</v>
      </c>
      <c r="O6712" s="4" t="s">
        <v>15234</v>
      </c>
      <c r="P6712" s="4" t="s">
        <v>15235</v>
      </c>
      <c r="Q6712" s="4" t="s">
        <v>15236</v>
      </c>
      <c r="R6712" s="4" t="s">
        <v>15234</v>
      </c>
      <c r="S6712" s="4" t="s">
        <v>15237</v>
      </c>
      <c r="T6712" s="4" t="s">
        <v>15234</v>
      </c>
      <c r="U6712" s="4" t="s">
        <v>2583</v>
      </c>
      <c r="V6712" s="4" t="s">
        <v>15238</v>
      </c>
    </row>
    <row r="6713">
      <c r="A6713" s="4">
        <v>87.0</v>
      </c>
      <c r="B6713" s="4" t="s">
        <v>14747</v>
      </c>
      <c r="C6713" s="4"/>
      <c r="D6713" s="4" t="s">
        <v>15239</v>
      </c>
      <c r="E6713" s="4" t="s">
        <v>2689</v>
      </c>
      <c r="F6713" s="4" t="s">
        <v>2688</v>
      </c>
      <c r="G6713" s="5" t="str">
        <f>IFERROR(__xludf.DUMMYFUNCTION("GOOGLETRANSLATE(D6713,""id"",""es"")"),"Meme")</f>
        <v>Meme</v>
      </c>
    </row>
    <row r="6714">
      <c r="A6714" s="4">
        <v>88.0</v>
      </c>
      <c r="B6714" s="4" t="s">
        <v>14747</v>
      </c>
      <c r="C6714" s="4"/>
      <c r="D6714" s="4" t="s">
        <v>15240</v>
      </c>
      <c r="E6714" s="4" t="s">
        <v>15241</v>
      </c>
      <c r="F6714" s="4" t="s">
        <v>15240</v>
      </c>
      <c r="G6714" s="5" t="str">
        <f>IFERROR(__xludf.DUMMYFUNCTION("GOOGLETRANSLATE(D6714,""id"",""es"")"),"Mipa")</f>
        <v>Mipa</v>
      </c>
    </row>
    <row r="6715">
      <c r="A6715" s="4">
        <v>89.0</v>
      </c>
      <c r="B6715" s="4" t="s">
        <v>14747</v>
      </c>
      <c r="C6715" s="4"/>
      <c r="D6715" s="4" t="s">
        <v>367</v>
      </c>
      <c r="E6715" s="4" t="s">
        <v>366</v>
      </c>
      <c r="F6715" s="4" t="s">
        <v>367</v>
      </c>
      <c r="G6715" s="5" t="str">
        <f>IFERROR(__xludf.DUMMYFUNCTION("GOOGLETRANSLATE(D6715,""id"",""es"")"),"su")</f>
        <v>su</v>
      </c>
      <c r="H6715" s="4" t="s">
        <v>367</v>
      </c>
    </row>
    <row r="6716">
      <c r="A6716" s="4">
        <v>90.0</v>
      </c>
      <c r="B6716" s="4" t="s">
        <v>14747</v>
      </c>
      <c r="C6716" s="4"/>
      <c r="D6716" s="4" t="s">
        <v>370</v>
      </c>
      <c r="E6716" s="4" t="s">
        <v>2728</v>
      </c>
      <c r="F6716" s="4" t="s">
        <v>370</v>
      </c>
      <c r="G6716" s="5" t="str">
        <f>IFERROR(__xludf.DUMMYFUNCTION("GOOGLETRANSLATE(D6716,""id"",""es"")"),"ventaja")</f>
        <v>ventaja</v>
      </c>
      <c r="H6716" s="4" t="s">
        <v>15242</v>
      </c>
      <c r="I6716" s="4" t="s">
        <v>15243</v>
      </c>
      <c r="J6716" s="4" t="s">
        <v>14499</v>
      </c>
      <c r="K6716" s="4" t="s">
        <v>14500</v>
      </c>
      <c r="L6716" s="4" t="s">
        <v>14501</v>
      </c>
      <c r="M6716" s="4" t="s">
        <v>15244</v>
      </c>
      <c r="N6716" s="4" t="s">
        <v>1310</v>
      </c>
      <c r="O6716" s="4" t="s">
        <v>1310</v>
      </c>
      <c r="P6716" s="4" t="s">
        <v>1308</v>
      </c>
      <c r="Q6716" s="4" t="s">
        <v>1309</v>
      </c>
      <c r="R6716" s="4" t="s">
        <v>1310</v>
      </c>
      <c r="S6716" s="4" t="s">
        <v>10434</v>
      </c>
      <c r="T6716" s="4" t="s">
        <v>15245</v>
      </c>
      <c r="U6716" s="4" t="s">
        <v>6672</v>
      </c>
      <c r="V6716" s="4" t="s">
        <v>6669</v>
      </c>
      <c r="W6716" s="4" t="s">
        <v>2587</v>
      </c>
      <c r="X6716" s="4" t="s">
        <v>6673</v>
      </c>
      <c r="Y6716" s="4" t="s">
        <v>1310</v>
      </c>
      <c r="Z6716" s="4" t="s">
        <v>1310</v>
      </c>
      <c r="AA6716" s="4" t="s">
        <v>1310</v>
      </c>
      <c r="AB6716" s="4" t="s">
        <v>1315</v>
      </c>
      <c r="AC6716" s="4" t="s">
        <v>1310</v>
      </c>
      <c r="AD6716" s="4" t="s">
        <v>10434</v>
      </c>
      <c r="AE6716" s="4" t="s">
        <v>15246</v>
      </c>
      <c r="AF6716" s="4" t="s">
        <v>15247</v>
      </c>
      <c r="AG6716" s="4" t="s">
        <v>15245</v>
      </c>
      <c r="AH6716" s="4" t="s">
        <v>15248</v>
      </c>
      <c r="AI6716" s="4" t="s">
        <v>15249</v>
      </c>
      <c r="AJ6716" s="4" t="s">
        <v>3236</v>
      </c>
      <c r="AK6716" s="4" t="s">
        <v>515</v>
      </c>
      <c r="AL6716" s="4" t="s">
        <v>1310</v>
      </c>
      <c r="AM6716" s="4" t="s">
        <v>6683</v>
      </c>
      <c r="AN6716" s="4" t="s">
        <v>15250</v>
      </c>
      <c r="AO6716" s="4" t="s">
        <v>15251</v>
      </c>
      <c r="AP6716" s="4" t="s">
        <v>15252</v>
      </c>
      <c r="AQ6716" s="4" t="s">
        <v>15252</v>
      </c>
      <c r="AR6716" s="4" t="s">
        <v>15253</v>
      </c>
    </row>
    <row r="6717">
      <c r="A6717" s="4">
        <v>91.0</v>
      </c>
      <c r="B6717" s="4" t="s">
        <v>14747</v>
      </c>
      <c r="C6717" s="4"/>
      <c r="D6717" s="4" t="s">
        <v>2786</v>
      </c>
      <c r="E6717" s="4" t="s">
        <v>2787</v>
      </c>
      <c r="F6717" s="4" t="s">
        <v>2786</v>
      </c>
      <c r="G6717" s="5" t="str">
        <f>IFERROR(__xludf.DUMMYFUNCTION("GOOGLETRANSLATE(D6717,""id"",""es"")"),"comienzo")</f>
        <v>comienzo</v>
      </c>
      <c r="H6717" s="4" t="s">
        <v>15254</v>
      </c>
      <c r="I6717" s="4" t="s">
        <v>11917</v>
      </c>
      <c r="J6717" s="4" t="s">
        <v>15255</v>
      </c>
      <c r="K6717" s="4" t="s">
        <v>1001</v>
      </c>
      <c r="L6717" s="4" t="s">
        <v>15256</v>
      </c>
      <c r="M6717" s="4" t="s">
        <v>7946</v>
      </c>
      <c r="N6717" s="4" t="s">
        <v>15257</v>
      </c>
      <c r="O6717" s="4" t="s">
        <v>1937</v>
      </c>
      <c r="P6717" s="4" t="s">
        <v>15258</v>
      </c>
      <c r="Q6717" s="4" t="s">
        <v>15259</v>
      </c>
      <c r="R6717" s="4" t="s">
        <v>15260</v>
      </c>
      <c r="S6717" s="4" t="s">
        <v>15261</v>
      </c>
      <c r="T6717" s="4" t="s">
        <v>8959</v>
      </c>
      <c r="U6717" s="4" t="s">
        <v>15262</v>
      </c>
      <c r="V6717" s="4" t="s">
        <v>15263</v>
      </c>
      <c r="W6717" s="4" t="s">
        <v>1937</v>
      </c>
      <c r="X6717" s="4" t="s">
        <v>15264</v>
      </c>
      <c r="Y6717" s="4" t="s">
        <v>15265</v>
      </c>
      <c r="Z6717" s="4" t="s">
        <v>15260</v>
      </c>
      <c r="AA6717" s="4" t="s">
        <v>1937</v>
      </c>
      <c r="AB6717" s="4" t="s">
        <v>15264</v>
      </c>
      <c r="AC6717" s="4" t="s">
        <v>1937</v>
      </c>
      <c r="AD6717" s="4" t="s">
        <v>637</v>
      </c>
      <c r="AE6717" s="4" t="s">
        <v>15266</v>
      </c>
      <c r="AF6717" s="4" t="s">
        <v>15256</v>
      </c>
      <c r="AG6717" s="4" t="s">
        <v>1937</v>
      </c>
      <c r="AH6717" s="4" t="s">
        <v>15256</v>
      </c>
      <c r="AI6717" s="4" t="s">
        <v>1937</v>
      </c>
      <c r="AJ6717" s="4" t="s">
        <v>901</v>
      </c>
      <c r="AK6717" s="4" t="s">
        <v>11773</v>
      </c>
    </row>
    <row r="6718">
      <c r="A6718" s="4">
        <v>92.0</v>
      </c>
      <c r="B6718" s="4" t="s">
        <v>14747</v>
      </c>
      <c r="C6718" s="4"/>
      <c r="D6718" s="4" t="s">
        <v>15267</v>
      </c>
      <c r="E6718" s="4" t="s">
        <v>15268</v>
      </c>
      <c r="F6718" s="4" t="s">
        <v>15267</v>
      </c>
      <c r="G6718" s="5" t="str">
        <f>IFERROR(__xludf.DUMMYFUNCTION("GOOGLETRANSLATE(D6718,""id"",""es"")"),"mutación")</f>
        <v>mutación</v>
      </c>
      <c r="H6718" s="4" t="s">
        <v>15269</v>
      </c>
      <c r="I6718" s="4" t="s">
        <v>15270</v>
      </c>
      <c r="J6718" s="4" t="s">
        <v>15271</v>
      </c>
      <c r="K6718" s="4" t="s">
        <v>15272</v>
      </c>
      <c r="L6718" s="4" t="s">
        <v>15269</v>
      </c>
      <c r="M6718" s="4" t="s">
        <v>15273</v>
      </c>
      <c r="N6718" s="4" t="s">
        <v>10989</v>
      </c>
    </row>
    <row r="6719">
      <c r="A6719" s="4">
        <v>93.0</v>
      </c>
      <c r="B6719" s="4" t="s">
        <v>14747</v>
      </c>
      <c r="C6719" s="4"/>
      <c r="D6719" s="4" t="s">
        <v>13051</v>
      </c>
      <c r="E6719" s="4" t="s">
        <v>15274</v>
      </c>
      <c r="F6719" s="4" t="s">
        <v>13051</v>
      </c>
      <c r="G6719" s="5" t="str">
        <f>IFERROR(__xludf.DUMMYFUNCTION("GOOGLETRANSLATE(D6719,""id"",""es"")"),"piña")</f>
        <v>piña</v>
      </c>
      <c r="H6719" s="4" t="s">
        <v>3546</v>
      </c>
      <c r="I6719" s="4" t="s">
        <v>3547</v>
      </c>
      <c r="J6719" s="4" t="s">
        <v>3546</v>
      </c>
      <c r="K6719" s="4" t="s">
        <v>8943</v>
      </c>
      <c r="L6719" s="4" t="s">
        <v>8944</v>
      </c>
    </row>
    <row r="6720">
      <c r="A6720" s="4">
        <v>94.0</v>
      </c>
      <c r="B6720" s="4" t="s">
        <v>14747</v>
      </c>
      <c r="C6720" s="4"/>
      <c r="D6720" s="4" t="s">
        <v>15275</v>
      </c>
      <c r="E6720" s="4" t="s">
        <v>15276</v>
      </c>
      <c r="F6720" s="4" t="s">
        <v>15275</v>
      </c>
      <c r="G6720" s="5" t="str">
        <f>IFERROR(__xludf.DUMMYFUNCTION("GOOGLETRANSLATE(D6720,""id"",""es"")"),"arroz")</f>
        <v>arroz</v>
      </c>
      <c r="H6720" s="4" t="s">
        <v>15277</v>
      </c>
      <c r="I6720" s="4" t="s">
        <v>15277</v>
      </c>
    </row>
    <row r="6721">
      <c r="A6721" s="4">
        <v>95.0</v>
      </c>
      <c r="B6721" s="4" t="s">
        <v>14747</v>
      </c>
      <c r="C6721" s="4"/>
      <c r="D6721" s="4" t="s">
        <v>2938</v>
      </c>
      <c r="E6721" s="4" t="s">
        <v>2939</v>
      </c>
      <c r="F6721" s="4" t="s">
        <v>2938</v>
      </c>
      <c r="G6721" s="5" t="str">
        <f>IFERROR(__xludf.DUMMYFUNCTION("GOOGLETRANSLATE(D6721,""id"",""es"")"),"Navidad")</f>
        <v>Navidad</v>
      </c>
      <c r="H6721" s="4" t="s">
        <v>2940</v>
      </c>
      <c r="I6721" s="4" t="s">
        <v>2940</v>
      </c>
      <c r="J6721" s="4" t="s">
        <v>2941</v>
      </c>
      <c r="K6721" s="4" t="s">
        <v>15278</v>
      </c>
      <c r="L6721" s="4" t="s">
        <v>15279</v>
      </c>
      <c r="M6721" s="4" t="s">
        <v>15280</v>
      </c>
      <c r="N6721" s="4" t="s">
        <v>15281</v>
      </c>
      <c r="O6721" s="4" t="s">
        <v>15278</v>
      </c>
      <c r="P6721" s="4" t="s">
        <v>15279</v>
      </c>
      <c r="Q6721" s="4" t="s">
        <v>15280</v>
      </c>
      <c r="R6721" s="4" t="s">
        <v>15281</v>
      </c>
    </row>
    <row r="6722">
      <c r="A6722" s="4">
        <v>96.0</v>
      </c>
      <c r="B6722" s="4" t="s">
        <v>14747</v>
      </c>
      <c r="C6722" s="4"/>
      <c r="D6722" s="4" t="s">
        <v>10754</v>
      </c>
      <c r="E6722" s="4" t="s">
        <v>15282</v>
      </c>
      <c r="F6722" s="4" t="s">
        <v>10754</v>
      </c>
      <c r="G6722" s="5" t="str">
        <f>IFERROR(__xludf.DUMMYFUNCTION("GOOGLETRANSLATE(D6722,""id"",""es"")"),"índigo")</f>
        <v>índigo</v>
      </c>
      <c r="H6722" s="4" t="s">
        <v>15283</v>
      </c>
      <c r="I6722" s="4" t="s">
        <v>15284</v>
      </c>
      <c r="J6722" s="4" t="s">
        <v>15283</v>
      </c>
      <c r="K6722" s="4" t="s">
        <v>15285</v>
      </c>
      <c r="L6722" s="4" t="s">
        <v>14109</v>
      </c>
      <c r="M6722" s="4" t="s">
        <v>14110</v>
      </c>
      <c r="N6722" s="4" t="s">
        <v>405</v>
      </c>
    </row>
    <row r="6723">
      <c r="A6723" s="4">
        <v>97.0</v>
      </c>
      <c r="B6723" s="4" t="s">
        <v>14747</v>
      </c>
      <c r="C6723" s="4"/>
      <c r="D6723" s="4" t="s">
        <v>15286</v>
      </c>
      <c r="E6723" s="4" t="s">
        <v>15287</v>
      </c>
      <c r="F6723" s="4" t="s">
        <v>15288</v>
      </c>
      <c r="G6723" s="5" t="str">
        <f>IFERROR(__xludf.DUMMYFUNCTION("GOOGLETRANSLATE(D6723,""id"",""es"")"),"cantar")</f>
        <v>cantar</v>
      </c>
      <c r="H6723" s="4" t="s">
        <v>8816</v>
      </c>
    </row>
    <row r="6724">
      <c r="A6724" s="4">
        <v>98.0</v>
      </c>
      <c r="B6724" s="4" t="s">
        <v>14747</v>
      </c>
      <c r="C6724" s="4"/>
      <c r="D6724" s="4" t="s">
        <v>15289</v>
      </c>
      <c r="E6724" s="4" t="s">
        <v>15290</v>
      </c>
      <c r="F6724" s="4" t="s">
        <v>15289</v>
      </c>
      <c r="G6724" s="5" t="str">
        <f>IFERROR(__xludf.DUMMYFUNCTION("GOOGLETRANSLATE(D6724,""id"",""es"")"),"premio")</f>
        <v>premio</v>
      </c>
    </row>
    <row r="6725">
      <c r="A6725" s="4">
        <v>99.0</v>
      </c>
      <c r="B6725" s="4" t="s">
        <v>14747</v>
      </c>
      <c r="C6725" s="4"/>
      <c r="D6725" s="4" t="s">
        <v>15291</v>
      </c>
      <c r="E6725" s="4" t="s">
        <v>15292</v>
      </c>
      <c r="F6725" s="4" t="s">
        <v>15291</v>
      </c>
      <c r="G6725" s="5" t="str">
        <f>IFERROR(__xludf.DUMMYFUNCTION("GOOGLETRANSLATE(D6725,""id"",""es"")"),"comprender")</f>
        <v>comprender</v>
      </c>
    </row>
    <row r="6726">
      <c r="A6726" s="4">
        <v>100.0</v>
      </c>
      <c r="B6726" s="4" t="s">
        <v>14747</v>
      </c>
      <c r="C6726" s="4"/>
      <c r="D6726" s="4" t="s">
        <v>10886</v>
      </c>
      <c r="E6726" s="4" t="s">
        <v>15293</v>
      </c>
      <c r="F6726" s="4" t="s">
        <v>10886</v>
      </c>
      <c r="G6726" s="5" t="str">
        <f>IFERROR(__xludf.DUMMYFUNCTION("GOOGLETRANSLATE(D6726,""id"",""es"")"),"uña")</f>
        <v>uña</v>
      </c>
      <c r="H6726" s="4" t="s">
        <v>8236</v>
      </c>
      <c r="I6726" s="4" t="s">
        <v>15294</v>
      </c>
    </row>
    <row r="6727">
      <c r="A6727" s="4">
        <v>101.0</v>
      </c>
      <c r="B6727" s="4" t="s">
        <v>14747</v>
      </c>
      <c r="C6727" s="4"/>
      <c r="D6727" s="4" t="s">
        <v>3173</v>
      </c>
      <c r="E6727" s="4" t="s">
        <v>3174</v>
      </c>
      <c r="F6727" s="4" t="s">
        <v>3173</v>
      </c>
      <c r="G6727" s="5" t="str">
        <f>IFERROR(__xludf.DUMMYFUNCTION("GOOGLETRANSLATE(D6727,""id"",""es"")"),"nuez moscada")</f>
        <v>nuez moscada</v>
      </c>
      <c r="H6727" s="4" t="s">
        <v>15295</v>
      </c>
      <c r="I6727" s="4" t="s">
        <v>15296</v>
      </c>
      <c r="J6727" s="4" t="s">
        <v>15296</v>
      </c>
      <c r="K6727" s="4" t="s">
        <v>15297</v>
      </c>
      <c r="L6727" s="4" t="s">
        <v>15298</v>
      </c>
    </row>
    <row r="6728">
      <c r="A6728" s="4">
        <v>102.0</v>
      </c>
      <c r="B6728" s="4" t="s">
        <v>14747</v>
      </c>
      <c r="C6728" s="4"/>
      <c r="D6728" s="4" t="s">
        <v>15299</v>
      </c>
      <c r="E6728" s="4" t="s">
        <v>15300</v>
      </c>
      <c r="F6728" s="4" t="s">
        <v>15299</v>
      </c>
      <c r="G6728" s="5" t="str">
        <f>IFERROR(__xludf.DUMMYFUNCTION("GOOGLETRANSLATE(D6728,""id"",""es"")"),"martillo")</f>
        <v>martillo</v>
      </c>
    </row>
    <row r="6729">
      <c r="A6729" s="4">
        <v>103.0</v>
      </c>
      <c r="B6729" s="4" t="s">
        <v>14747</v>
      </c>
      <c r="C6729" s="4"/>
      <c r="D6729" s="4" t="s">
        <v>14680</v>
      </c>
      <c r="E6729" s="4" t="s">
        <v>14679</v>
      </c>
      <c r="F6729" s="4" t="s">
        <v>14680</v>
      </c>
      <c r="G6729" s="5" t="str">
        <f>IFERROR(__xludf.DUMMYFUNCTION("GOOGLETRANSLATE(D6729,""id"",""es"")"),"caliente")</f>
        <v>caliente</v>
      </c>
      <c r="H6729" s="4" t="s">
        <v>15301</v>
      </c>
      <c r="I6729" s="4" t="s">
        <v>15301</v>
      </c>
      <c r="J6729" s="4" t="s">
        <v>691</v>
      </c>
      <c r="K6729" s="4" t="s">
        <v>15302</v>
      </c>
      <c r="L6729" s="4" t="s">
        <v>15303</v>
      </c>
      <c r="M6729" s="4" t="s">
        <v>546</v>
      </c>
      <c r="N6729" s="4" t="s">
        <v>15303</v>
      </c>
      <c r="O6729" s="4" t="s">
        <v>15304</v>
      </c>
      <c r="P6729" s="4" t="s">
        <v>15305</v>
      </c>
      <c r="Q6729" s="4" t="s">
        <v>15306</v>
      </c>
      <c r="R6729" s="4" t="s">
        <v>15307</v>
      </c>
      <c r="S6729" s="4" t="s">
        <v>15303</v>
      </c>
      <c r="T6729" s="4" t="s">
        <v>15308</v>
      </c>
      <c r="U6729" s="4" t="s">
        <v>15303</v>
      </c>
      <c r="V6729" s="4" t="s">
        <v>15303</v>
      </c>
      <c r="W6729" s="4" t="s">
        <v>15309</v>
      </c>
      <c r="X6729" s="4" t="s">
        <v>15301</v>
      </c>
      <c r="Y6729" s="4" t="s">
        <v>15310</v>
      </c>
      <c r="Z6729" s="4" t="s">
        <v>15311</v>
      </c>
      <c r="AA6729" s="4" t="s">
        <v>15312</v>
      </c>
      <c r="AB6729" s="4" t="s">
        <v>15313</v>
      </c>
      <c r="AC6729" s="4" t="s">
        <v>15314</v>
      </c>
      <c r="AD6729" s="4" t="s">
        <v>15315</v>
      </c>
      <c r="AE6729" s="4" t="s">
        <v>15310</v>
      </c>
      <c r="AF6729" s="4" t="s">
        <v>15316</v>
      </c>
      <c r="AG6729" s="4" t="s">
        <v>15317</v>
      </c>
      <c r="AH6729" s="4" t="s">
        <v>15318</v>
      </c>
      <c r="AI6729" s="4" t="s">
        <v>15319</v>
      </c>
      <c r="AJ6729" s="4" t="s">
        <v>14296</v>
      </c>
      <c r="AK6729" s="4" t="s">
        <v>15317</v>
      </c>
      <c r="AL6729" s="4" t="s">
        <v>15319</v>
      </c>
      <c r="AM6729" s="4" t="s">
        <v>15320</v>
      </c>
      <c r="AN6729" s="4" t="s">
        <v>15321</v>
      </c>
      <c r="AO6729" s="4" t="s">
        <v>15317</v>
      </c>
      <c r="AP6729" s="4" t="s">
        <v>15322</v>
      </c>
    </row>
    <row r="6730">
      <c r="A6730" s="4">
        <v>104.0</v>
      </c>
      <c r="B6730" s="4" t="s">
        <v>14747</v>
      </c>
      <c r="C6730" s="4"/>
      <c r="D6730" s="4" t="s">
        <v>7088</v>
      </c>
      <c r="E6730" s="4" t="s">
        <v>13213</v>
      </c>
      <c r="F6730" s="4" t="s">
        <v>7088</v>
      </c>
      <c r="G6730" s="5" t="str">
        <f>IFERROR(__xludf.DUMMYFUNCTION("GOOGLETRANSLATE(D6730,""id"",""es"")"),"Papilla")</f>
        <v>Papilla</v>
      </c>
    </row>
    <row r="6731">
      <c r="A6731" s="4">
        <v>105.0</v>
      </c>
      <c r="B6731" s="4" t="s">
        <v>14747</v>
      </c>
      <c r="C6731" s="4"/>
      <c r="D6731" s="4" t="s">
        <v>3292</v>
      </c>
      <c r="E6731" s="4" t="s">
        <v>3293</v>
      </c>
      <c r="F6731" s="4" t="s">
        <v>3292</v>
      </c>
      <c r="G6731" s="5" t="str">
        <f>IFERROR(__xludf.DUMMYFUNCTION("GOOGLETRANSLATE(D6731,""id"",""es"")"),"Papá")</f>
        <v>Papá</v>
      </c>
      <c r="H6731" s="4" t="s">
        <v>15323</v>
      </c>
      <c r="I6731" s="4" t="s">
        <v>15323</v>
      </c>
      <c r="J6731" s="4" t="s">
        <v>3299</v>
      </c>
      <c r="K6731" s="4" t="s">
        <v>3300</v>
      </c>
      <c r="L6731" s="4" t="s">
        <v>3301</v>
      </c>
    </row>
    <row r="6732">
      <c r="A6732" s="4">
        <v>106.0</v>
      </c>
      <c r="B6732" s="4" t="s">
        <v>14747</v>
      </c>
      <c r="C6732" s="4"/>
      <c r="D6732" s="4" t="s">
        <v>5504</v>
      </c>
      <c r="E6732" s="4" t="s">
        <v>5503</v>
      </c>
      <c r="F6732" s="4" t="s">
        <v>5504</v>
      </c>
      <c r="G6732" s="5" t="str">
        <f>IFERROR(__xludf.DUMMYFUNCTION("GOOGLETRANSLATE(D6732,""id"",""es"")"),"mejilla")</f>
        <v>mejilla</v>
      </c>
      <c r="H6732" s="4" t="s">
        <v>1311</v>
      </c>
      <c r="I6732" s="4" t="s">
        <v>1312</v>
      </c>
      <c r="J6732" s="4" t="s">
        <v>1313</v>
      </c>
      <c r="K6732" s="4" t="s">
        <v>1310</v>
      </c>
      <c r="L6732" s="4" t="s">
        <v>1314</v>
      </c>
      <c r="M6732" s="4" t="s">
        <v>15324</v>
      </c>
      <c r="N6732" s="4" t="s">
        <v>1314</v>
      </c>
      <c r="O6732" s="4" t="s">
        <v>1314</v>
      </c>
    </row>
    <row r="6733">
      <c r="A6733" s="4">
        <v>107.0</v>
      </c>
      <c r="B6733" s="4" t="s">
        <v>14747</v>
      </c>
      <c r="C6733" s="4"/>
      <c r="D6733" s="4" t="s">
        <v>395</v>
      </c>
      <c r="E6733" s="4" t="s">
        <v>394</v>
      </c>
      <c r="F6733" s="4" t="s">
        <v>395</v>
      </c>
      <c r="G6733" s="5" t="str">
        <f>IFERROR(__xludf.DUMMYFUNCTION("GOOGLETRANSLATE(D6733,""id"",""es"")"),"cinta")</f>
        <v>cinta</v>
      </c>
      <c r="H6733" s="4" t="s">
        <v>4080</v>
      </c>
      <c r="I6733" s="4" t="s">
        <v>4420</v>
      </c>
      <c r="J6733" s="4" t="s">
        <v>4420</v>
      </c>
      <c r="K6733" s="4" t="s">
        <v>4420</v>
      </c>
      <c r="L6733" s="4" t="s">
        <v>4421</v>
      </c>
      <c r="M6733" s="4" t="s">
        <v>4422</v>
      </c>
      <c r="N6733" s="4" t="s">
        <v>4420</v>
      </c>
      <c r="O6733" s="4" t="s">
        <v>4080</v>
      </c>
      <c r="P6733" s="4" t="s">
        <v>4420</v>
      </c>
      <c r="Q6733" s="4" t="s">
        <v>5413</v>
      </c>
      <c r="R6733" s="4" t="s">
        <v>15325</v>
      </c>
      <c r="S6733" s="4" t="s">
        <v>15326</v>
      </c>
      <c r="T6733" s="4" t="s">
        <v>13803</v>
      </c>
      <c r="U6733" s="4" t="s">
        <v>14501</v>
      </c>
      <c r="V6733" s="4" t="s">
        <v>8623</v>
      </c>
      <c r="W6733" s="4" t="s">
        <v>15327</v>
      </c>
      <c r="X6733" s="4" t="s">
        <v>13803</v>
      </c>
      <c r="Y6733" s="4" t="s">
        <v>13803</v>
      </c>
      <c r="Z6733" s="4" t="s">
        <v>15328</v>
      </c>
      <c r="AA6733" s="4" t="s">
        <v>15329</v>
      </c>
      <c r="AB6733" s="4" t="s">
        <v>4420</v>
      </c>
      <c r="AC6733" s="4" t="s">
        <v>4421</v>
      </c>
      <c r="AD6733" s="4" t="s">
        <v>15330</v>
      </c>
      <c r="AE6733" s="4" t="s">
        <v>15331</v>
      </c>
      <c r="AF6733" s="4" t="s">
        <v>395</v>
      </c>
      <c r="AG6733" s="4" t="s">
        <v>3587</v>
      </c>
      <c r="AH6733" s="4" t="s">
        <v>8623</v>
      </c>
      <c r="AI6733" s="4" t="s">
        <v>8975</v>
      </c>
    </row>
    <row r="6734">
      <c r="A6734" s="4">
        <v>108.0</v>
      </c>
      <c r="B6734" s="4" t="s">
        <v>14747</v>
      </c>
      <c r="C6734" s="4"/>
      <c r="D6734" s="4" t="s">
        <v>15332</v>
      </c>
      <c r="E6734" s="4" t="s">
        <v>15333</v>
      </c>
      <c r="F6734" s="4" t="s">
        <v>15332</v>
      </c>
      <c r="G6734" s="5" t="str">
        <f>IFERROR(__xludf.DUMMYFUNCTION("GOOGLETRANSLATE(D6734,""id"",""es"")"),"descanso")</f>
        <v>descanso</v>
      </c>
      <c r="H6734" s="4" t="s">
        <v>4305</v>
      </c>
      <c r="I6734" s="4" t="s">
        <v>4305</v>
      </c>
      <c r="J6734" s="4" t="s">
        <v>15334</v>
      </c>
      <c r="K6734" s="4" t="s">
        <v>15335</v>
      </c>
      <c r="L6734" s="4" t="s">
        <v>15336</v>
      </c>
      <c r="M6734" s="4" t="s">
        <v>15337</v>
      </c>
      <c r="N6734" s="4" t="s">
        <v>7113</v>
      </c>
      <c r="O6734" s="4" t="s">
        <v>2075</v>
      </c>
      <c r="P6734" s="4" t="s">
        <v>4305</v>
      </c>
      <c r="Q6734" s="4" t="s">
        <v>10926</v>
      </c>
      <c r="R6734" s="4" t="s">
        <v>7113</v>
      </c>
      <c r="S6734" s="4" t="s">
        <v>4305</v>
      </c>
      <c r="T6734" s="4" t="s">
        <v>6487</v>
      </c>
      <c r="U6734" s="4" t="s">
        <v>3346</v>
      </c>
      <c r="V6734" s="4" t="s">
        <v>945</v>
      </c>
      <c r="W6734" s="4" t="s">
        <v>15338</v>
      </c>
      <c r="X6734" s="4" t="s">
        <v>15339</v>
      </c>
      <c r="Y6734" s="4" t="s">
        <v>15340</v>
      </c>
      <c r="Z6734" s="4" t="s">
        <v>15341</v>
      </c>
      <c r="AA6734" s="4" t="s">
        <v>3130</v>
      </c>
      <c r="AB6734" s="4" t="s">
        <v>4305</v>
      </c>
      <c r="AC6734" s="4" t="s">
        <v>10926</v>
      </c>
      <c r="AD6734" s="4" t="s">
        <v>15342</v>
      </c>
      <c r="AE6734" s="4" t="s">
        <v>15343</v>
      </c>
      <c r="AF6734" s="4" t="s">
        <v>15344</v>
      </c>
      <c r="AG6734" s="4" t="s">
        <v>3130</v>
      </c>
      <c r="AH6734" s="4" t="s">
        <v>15345</v>
      </c>
      <c r="AI6734" s="4" t="s">
        <v>10461</v>
      </c>
      <c r="AJ6734" s="4" t="s">
        <v>15346</v>
      </c>
      <c r="AK6734" s="4" t="s">
        <v>4305</v>
      </c>
      <c r="AL6734" s="4" t="s">
        <v>15347</v>
      </c>
      <c r="AM6734" s="4" t="s">
        <v>15348</v>
      </c>
      <c r="AN6734" s="4" t="s">
        <v>15349</v>
      </c>
      <c r="AO6734" s="4" t="s">
        <v>15350</v>
      </c>
      <c r="AP6734" s="4" t="s">
        <v>7312</v>
      </c>
      <c r="AQ6734" s="4" t="s">
        <v>15351</v>
      </c>
      <c r="AR6734" s="4" t="s">
        <v>10926</v>
      </c>
      <c r="AS6734" s="4" t="s">
        <v>15347</v>
      </c>
      <c r="AT6734" s="4" t="s">
        <v>10926</v>
      </c>
      <c r="AU6734" s="4" t="s">
        <v>15334</v>
      </c>
      <c r="AV6734" s="4" t="s">
        <v>10894</v>
      </c>
      <c r="AW6734" s="4" t="s">
        <v>15335</v>
      </c>
      <c r="AX6734" s="4" t="s">
        <v>4303</v>
      </c>
      <c r="AY6734" s="4" t="s">
        <v>4305</v>
      </c>
      <c r="AZ6734" s="4" t="s">
        <v>943</v>
      </c>
      <c r="BA6734" s="4" t="s">
        <v>15352</v>
      </c>
      <c r="BB6734" s="4" t="s">
        <v>4305</v>
      </c>
      <c r="BC6734" s="4" t="s">
        <v>4306</v>
      </c>
      <c r="BD6734" s="4" t="s">
        <v>4305</v>
      </c>
      <c r="BE6734" s="4" t="s">
        <v>15351</v>
      </c>
      <c r="BF6734" s="4" t="s">
        <v>15353</v>
      </c>
      <c r="BG6734" s="4" t="s">
        <v>4305</v>
      </c>
      <c r="BH6734" s="4" t="s">
        <v>15354</v>
      </c>
      <c r="BI6734" s="4" t="s">
        <v>15355</v>
      </c>
      <c r="BJ6734" s="4" t="s">
        <v>15356</v>
      </c>
    </row>
    <row r="6735">
      <c r="A6735" s="4">
        <v>109.0</v>
      </c>
      <c r="B6735" s="4" t="s">
        <v>14747</v>
      </c>
      <c r="C6735" s="4"/>
      <c r="D6735" s="4" t="s">
        <v>9176</v>
      </c>
      <c r="E6735" s="4" t="s">
        <v>2013</v>
      </c>
      <c r="F6735" s="4" t="s">
        <v>2014</v>
      </c>
      <c r="G6735" s="5" t="str">
        <f>IFERROR(__xludf.DUMMYFUNCTION("GOOGLETRANSLATE(D6735,""id"",""es"")"),".")</f>
        <v>.</v>
      </c>
      <c r="H6735" s="4" t="s">
        <v>15357</v>
      </c>
      <c r="I6735" s="4" t="s">
        <v>9176</v>
      </c>
    </row>
    <row r="6736">
      <c r="A6736" s="4">
        <v>110.0</v>
      </c>
      <c r="B6736" s="4" t="s">
        <v>14747</v>
      </c>
      <c r="C6736" s="4"/>
      <c r="D6736" s="4" t="s">
        <v>15358</v>
      </c>
      <c r="E6736" s="4" t="s">
        <v>15359</v>
      </c>
      <c r="F6736" s="4" t="s">
        <v>15358</v>
      </c>
      <c r="G6736" s="5" t="str">
        <f>IFERROR(__xludf.DUMMYFUNCTION("GOOGLETRANSLATE(D6736,""id"",""es"")"),"Qanun")</f>
        <v>Qanun</v>
      </c>
    </row>
    <row r="6737">
      <c r="A6737" s="4">
        <v>111.0</v>
      </c>
      <c r="B6737" s="4" t="s">
        <v>14747</v>
      </c>
      <c r="C6737" s="4"/>
      <c r="D6737" s="4" t="s">
        <v>3861</v>
      </c>
      <c r="E6737" s="4" t="s">
        <v>3862</v>
      </c>
      <c r="F6737" s="4" t="s">
        <v>3861</v>
      </c>
      <c r="G6737" s="5" t="str">
        <f>IFERROR(__xludf.DUMMYFUNCTION("GOOGLETRANSLATE(D6737,""id"",""es"")"),"SA")</f>
        <v>SA</v>
      </c>
      <c r="H6737" s="4" t="s">
        <v>11060</v>
      </c>
      <c r="I6737" s="4" t="s">
        <v>11061</v>
      </c>
      <c r="J6737" s="4" t="s">
        <v>11062</v>
      </c>
    </row>
    <row r="6738">
      <c r="A6738" s="4">
        <v>112.0</v>
      </c>
      <c r="B6738" s="4" t="s">
        <v>14747</v>
      </c>
      <c r="C6738" s="4"/>
      <c r="D6738" s="4" t="s">
        <v>15360</v>
      </c>
      <c r="E6738" s="4" t="s">
        <v>15361</v>
      </c>
      <c r="F6738" s="4" t="s">
        <v>15360</v>
      </c>
      <c r="G6738" s="5" t="str">
        <f>IFERROR(__xludf.DUMMYFUNCTION("GOOGLETRANSLATE(D6738,""id"",""es"")"),"Sahaya")</f>
        <v>Sahaya</v>
      </c>
      <c r="H6738" s="4" t="s">
        <v>15362</v>
      </c>
    </row>
    <row r="6739">
      <c r="A6739" s="4">
        <v>113.0</v>
      </c>
      <c r="B6739" s="4" t="s">
        <v>14747</v>
      </c>
      <c r="C6739" s="4"/>
      <c r="D6739" s="4" t="s">
        <v>3881</v>
      </c>
      <c r="E6739" s="4" t="s">
        <v>3880</v>
      </c>
      <c r="F6739" s="4" t="s">
        <v>3881</v>
      </c>
      <c r="G6739" s="5" t="str">
        <f>IFERROR(__xludf.DUMMYFUNCTION("GOOGLETRANSLATE(D6739,""id"",""es"")"),"Saka")</f>
        <v>Saka</v>
      </c>
      <c r="H6739" s="4" t="s">
        <v>15363</v>
      </c>
      <c r="I6739" s="4" t="s">
        <v>15363</v>
      </c>
    </row>
    <row r="6740">
      <c r="A6740" s="4">
        <v>114.0</v>
      </c>
      <c r="B6740" s="4" t="s">
        <v>14747</v>
      </c>
      <c r="C6740" s="4"/>
      <c r="D6740" s="4" t="s">
        <v>3882</v>
      </c>
      <c r="E6740" s="4" t="s">
        <v>3883</v>
      </c>
      <c r="F6740" s="4" t="s">
        <v>3882</v>
      </c>
      <c r="G6740" s="5" t="str">
        <f>IFERROR(__xludf.DUMMYFUNCTION("GOOGLETRANSLATE(D6740,""id"",""es"")"),"sal")</f>
        <v>sal</v>
      </c>
    </row>
    <row r="6741">
      <c r="A6741" s="4">
        <v>115.0</v>
      </c>
      <c r="B6741" s="4" t="s">
        <v>14747</v>
      </c>
      <c r="C6741" s="4"/>
      <c r="D6741" s="4" t="s">
        <v>3890</v>
      </c>
      <c r="E6741" s="4" t="s">
        <v>3891</v>
      </c>
      <c r="F6741" s="4" t="s">
        <v>3890</v>
      </c>
      <c r="G6741" s="5" t="str">
        <f>IFERROR(__xludf.DUMMYFUNCTION("GOOGLETRANSLATE(D6741,""id"",""es"")"),"Sala")</f>
        <v>Sala</v>
      </c>
    </row>
    <row r="6742">
      <c r="A6742" s="4">
        <v>116.0</v>
      </c>
      <c r="B6742" s="4" t="s">
        <v>14747</v>
      </c>
      <c r="C6742" s="4"/>
      <c r="D6742" s="4" t="s">
        <v>11096</v>
      </c>
      <c r="E6742" s="4" t="s">
        <v>15364</v>
      </c>
      <c r="F6742" s="4" t="s">
        <v>11096</v>
      </c>
      <c r="G6742" s="5" t="str">
        <f>IFERROR(__xludf.DUMMYFUNCTION("GOOGLETRANSLATE(D6742,""id"",""es"")"),"mismo")</f>
        <v>mismo</v>
      </c>
      <c r="H6742" s="4" t="s">
        <v>5871</v>
      </c>
      <c r="I6742" s="4" t="s">
        <v>295</v>
      </c>
      <c r="J6742" s="4" t="s">
        <v>5872</v>
      </c>
      <c r="K6742" s="4" t="s">
        <v>15365</v>
      </c>
      <c r="L6742" s="4" t="s">
        <v>15366</v>
      </c>
      <c r="M6742" s="4" t="s">
        <v>1529</v>
      </c>
      <c r="N6742" s="4" t="s">
        <v>15367</v>
      </c>
      <c r="O6742" s="4" t="s">
        <v>15368</v>
      </c>
      <c r="P6742" s="4" t="s">
        <v>15218</v>
      </c>
      <c r="Q6742" s="4" t="s">
        <v>15369</v>
      </c>
      <c r="R6742" s="4" t="s">
        <v>15370</v>
      </c>
      <c r="S6742" s="4" t="s">
        <v>15368</v>
      </c>
      <c r="T6742" s="4" t="s">
        <v>3988</v>
      </c>
      <c r="U6742" s="4" t="s">
        <v>3983</v>
      </c>
      <c r="V6742" s="4" t="s">
        <v>3987</v>
      </c>
      <c r="W6742" s="4" t="s">
        <v>3983</v>
      </c>
      <c r="X6742" s="4" t="s">
        <v>3988</v>
      </c>
      <c r="Y6742" s="4" t="s">
        <v>3988</v>
      </c>
      <c r="Z6742" s="4" t="s">
        <v>15366</v>
      </c>
      <c r="AA6742" s="4" t="s">
        <v>1529</v>
      </c>
      <c r="AB6742" s="4" t="s">
        <v>15368</v>
      </c>
      <c r="AC6742" s="4" t="s">
        <v>15371</v>
      </c>
      <c r="AD6742" s="4" t="s">
        <v>15366</v>
      </c>
      <c r="AE6742" s="4" t="s">
        <v>15372</v>
      </c>
      <c r="AF6742" s="4" t="s">
        <v>15373</v>
      </c>
      <c r="AG6742" s="4" t="s">
        <v>3988</v>
      </c>
      <c r="AH6742" s="4" t="s">
        <v>15374</v>
      </c>
      <c r="AI6742" s="4" t="s">
        <v>15375</v>
      </c>
      <c r="AJ6742" s="4" t="s">
        <v>15366</v>
      </c>
      <c r="AK6742" s="4" t="s">
        <v>15374</v>
      </c>
      <c r="AL6742" s="4" t="s">
        <v>15376</v>
      </c>
      <c r="AM6742" s="4" t="s">
        <v>15377</v>
      </c>
      <c r="AN6742" s="4" t="s">
        <v>6443</v>
      </c>
      <c r="AO6742" s="4" t="s">
        <v>6440</v>
      </c>
      <c r="AP6742" s="4" t="s">
        <v>1529</v>
      </c>
      <c r="AQ6742" s="4" t="s">
        <v>1541</v>
      </c>
      <c r="AR6742" s="4" t="s">
        <v>15378</v>
      </c>
      <c r="AS6742" s="4" t="s">
        <v>7722</v>
      </c>
      <c r="AT6742" s="4" t="s">
        <v>1266</v>
      </c>
      <c r="AU6742" s="4" t="s">
        <v>7723</v>
      </c>
      <c r="AV6742" s="4" t="s">
        <v>2075</v>
      </c>
      <c r="AW6742" s="4" t="s">
        <v>7724</v>
      </c>
      <c r="AX6742" s="4" t="s">
        <v>7725</v>
      </c>
      <c r="AY6742" s="4" t="s">
        <v>4143</v>
      </c>
      <c r="AZ6742" s="4" t="s">
        <v>7726</v>
      </c>
      <c r="BA6742" s="4" t="s">
        <v>15379</v>
      </c>
      <c r="BB6742" s="4" t="s">
        <v>1256</v>
      </c>
      <c r="BC6742" s="4" t="s">
        <v>3426</v>
      </c>
      <c r="BD6742" s="4" t="s">
        <v>15380</v>
      </c>
      <c r="BE6742" s="4" t="s">
        <v>15381</v>
      </c>
      <c r="BF6742" s="4" t="s">
        <v>15382</v>
      </c>
      <c r="BG6742" s="4" t="s">
        <v>15383</v>
      </c>
      <c r="BH6742" s="4" t="s">
        <v>15384</v>
      </c>
      <c r="BI6742" s="4" t="s">
        <v>15385</v>
      </c>
      <c r="BJ6742" s="4" t="s">
        <v>15386</v>
      </c>
      <c r="BK6742" s="4" t="s">
        <v>7726</v>
      </c>
      <c r="BL6742" s="4" t="s">
        <v>15387</v>
      </c>
      <c r="BM6742" s="4" t="s">
        <v>2583</v>
      </c>
      <c r="BN6742" s="4" t="s">
        <v>15388</v>
      </c>
      <c r="BO6742" s="4" t="s">
        <v>15389</v>
      </c>
      <c r="BP6742" s="4" t="s">
        <v>15390</v>
      </c>
      <c r="BQ6742" s="4" t="s">
        <v>15391</v>
      </c>
      <c r="BR6742" s="4" t="s">
        <v>15392</v>
      </c>
      <c r="BS6742" s="4" t="s">
        <v>15393</v>
      </c>
      <c r="BT6742" s="4" t="s">
        <v>15394</v>
      </c>
      <c r="BU6742" s="4" t="s">
        <v>15395</v>
      </c>
      <c r="BV6742" s="4" t="s">
        <v>15392</v>
      </c>
      <c r="BW6742" s="4" t="s">
        <v>15396</v>
      </c>
      <c r="BX6742" s="4" t="s">
        <v>1256</v>
      </c>
      <c r="BY6742" s="4" t="s">
        <v>7722</v>
      </c>
      <c r="BZ6742" s="4" t="s">
        <v>15397</v>
      </c>
    </row>
    <row r="6743">
      <c r="A6743" s="4">
        <v>117.0</v>
      </c>
      <c r="B6743" s="4" t="s">
        <v>14747</v>
      </c>
      <c r="C6743" s="4"/>
      <c r="D6743" s="4" t="s">
        <v>15398</v>
      </c>
      <c r="E6743" s="4" t="s">
        <v>15399</v>
      </c>
      <c r="F6743" s="4" t="s">
        <v>15398</v>
      </c>
      <c r="G6743" s="5" t="str">
        <f>IFERROR(__xludf.DUMMYFUNCTION("GOOGLETRANSLATE(D6743,""id"",""es"")"),"Sasana")</f>
        <v>Sasana</v>
      </c>
    </row>
    <row r="6744">
      <c r="A6744" s="4">
        <v>118.0</v>
      </c>
      <c r="B6744" s="4" t="s">
        <v>14747</v>
      </c>
      <c r="C6744" s="4"/>
      <c r="D6744" s="4" t="s">
        <v>11138</v>
      </c>
      <c r="E6744" s="4" t="s">
        <v>15400</v>
      </c>
      <c r="F6744" s="4" t="s">
        <v>11138</v>
      </c>
      <c r="G6744" s="5" t="str">
        <f>IFERROR(__xludf.DUMMYFUNCTION("GOOGLETRANSLATE(D6744,""id"",""es"")"),"una")</f>
        <v>una</v>
      </c>
      <c r="H6744" s="4" t="s">
        <v>8959</v>
      </c>
      <c r="I6744" s="4" t="s">
        <v>2548</v>
      </c>
      <c r="J6744" s="4" t="s">
        <v>15401</v>
      </c>
      <c r="K6744" s="4" t="s">
        <v>15402</v>
      </c>
      <c r="L6744" s="4" t="s">
        <v>1846</v>
      </c>
      <c r="M6744" s="4" t="s">
        <v>8898</v>
      </c>
      <c r="N6744" s="4" t="s">
        <v>4635</v>
      </c>
      <c r="O6744" s="4">
        <v>1.0</v>
      </c>
      <c r="P6744" s="4" t="s">
        <v>4636</v>
      </c>
      <c r="Q6744" s="4" t="s">
        <v>4637</v>
      </c>
      <c r="R6744" s="4" t="s">
        <v>3486</v>
      </c>
      <c r="S6744" s="4" t="s">
        <v>2602</v>
      </c>
      <c r="T6744" s="4" t="s">
        <v>4635</v>
      </c>
      <c r="U6744" s="4">
        <v>1.0</v>
      </c>
      <c r="V6744" s="4" t="s">
        <v>8897</v>
      </c>
      <c r="W6744" s="4" t="s">
        <v>833</v>
      </c>
      <c r="X6744" s="4" t="s">
        <v>8898</v>
      </c>
      <c r="Y6744" s="4" t="s">
        <v>8892</v>
      </c>
    </row>
    <row r="6745">
      <c r="A6745" s="4">
        <v>119.0</v>
      </c>
      <c r="B6745" s="4" t="s">
        <v>14747</v>
      </c>
      <c r="C6745" s="4"/>
      <c r="D6745" s="4" t="s">
        <v>15403</v>
      </c>
      <c r="E6745" s="4" t="s">
        <v>15404</v>
      </c>
      <c r="F6745" s="4" t="s">
        <v>15403</v>
      </c>
      <c r="G6745" s="5" t="str">
        <f>IFERROR(__xludf.DUMMYFUNCTION("GOOGLETRANSLATE(D6745,""id"",""es"")"),"yo")</f>
        <v>yo</v>
      </c>
      <c r="H6745" s="4" t="s">
        <v>8511</v>
      </c>
      <c r="I6745" s="4" t="s">
        <v>8512</v>
      </c>
      <c r="J6745" s="4" t="s">
        <v>8513</v>
      </c>
    </row>
    <row r="6746">
      <c r="A6746" s="4">
        <v>120.0</v>
      </c>
      <c r="B6746" s="4" t="s">
        <v>14747</v>
      </c>
      <c r="C6746" s="4"/>
      <c r="D6746" s="4" t="s">
        <v>401</v>
      </c>
      <c r="E6746" s="4" t="s">
        <v>400</v>
      </c>
      <c r="F6746" s="4" t="s">
        <v>401</v>
      </c>
      <c r="G6746" s="5" t="str">
        <f>IFERROR(__xludf.DUMMYFUNCTION("GOOGLETRANSLATE(D6746,""id"",""es"")"),"Si")</f>
        <v>Si</v>
      </c>
    </row>
    <row r="6747">
      <c r="A6747" s="4">
        <v>121.0</v>
      </c>
      <c r="B6747" s="4" t="s">
        <v>14747</v>
      </c>
      <c r="C6747" s="4"/>
      <c r="D6747" s="4" t="s">
        <v>15405</v>
      </c>
      <c r="E6747" s="4" t="s">
        <v>15406</v>
      </c>
      <c r="F6747" s="4" t="s">
        <v>15405</v>
      </c>
      <c r="G6747" s="5" t="str">
        <f>IFERROR(__xludf.DUMMYFUNCTION("GOOGLETRANSLATE(D6747,""id"",""es"")"),"atrás")</f>
        <v>atrás</v>
      </c>
      <c r="H6747" s="4" t="s">
        <v>9049</v>
      </c>
      <c r="I6747" s="4" t="s">
        <v>15407</v>
      </c>
      <c r="J6747" s="4" t="s">
        <v>15408</v>
      </c>
      <c r="K6747" s="4" t="s">
        <v>9007</v>
      </c>
      <c r="L6747" s="4" t="s">
        <v>15409</v>
      </c>
      <c r="M6747" s="4" t="s">
        <v>15410</v>
      </c>
      <c r="N6747" s="4" t="s">
        <v>15407</v>
      </c>
      <c r="O6747" s="4" t="s">
        <v>15411</v>
      </c>
    </row>
    <row r="6748">
      <c r="A6748" s="4">
        <v>122.0</v>
      </c>
      <c r="B6748" s="4" t="s">
        <v>14747</v>
      </c>
      <c r="C6748" s="4"/>
      <c r="D6748" s="4" t="s">
        <v>1399</v>
      </c>
      <c r="E6748" s="4" t="s">
        <v>7608</v>
      </c>
      <c r="F6748" s="4" t="s">
        <v>1399</v>
      </c>
      <c r="G6748" s="5" t="str">
        <f>IFERROR(__xludf.DUMMYFUNCTION("GOOGLETRANSLATE(D6748,""id"",""es"")"),"Simulador")</f>
        <v>Simulador</v>
      </c>
    </row>
    <row r="6749">
      <c r="A6749" s="4">
        <v>123.0</v>
      </c>
      <c r="B6749" s="4" t="s">
        <v>14747</v>
      </c>
      <c r="C6749" s="4"/>
      <c r="D6749" s="4" t="s">
        <v>11183</v>
      </c>
      <c r="E6749" s="4" t="s">
        <v>11184</v>
      </c>
      <c r="F6749" s="4" t="s">
        <v>11183</v>
      </c>
      <c r="G6749" s="5" t="str">
        <f>IFERROR(__xludf.DUMMYFUNCTION("GOOGLETRANSLATE(D6749,""id"",""es"")"),"aquí")</f>
        <v>aquí</v>
      </c>
      <c r="H6749" s="4" t="s">
        <v>12389</v>
      </c>
    </row>
    <row r="6750">
      <c r="A6750" s="4">
        <v>124.0</v>
      </c>
      <c r="B6750" s="4" t="s">
        <v>14747</v>
      </c>
      <c r="C6750" s="4"/>
      <c r="D6750" s="4" t="s">
        <v>15412</v>
      </c>
      <c r="E6750" s="4" t="s">
        <v>15413</v>
      </c>
      <c r="F6750" s="4" t="s">
        <v>15412</v>
      </c>
      <c r="G6750" s="5" t="str">
        <f>IFERROR(__xludf.DUMMYFUNCTION("GOOGLETRANSLATE(D6750,""id"",""es"")"),"civil")</f>
        <v>civil</v>
      </c>
      <c r="H6750" s="4" t="s">
        <v>15414</v>
      </c>
    </row>
    <row r="6751">
      <c r="A6751" s="4">
        <v>125.0</v>
      </c>
      <c r="B6751" s="4" t="s">
        <v>14747</v>
      </c>
      <c r="C6751" s="4"/>
      <c r="D6751" s="4" t="s">
        <v>4115</v>
      </c>
      <c r="E6751" s="4" t="s">
        <v>4114</v>
      </c>
      <c r="F6751" s="4" t="s">
        <v>4115</v>
      </c>
      <c r="G6751" s="5" t="str">
        <f>IFERROR(__xludf.DUMMYFUNCTION("GOOGLETRANSLATE(D6751,""id"",""es"")"),"me gusta")</f>
        <v>me gusta</v>
      </c>
      <c r="H6751" s="4" t="s">
        <v>15415</v>
      </c>
      <c r="I6751" s="4" t="s">
        <v>6170</v>
      </c>
      <c r="J6751" s="4" t="s">
        <v>6166</v>
      </c>
      <c r="K6751" s="4" t="s">
        <v>15416</v>
      </c>
      <c r="L6751" s="4" t="s">
        <v>9446</v>
      </c>
      <c r="M6751" s="4" t="s">
        <v>15417</v>
      </c>
      <c r="N6751" s="4" t="s">
        <v>15418</v>
      </c>
      <c r="O6751" s="4" t="s">
        <v>1652</v>
      </c>
      <c r="P6751" s="4" t="s">
        <v>15419</v>
      </c>
      <c r="Q6751" s="4" t="s">
        <v>15420</v>
      </c>
      <c r="R6751" s="4" t="s">
        <v>572</v>
      </c>
      <c r="S6751" s="4" t="s">
        <v>15421</v>
      </c>
      <c r="T6751" s="4" t="s">
        <v>15422</v>
      </c>
      <c r="U6751" s="4" t="s">
        <v>15423</v>
      </c>
      <c r="V6751" s="4" t="s">
        <v>3988</v>
      </c>
      <c r="W6751" s="4" t="s">
        <v>3988</v>
      </c>
      <c r="X6751" s="4" t="s">
        <v>9435</v>
      </c>
      <c r="Y6751" s="4" t="s">
        <v>1649</v>
      </c>
      <c r="Z6751" s="4" t="s">
        <v>3988</v>
      </c>
      <c r="AA6751" s="4" t="s">
        <v>572</v>
      </c>
      <c r="AB6751" s="4" t="s">
        <v>15424</v>
      </c>
      <c r="AC6751" s="4" t="s">
        <v>15419</v>
      </c>
      <c r="AD6751" s="4" t="s">
        <v>15425</v>
      </c>
      <c r="AE6751" s="4" t="s">
        <v>15426</v>
      </c>
      <c r="AF6751" s="4" t="s">
        <v>15427</v>
      </c>
      <c r="AG6751" s="4" t="s">
        <v>15428</v>
      </c>
      <c r="AH6751" s="4" t="s">
        <v>15429</v>
      </c>
      <c r="AI6751" s="4" t="s">
        <v>10503</v>
      </c>
    </row>
    <row r="6752">
      <c r="A6752" s="4">
        <v>126.0</v>
      </c>
      <c r="B6752" s="4" t="s">
        <v>14747</v>
      </c>
      <c r="C6752" s="4"/>
      <c r="D6752" s="4" t="s">
        <v>15430</v>
      </c>
      <c r="E6752" s="4" t="s">
        <v>8795</v>
      </c>
      <c r="F6752" s="4" t="s">
        <v>7657</v>
      </c>
      <c r="G6752" s="5" t="str">
        <f>IFERROR(__xludf.DUMMYFUNCTION("GOOGLETRANSLATE(D6752,""id"",""es"")"),"Susyi")</f>
        <v>Susyi</v>
      </c>
    </row>
    <row r="6753">
      <c r="A6753" s="4">
        <v>127.0</v>
      </c>
      <c r="B6753" s="4" t="s">
        <v>14747</v>
      </c>
      <c r="C6753" s="4"/>
      <c r="D6753" s="4" t="s">
        <v>15431</v>
      </c>
      <c r="E6753" s="4" t="s">
        <v>15432</v>
      </c>
      <c r="F6753" s="4" t="s">
        <v>15431</v>
      </c>
      <c r="G6753" s="5" t="str">
        <f>IFERROR(__xludf.DUMMYFUNCTION("GOOGLETRANSLATE(D6753,""id"",""es"")"),"prisionero")</f>
        <v>prisionero</v>
      </c>
      <c r="H6753" s="4" t="s">
        <v>15433</v>
      </c>
      <c r="I6753" s="4" t="s">
        <v>15434</v>
      </c>
      <c r="J6753" s="4" t="s">
        <v>15435</v>
      </c>
      <c r="K6753" s="4" t="s">
        <v>15436</v>
      </c>
      <c r="L6753" s="4" t="s">
        <v>14843</v>
      </c>
      <c r="M6753" s="4" t="s">
        <v>15437</v>
      </c>
      <c r="N6753" s="4" t="s">
        <v>15438</v>
      </c>
      <c r="O6753" s="4" t="s">
        <v>15439</v>
      </c>
      <c r="P6753" s="4" t="s">
        <v>15440</v>
      </c>
      <c r="Q6753" s="4" t="s">
        <v>15441</v>
      </c>
      <c r="R6753" s="4" t="s">
        <v>15442</v>
      </c>
      <c r="S6753" s="4" t="s">
        <v>15442</v>
      </c>
      <c r="T6753" s="4" t="s">
        <v>15443</v>
      </c>
      <c r="U6753" s="4" t="s">
        <v>15444</v>
      </c>
      <c r="V6753" s="4" t="s">
        <v>15445</v>
      </c>
      <c r="W6753" s="4" t="s">
        <v>15446</v>
      </c>
      <c r="X6753" s="4" t="s">
        <v>15447</v>
      </c>
      <c r="Y6753" s="4" t="s">
        <v>313</v>
      </c>
      <c r="Z6753" s="4" t="s">
        <v>15448</v>
      </c>
    </row>
    <row r="6754">
      <c r="A6754" s="4">
        <v>128.0</v>
      </c>
      <c r="B6754" s="4" t="s">
        <v>14747</v>
      </c>
      <c r="C6754" s="4"/>
      <c r="D6754" s="4" t="s">
        <v>11316</v>
      </c>
      <c r="E6754" s="4" t="s">
        <v>15449</v>
      </c>
      <c r="F6754" s="4" t="s">
        <v>11316</v>
      </c>
      <c r="G6754" s="5" t="str">
        <f>IFERROR(__xludf.DUMMYFUNCTION("GOOGLETRANSLATE(D6754,""id"",""es"")"),"Dahi")</f>
        <v>Dahi</v>
      </c>
      <c r="H6754" s="4" t="s">
        <v>15450</v>
      </c>
      <c r="I6754" s="4" t="s">
        <v>8769</v>
      </c>
      <c r="J6754" s="4" t="s">
        <v>15451</v>
      </c>
      <c r="K6754" s="4" t="s">
        <v>15452</v>
      </c>
      <c r="L6754" s="4" t="s">
        <v>15453</v>
      </c>
      <c r="M6754" s="4" t="s">
        <v>15454</v>
      </c>
      <c r="N6754" s="4" t="s">
        <v>15455</v>
      </c>
      <c r="O6754" s="4" t="s">
        <v>15456</v>
      </c>
      <c r="P6754" s="4" t="s">
        <v>15457</v>
      </c>
      <c r="Q6754" s="4" t="s">
        <v>15458</v>
      </c>
      <c r="R6754" s="4" t="s">
        <v>5952</v>
      </c>
      <c r="S6754" s="4" t="s">
        <v>15459</v>
      </c>
      <c r="T6754" s="4" t="s">
        <v>15460</v>
      </c>
      <c r="U6754" s="4" t="s">
        <v>15461</v>
      </c>
      <c r="V6754" s="4" t="s">
        <v>13683</v>
      </c>
      <c r="W6754" s="4" t="s">
        <v>8769</v>
      </c>
      <c r="X6754" s="4" t="s">
        <v>15462</v>
      </c>
      <c r="Y6754" s="4" t="s">
        <v>6996</v>
      </c>
      <c r="Z6754" s="4" t="s">
        <v>15463</v>
      </c>
      <c r="AA6754" s="4" t="s">
        <v>15464</v>
      </c>
      <c r="AB6754" s="4" t="s">
        <v>15465</v>
      </c>
      <c r="AC6754" s="4" t="s">
        <v>2162</v>
      </c>
    </row>
    <row r="6755">
      <c r="A6755" s="4">
        <v>129.0</v>
      </c>
      <c r="B6755" s="4" t="s">
        <v>14747</v>
      </c>
      <c r="C6755" s="4"/>
      <c r="D6755" s="4" t="s">
        <v>15466</v>
      </c>
      <c r="E6755" s="4" t="s">
        <v>15467</v>
      </c>
      <c r="F6755" s="4" t="s">
        <v>15466</v>
      </c>
      <c r="G6755" s="5" t="str">
        <f>IFERROR(__xludf.DUMMYFUNCTION("GOOGLETRANSLATE(D6755,""id"",""es"")"),"saber")</f>
        <v>saber</v>
      </c>
      <c r="H6755" s="4" t="s">
        <v>15468</v>
      </c>
      <c r="I6755" s="4" t="s">
        <v>15469</v>
      </c>
      <c r="J6755" s="4" t="s">
        <v>15470</v>
      </c>
      <c r="K6755" s="4" t="s">
        <v>15471</v>
      </c>
      <c r="L6755" s="4" t="s">
        <v>9083</v>
      </c>
      <c r="M6755" s="4" t="s">
        <v>9083</v>
      </c>
      <c r="N6755" s="4" t="s">
        <v>9083</v>
      </c>
      <c r="O6755" s="4" t="s">
        <v>9084</v>
      </c>
      <c r="P6755" s="4" t="s">
        <v>9085</v>
      </c>
      <c r="Q6755" s="4" t="s">
        <v>9083</v>
      </c>
      <c r="R6755" s="4" t="s">
        <v>9083</v>
      </c>
      <c r="S6755" s="4" t="s">
        <v>9083</v>
      </c>
      <c r="T6755" s="4" t="s">
        <v>15472</v>
      </c>
      <c r="U6755" s="4" t="s">
        <v>3089</v>
      </c>
      <c r="V6755" s="4" t="s">
        <v>9083</v>
      </c>
      <c r="W6755" s="4" t="s">
        <v>9083</v>
      </c>
      <c r="X6755" s="4" t="s">
        <v>1493</v>
      </c>
      <c r="Y6755" s="4" t="s">
        <v>15473</v>
      </c>
      <c r="Z6755" s="4" t="s">
        <v>5899</v>
      </c>
      <c r="AA6755" s="4" t="s">
        <v>572</v>
      </c>
      <c r="AB6755" s="4" t="s">
        <v>15474</v>
      </c>
      <c r="AC6755" s="4" t="s">
        <v>15475</v>
      </c>
      <c r="AD6755" s="4" t="s">
        <v>15476</v>
      </c>
      <c r="AE6755" s="4" t="s">
        <v>15477</v>
      </c>
      <c r="AF6755" s="4" t="s">
        <v>15478</v>
      </c>
      <c r="AG6755" s="4" t="s">
        <v>9083</v>
      </c>
      <c r="AH6755" s="4" t="s">
        <v>15479</v>
      </c>
      <c r="AI6755" s="4" t="s">
        <v>15480</v>
      </c>
      <c r="AJ6755" s="4" t="s">
        <v>15481</v>
      </c>
      <c r="AK6755" s="4" t="s">
        <v>15482</v>
      </c>
      <c r="AL6755" s="4" t="s">
        <v>15483</v>
      </c>
      <c r="AM6755" s="4" t="s">
        <v>5893</v>
      </c>
      <c r="AN6755" s="4" t="s">
        <v>5891</v>
      </c>
      <c r="AO6755" s="4" t="s">
        <v>15484</v>
      </c>
      <c r="AP6755" s="4" t="s">
        <v>15485</v>
      </c>
      <c r="AQ6755" s="4" t="s">
        <v>13557</v>
      </c>
      <c r="AR6755" s="4" t="s">
        <v>15486</v>
      </c>
      <c r="AS6755" s="4" t="s">
        <v>1241</v>
      </c>
      <c r="AT6755" s="4" t="s">
        <v>15487</v>
      </c>
      <c r="AU6755" s="4" t="s">
        <v>6404</v>
      </c>
      <c r="AV6755" s="4" t="s">
        <v>15488</v>
      </c>
      <c r="AW6755" s="4" t="s">
        <v>8784</v>
      </c>
      <c r="AX6755" s="4" t="s">
        <v>15489</v>
      </c>
      <c r="AY6755" s="4" t="s">
        <v>15490</v>
      </c>
      <c r="AZ6755" s="4" t="s">
        <v>6686</v>
      </c>
      <c r="BA6755" s="4" t="s">
        <v>9083</v>
      </c>
      <c r="BB6755" s="4" t="s">
        <v>15491</v>
      </c>
      <c r="BC6755" s="4" t="s">
        <v>6677</v>
      </c>
      <c r="BD6755" s="4" t="s">
        <v>15492</v>
      </c>
      <c r="BE6755" s="4" t="s">
        <v>15493</v>
      </c>
      <c r="BF6755" s="4" t="s">
        <v>15494</v>
      </c>
      <c r="BG6755" s="4" t="s">
        <v>15493</v>
      </c>
      <c r="BH6755" s="4" t="s">
        <v>15495</v>
      </c>
      <c r="BI6755" s="4" t="s">
        <v>15496</v>
      </c>
      <c r="BJ6755" s="4" t="s">
        <v>15497</v>
      </c>
      <c r="BK6755" s="4" t="s">
        <v>15498</v>
      </c>
      <c r="BL6755" s="4" t="s">
        <v>15499</v>
      </c>
      <c r="BM6755" s="4" t="s">
        <v>15500</v>
      </c>
    </row>
    <row r="6756">
      <c r="A6756" s="4">
        <v>130.0</v>
      </c>
      <c r="B6756" s="4" t="s">
        <v>14747</v>
      </c>
      <c r="C6756" s="4"/>
      <c r="D6756" s="4" t="s">
        <v>15501</v>
      </c>
      <c r="E6756" s="4" t="s">
        <v>15502</v>
      </c>
      <c r="F6756" s="4" t="s">
        <v>15501</v>
      </c>
      <c r="G6756" s="5" t="str">
        <f>IFERROR(__xludf.DUMMYFUNCTION("GOOGLETRANSLATE(D6756,""id"",""es"")"),"año")</f>
        <v>año</v>
      </c>
      <c r="H6756" s="4" t="s">
        <v>1678</v>
      </c>
      <c r="I6756" s="4" t="s">
        <v>736</v>
      </c>
      <c r="J6756" s="4" t="s">
        <v>736</v>
      </c>
      <c r="K6756" s="4" t="s">
        <v>736</v>
      </c>
      <c r="L6756" s="4" t="s">
        <v>737</v>
      </c>
      <c r="M6756" s="4" t="s">
        <v>738</v>
      </c>
      <c r="N6756" s="4" t="s">
        <v>736</v>
      </c>
    </row>
    <row r="6757">
      <c r="A6757" s="4">
        <v>131.0</v>
      </c>
      <c r="B6757" s="4" t="s">
        <v>14747</v>
      </c>
      <c r="C6757" s="4"/>
      <c r="D6757" s="4" t="s">
        <v>15503</v>
      </c>
      <c r="E6757" s="4" t="s">
        <v>15504</v>
      </c>
      <c r="F6757" s="4" t="s">
        <v>15503</v>
      </c>
      <c r="G6757" s="5" t="str">
        <f>IFERROR(__xludf.DUMMYFUNCTION("GOOGLETRANSLATE(D6757,""id"",""es"")"),"Takal")</f>
        <v>Takal</v>
      </c>
      <c r="H6757" s="4" t="s">
        <v>7320</v>
      </c>
      <c r="I6757" s="4" t="s">
        <v>7322</v>
      </c>
      <c r="J6757" s="4" t="s">
        <v>7323</v>
      </c>
      <c r="K6757" s="4" t="s">
        <v>326</v>
      </c>
      <c r="L6757" s="4" t="s">
        <v>15505</v>
      </c>
      <c r="M6757" s="4" t="s">
        <v>15506</v>
      </c>
      <c r="N6757" s="4" t="s">
        <v>15507</v>
      </c>
      <c r="O6757" s="4" t="s">
        <v>15508</v>
      </c>
    </row>
    <row r="6758">
      <c r="A6758" s="4">
        <v>132.0</v>
      </c>
      <c r="B6758" s="4" t="s">
        <v>14747</v>
      </c>
      <c r="C6758" s="4"/>
      <c r="D6758" s="4" t="s">
        <v>7729</v>
      </c>
      <c r="E6758" s="4" t="s">
        <v>15509</v>
      </c>
      <c r="F6758" s="4" t="s">
        <v>7729</v>
      </c>
      <c r="G6758" s="5" t="str">
        <f>IFERROR(__xludf.DUMMYFUNCTION("GOOGLETRANSLATE(D6758,""id"",""es"")"),"Tamil")</f>
        <v>Tamil</v>
      </c>
    </row>
    <row r="6759">
      <c r="A6759" s="4">
        <v>133.0</v>
      </c>
      <c r="B6759" s="4" t="s">
        <v>14747</v>
      </c>
      <c r="C6759" s="4"/>
      <c r="D6759" s="4" t="s">
        <v>13801</v>
      </c>
      <c r="E6759" s="4" t="s">
        <v>15510</v>
      </c>
      <c r="F6759" s="4" t="s">
        <v>13801</v>
      </c>
      <c r="G6759" s="5" t="str">
        <f>IFERROR(__xludf.DUMMYFUNCTION("GOOGLETRANSLATE(D6759,""id"",""es"")"),"Plantación")</f>
        <v>Plantación</v>
      </c>
      <c r="H6759" s="4" t="s">
        <v>15511</v>
      </c>
      <c r="I6759" s="4" t="s">
        <v>7539</v>
      </c>
    </row>
    <row r="6760">
      <c r="A6760" s="4">
        <v>134.0</v>
      </c>
      <c r="B6760" s="4" t="s">
        <v>14747</v>
      </c>
      <c r="C6760" s="4"/>
      <c r="D6760" s="4" t="s">
        <v>15512</v>
      </c>
      <c r="E6760" s="4" t="s">
        <v>15513</v>
      </c>
      <c r="F6760" s="4" t="s">
        <v>15514</v>
      </c>
      <c r="G6760" s="5" t="str">
        <f>IFERROR(__xludf.DUMMYFUNCTION("GOOGLETRANSLATE(D6760,""id"",""es"")"),"pedir")</f>
        <v>pedir</v>
      </c>
      <c r="H6760" s="4" t="s">
        <v>15515</v>
      </c>
      <c r="I6760" s="4" t="s">
        <v>15516</v>
      </c>
      <c r="J6760" s="4" t="s">
        <v>15517</v>
      </c>
      <c r="K6760" s="4" t="s">
        <v>7921</v>
      </c>
      <c r="L6760" s="4" t="s">
        <v>15516</v>
      </c>
      <c r="M6760" s="4" t="s">
        <v>15517</v>
      </c>
      <c r="N6760" s="4" t="s">
        <v>15518</v>
      </c>
      <c r="O6760" s="4" t="s">
        <v>15516</v>
      </c>
      <c r="P6760" s="4" t="s">
        <v>15517</v>
      </c>
      <c r="Q6760" s="4" t="s">
        <v>15519</v>
      </c>
      <c r="R6760" s="4" t="s">
        <v>15520</v>
      </c>
    </row>
    <row r="6761">
      <c r="A6761" s="4">
        <v>135.0</v>
      </c>
      <c r="B6761" s="4" t="s">
        <v>14747</v>
      </c>
      <c r="C6761" s="4"/>
      <c r="D6761" s="4" t="s">
        <v>4330</v>
      </c>
      <c r="E6761" s="4" t="s">
        <v>4331</v>
      </c>
      <c r="F6761" s="4" t="s">
        <v>4330</v>
      </c>
      <c r="G6761" s="5" t="str">
        <f>IFERROR(__xludf.DUMMYFUNCTION("GOOGLETRANSLATE(D6761,""id"",""es"")"),"Tapa")</f>
        <v>Tapa</v>
      </c>
    </row>
    <row r="6762">
      <c r="A6762" s="4">
        <v>136.0</v>
      </c>
      <c r="B6762" s="4" t="s">
        <v>14747</v>
      </c>
      <c r="C6762" s="4"/>
      <c r="D6762" s="4" t="s">
        <v>7766</v>
      </c>
      <c r="E6762" s="4" t="s">
        <v>15521</v>
      </c>
      <c r="F6762" s="4" t="s">
        <v>7766</v>
      </c>
      <c r="G6762" s="5" t="str">
        <f>IFERROR(__xludf.DUMMYFUNCTION("GOOGLETRANSLATE(D6762,""id"",""es"")"),"Tapas")</f>
        <v>Tapas</v>
      </c>
    </row>
    <row r="6763">
      <c r="A6763" s="4">
        <v>137.0</v>
      </c>
      <c r="B6763" s="4" t="s">
        <v>14747</v>
      </c>
      <c r="C6763" s="4"/>
      <c r="D6763" s="4" t="s">
        <v>419</v>
      </c>
      <c r="E6763" s="4" t="s">
        <v>418</v>
      </c>
      <c r="F6763" s="4" t="s">
        <v>419</v>
      </c>
      <c r="G6763" s="5" t="str">
        <f>IFERROR(__xludf.DUMMYFUNCTION("GOOGLETRANSLATE(D6763,""id"",""es"")"),"bolsa")</f>
        <v>bolsa</v>
      </c>
      <c r="H6763" s="4" t="s">
        <v>3869</v>
      </c>
      <c r="I6763" s="4" t="s">
        <v>3869</v>
      </c>
      <c r="J6763" s="4" t="s">
        <v>13520</v>
      </c>
      <c r="K6763" s="4" t="s">
        <v>13521</v>
      </c>
      <c r="L6763" s="4" t="s">
        <v>11321</v>
      </c>
      <c r="M6763" s="4" t="s">
        <v>13522</v>
      </c>
      <c r="N6763" s="4" t="s">
        <v>13526</v>
      </c>
      <c r="O6763" s="4" t="s">
        <v>3869</v>
      </c>
      <c r="P6763" s="4" t="s">
        <v>1785</v>
      </c>
      <c r="Q6763" s="4" t="s">
        <v>3489</v>
      </c>
      <c r="R6763" s="4" t="s">
        <v>7366</v>
      </c>
      <c r="S6763" s="4" t="s">
        <v>7367</v>
      </c>
      <c r="T6763" s="4" t="s">
        <v>15522</v>
      </c>
      <c r="U6763" s="4" t="s">
        <v>3869</v>
      </c>
      <c r="V6763" s="4" t="s">
        <v>3870</v>
      </c>
    </row>
    <row r="6764">
      <c r="A6764" s="4">
        <v>138.0</v>
      </c>
      <c r="B6764" s="4" t="s">
        <v>14747</v>
      </c>
      <c r="C6764" s="4"/>
      <c r="D6764" s="4" t="s">
        <v>11429</v>
      </c>
      <c r="E6764" s="4" t="s">
        <v>11430</v>
      </c>
      <c r="F6764" s="4" t="s">
        <v>11429</v>
      </c>
      <c r="G6764" s="5" t="str">
        <f>IFERROR(__xludf.DUMMYFUNCTION("GOOGLETRANSLATE(D6764,""id"",""es"")"),"astucia")</f>
        <v>astucia</v>
      </c>
      <c r="H6764" s="4" t="s">
        <v>15229</v>
      </c>
      <c r="I6764" s="4" t="s">
        <v>15523</v>
      </c>
      <c r="J6764" s="4" t="s">
        <v>15524</v>
      </c>
      <c r="K6764" s="4" t="s">
        <v>10979</v>
      </c>
      <c r="L6764" s="4" t="s">
        <v>15525</v>
      </c>
      <c r="M6764" s="4" t="s">
        <v>15229</v>
      </c>
      <c r="N6764" s="4" t="s">
        <v>15526</v>
      </c>
      <c r="O6764" s="4" t="s">
        <v>5698</v>
      </c>
      <c r="P6764" s="4" t="s">
        <v>5693</v>
      </c>
      <c r="Q6764" s="4" t="s">
        <v>5694</v>
      </c>
      <c r="R6764" s="4" t="s">
        <v>5695</v>
      </c>
      <c r="S6764" s="4" t="s">
        <v>5696</v>
      </c>
      <c r="T6764" s="4" t="s">
        <v>5697</v>
      </c>
      <c r="U6764" s="4" t="s">
        <v>5698</v>
      </c>
      <c r="V6764" s="4" t="s">
        <v>15527</v>
      </c>
      <c r="W6764" s="4" t="s">
        <v>15528</v>
      </c>
      <c r="X6764" s="4" t="s">
        <v>15529</v>
      </c>
      <c r="Y6764" s="4" t="s">
        <v>15530</v>
      </c>
      <c r="Z6764" s="4" t="s">
        <v>15531</v>
      </c>
      <c r="AA6764" s="4" t="s">
        <v>15532</v>
      </c>
      <c r="AB6764" s="4" t="s">
        <v>15533</v>
      </c>
      <c r="AC6764" s="4" t="s">
        <v>3091</v>
      </c>
      <c r="AD6764" s="4" t="s">
        <v>15534</v>
      </c>
      <c r="AE6764" s="4" t="s">
        <v>8766</v>
      </c>
      <c r="AF6764" s="4" t="s">
        <v>15535</v>
      </c>
      <c r="AG6764" s="4" t="s">
        <v>15536</v>
      </c>
      <c r="AH6764" s="4" t="s">
        <v>15537</v>
      </c>
      <c r="AI6764" s="4" t="s">
        <v>3598</v>
      </c>
      <c r="AJ6764" s="4" t="s">
        <v>5893</v>
      </c>
      <c r="AK6764" s="4" t="s">
        <v>12032</v>
      </c>
      <c r="AL6764" s="4" t="s">
        <v>15538</v>
      </c>
      <c r="AM6764" s="4" t="s">
        <v>15536</v>
      </c>
      <c r="AN6764" s="4" t="s">
        <v>15539</v>
      </c>
      <c r="AO6764" s="4" t="s">
        <v>15540</v>
      </c>
      <c r="AP6764" s="4" t="s">
        <v>15536</v>
      </c>
      <c r="AQ6764" s="4" t="s">
        <v>15540</v>
      </c>
      <c r="AR6764" s="4" t="s">
        <v>15534</v>
      </c>
      <c r="AS6764" s="4" t="s">
        <v>15541</v>
      </c>
      <c r="AT6764" s="4" t="s">
        <v>15542</v>
      </c>
      <c r="AU6764" s="4" t="s">
        <v>15543</v>
      </c>
      <c r="AV6764" s="4" t="s">
        <v>15544</v>
      </c>
      <c r="AW6764" s="4" t="s">
        <v>15545</v>
      </c>
      <c r="AX6764" s="4" t="s">
        <v>15546</v>
      </c>
      <c r="AY6764" s="4" t="s">
        <v>15229</v>
      </c>
      <c r="AZ6764" s="4" t="s">
        <v>15547</v>
      </c>
      <c r="BA6764" s="4" t="s">
        <v>15548</v>
      </c>
      <c r="BB6764" s="4" t="s">
        <v>15549</v>
      </c>
      <c r="BC6764" s="4" t="s">
        <v>15550</v>
      </c>
      <c r="BD6764" s="4" t="s">
        <v>3091</v>
      </c>
      <c r="BE6764" s="4" t="s">
        <v>15551</v>
      </c>
    </row>
    <row r="6765">
      <c r="A6765" s="4">
        <v>139.0</v>
      </c>
      <c r="B6765" s="4" t="s">
        <v>14747</v>
      </c>
      <c r="C6765" s="4"/>
      <c r="D6765" s="4" t="s">
        <v>8880</v>
      </c>
      <c r="E6765" s="4" t="s">
        <v>15552</v>
      </c>
      <c r="F6765" s="4" t="s">
        <v>8882</v>
      </c>
      <c r="G6765" s="5" t="str">
        <f>IFERROR(__xludf.DUMMYFUNCTION("GOOGLETRANSLATE(D6765,""id"",""es"")"),"tsunami")</f>
        <v>tsunami</v>
      </c>
      <c r="H6765" s="4" t="s">
        <v>8880</v>
      </c>
    </row>
    <row r="6766">
      <c r="A6766" s="4">
        <v>140.0</v>
      </c>
      <c r="B6766" s="4" t="s">
        <v>14747</v>
      </c>
      <c r="C6766" s="4"/>
      <c r="D6766" s="4" t="s">
        <v>15553</v>
      </c>
      <c r="E6766" s="4" t="s">
        <v>15554</v>
      </c>
      <c r="F6766" s="4" t="s">
        <v>15553</v>
      </c>
      <c r="G6766" s="5" t="str">
        <f>IFERROR(__xludf.DUMMYFUNCTION("GOOGLETRANSLATE(D6766,""id"",""es"")"),"caballero")</f>
        <v>caballero</v>
      </c>
      <c r="H6766" s="4" t="s">
        <v>15555</v>
      </c>
      <c r="I6766" s="4" t="s">
        <v>15556</v>
      </c>
      <c r="J6766" s="4" t="s">
        <v>15555</v>
      </c>
      <c r="K6766" s="4" t="s">
        <v>15556</v>
      </c>
      <c r="L6766" s="4" t="s">
        <v>15555</v>
      </c>
      <c r="M6766" s="4" t="s">
        <v>15556</v>
      </c>
      <c r="N6766" s="4" t="s">
        <v>15555</v>
      </c>
      <c r="O6766" s="4" t="s">
        <v>15556</v>
      </c>
      <c r="P6766" s="4" t="s">
        <v>9822</v>
      </c>
      <c r="Q6766" s="4" t="s">
        <v>9823</v>
      </c>
      <c r="R6766" s="4" t="s">
        <v>9821</v>
      </c>
      <c r="S6766" s="4" t="s">
        <v>9824</v>
      </c>
      <c r="T6766" s="4" t="s">
        <v>9822</v>
      </c>
      <c r="U6766" s="4" t="s">
        <v>9823</v>
      </c>
      <c r="V6766" s="4" t="s">
        <v>9821</v>
      </c>
      <c r="W6766" s="4" t="s">
        <v>9824</v>
      </c>
      <c r="X6766" s="4" t="s">
        <v>15557</v>
      </c>
      <c r="Y6766" s="4" t="s">
        <v>9825</v>
      </c>
      <c r="Z6766" s="4" t="s">
        <v>9826</v>
      </c>
      <c r="AA6766" s="4" t="s">
        <v>9821</v>
      </c>
    </row>
    <row r="6767">
      <c r="A6767" s="4">
        <v>141.0</v>
      </c>
      <c r="B6767" s="4" t="s">
        <v>14747</v>
      </c>
      <c r="C6767" s="4"/>
      <c r="D6767" s="4" t="s">
        <v>15558</v>
      </c>
      <c r="E6767" s="4" t="s">
        <v>15559</v>
      </c>
      <c r="F6767" s="4" t="s">
        <v>15558</v>
      </c>
      <c r="G6767" s="5" t="str">
        <f>IFERROR(__xludf.DUMMYFUNCTION("GOOGLETRANSLATE(D6767,""id"",""es"")"),"clérigo")</f>
        <v>clérigo</v>
      </c>
      <c r="H6767" s="4" t="s">
        <v>15560</v>
      </c>
      <c r="I6767" s="4" t="s">
        <v>15558</v>
      </c>
    </row>
    <row r="6768">
      <c r="A6768" s="4">
        <v>142.0</v>
      </c>
      <c r="B6768" s="4" t="s">
        <v>14747</v>
      </c>
      <c r="C6768" s="4"/>
      <c r="D6768" s="4" t="s">
        <v>4786</v>
      </c>
      <c r="E6768" s="4" t="s">
        <v>4785</v>
      </c>
      <c r="F6768" s="4" t="s">
        <v>4786</v>
      </c>
      <c r="G6768" s="5" t="str">
        <f>IFERROR(__xludf.DUMMYFUNCTION("GOOGLETRANSLATE(D6768,""id"",""es"")"),"único")</f>
        <v>único</v>
      </c>
      <c r="H6768" s="4" t="s">
        <v>1845</v>
      </c>
      <c r="I6768" s="4" t="s">
        <v>1846</v>
      </c>
      <c r="J6768" s="4" t="s">
        <v>1847</v>
      </c>
      <c r="K6768" s="4" t="s">
        <v>1848</v>
      </c>
      <c r="L6768" s="4" t="s">
        <v>1849</v>
      </c>
      <c r="M6768" s="4" t="s">
        <v>1850</v>
      </c>
      <c r="N6768" s="4" t="s">
        <v>15561</v>
      </c>
      <c r="O6768" s="4" t="s">
        <v>15562</v>
      </c>
      <c r="P6768" s="4" t="s">
        <v>7195</v>
      </c>
      <c r="Q6768" s="4" t="s">
        <v>15563</v>
      </c>
      <c r="R6768" s="4" t="s">
        <v>4787</v>
      </c>
      <c r="S6768" s="4" t="s">
        <v>4788</v>
      </c>
      <c r="T6768" s="4" t="s">
        <v>4789</v>
      </c>
      <c r="U6768" s="4" t="s">
        <v>4790</v>
      </c>
      <c r="V6768" s="4" t="s">
        <v>4791</v>
      </c>
      <c r="W6768" s="4" t="s">
        <v>7195</v>
      </c>
      <c r="X6768" s="4" t="s">
        <v>15564</v>
      </c>
      <c r="Y6768" s="4" t="s">
        <v>15563</v>
      </c>
      <c r="Z6768" s="4" t="s">
        <v>15565</v>
      </c>
      <c r="AA6768" s="4" t="s">
        <v>4792</v>
      </c>
      <c r="AB6768" s="4" t="s">
        <v>4788</v>
      </c>
    </row>
    <row r="6769">
      <c r="A6769" s="4">
        <v>143.0</v>
      </c>
      <c r="B6769" s="4" t="s">
        <v>14747</v>
      </c>
      <c r="C6769" s="4"/>
      <c r="D6769" s="4" t="s">
        <v>15566</v>
      </c>
      <c r="E6769" s="4" t="s">
        <v>15567</v>
      </c>
      <c r="F6769" s="4" t="s">
        <v>15566</v>
      </c>
      <c r="G6769" s="5" t="str">
        <f>IFERROR(__xludf.DUMMYFUNCTION("GOOGLETRANSLATE(D6769,""id"",""es"")"),"esfuerzo")</f>
        <v>esfuerzo</v>
      </c>
      <c r="H6769" s="4" t="s">
        <v>899</v>
      </c>
      <c r="I6769" s="4" t="s">
        <v>15568</v>
      </c>
      <c r="J6769" s="4" t="s">
        <v>15569</v>
      </c>
      <c r="K6769" s="4" t="s">
        <v>15570</v>
      </c>
      <c r="L6769" s="4" t="s">
        <v>15571</v>
      </c>
    </row>
    <row r="6770">
      <c r="A6770" s="4">
        <v>144.0</v>
      </c>
      <c r="B6770" s="4" t="s">
        <v>14747</v>
      </c>
      <c r="C6770" s="4"/>
      <c r="D6770" s="4" t="s">
        <v>15572</v>
      </c>
      <c r="E6770" s="4" t="s">
        <v>15573</v>
      </c>
      <c r="F6770" s="4" t="s">
        <v>15572</v>
      </c>
      <c r="G6770" s="5" t="str">
        <f>IFERROR(__xludf.DUMMYFUNCTION("GOOGLETRANSLATE(D6770,""id"",""es"")"),"principal")</f>
        <v>principal</v>
      </c>
      <c r="H6770" s="4" t="s">
        <v>11896</v>
      </c>
      <c r="I6770" s="4" t="s">
        <v>15574</v>
      </c>
      <c r="J6770" s="4" t="s">
        <v>10830</v>
      </c>
      <c r="K6770" s="4" t="s">
        <v>12729</v>
      </c>
      <c r="L6770" s="4" t="s">
        <v>15575</v>
      </c>
      <c r="M6770" s="4" t="s">
        <v>15576</v>
      </c>
      <c r="N6770" s="4" t="s">
        <v>3606</v>
      </c>
      <c r="O6770" s="4" t="s">
        <v>15577</v>
      </c>
      <c r="P6770" s="4" t="s">
        <v>11895</v>
      </c>
      <c r="Q6770" s="4" t="s">
        <v>15578</v>
      </c>
      <c r="R6770" s="4" t="s">
        <v>15579</v>
      </c>
      <c r="S6770" s="4" t="s">
        <v>15580</v>
      </c>
      <c r="T6770" s="4" t="s">
        <v>15581</v>
      </c>
      <c r="U6770" s="4" t="s">
        <v>8490</v>
      </c>
      <c r="V6770" s="4" t="s">
        <v>15582</v>
      </c>
      <c r="W6770" s="4" t="s">
        <v>15583</v>
      </c>
      <c r="X6770" s="4" t="s">
        <v>15584</v>
      </c>
      <c r="Y6770" s="4" t="s">
        <v>14753</v>
      </c>
      <c r="Z6770" s="4" t="s">
        <v>11896</v>
      </c>
      <c r="AA6770" s="4" t="s">
        <v>15585</v>
      </c>
      <c r="AB6770" s="4" t="s">
        <v>15586</v>
      </c>
      <c r="AC6770" s="4" t="s">
        <v>15587</v>
      </c>
      <c r="AD6770" s="4" t="s">
        <v>8397</v>
      </c>
      <c r="AE6770" s="4" t="s">
        <v>8398</v>
      </c>
      <c r="AF6770" s="4" t="s">
        <v>8399</v>
      </c>
      <c r="AG6770" s="4" t="s">
        <v>8380</v>
      </c>
      <c r="AH6770" s="4" t="s">
        <v>8400</v>
      </c>
      <c r="AI6770" s="4" t="s">
        <v>1224</v>
      </c>
      <c r="AJ6770" s="4" t="s">
        <v>11895</v>
      </c>
      <c r="AK6770" s="4" t="s">
        <v>11896</v>
      </c>
      <c r="AL6770" s="4" t="s">
        <v>1281</v>
      </c>
      <c r="AM6770" s="4" t="s">
        <v>617</v>
      </c>
      <c r="AN6770" s="4" t="s">
        <v>15588</v>
      </c>
      <c r="AO6770" s="4" t="s">
        <v>15588</v>
      </c>
      <c r="AP6770" s="4" t="s">
        <v>15588</v>
      </c>
      <c r="AQ6770" s="4" t="s">
        <v>11896</v>
      </c>
      <c r="AR6770" s="4" t="s">
        <v>8399</v>
      </c>
      <c r="AS6770" s="4" t="s">
        <v>15589</v>
      </c>
      <c r="AT6770" s="4" t="s">
        <v>15590</v>
      </c>
      <c r="AU6770" s="4" t="s">
        <v>547</v>
      </c>
      <c r="AV6770" s="4" t="s">
        <v>546</v>
      </c>
      <c r="AW6770" s="4" t="s">
        <v>1403</v>
      </c>
      <c r="AX6770" s="4" t="s">
        <v>15591</v>
      </c>
      <c r="AY6770" s="4" t="s">
        <v>8380</v>
      </c>
      <c r="AZ6770" s="4" t="s">
        <v>1281</v>
      </c>
      <c r="BA6770" s="4" t="s">
        <v>15592</v>
      </c>
      <c r="BB6770" s="4" t="s">
        <v>15593</v>
      </c>
      <c r="BC6770" s="4" t="s">
        <v>1209</v>
      </c>
      <c r="BD6770" s="4" t="s">
        <v>841</v>
      </c>
      <c r="BE6770" s="4" t="s">
        <v>1281</v>
      </c>
      <c r="BF6770" s="4" t="s">
        <v>648</v>
      </c>
      <c r="BG6770" s="4" t="s">
        <v>15594</v>
      </c>
      <c r="BH6770" s="4" t="s">
        <v>15595</v>
      </c>
      <c r="BI6770" s="4" t="s">
        <v>15596</v>
      </c>
    </row>
    <row r="6771">
      <c r="A6771" s="4">
        <v>145.0</v>
      </c>
      <c r="B6771" s="4" t="s">
        <v>14747</v>
      </c>
      <c r="C6771" s="4"/>
      <c r="D6771" s="4" t="s">
        <v>15597</v>
      </c>
      <c r="E6771" s="4" t="s">
        <v>15598</v>
      </c>
      <c r="F6771" s="4" t="s">
        <v>15597</v>
      </c>
      <c r="G6771" s="5" t="str">
        <f>IFERROR(__xludf.DUMMYFUNCTION("GOOGLETRANSLATE(D6771,""id"",""es"")"),"Utan")</f>
        <v>Utan</v>
      </c>
    </row>
    <row r="6772">
      <c r="A6772" s="4">
        <v>146.0</v>
      </c>
      <c r="B6772" s="4" t="s">
        <v>14747</v>
      </c>
      <c r="C6772" s="4"/>
      <c r="D6772" s="4" t="s">
        <v>2011</v>
      </c>
      <c r="E6772" s="4" t="s">
        <v>2010</v>
      </c>
      <c r="F6772" s="4" t="s">
        <v>2011</v>
      </c>
      <c r="G6772" s="5" t="str">
        <f>IFERROR(__xludf.DUMMYFUNCTION("GOOGLETRANSLATE(D6772,""id"",""es"")"),"sí")</f>
        <v>sí</v>
      </c>
      <c r="H6772" s="4" t="s">
        <v>15599</v>
      </c>
      <c r="I6772" s="4" t="s">
        <v>15600</v>
      </c>
      <c r="J6772" s="4" t="s">
        <v>819</v>
      </c>
      <c r="K6772" s="4" t="s">
        <v>15601</v>
      </c>
      <c r="L6772" s="4" t="s">
        <v>15602</v>
      </c>
      <c r="M6772" s="4" t="s">
        <v>15603</v>
      </c>
      <c r="N6772" s="4" t="s">
        <v>15604</v>
      </c>
      <c r="O6772" s="4" t="s">
        <v>15605</v>
      </c>
      <c r="P6772" s="4" t="s">
        <v>15606</v>
      </c>
      <c r="Q6772" s="4" t="s">
        <v>15607</v>
      </c>
      <c r="R6772" s="4" t="s">
        <v>15608</v>
      </c>
      <c r="S6772" s="4" t="s">
        <v>4215</v>
      </c>
      <c r="T6772" s="4" t="s">
        <v>15609</v>
      </c>
    </row>
    <row r="6773">
      <c r="A6773" s="4">
        <v>1.0</v>
      </c>
      <c r="B6773" s="4" t="s">
        <v>15610</v>
      </c>
      <c r="C6773" s="4"/>
      <c r="D6773" s="4" t="s">
        <v>15611</v>
      </c>
      <c r="E6773" s="4" t="s">
        <v>15612</v>
      </c>
      <c r="F6773" s="4" t="s">
        <v>15611</v>
      </c>
      <c r="G6773" s="5" t="str">
        <f>IFERROR(__xludf.DUMMYFUNCTION("GOOGLETRANSLATE(D6773,""id"",""es"")"),"Akasa")</f>
        <v>Akasa</v>
      </c>
    </row>
    <row r="6774">
      <c r="A6774" s="4">
        <v>2.0</v>
      </c>
      <c r="B6774" s="4" t="s">
        <v>15610</v>
      </c>
      <c r="C6774" s="4"/>
      <c r="D6774" s="4" t="s">
        <v>816</v>
      </c>
      <c r="E6774" s="4" t="s">
        <v>815</v>
      </c>
      <c r="F6774" s="4" t="s">
        <v>816</v>
      </c>
      <c r="G6774" s="5" t="str">
        <f>IFERROR(__xludf.DUMMYFUNCTION("GOOGLETRANSLATE(D6774,""id"",""es"")"),"batería")</f>
        <v>batería</v>
      </c>
      <c r="H6774" s="4" t="s">
        <v>15613</v>
      </c>
      <c r="I6774" s="4" t="s">
        <v>15614</v>
      </c>
      <c r="J6774" s="4" t="s">
        <v>13341</v>
      </c>
      <c r="K6774" s="4" t="s">
        <v>15615</v>
      </c>
      <c r="L6774" s="4" t="s">
        <v>15616</v>
      </c>
      <c r="M6774" s="4" t="s">
        <v>13341</v>
      </c>
      <c r="N6774" s="4" t="s">
        <v>13342</v>
      </c>
      <c r="O6774" s="4" t="s">
        <v>13341</v>
      </c>
      <c r="P6774" s="4" t="s">
        <v>13341</v>
      </c>
    </row>
    <row r="6775">
      <c r="A6775" s="4">
        <v>3.0</v>
      </c>
      <c r="B6775" s="4" t="s">
        <v>15610</v>
      </c>
      <c r="C6775" s="4"/>
      <c r="D6775" s="4" t="s">
        <v>15617</v>
      </c>
      <c r="E6775" s="4" t="s">
        <v>15618</v>
      </c>
      <c r="F6775" s="4" t="s">
        <v>15617</v>
      </c>
      <c r="G6775" s="5" t="str">
        <f>IFERROR(__xludf.DUMMYFUNCTION("GOOGLETRANSLATE(D6775,""id"",""es"")"),"cuenta")</f>
        <v>cuenta</v>
      </c>
    </row>
    <row r="6776">
      <c r="A6776" s="4">
        <v>4.0</v>
      </c>
      <c r="B6776" s="4" t="s">
        <v>15610</v>
      </c>
      <c r="C6776" s="4"/>
      <c r="D6776" s="4" t="s">
        <v>508</v>
      </c>
      <c r="E6776" s="4" t="s">
        <v>509</v>
      </c>
      <c r="F6776" s="4" t="s">
        <v>508</v>
      </c>
      <c r="G6776" s="5" t="str">
        <f>IFERROR(__xludf.DUMMYFUNCTION("GOOGLETRANSLATE(D6776,""id"",""es"")"),"Ala")</f>
        <v>Ala</v>
      </c>
    </row>
    <row r="6777">
      <c r="A6777" s="4">
        <v>5.0</v>
      </c>
      <c r="B6777" s="4" t="s">
        <v>15610</v>
      </c>
      <c r="C6777" s="4"/>
      <c r="D6777" s="4" t="s">
        <v>11631</v>
      </c>
      <c r="E6777" s="4" t="s">
        <v>15619</v>
      </c>
      <c r="F6777" s="4" t="s">
        <v>11631</v>
      </c>
      <c r="G6777" s="5" t="str">
        <f>IFERROR(__xludf.DUMMYFUNCTION("GOOGLETRANSLATE(D6777,""id"",""es"")"),"natural")</f>
        <v>natural</v>
      </c>
      <c r="H6777" s="4" t="s">
        <v>2949</v>
      </c>
      <c r="I6777" s="4" t="s">
        <v>15620</v>
      </c>
      <c r="J6777" s="4" t="s">
        <v>15620</v>
      </c>
      <c r="K6777" s="4" t="s">
        <v>14037</v>
      </c>
      <c r="L6777" s="4" t="s">
        <v>13679</v>
      </c>
      <c r="M6777" s="4" t="s">
        <v>2953</v>
      </c>
      <c r="N6777" s="4" t="s">
        <v>14031</v>
      </c>
      <c r="O6777" s="4" t="s">
        <v>2949</v>
      </c>
      <c r="P6777" s="4" t="s">
        <v>2950</v>
      </c>
      <c r="Q6777" s="4" t="s">
        <v>2951</v>
      </c>
      <c r="R6777" s="4" t="s">
        <v>2952</v>
      </c>
      <c r="S6777" s="4" t="s">
        <v>2953</v>
      </c>
      <c r="T6777" s="4" t="s">
        <v>2954</v>
      </c>
      <c r="U6777" s="4" t="s">
        <v>2955</v>
      </c>
    </row>
    <row r="6778">
      <c r="A6778" s="4">
        <v>6.0</v>
      </c>
      <c r="B6778" s="4" t="s">
        <v>15610</v>
      </c>
      <c r="C6778" s="4"/>
      <c r="D6778" s="4" t="s">
        <v>15621</v>
      </c>
      <c r="E6778" s="4" t="s">
        <v>15622</v>
      </c>
      <c r="F6778" s="4" t="s">
        <v>15621</v>
      </c>
      <c r="G6778" s="5" t="str">
        <f>IFERROR(__xludf.DUMMYFUNCTION("GOOGLETRANSLATE(D6778,""id"",""es"")"),"Alamas")</f>
        <v>Alamas</v>
      </c>
    </row>
    <row r="6779">
      <c r="A6779" s="4">
        <v>7.0</v>
      </c>
      <c r="B6779" s="4" t="s">
        <v>15610</v>
      </c>
      <c r="C6779" s="4"/>
      <c r="D6779" s="4" t="s">
        <v>15623</v>
      </c>
      <c r="E6779" s="4" t="s">
        <v>15624</v>
      </c>
      <c r="F6779" s="4" t="s">
        <v>15623</v>
      </c>
      <c r="G6779" s="5" t="str">
        <f>IFERROR(__xludf.DUMMYFUNCTION("GOOGLETRANSLATE(D6779,""id"",""es"")"),"caridad")</f>
        <v>caridad</v>
      </c>
      <c r="H6779" s="4" t="s">
        <v>15625</v>
      </c>
      <c r="I6779" s="4" t="s">
        <v>15626</v>
      </c>
      <c r="J6779" s="4" t="s">
        <v>15627</v>
      </c>
      <c r="K6779" s="4" t="s">
        <v>15628</v>
      </c>
      <c r="L6779" s="4" t="s">
        <v>15629</v>
      </c>
      <c r="M6779" s="4" t="s">
        <v>15628</v>
      </c>
      <c r="N6779" s="4" t="s">
        <v>15630</v>
      </c>
      <c r="O6779" s="4" t="s">
        <v>11466</v>
      </c>
      <c r="P6779" s="4" t="s">
        <v>15631</v>
      </c>
      <c r="Q6779" s="4" t="s">
        <v>15628</v>
      </c>
      <c r="R6779" s="4" t="s">
        <v>15628</v>
      </c>
    </row>
    <row r="6780">
      <c r="A6780" s="4">
        <v>8.0</v>
      </c>
      <c r="B6780" s="4" t="s">
        <v>15610</v>
      </c>
      <c r="C6780" s="4"/>
      <c r="D6780" s="4" t="s">
        <v>15632</v>
      </c>
      <c r="E6780" s="4" t="s">
        <v>15633</v>
      </c>
      <c r="F6780" s="4" t="s">
        <v>15632</v>
      </c>
      <c r="G6780" s="5" t="str">
        <f>IFERROR(__xludf.DUMMYFUNCTION("GOOGLETRANSLATE(D6780,""id"",""es"")"),"Amalaka")</f>
        <v>Amalaka</v>
      </c>
    </row>
    <row r="6781">
      <c r="A6781" s="4">
        <v>9.0</v>
      </c>
      <c r="B6781" s="4" t="s">
        <v>15610</v>
      </c>
      <c r="C6781" s="4"/>
      <c r="D6781" s="4" t="s">
        <v>15634</v>
      </c>
      <c r="E6781" s="4" t="s">
        <v>15635</v>
      </c>
      <c r="F6781" s="4" t="s">
        <v>15634</v>
      </c>
      <c r="G6781" s="5" t="str">
        <f>IFERROR(__xludf.DUMMYFUNCTION("GOOGLETRANSLATE(D6781,""id"",""es"")"),"cachorros")</f>
        <v>cachorros</v>
      </c>
    </row>
    <row r="6782">
      <c r="A6782" s="4">
        <v>10.0</v>
      </c>
      <c r="B6782" s="4" t="s">
        <v>15610</v>
      </c>
      <c r="C6782" s="4"/>
      <c r="D6782" s="4" t="s">
        <v>15636</v>
      </c>
      <c r="E6782" s="4" t="s">
        <v>15637</v>
      </c>
      <c r="F6782" s="4" t="s">
        <v>15636</v>
      </c>
      <c r="G6782" s="5" t="str">
        <f>IFERROR(__xludf.DUMMYFUNCTION("GOOGLETRANSLATE(D6782,""id"",""es"")"),"lo m")</f>
        <v>lo m</v>
      </c>
    </row>
    <row r="6783">
      <c r="A6783" s="4">
        <v>11.0</v>
      </c>
      <c r="B6783" s="4" t="s">
        <v>15610</v>
      </c>
      <c r="C6783" s="4"/>
      <c r="D6783" s="4" t="s">
        <v>757</v>
      </c>
      <c r="E6783" s="4" t="s">
        <v>758</v>
      </c>
      <c r="F6783" s="4" t="s">
        <v>757</v>
      </c>
      <c r="G6783" s="5" t="str">
        <f>IFERROR(__xludf.DUMMYFUNCTION("GOOGLETRANSLATE(D6783,""id"",""es"")"),"fuego")</f>
        <v>fuego</v>
      </c>
      <c r="H6783" s="4" t="s">
        <v>907</v>
      </c>
      <c r="I6783" s="4" t="s">
        <v>5527</v>
      </c>
      <c r="J6783" s="4" t="s">
        <v>15638</v>
      </c>
      <c r="K6783" s="4" t="s">
        <v>997</v>
      </c>
      <c r="L6783" s="4" t="s">
        <v>907</v>
      </c>
      <c r="M6783" s="4" t="s">
        <v>15639</v>
      </c>
      <c r="N6783" s="4" t="s">
        <v>997</v>
      </c>
      <c r="O6783" s="4" t="s">
        <v>15640</v>
      </c>
      <c r="P6783" s="4" t="s">
        <v>15641</v>
      </c>
      <c r="Q6783" s="4" t="s">
        <v>11477</v>
      </c>
      <c r="R6783" s="4" t="s">
        <v>15642</v>
      </c>
      <c r="S6783" s="4" t="s">
        <v>15643</v>
      </c>
      <c r="T6783" s="4" t="s">
        <v>3505</v>
      </c>
      <c r="U6783" s="4" t="s">
        <v>15644</v>
      </c>
      <c r="V6783" s="4" t="s">
        <v>907</v>
      </c>
      <c r="W6783" s="4" t="s">
        <v>15645</v>
      </c>
      <c r="X6783" s="4" t="s">
        <v>15646</v>
      </c>
      <c r="Y6783" s="4" t="s">
        <v>907</v>
      </c>
      <c r="Z6783" s="4" t="s">
        <v>11477</v>
      </c>
      <c r="AA6783" s="4" t="s">
        <v>11478</v>
      </c>
      <c r="AB6783" s="4" t="s">
        <v>907</v>
      </c>
      <c r="AC6783" s="4" t="s">
        <v>11479</v>
      </c>
      <c r="AD6783" s="4" t="s">
        <v>11480</v>
      </c>
      <c r="AE6783" s="4" t="s">
        <v>907</v>
      </c>
    </row>
    <row r="6784">
      <c r="A6784" s="4">
        <v>12.0</v>
      </c>
      <c r="B6784" s="4" t="s">
        <v>15610</v>
      </c>
      <c r="C6784" s="4"/>
      <c r="D6784" s="4" t="s">
        <v>295</v>
      </c>
      <c r="E6784" s="4" t="s">
        <v>294</v>
      </c>
      <c r="F6784" s="4" t="s">
        <v>295</v>
      </c>
      <c r="G6784" s="5" t="str">
        <f>IFERROR(__xludf.DUMMYFUNCTION("GOOGLETRANSLATE(D6784,""id"",""es"")"),"A NOSOTROS")</f>
        <v>A NOSOTROS</v>
      </c>
      <c r="H6784" s="4" t="s">
        <v>5855</v>
      </c>
      <c r="I6784" s="4" t="s">
        <v>5856</v>
      </c>
      <c r="J6784" s="4" t="s">
        <v>5857</v>
      </c>
    </row>
    <row r="6785">
      <c r="A6785" s="4">
        <v>13.0</v>
      </c>
      <c r="B6785" s="4" t="s">
        <v>15610</v>
      </c>
      <c r="C6785" s="4"/>
      <c r="D6785" s="4" t="s">
        <v>14086</v>
      </c>
      <c r="E6785" s="4" t="s">
        <v>14087</v>
      </c>
      <c r="F6785" s="4" t="s">
        <v>14086</v>
      </c>
      <c r="G6785" s="5" t="str">
        <f>IFERROR(__xludf.DUMMYFUNCTION("GOOGLETRANSLATE(D6785,""id"",""es"")"),"esperar")</f>
        <v>esperar</v>
      </c>
      <c r="H6785" s="4" t="s">
        <v>15647</v>
      </c>
    </row>
    <row r="6786">
      <c r="A6786" s="4">
        <v>14.0</v>
      </c>
      <c r="B6786" s="4" t="s">
        <v>15610</v>
      </c>
      <c r="C6786" s="4"/>
      <c r="D6786" s="4" t="s">
        <v>9342</v>
      </c>
      <c r="E6786" s="4" t="s">
        <v>15648</v>
      </c>
      <c r="F6786" s="4" t="s">
        <v>9342</v>
      </c>
      <c r="G6786" s="5" t="str">
        <f>IFERROR(__xludf.DUMMYFUNCTION("GOOGLETRANSLATE(D6786,""id"",""es"")"),"Asana")</f>
        <v>Asana</v>
      </c>
    </row>
    <row r="6787">
      <c r="A6787" s="4">
        <v>15.0</v>
      </c>
      <c r="B6787" s="4" t="s">
        <v>15610</v>
      </c>
      <c r="C6787" s="4"/>
      <c r="D6787" s="4" t="s">
        <v>15649</v>
      </c>
      <c r="E6787" s="4" t="s">
        <v>15650</v>
      </c>
      <c r="F6787" s="4" t="s">
        <v>15649</v>
      </c>
      <c r="G6787" s="5" t="str">
        <f>IFERROR(__xludf.DUMMYFUNCTION("GOOGLETRANSLATE(D6787,""id"",""es"")"),"principio")</f>
        <v>principio</v>
      </c>
      <c r="H6787" s="4" t="s">
        <v>15651</v>
      </c>
      <c r="I6787" s="4" t="s">
        <v>15584</v>
      </c>
      <c r="J6787" s="4" t="s">
        <v>14753</v>
      </c>
      <c r="K6787" s="4" t="s">
        <v>11896</v>
      </c>
      <c r="L6787" s="4" t="s">
        <v>15652</v>
      </c>
      <c r="M6787" s="4" t="s">
        <v>11461</v>
      </c>
      <c r="N6787" s="4" t="s">
        <v>15653</v>
      </c>
      <c r="O6787" s="4" t="s">
        <v>8397</v>
      </c>
      <c r="P6787" s="4" t="s">
        <v>8398</v>
      </c>
      <c r="Q6787" s="4" t="s">
        <v>8399</v>
      </c>
      <c r="R6787" s="4" t="s">
        <v>8380</v>
      </c>
      <c r="S6787" s="4" t="s">
        <v>8400</v>
      </c>
      <c r="T6787" s="4" t="s">
        <v>11461</v>
      </c>
      <c r="U6787" s="4" t="s">
        <v>15651</v>
      </c>
      <c r="V6787" s="4" t="s">
        <v>14753</v>
      </c>
      <c r="W6787" s="4" t="s">
        <v>13526</v>
      </c>
      <c r="X6787" s="4" t="s">
        <v>15654</v>
      </c>
      <c r="Y6787" s="4" t="s">
        <v>15591</v>
      </c>
      <c r="Z6787" s="4" t="s">
        <v>11896</v>
      </c>
      <c r="AA6787" s="4" t="s">
        <v>8399</v>
      </c>
      <c r="AB6787" s="4" t="s">
        <v>15655</v>
      </c>
      <c r="AC6787" s="4" t="s">
        <v>15656</v>
      </c>
      <c r="AD6787" s="4" t="s">
        <v>11461</v>
      </c>
      <c r="AE6787" s="4" t="s">
        <v>11461</v>
      </c>
      <c r="AF6787" s="4" t="s">
        <v>15657</v>
      </c>
      <c r="AG6787" s="4" t="s">
        <v>11461</v>
      </c>
      <c r="AH6787" s="4" t="s">
        <v>15658</v>
      </c>
      <c r="AI6787" s="4" t="s">
        <v>15659</v>
      </c>
      <c r="AJ6787" s="4" t="s">
        <v>15660</v>
      </c>
      <c r="AK6787" s="4" t="s">
        <v>15661</v>
      </c>
      <c r="AL6787" s="4" t="s">
        <v>11461</v>
      </c>
      <c r="AM6787" s="4" t="s">
        <v>11461</v>
      </c>
      <c r="AN6787" s="4" t="s">
        <v>15662</v>
      </c>
      <c r="AO6787" s="4" t="s">
        <v>15663</v>
      </c>
      <c r="AP6787" s="4" t="s">
        <v>15664</v>
      </c>
      <c r="AQ6787" s="4" t="s">
        <v>13526</v>
      </c>
      <c r="AR6787" s="4" t="s">
        <v>14754</v>
      </c>
      <c r="AS6787" s="4" t="s">
        <v>14755</v>
      </c>
      <c r="AT6787" s="4" t="s">
        <v>13526</v>
      </c>
      <c r="AU6787" s="4" t="s">
        <v>3869</v>
      </c>
      <c r="AV6787" s="4" t="s">
        <v>13526</v>
      </c>
      <c r="AW6787" s="4" t="s">
        <v>14756</v>
      </c>
      <c r="AX6787" s="4" t="s">
        <v>14757</v>
      </c>
      <c r="AY6787" s="4" t="s">
        <v>13526</v>
      </c>
      <c r="AZ6787" s="4" t="s">
        <v>1608</v>
      </c>
      <c r="BA6787" s="4" t="s">
        <v>7188</v>
      </c>
      <c r="BB6787" s="4" t="s">
        <v>14758</v>
      </c>
      <c r="BC6787" s="4" t="s">
        <v>14759</v>
      </c>
      <c r="BD6787" s="4" t="s">
        <v>14760</v>
      </c>
      <c r="BE6787" s="4" t="s">
        <v>15665</v>
      </c>
      <c r="BF6787" s="4" t="s">
        <v>14757</v>
      </c>
      <c r="BG6787" s="4" t="s">
        <v>15666</v>
      </c>
      <c r="BH6787" s="4" t="s">
        <v>13526</v>
      </c>
      <c r="BI6787" s="4" t="s">
        <v>11461</v>
      </c>
      <c r="BJ6787" s="4" t="s">
        <v>15667</v>
      </c>
      <c r="BK6787" s="4" t="s">
        <v>15668</v>
      </c>
      <c r="BL6787" s="4" t="s">
        <v>14776</v>
      </c>
      <c r="BM6787" s="4" t="s">
        <v>13526</v>
      </c>
      <c r="BN6787" s="4" t="s">
        <v>14757</v>
      </c>
      <c r="BO6787" s="4" t="s">
        <v>1608</v>
      </c>
      <c r="BP6787" s="4" t="s">
        <v>14758</v>
      </c>
      <c r="BQ6787" s="4" t="s">
        <v>15669</v>
      </c>
      <c r="BR6787" s="4" t="s">
        <v>15668</v>
      </c>
      <c r="BS6787" s="4" t="s">
        <v>11358</v>
      </c>
      <c r="BT6787" s="4" t="s">
        <v>15668</v>
      </c>
      <c r="BU6787" s="4" t="s">
        <v>14767</v>
      </c>
      <c r="BV6787" s="4" t="s">
        <v>14768</v>
      </c>
      <c r="BW6787" s="4" t="s">
        <v>13526</v>
      </c>
      <c r="BX6787" s="4" t="s">
        <v>1187</v>
      </c>
      <c r="BY6787" s="4" t="s">
        <v>8877</v>
      </c>
      <c r="BZ6787" s="4" t="s">
        <v>14769</v>
      </c>
      <c r="CA6787" s="4" t="s">
        <v>15670</v>
      </c>
      <c r="CB6787" s="4" t="s">
        <v>15671</v>
      </c>
      <c r="CC6787" s="4" t="s">
        <v>15668</v>
      </c>
      <c r="CD6787" s="4" t="s">
        <v>15672</v>
      </c>
      <c r="CE6787" s="4" t="s">
        <v>3578</v>
      </c>
      <c r="CF6787" s="4" t="s">
        <v>13526</v>
      </c>
      <c r="CG6787" s="4" t="s">
        <v>14770</v>
      </c>
      <c r="CH6787" s="4" t="s">
        <v>14771</v>
      </c>
      <c r="CI6787" s="4" t="s">
        <v>14772</v>
      </c>
      <c r="CJ6787" s="4" t="s">
        <v>14773</v>
      </c>
      <c r="CK6787" s="4" t="s">
        <v>14774</v>
      </c>
      <c r="CL6787" s="4" t="s">
        <v>13526</v>
      </c>
      <c r="CM6787" s="4" t="s">
        <v>2125</v>
      </c>
      <c r="CN6787" s="4" t="s">
        <v>13526</v>
      </c>
      <c r="CO6787" s="4" t="s">
        <v>13526</v>
      </c>
      <c r="CP6787" s="4" t="s">
        <v>13526</v>
      </c>
      <c r="CQ6787" s="4" t="s">
        <v>14775</v>
      </c>
      <c r="CR6787" s="4" t="s">
        <v>14757</v>
      </c>
      <c r="CS6787" s="4" t="s">
        <v>15673</v>
      </c>
      <c r="CT6787" s="4" t="s">
        <v>14776</v>
      </c>
      <c r="CU6787" s="4" t="s">
        <v>13678</v>
      </c>
      <c r="CV6787" s="4" t="s">
        <v>14776</v>
      </c>
      <c r="CW6787" s="4" t="s">
        <v>13526</v>
      </c>
      <c r="CX6787" s="4" t="s">
        <v>13526</v>
      </c>
      <c r="CY6787" s="4" t="s">
        <v>13526</v>
      </c>
      <c r="CZ6787" s="4" t="s">
        <v>14777</v>
      </c>
    </row>
    <row r="6788">
      <c r="A6788" s="4">
        <v>16.0</v>
      </c>
      <c r="B6788" s="4" t="s">
        <v>15610</v>
      </c>
      <c r="C6788" s="4"/>
      <c r="D6788" s="4" t="s">
        <v>15674</v>
      </c>
      <c r="E6788" s="4" t="s">
        <v>15675</v>
      </c>
      <c r="F6788" s="4" t="s">
        <v>15674</v>
      </c>
      <c r="G6788" s="5" t="str">
        <f>IFERROR(__xludf.DUMMYFUNCTION("GOOGLETRANSLATE(D6788,""id"",""es"")"),"asimilación")</f>
        <v>asimilación</v>
      </c>
      <c r="H6788" s="4" t="s">
        <v>876</v>
      </c>
      <c r="I6788" s="4" t="s">
        <v>15676</v>
      </c>
      <c r="J6788" s="4" t="s">
        <v>15676</v>
      </c>
      <c r="K6788" s="4" t="s">
        <v>15677</v>
      </c>
      <c r="L6788" s="4" t="s">
        <v>15676</v>
      </c>
      <c r="M6788" s="4" t="s">
        <v>15677</v>
      </c>
      <c r="N6788" s="4" t="s">
        <v>15676</v>
      </c>
    </row>
    <row r="6789">
      <c r="A6789" s="4">
        <v>17.0</v>
      </c>
      <c r="B6789" s="4" t="s">
        <v>15610</v>
      </c>
      <c r="C6789" s="4"/>
      <c r="D6789" s="4" t="s">
        <v>9347</v>
      </c>
      <c r="E6789" s="4" t="s">
        <v>15678</v>
      </c>
      <c r="F6789" s="4" t="s">
        <v>9347</v>
      </c>
      <c r="G6789" s="5" t="str">
        <f>IFERROR(__xludf.DUMMYFUNCTION("GOOGLETRANSLATE(D6789,""id"",""es"")"),"ASU")</f>
        <v>ASU</v>
      </c>
    </row>
    <row r="6790">
      <c r="A6790" s="4">
        <v>18.0</v>
      </c>
      <c r="B6790" s="4" t="s">
        <v>15610</v>
      </c>
      <c r="C6790" s="4"/>
      <c r="D6790" s="4" t="s">
        <v>15679</v>
      </c>
      <c r="E6790" s="4" t="s">
        <v>15680</v>
      </c>
      <c r="F6790" s="4" t="s">
        <v>15679</v>
      </c>
      <c r="G6790" s="5" t="str">
        <f>IFERROR(__xludf.DUMMYFUNCTION("GOOGLETRANSLATE(D6790,""id"",""es"")"),"inmoral")</f>
        <v>inmoral</v>
      </c>
    </row>
    <row r="6791">
      <c r="A6791" s="4">
        <v>19.0</v>
      </c>
      <c r="B6791" s="4" t="s">
        <v>15610</v>
      </c>
      <c r="C6791" s="4"/>
      <c r="D6791" s="4" t="s">
        <v>1778</v>
      </c>
      <c r="E6791" s="4" t="s">
        <v>15681</v>
      </c>
      <c r="F6791" s="4" t="s">
        <v>1778</v>
      </c>
      <c r="G6791" s="5" t="str">
        <f>IFERROR(__xludf.DUMMYFUNCTION("GOOGLETRANSLATE(D6791,""id"",""es"")"),"jamón")</f>
        <v>jamón</v>
      </c>
      <c r="H6791" s="4" t="s">
        <v>1778</v>
      </c>
      <c r="I6791" s="4" t="s">
        <v>6152</v>
      </c>
      <c r="J6791" s="4" t="s">
        <v>6153</v>
      </c>
      <c r="K6791" s="4" t="s">
        <v>6154</v>
      </c>
    </row>
    <row r="6792">
      <c r="A6792" s="4">
        <v>20.0</v>
      </c>
      <c r="B6792" s="4" t="s">
        <v>15610</v>
      </c>
      <c r="C6792" s="4"/>
      <c r="D6792" s="4" t="s">
        <v>15682</v>
      </c>
      <c r="E6792" s="4" t="s">
        <v>15683</v>
      </c>
      <c r="F6792" s="4" t="s">
        <v>15682</v>
      </c>
      <c r="G6792" s="5" t="str">
        <f>IFERROR(__xludf.DUMMYFUNCTION("GOOGLETRANSLATE(D6792,""id"",""es"")"),"embarazada")</f>
        <v>embarazada</v>
      </c>
      <c r="H6792" s="4" t="s">
        <v>4797</v>
      </c>
      <c r="I6792" s="4" t="s">
        <v>15684</v>
      </c>
      <c r="J6792" s="4" t="s">
        <v>15685</v>
      </c>
      <c r="K6792" s="4" t="s">
        <v>15686</v>
      </c>
      <c r="L6792" s="4" t="s">
        <v>15684</v>
      </c>
      <c r="M6792" s="4" t="s">
        <v>15687</v>
      </c>
      <c r="N6792" s="4" t="s">
        <v>311</v>
      </c>
      <c r="O6792" s="4" t="s">
        <v>15688</v>
      </c>
      <c r="P6792" s="4" t="s">
        <v>15684</v>
      </c>
      <c r="Q6792" s="4" t="s">
        <v>7048</v>
      </c>
      <c r="R6792" s="4" t="s">
        <v>15689</v>
      </c>
      <c r="S6792" s="4" t="s">
        <v>6687</v>
      </c>
      <c r="T6792" s="4" t="s">
        <v>15690</v>
      </c>
      <c r="U6792" s="4" t="s">
        <v>15684</v>
      </c>
      <c r="V6792" s="4" t="s">
        <v>4445</v>
      </c>
      <c r="W6792" s="4" t="s">
        <v>15691</v>
      </c>
      <c r="X6792" s="4" t="s">
        <v>3910</v>
      </c>
      <c r="Y6792" s="4" t="s">
        <v>15684</v>
      </c>
      <c r="Z6792" s="4" t="s">
        <v>15684</v>
      </c>
    </row>
    <row r="6793">
      <c r="A6793" s="4">
        <v>21.0</v>
      </c>
      <c r="B6793" s="4" t="s">
        <v>15610</v>
      </c>
      <c r="C6793" s="4"/>
      <c r="D6793" s="4" t="s">
        <v>9456</v>
      </c>
      <c r="E6793" s="4" t="s">
        <v>15692</v>
      </c>
      <c r="F6793" s="4" t="s">
        <v>9456</v>
      </c>
      <c r="G6793" s="5" t="str">
        <f>IFERROR(__xludf.DUMMYFUNCTION("GOOGLETRANSLATE(D6793,""id"",""es"")"),"Hana")</f>
        <v>Hana</v>
      </c>
      <c r="H6793" s="4" t="s">
        <v>11687</v>
      </c>
    </row>
    <row r="6794">
      <c r="A6794" s="4">
        <v>22.0</v>
      </c>
      <c r="B6794" s="4" t="s">
        <v>15610</v>
      </c>
      <c r="C6794" s="4"/>
      <c r="D6794" s="4" t="s">
        <v>9459</v>
      </c>
      <c r="E6794" s="4" t="s">
        <v>15693</v>
      </c>
      <c r="F6794" s="4" t="s">
        <v>9459</v>
      </c>
      <c r="G6794" s="5" t="str">
        <f>IFERROR(__xludf.DUMMYFUNCTION("GOOGLETRANSLATE(D6794,""id"",""es"")"),"Hanami")</f>
        <v>Hanami</v>
      </c>
    </row>
    <row r="6795">
      <c r="A6795" s="4">
        <v>23.0</v>
      </c>
      <c r="B6795" s="4" t="s">
        <v>15610</v>
      </c>
      <c r="C6795" s="4"/>
      <c r="D6795" s="4" t="s">
        <v>15694</v>
      </c>
      <c r="E6795" s="4" t="s">
        <v>15695</v>
      </c>
      <c r="F6795" s="4" t="s">
        <v>15694</v>
      </c>
      <c r="G6795" s="5" t="str">
        <f>IFERROR(__xludf.DUMMYFUNCTION("GOOGLETRANSLATE(D6795,""id"",""es"")"),"Eliminar")</f>
        <v>Eliminar</v>
      </c>
      <c r="H6795" s="4" t="s">
        <v>12954</v>
      </c>
      <c r="I6795" s="4" t="s">
        <v>15696</v>
      </c>
      <c r="J6795" s="4" t="s">
        <v>15697</v>
      </c>
      <c r="K6795" s="4" t="s">
        <v>6430</v>
      </c>
      <c r="L6795" s="4" t="s">
        <v>15698</v>
      </c>
      <c r="M6795" s="4" t="s">
        <v>15699</v>
      </c>
      <c r="N6795" s="4" t="s">
        <v>15700</v>
      </c>
    </row>
    <row r="6796">
      <c r="A6796" s="4">
        <v>24.0</v>
      </c>
      <c r="B6796" s="4" t="s">
        <v>15610</v>
      </c>
      <c r="C6796" s="4"/>
      <c r="D6796" s="4" t="s">
        <v>1787</v>
      </c>
      <c r="E6796" s="4" t="s">
        <v>15701</v>
      </c>
      <c r="F6796" s="4" t="s">
        <v>1787</v>
      </c>
      <c r="G6796" s="5" t="str">
        <f>IFERROR(__xludf.DUMMYFUNCTION("GOOGLETRANSLATE(D6796,""id"",""es"")"),"Posee")</f>
        <v>Posee</v>
      </c>
    </row>
    <row r="6797">
      <c r="A6797" s="4">
        <v>25.0</v>
      </c>
      <c r="B6797" s="4" t="s">
        <v>15610</v>
      </c>
      <c r="C6797" s="4"/>
      <c r="D6797" s="4" t="s">
        <v>15702</v>
      </c>
      <c r="E6797" s="4" t="s">
        <v>15703</v>
      </c>
      <c r="F6797" s="4" t="s">
        <v>15702</v>
      </c>
      <c r="G6797" s="5" t="str">
        <f>IFERROR(__xludf.DUMMYFUNCTION("GOOGLETRANSLATE(D6797,""id"",""es"")"),"resultados")</f>
        <v>resultados</v>
      </c>
      <c r="H6797" s="4" t="s">
        <v>3993</v>
      </c>
      <c r="I6797" s="4" t="s">
        <v>15704</v>
      </c>
      <c r="J6797" s="4" t="s">
        <v>15705</v>
      </c>
      <c r="K6797" s="4" t="s">
        <v>15706</v>
      </c>
      <c r="L6797" s="4" t="s">
        <v>15707</v>
      </c>
      <c r="M6797" s="4" t="s">
        <v>15691</v>
      </c>
      <c r="N6797" s="4" t="s">
        <v>15708</v>
      </c>
      <c r="O6797" s="4" t="s">
        <v>15709</v>
      </c>
      <c r="P6797" s="4" t="s">
        <v>10345</v>
      </c>
      <c r="Q6797" s="4" t="s">
        <v>486</v>
      </c>
      <c r="R6797" s="4" t="s">
        <v>2682</v>
      </c>
      <c r="S6797" s="4" t="s">
        <v>3000</v>
      </c>
      <c r="T6797" s="4" t="s">
        <v>15710</v>
      </c>
      <c r="U6797" s="4" t="s">
        <v>15711</v>
      </c>
      <c r="V6797" s="4" t="s">
        <v>15712</v>
      </c>
      <c r="W6797" s="4" t="s">
        <v>7302</v>
      </c>
      <c r="X6797" s="4" t="s">
        <v>15713</v>
      </c>
      <c r="Y6797" s="4" t="s">
        <v>15708</v>
      </c>
      <c r="Z6797" s="4" t="s">
        <v>10345</v>
      </c>
      <c r="AA6797" s="4" t="s">
        <v>11466</v>
      </c>
      <c r="AB6797" s="4" t="s">
        <v>10140</v>
      </c>
      <c r="AC6797" s="4" t="s">
        <v>15714</v>
      </c>
      <c r="AD6797" s="4" t="s">
        <v>15707</v>
      </c>
      <c r="AE6797" s="4" t="s">
        <v>15715</v>
      </c>
      <c r="AF6797" s="4" t="s">
        <v>15153</v>
      </c>
      <c r="AG6797" s="4" t="s">
        <v>15716</v>
      </c>
      <c r="AH6797" s="4" t="s">
        <v>15707</v>
      </c>
      <c r="AI6797" s="4" t="s">
        <v>15717</v>
      </c>
      <c r="AJ6797" s="4" t="s">
        <v>9360</v>
      </c>
      <c r="AK6797" s="4" t="s">
        <v>15716</v>
      </c>
      <c r="AL6797" s="4" t="s">
        <v>15718</v>
      </c>
      <c r="AM6797" s="4" t="s">
        <v>15719</v>
      </c>
      <c r="AN6797" s="4" t="s">
        <v>15691</v>
      </c>
      <c r="AO6797" s="4" t="s">
        <v>15720</v>
      </c>
      <c r="AP6797" s="4" t="s">
        <v>15716</v>
      </c>
      <c r="AQ6797" s="4" t="s">
        <v>15721</v>
      </c>
      <c r="AR6797" s="4" t="s">
        <v>15722</v>
      </c>
      <c r="AS6797" s="4" t="s">
        <v>5298</v>
      </c>
      <c r="AT6797" s="4" t="s">
        <v>15723</v>
      </c>
      <c r="AU6797" s="4" t="s">
        <v>15724</v>
      </c>
      <c r="AV6797" s="4" t="s">
        <v>15725</v>
      </c>
      <c r="AW6797" s="4" t="s">
        <v>15726</v>
      </c>
      <c r="AX6797" s="4" t="s">
        <v>15727</v>
      </c>
      <c r="AY6797" s="4" t="s">
        <v>15707</v>
      </c>
      <c r="AZ6797" s="4" t="s">
        <v>15724</v>
      </c>
      <c r="BA6797" s="4" t="s">
        <v>15728</v>
      </c>
      <c r="BB6797" s="4" t="s">
        <v>15729</v>
      </c>
      <c r="BC6797" s="4" t="s">
        <v>15730</v>
      </c>
      <c r="BD6797" s="4" t="s">
        <v>15731</v>
      </c>
      <c r="BE6797" s="4" t="s">
        <v>15732</v>
      </c>
      <c r="BF6797" s="4" t="s">
        <v>15733</v>
      </c>
      <c r="BG6797" s="4" t="s">
        <v>15734</v>
      </c>
      <c r="BH6797" s="4" t="s">
        <v>15735</v>
      </c>
      <c r="BI6797" s="4" t="s">
        <v>15736</v>
      </c>
      <c r="BJ6797" s="4" t="s">
        <v>15720</v>
      </c>
      <c r="BK6797" s="4" t="s">
        <v>13276</v>
      </c>
      <c r="BL6797" s="4" t="s">
        <v>15737</v>
      </c>
      <c r="BM6797" s="4" t="s">
        <v>15738</v>
      </c>
      <c r="BN6797" s="4" t="s">
        <v>15739</v>
      </c>
      <c r="BO6797" s="4" t="s">
        <v>15740</v>
      </c>
      <c r="BP6797" s="4" t="s">
        <v>15741</v>
      </c>
      <c r="BQ6797" s="4" t="s">
        <v>14256</v>
      </c>
      <c r="BR6797" s="4" t="s">
        <v>15742</v>
      </c>
      <c r="BS6797" s="4" t="s">
        <v>15743</v>
      </c>
      <c r="BT6797" s="4" t="s">
        <v>15744</v>
      </c>
      <c r="BU6797" s="4" t="s">
        <v>15732</v>
      </c>
      <c r="BV6797" s="4" t="s">
        <v>15722</v>
      </c>
      <c r="BW6797" s="4" t="s">
        <v>15730</v>
      </c>
      <c r="BX6797" s="4" t="s">
        <v>15724</v>
      </c>
      <c r="BY6797" s="4" t="s">
        <v>1339</v>
      </c>
      <c r="BZ6797" s="4" t="s">
        <v>8878</v>
      </c>
      <c r="CA6797" s="4" t="s">
        <v>15745</v>
      </c>
      <c r="CB6797" s="4" t="s">
        <v>15746</v>
      </c>
      <c r="CC6797" s="4" t="s">
        <v>15716</v>
      </c>
      <c r="CD6797" s="4" t="s">
        <v>10140</v>
      </c>
      <c r="CE6797" s="4" t="s">
        <v>15746</v>
      </c>
      <c r="CF6797" s="4" t="s">
        <v>7137</v>
      </c>
      <c r="CG6797" s="4" t="s">
        <v>8878</v>
      </c>
      <c r="CH6797" s="4" t="s">
        <v>887</v>
      </c>
      <c r="CI6797" s="4" t="s">
        <v>15747</v>
      </c>
      <c r="CJ6797" s="4" t="s">
        <v>15748</v>
      </c>
      <c r="CK6797" s="4" t="s">
        <v>15691</v>
      </c>
      <c r="CL6797" s="4" t="s">
        <v>15741</v>
      </c>
      <c r="CM6797" s="4" t="s">
        <v>15749</v>
      </c>
      <c r="CN6797" s="4" t="s">
        <v>1708</v>
      </c>
      <c r="CO6797" s="4" t="s">
        <v>15750</v>
      </c>
      <c r="CP6797" s="4" t="s">
        <v>15751</v>
      </c>
      <c r="CQ6797" s="4" t="s">
        <v>15707</v>
      </c>
      <c r="CR6797" s="4" t="s">
        <v>15691</v>
      </c>
      <c r="CS6797" s="4" t="s">
        <v>15718</v>
      </c>
      <c r="CT6797" s="4" t="s">
        <v>15722</v>
      </c>
      <c r="CU6797" s="4" t="s">
        <v>15752</v>
      </c>
    </row>
    <row r="6798">
      <c r="A6798" s="4">
        <v>26.0</v>
      </c>
      <c r="B6798" s="4" t="s">
        <v>15610</v>
      </c>
      <c r="C6798" s="4"/>
      <c r="D6798" s="4" t="s">
        <v>15753</v>
      </c>
      <c r="E6798" s="4" t="s">
        <v>15754</v>
      </c>
      <c r="F6798" s="4" t="s">
        <v>15753</v>
      </c>
      <c r="G6798" s="5" t="str">
        <f>IFERROR(__xludf.DUMMYFUNCTION("GOOGLETRANSLATE(D6798,""id"",""es"")"),"espejismo")</f>
        <v>espejismo</v>
      </c>
      <c r="H6798" s="4" t="s">
        <v>15227</v>
      </c>
      <c r="I6798" s="4" t="s">
        <v>15228</v>
      </c>
      <c r="J6798" s="4" t="s">
        <v>15229</v>
      </c>
      <c r="K6798" s="4" t="s">
        <v>15230</v>
      </c>
      <c r="L6798" s="4" t="s">
        <v>15231</v>
      </c>
      <c r="M6798" s="4" t="s">
        <v>15232</v>
      </c>
      <c r="N6798" s="4" t="s">
        <v>15233</v>
      </c>
      <c r="O6798" s="4" t="s">
        <v>15234</v>
      </c>
      <c r="P6798" s="4" t="s">
        <v>15235</v>
      </c>
      <c r="Q6798" s="4" t="s">
        <v>15236</v>
      </c>
      <c r="R6798" s="4" t="s">
        <v>15234</v>
      </c>
      <c r="S6798" s="4" t="s">
        <v>15237</v>
      </c>
      <c r="T6798" s="4" t="s">
        <v>15755</v>
      </c>
      <c r="U6798" s="4" t="s">
        <v>15756</v>
      </c>
      <c r="V6798" s="4" t="s">
        <v>15234</v>
      </c>
      <c r="W6798" s="4" t="s">
        <v>15757</v>
      </c>
      <c r="X6798" s="4" t="s">
        <v>15758</v>
      </c>
      <c r="Y6798" s="4" t="s">
        <v>15421</v>
      </c>
    </row>
    <row r="6799">
      <c r="A6799" s="4">
        <v>27.0</v>
      </c>
      <c r="B6799" s="4" t="s">
        <v>15610</v>
      </c>
      <c r="C6799" s="4"/>
      <c r="D6799" s="4" t="s">
        <v>15759</v>
      </c>
      <c r="E6799" s="4" t="s">
        <v>15760</v>
      </c>
      <c r="F6799" s="4" t="s">
        <v>15759</v>
      </c>
      <c r="G6799" s="5" t="str">
        <f>IFERROR(__xludf.DUMMYFUNCTION("GOOGLETRANSLATE(D6799,""id"",""es"")"),"imitación")</f>
        <v>imitación</v>
      </c>
      <c r="H6799" s="4" t="s">
        <v>1326</v>
      </c>
    </row>
    <row r="6800">
      <c r="A6800" s="4">
        <v>28.0</v>
      </c>
      <c r="B6800" s="4" t="s">
        <v>15610</v>
      </c>
      <c r="C6800" s="4"/>
      <c r="D6800" s="4" t="s">
        <v>15761</v>
      </c>
      <c r="E6800" s="4" t="s">
        <v>15762</v>
      </c>
      <c r="F6800" s="4" t="s">
        <v>15761</v>
      </c>
      <c r="G6800" s="5" t="str">
        <f>IFERROR(__xludf.DUMMYFUNCTION("GOOGLETRANSLATE(D6800,""id"",""es"")"),"inmunización")</f>
        <v>inmunización</v>
      </c>
      <c r="H6800" s="4" t="s">
        <v>15763</v>
      </c>
      <c r="I6800" s="4" t="s">
        <v>15764</v>
      </c>
    </row>
    <row r="6801">
      <c r="A6801" s="4">
        <v>29.0</v>
      </c>
      <c r="B6801" s="4" t="s">
        <v>15610</v>
      </c>
      <c r="C6801" s="4"/>
      <c r="D6801" s="4" t="s">
        <v>15765</v>
      </c>
      <c r="E6801" s="4" t="s">
        <v>15766</v>
      </c>
      <c r="F6801" s="4" t="s">
        <v>15765</v>
      </c>
      <c r="G6801" s="5" t="str">
        <f>IFERROR(__xludf.DUMMYFUNCTION("GOOGLETRANSLATE(D6801,""id"",""es"")"),"Kahak")</f>
        <v>Kahak</v>
      </c>
      <c r="H6801" s="4" t="s">
        <v>10317</v>
      </c>
      <c r="I6801" s="4" t="s">
        <v>10318</v>
      </c>
    </row>
    <row r="6802">
      <c r="A6802" s="4">
        <v>30.0</v>
      </c>
      <c r="B6802" s="4" t="s">
        <v>15610</v>
      </c>
      <c r="C6802" s="4"/>
      <c r="D6802" s="4" t="s">
        <v>1297</v>
      </c>
      <c r="E6802" s="4" t="s">
        <v>1296</v>
      </c>
      <c r="F6802" s="4" t="s">
        <v>1297</v>
      </c>
      <c r="G6802" s="5" t="str">
        <f>IFERROR(__xludf.DUMMYFUNCTION("GOOGLETRANSLATE(D6802,""id"",""es"")"),"pie")</f>
        <v>pie</v>
      </c>
      <c r="H6802" s="4" t="s">
        <v>15767</v>
      </c>
      <c r="I6802" s="4" t="s">
        <v>10181</v>
      </c>
      <c r="J6802" s="4" t="s">
        <v>7188</v>
      </c>
      <c r="K6802" s="4" t="s">
        <v>7188</v>
      </c>
      <c r="L6802" s="4" t="s">
        <v>15768</v>
      </c>
      <c r="M6802" s="4" t="s">
        <v>2861</v>
      </c>
      <c r="N6802" s="4" t="s">
        <v>15769</v>
      </c>
      <c r="O6802" s="4" t="s">
        <v>15770</v>
      </c>
      <c r="P6802" s="4" t="s">
        <v>7188</v>
      </c>
      <c r="Q6802" s="4" t="s">
        <v>14757</v>
      </c>
      <c r="R6802" s="4" t="s">
        <v>13526</v>
      </c>
      <c r="S6802" s="4" t="s">
        <v>1608</v>
      </c>
      <c r="T6802" s="4" t="s">
        <v>7188</v>
      </c>
      <c r="U6802" s="4" t="s">
        <v>14758</v>
      </c>
      <c r="V6802" s="4" t="s">
        <v>14759</v>
      </c>
      <c r="W6802" s="4" t="s">
        <v>14760</v>
      </c>
      <c r="X6802" s="4" t="s">
        <v>1043</v>
      </c>
      <c r="Y6802" s="4" t="s">
        <v>1043</v>
      </c>
      <c r="Z6802" s="4" t="s">
        <v>15771</v>
      </c>
      <c r="AA6802" s="4" t="s">
        <v>15772</v>
      </c>
      <c r="AB6802" s="4" t="s">
        <v>15773</v>
      </c>
      <c r="AC6802" s="4" t="s">
        <v>15774</v>
      </c>
      <c r="AD6802" s="4" t="s">
        <v>15775</v>
      </c>
      <c r="AE6802" s="4" t="s">
        <v>15776</v>
      </c>
      <c r="AF6802" s="4" t="s">
        <v>11216</v>
      </c>
      <c r="AG6802" s="4" t="s">
        <v>6621</v>
      </c>
      <c r="AH6802" s="4" t="s">
        <v>1043</v>
      </c>
      <c r="AI6802" s="4" t="s">
        <v>1043</v>
      </c>
      <c r="AJ6802" s="4" t="s">
        <v>7188</v>
      </c>
      <c r="AK6802" s="4" t="s">
        <v>15777</v>
      </c>
      <c r="AL6802" s="4" t="s">
        <v>15778</v>
      </c>
      <c r="AM6802" s="4" t="s">
        <v>15779</v>
      </c>
      <c r="AN6802" s="4" t="s">
        <v>15780</v>
      </c>
      <c r="AO6802" s="4" t="s">
        <v>15781</v>
      </c>
      <c r="AP6802" s="4" t="s">
        <v>15779</v>
      </c>
      <c r="AQ6802" s="4" t="s">
        <v>15782</v>
      </c>
      <c r="AR6802" s="4" t="s">
        <v>15783</v>
      </c>
      <c r="AS6802" s="4" t="s">
        <v>7188</v>
      </c>
      <c r="AT6802" s="4" t="s">
        <v>15784</v>
      </c>
      <c r="AU6802" s="4" t="s">
        <v>1043</v>
      </c>
      <c r="AV6802" s="4" t="s">
        <v>15785</v>
      </c>
      <c r="AW6802" s="4" t="s">
        <v>7188</v>
      </c>
      <c r="AX6802" s="4" t="s">
        <v>1623</v>
      </c>
      <c r="AY6802" s="4" t="s">
        <v>13526</v>
      </c>
      <c r="AZ6802" s="4" t="s">
        <v>6309</v>
      </c>
      <c r="BA6802" s="4" t="s">
        <v>12229</v>
      </c>
      <c r="BB6802" s="4" t="s">
        <v>15786</v>
      </c>
      <c r="BC6802" s="4" t="s">
        <v>15787</v>
      </c>
      <c r="BD6802" s="4" t="s">
        <v>15788</v>
      </c>
      <c r="BE6802" s="4" t="s">
        <v>6532</v>
      </c>
      <c r="BF6802" s="4" t="s">
        <v>6533</v>
      </c>
      <c r="BG6802" s="4" t="s">
        <v>15789</v>
      </c>
      <c r="BH6802" s="4" t="s">
        <v>15790</v>
      </c>
      <c r="BI6802" s="4" t="s">
        <v>7188</v>
      </c>
      <c r="BJ6802" s="4" t="s">
        <v>15791</v>
      </c>
      <c r="BK6802" s="4" t="s">
        <v>15792</v>
      </c>
      <c r="BL6802" s="4" t="s">
        <v>15793</v>
      </c>
      <c r="BM6802" s="4" t="s">
        <v>15794</v>
      </c>
      <c r="BN6802" s="4" t="s">
        <v>15795</v>
      </c>
    </row>
    <row r="6803">
      <c r="A6803" s="4">
        <v>31.0</v>
      </c>
      <c r="B6803" s="4" t="s">
        <v>15610</v>
      </c>
      <c r="C6803" s="4"/>
      <c r="D6803" s="4" t="s">
        <v>5056</v>
      </c>
      <c r="E6803" s="4" t="s">
        <v>15796</v>
      </c>
      <c r="F6803" s="4" t="s">
        <v>5056</v>
      </c>
      <c r="G6803" s="5" t="str">
        <f>IFERROR(__xludf.DUMMYFUNCTION("GOOGLETRANSLATE(D6803,""id"",""es"")"),"Kamisa")</f>
        <v>Kamisa</v>
      </c>
    </row>
    <row r="6804">
      <c r="A6804" s="4">
        <v>32.0</v>
      </c>
      <c r="B6804" s="4" t="s">
        <v>15610</v>
      </c>
      <c r="C6804" s="4"/>
      <c r="D6804" s="4" t="s">
        <v>15797</v>
      </c>
      <c r="E6804" s="4" t="s">
        <v>15798</v>
      </c>
      <c r="F6804" s="4" t="s">
        <v>15797</v>
      </c>
      <c r="G6804" s="5" t="str">
        <f>IFERROR(__xludf.DUMMYFUNCTION("GOOGLETRANSLATE(D6804,""id"",""es"")"),"diccionario")</f>
        <v>diccionario</v>
      </c>
      <c r="H6804" s="4" t="s">
        <v>15799</v>
      </c>
      <c r="I6804" s="4" t="s">
        <v>15800</v>
      </c>
    </row>
    <row r="6805">
      <c r="A6805" s="4">
        <v>33.0</v>
      </c>
      <c r="B6805" s="4" t="s">
        <v>15610</v>
      </c>
      <c r="C6805" s="4"/>
      <c r="D6805" s="4" t="s">
        <v>1128</v>
      </c>
      <c r="E6805" s="4" t="s">
        <v>1127</v>
      </c>
      <c r="F6805" s="4" t="s">
        <v>1128</v>
      </c>
      <c r="G6805" s="5" t="str">
        <f>IFERROR(__xludf.DUMMYFUNCTION("GOOGLETRANSLATE(D6805,""id"",""es"")"),"canal")</f>
        <v>canal</v>
      </c>
      <c r="H6805" s="4" t="s">
        <v>1126</v>
      </c>
      <c r="I6805" s="4" t="s">
        <v>15801</v>
      </c>
      <c r="J6805" s="4" t="s">
        <v>15802</v>
      </c>
      <c r="K6805" s="4" t="s">
        <v>1130</v>
      </c>
      <c r="L6805" s="4" t="s">
        <v>1135</v>
      </c>
      <c r="M6805" s="4" t="s">
        <v>1126</v>
      </c>
      <c r="N6805" s="4" t="s">
        <v>1136</v>
      </c>
      <c r="O6805" s="4" t="s">
        <v>1136</v>
      </c>
    </row>
    <row r="6806">
      <c r="A6806" s="4">
        <v>34.0</v>
      </c>
      <c r="B6806" s="4" t="s">
        <v>15610</v>
      </c>
      <c r="C6806" s="4"/>
      <c r="D6806" s="4" t="s">
        <v>15803</v>
      </c>
      <c r="E6806" s="4" t="s">
        <v>15804</v>
      </c>
      <c r="F6806" s="4" t="s">
        <v>15803</v>
      </c>
      <c r="G6806" s="5" t="str">
        <f>IFERROR(__xludf.DUMMYFUNCTION("GOOGLETRANSLATE(D6806,""id"",""es"")"),"Correcto")</f>
        <v>Correcto</v>
      </c>
      <c r="H6806" s="4" t="s">
        <v>15805</v>
      </c>
      <c r="I6806" s="4" t="s">
        <v>15806</v>
      </c>
      <c r="J6806" s="4" t="s">
        <v>15807</v>
      </c>
      <c r="K6806" s="4" t="s">
        <v>15808</v>
      </c>
      <c r="L6806" s="4" t="s">
        <v>15807</v>
      </c>
      <c r="M6806" s="4" t="s">
        <v>1262</v>
      </c>
    </row>
    <row r="6807">
      <c r="A6807" s="4">
        <v>35.0</v>
      </c>
      <c r="B6807" s="4" t="s">
        <v>15610</v>
      </c>
      <c r="C6807" s="4"/>
      <c r="D6807" s="4" t="s">
        <v>15809</v>
      </c>
      <c r="E6807" s="4" t="s">
        <v>15810</v>
      </c>
      <c r="F6807" s="4" t="s">
        <v>15809</v>
      </c>
      <c r="G6807" s="5" t="str">
        <f>IFERROR(__xludf.DUMMYFUNCTION("GOOGLETRANSLATE(D6807,""id"",""es"")"),"capacidad")</f>
        <v>capacidad</v>
      </c>
      <c r="H6807" s="4" t="s">
        <v>8939</v>
      </c>
      <c r="I6807" s="4" t="s">
        <v>8939</v>
      </c>
      <c r="J6807" s="4" t="s">
        <v>8939</v>
      </c>
      <c r="K6807" s="4" t="s">
        <v>5324</v>
      </c>
      <c r="L6807" s="4" t="s">
        <v>8938</v>
      </c>
      <c r="M6807" s="4" t="s">
        <v>8939</v>
      </c>
    </row>
    <row r="6808">
      <c r="A6808" s="4">
        <v>36.0</v>
      </c>
      <c r="B6808" s="4" t="s">
        <v>15610</v>
      </c>
      <c r="C6808" s="4"/>
      <c r="D6808" s="4" t="s">
        <v>1293</v>
      </c>
      <c r="E6808" s="4" t="s">
        <v>1292</v>
      </c>
      <c r="F6808" s="4" t="s">
        <v>1293</v>
      </c>
      <c r="G6808" s="5" t="str">
        <f>IFERROR(__xludf.DUMMYFUNCTION("GOOGLETRANSLATE(D6808,""id"",""es"")"),"Capita")</f>
        <v>Capita</v>
      </c>
    </row>
    <row r="6809">
      <c r="A6809" s="4">
        <v>37.0</v>
      </c>
      <c r="B6809" s="4" t="s">
        <v>15610</v>
      </c>
      <c r="C6809" s="4"/>
      <c r="D6809" s="4" t="s">
        <v>1276</v>
      </c>
      <c r="E6809" s="4" t="s">
        <v>1275</v>
      </c>
      <c r="F6809" s="4" t="s">
        <v>1276</v>
      </c>
      <c r="G6809" s="5" t="str">
        <f>IFERROR(__xludf.DUMMYFUNCTION("GOOGLETRANSLATE(D6809,""id"",""es"")"),"capital")</f>
        <v>capital</v>
      </c>
      <c r="H6809" s="4" t="s">
        <v>1274</v>
      </c>
      <c r="I6809" s="4" t="s">
        <v>5983</v>
      </c>
      <c r="J6809" s="4" t="s">
        <v>1208</v>
      </c>
      <c r="K6809" s="4" t="s">
        <v>1274</v>
      </c>
      <c r="L6809" s="4" t="s">
        <v>1274</v>
      </c>
      <c r="M6809" s="4" t="s">
        <v>1274</v>
      </c>
      <c r="N6809" s="4" t="s">
        <v>11899</v>
      </c>
    </row>
    <row r="6810">
      <c r="A6810" s="4">
        <v>38.0</v>
      </c>
      <c r="B6810" s="4" t="s">
        <v>15610</v>
      </c>
      <c r="C6810" s="4"/>
      <c r="D6810" s="4" t="s">
        <v>15811</v>
      </c>
      <c r="E6810" s="4" t="s">
        <v>15812</v>
      </c>
      <c r="F6810" s="4" t="s">
        <v>15811</v>
      </c>
      <c r="G6810" s="5" t="str">
        <f>IFERROR(__xludf.DUMMYFUNCTION("GOOGLETRANSLATE(D6810,""id"",""es"")"),"capitalista")</f>
        <v>capitalista</v>
      </c>
      <c r="H6810" s="4" t="s">
        <v>11893</v>
      </c>
      <c r="I6810" s="4" t="s">
        <v>11894</v>
      </c>
      <c r="J6810" s="4" t="s">
        <v>15813</v>
      </c>
      <c r="K6810" s="4" t="s">
        <v>15814</v>
      </c>
      <c r="L6810" s="4" t="s">
        <v>11893</v>
      </c>
      <c r="M6810" s="4" t="s">
        <v>11894</v>
      </c>
      <c r="N6810" s="4" t="s">
        <v>11893</v>
      </c>
      <c r="O6810" s="4" t="s">
        <v>11894</v>
      </c>
      <c r="P6810" s="4" t="s">
        <v>15814</v>
      </c>
      <c r="Q6810" s="4" t="s">
        <v>15813</v>
      </c>
      <c r="R6810" s="4" t="s">
        <v>11893</v>
      </c>
      <c r="S6810" s="4" t="s">
        <v>11894</v>
      </c>
      <c r="T6810" s="4" t="s">
        <v>15814</v>
      </c>
      <c r="U6810" s="4" t="s">
        <v>15814</v>
      </c>
    </row>
    <row r="6811">
      <c r="A6811" s="4">
        <v>39.0</v>
      </c>
      <c r="B6811" s="4" t="s">
        <v>15610</v>
      </c>
      <c r="C6811" s="4"/>
      <c r="D6811" s="4" t="s">
        <v>15815</v>
      </c>
      <c r="E6811" s="4" t="s">
        <v>15816</v>
      </c>
      <c r="F6811" s="4" t="s">
        <v>15815</v>
      </c>
      <c r="G6811" s="5" t="str">
        <f>IFERROR(__xludf.DUMMYFUNCTION("GOOGLETRANSLATE(D6811,""id"",""es"")"),"capitación")</f>
        <v>capitación</v>
      </c>
    </row>
    <row r="6812">
      <c r="A6812" s="4">
        <v>40.0</v>
      </c>
      <c r="B6812" s="4" t="s">
        <v>15610</v>
      </c>
      <c r="C6812" s="4"/>
      <c r="D6812" s="4" t="s">
        <v>15817</v>
      </c>
      <c r="E6812" s="4" t="s">
        <v>15818</v>
      </c>
      <c r="F6812" s="4" t="s">
        <v>15817</v>
      </c>
      <c r="G6812" s="5" t="str">
        <f>IFERROR(__xludf.DUMMYFUNCTION("GOOGLETRANSLATE(D6812,""id"",""es"")"),"capitulación")</f>
        <v>capitulación</v>
      </c>
      <c r="H6812" s="4" t="s">
        <v>15819</v>
      </c>
      <c r="I6812" s="4" t="s">
        <v>4502</v>
      </c>
      <c r="J6812" s="4" t="s">
        <v>15820</v>
      </c>
    </row>
    <row r="6813">
      <c r="A6813" s="4">
        <v>41.0</v>
      </c>
      <c r="B6813" s="4" t="s">
        <v>15610</v>
      </c>
      <c r="C6813" s="4"/>
      <c r="D6813" s="4" t="s">
        <v>1336</v>
      </c>
      <c r="E6813" s="4" t="s">
        <v>1335</v>
      </c>
      <c r="F6813" s="4" t="s">
        <v>1336</v>
      </c>
      <c r="G6813" s="5" t="str">
        <f>IFERROR(__xludf.DUMMYFUNCTION("GOOGLETRANSLATE(D6813,""id"",""es"")"),"dinero")</f>
        <v>dinero</v>
      </c>
      <c r="H6813" s="4" t="s">
        <v>5158</v>
      </c>
      <c r="I6813" s="4" t="s">
        <v>15821</v>
      </c>
      <c r="J6813" s="4" t="s">
        <v>5158</v>
      </c>
      <c r="K6813" s="4" t="s">
        <v>15822</v>
      </c>
      <c r="L6813" s="4" t="s">
        <v>15823</v>
      </c>
    </row>
    <row r="6814">
      <c r="A6814" s="4">
        <v>42.0</v>
      </c>
      <c r="B6814" s="4" t="s">
        <v>15610</v>
      </c>
      <c r="C6814" s="4"/>
      <c r="D6814" s="4" t="s">
        <v>1359</v>
      </c>
      <c r="E6814" s="4" t="s">
        <v>1358</v>
      </c>
      <c r="F6814" s="4" t="s">
        <v>1359</v>
      </c>
      <c r="G6814" s="5" t="str">
        <f>IFERROR(__xludf.DUMMYFUNCTION("GOOGLETRANSLATE(D6814,""id"",""es"")"),"gasa")</f>
        <v>gasa</v>
      </c>
    </row>
    <row r="6815">
      <c r="A6815" s="4">
        <v>43.0</v>
      </c>
      <c r="B6815" s="4" t="s">
        <v>15610</v>
      </c>
      <c r="C6815" s="4"/>
      <c r="D6815" s="4" t="s">
        <v>15824</v>
      </c>
      <c r="E6815" s="4" t="s">
        <v>15825</v>
      </c>
      <c r="F6815" s="4" t="s">
        <v>15824</v>
      </c>
      <c r="G6815" s="5" t="str">
        <f>IFERROR(__xludf.DUMMYFUNCTION("GOOGLETRANSLATE(D6815,""id"",""es"")"),"Casación")</f>
        <v>Casación</v>
      </c>
    </row>
    <row r="6816">
      <c r="A6816" s="4">
        <v>44.0</v>
      </c>
      <c r="B6816" s="4" t="s">
        <v>15610</v>
      </c>
      <c r="C6816" s="4"/>
      <c r="D6816" s="4" t="s">
        <v>8121</v>
      </c>
      <c r="E6816" s="4" t="s">
        <v>11937</v>
      </c>
      <c r="F6816" s="4" t="s">
        <v>8121</v>
      </c>
      <c r="G6816" s="5" t="str">
        <f>IFERROR(__xludf.DUMMYFUNCTION("GOOGLETRANSLATE(D6816,""id"",""es"")"),"Kasi")</f>
        <v>Kasi</v>
      </c>
      <c r="H6816" s="4" t="s">
        <v>15191</v>
      </c>
      <c r="I6816" s="4" t="s">
        <v>15691</v>
      </c>
      <c r="J6816" s="4" t="s">
        <v>7137</v>
      </c>
      <c r="K6816" s="4" t="s">
        <v>1503</v>
      </c>
      <c r="L6816" s="4" t="s">
        <v>13494</v>
      </c>
      <c r="M6816" s="4" t="s">
        <v>1250</v>
      </c>
      <c r="N6816" s="4" t="s">
        <v>15826</v>
      </c>
      <c r="O6816" s="4" t="s">
        <v>15827</v>
      </c>
    </row>
    <row r="6817">
      <c r="A6817" s="4">
        <v>45.0</v>
      </c>
      <c r="B6817" s="4" t="s">
        <v>15610</v>
      </c>
      <c r="C6817" s="4"/>
      <c r="D6817" s="4" t="s">
        <v>15828</v>
      </c>
      <c r="E6817" s="4" t="s">
        <v>15829</v>
      </c>
      <c r="F6817" s="4" t="s">
        <v>15828</v>
      </c>
      <c r="G6817" s="5" t="str">
        <f>IFERROR(__xludf.DUMMYFUNCTION("GOOGLETRANSLATE(D6817,""id"",""es"")"),"caso")</f>
        <v>caso</v>
      </c>
      <c r="H6817" s="4" t="s">
        <v>1339</v>
      </c>
      <c r="I6817" s="4" t="s">
        <v>1337</v>
      </c>
      <c r="J6817" s="4" t="s">
        <v>1338</v>
      </c>
    </row>
    <row r="6818">
      <c r="A6818" s="4">
        <v>46.0</v>
      </c>
      <c r="B6818" s="4" t="s">
        <v>15610</v>
      </c>
      <c r="C6818" s="4"/>
      <c r="D6818" s="4" t="s">
        <v>5162</v>
      </c>
      <c r="E6818" s="4" t="s">
        <v>5161</v>
      </c>
      <c r="F6818" s="4" t="s">
        <v>5162</v>
      </c>
      <c r="G6818" s="5" t="str">
        <f>IFERROR(__xludf.DUMMYFUNCTION("GOOGLETRANSLATE(D6818,""id"",""es"")"),"decir")</f>
        <v>decir</v>
      </c>
      <c r="H6818" s="4" t="s">
        <v>2405</v>
      </c>
      <c r="I6818" s="4" t="s">
        <v>1493</v>
      </c>
      <c r="J6818" s="4" t="s">
        <v>2406</v>
      </c>
      <c r="K6818" s="4" t="s">
        <v>2407</v>
      </c>
      <c r="L6818" s="4" t="s">
        <v>2407</v>
      </c>
      <c r="M6818" s="4" t="s">
        <v>8805</v>
      </c>
      <c r="N6818" s="4" t="s">
        <v>8799</v>
      </c>
      <c r="O6818" s="4" t="s">
        <v>15343</v>
      </c>
      <c r="P6818" s="4" t="s">
        <v>15830</v>
      </c>
      <c r="Q6818" s="4" t="s">
        <v>15831</v>
      </c>
      <c r="R6818" s="4" t="s">
        <v>15832</v>
      </c>
      <c r="S6818" s="4" t="s">
        <v>15833</v>
      </c>
      <c r="T6818" s="4" t="s">
        <v>2407</v>
      </c>
      <c r="U6818" s="4" t="s">
        <v>2407</v>
      </c>
      <c r="V6818" s="4" t="s">
        <v>11388</v>
      </c>
      <c r="W6818" s="4" t="s">
        <v>2407</v>
      </c>
      <c r="X6818" s="4" t="s">
        <v>1493</v>
      </c>
      <c r="Y6818" s="4" t="s">
        <v>4136</v>
      </c>
      <c r="Z6818" s="4" t="s">
        <v>7685</v>
      </c>
      <c r="AA6818" s="4" t="s">
        <v>15184</v>
      </c>
      <c r="AB6818" s="4" t="s">
        <v>3</v>
      </c>
      <c r="AC6818" s="4" t="s">
        <v>11105</v>
      </c>
      <c r="AD6818" s="4" t="s">
        <v>11106</v>
      </c>
      <c r="AE6818" s="4" t="s">
        <v>11107</v>
      </c>
      <c r="AF6818" s="4" t="s">
        <v>11108</v>
      </c>
      <c r="AG6818" s="4" t="s">
        <v>11109</v>
      </c>
      <c r="AH6818" s="4" t="s">
        <v>11110</v>
      </c>
      <c r="AI6818" s="4" t="s">
        <v>11111</v>
      </c>
      <c r="AJ6818" s="4" t="s">
        <v>11112</v>
      </c>
      <c r="AK6818" s="4" t="s">
        <v>11113</v>
      </c>
      <c r="AL6818" s="4" t="s">
        <v>3</v>
      </c>
      <c r="AM6818" s="4" t="s">
        <v>3</v>
      </c>
    </row>
    <row r="6819">
      <c r="A6819" s="4">
        <v>47.0</v>
      </c>
      <c r="B6819" s="4" t="s">
        <v>15610</v>
      </c>
      <c r="C6819" s="4"/>
      <c r="D6819" s="4" t="s">
        <v>15834</v>
      </c>
      <c r="E6819" s="4" t="s">
        <v>15835</v>
      </c>
      <c r="F6819" s="4" t="s">
        <v>15834</v>
      </c>
      <c r="G6819" s="5" t="str">
        <f>IFERROR(__xludf.DUMMYFUNCTION("GOOGLETRANSLATE(D6819,""id"",""es"")"),"Kataka")</f>
        <v>Kataka</v>
      </c>
    </row>
    <row r="6820">
      <c r="A6820" s="4">
        <v>48.0</v>
      </c>
      <c r="B6820" s="4" t="s">
        <v>15610</v>
      </c>
      <c r="C6820" s="4"/>
      <c r="D6820" s="4" t="s">
        <v>15836</v>
      </c>
      <c r="E6820" s="4" t="s">
        <v>15837</v>
      </c>
      <c r="F6820" s="4" t="s">
        <v>15836</v>
      </c>
      <c r="G6820" s="5" t="str">
        <f>IFERROR(__xludf.DUMMYFUNCTION("GOOGLETRANSLATE(D6820,""id"",""es"")"),"Catalizador")</f>
        <v>Catalizador</v>
      </c>
      <c r="H6820" s="4" t="s">
        <v>15838</v>
      </c>
      <c r="I6820" s="4" t="s">
        <v>15839</v>
      </c>
    </row>
    <row r="6821">
      <c r="A6821" s="4">
        <v>49.0</v>
      </c>
      <c r="B6821" s="4" t="s">
        <v>15610</v>
      </c>
      <c r="C6821" s="4"/>
      <c r="D6821" s="4" t="s">
        <v>11948</v>
      </c>
      <c r="E6821" s="4" t="s">
        <v>11947</v>
      </c>
      <c r="F6821" s="4" t="s">
        <v>11948</v>
      </c>
      <c r="G6821" s="5" t="str">
        <f>IFERROR(__xludf.DUMMYFUNCTION("GOOGLETRANSLATE(D6821,""id"",""es"")"),"Katán")</f>
        <v>Katán</v>
      </c>
    </row>
    <row r="6822">
      <c r="A6822" s="4">
        <v>50.0</v>
      </c>
      <c r="B6822" s="4" t="s">
        <v>15610</v>
      </c>
      <c r="C6822" s="4"/>
      <c r="D6822" s="4" t="s">
        <v>8131</v>
      </c>
      <c r="E6822" s="4" t="s">
        <v>15840</v>
      </c>
      <c r="F6822" s="4" t="s">
        <v>8131</v>
      </c>
      <c r="G6822" s="5" t="str">
        <f>IFERROR(__xludf.DUMMYFUNCTION("GOOGLETRANSLATE(D6822,""id"",""es"")"),"Kati")</f>
        <v>Kati</v>
      </c>
      <c r="H6822" s="4" t="s">
        <v>8129</v>
      </c>
      <c r="I6822" s="4" t="s">
        <v>8132</v>
      </c>
    </row>
    <row r="6823">
      <c r="A6823" s="4">
        <v>51.0</v>
      </c>
      <c r="B6823" s="4" t="s">
        <v>15610</v>
      </c>
      <c r="C6823" s="4"/>
      <c r="D6823" s="4" t="s">
        <v>15841</v>
      </c>
      <c r="E6823" s="4" t="s">
        <v>15842</v>
      </c>
      <c r="F6823" s="4" t="s">
        <v>15841</v>
      </c>
      <c r="G6823" s="5" t="str">
        <f>IFERROR(__xludf.DUMMYFUNCTION("GOOGLETRANSLATE(D6823,""id"",""es"")"),"Katil")</f>
        <v>Katil</v>
      </c>
      <c r="H6823" s="4" t="s">
        <v>1241</v>
      </c>
      <c r="I6823" s="4" t="s">
        <v>15843</v>
      </c>
      <c r="J6823" s="4" t="s">
        <v>6545</v>
      </c>
      <c r="K6823" s="4" t="s">
        <v>15844</v>
      </c>
      <c r="L6823" s="4" t="s">
        <v>15845</v>
      </c>
      <c r="M6823" s="4" t="s">
        <v>1784</v>
      </c>
      <c r="N6823" s="4" t="s">
        <v>1785</v>
      </c>
      <c r="O6823" s="4" t="s">
        <v>1241</v>
      </c>
      <c r="P6823" s="4" t="s">
        <v>1623</v>
      </c>
    </row>
    <row r="6824">
      <c r="A6824" s="4">
        <v>52.0</v>
      </c>
      <c r="B6824" s="4" t="s">
        <v>15610</v>
      </c>
      <c r="C6824" s="4"/>
      <c r="D6824" s="4" t="s">
        <v>15846</v>
      </c>
      <c r="E6824" s="4" t="s">
        <v>15847</v>
      </c>
      <c r="F6824" s="4" t="s">
        <v>15846</v>
      </c>
      <c r="G6824" s="5" t="str">
        <f>IFERROR(__xludf.DUMMYFUNCTION("GOOGLETRANSLATE(D6824,""id"",""es"")"),"rico")</f>
        <v>rico</v>
      </c>
      <c r="H6824" s="4" t="s">
        <v>15848</v>
      </c>
      <c r="I6824" s="4" t="s">
        <v>15849</v>
      </c>
      <c r="J6824" s="4" t="s">
        <v>15850</v>
      </c>
      <c r="K6824" s="4" t="s">
        <v>15851</v>
      </c>
      <c r="L6824" s="4" t="s">
        <v>15852</v>
      </c>
      <c r="M6824" s="4" t="s">
        <v>15853</v>
      </c>
      <c r="N6824" s="4" t="s">
        <v>15854</v>
      </c>
      <c r="O6824" s="4" t="s">
        <v>15855</v>
      </c>
      <c r="P6824" s="4" t="s">
        <v>15856</v>
      </c>
      <c r="Q6824" s="4" t="s">
        <v>15857</v>
      </c>
      <c r="R6824" s="4" t="s">
        <v>6406</v>
      </c>
      <c r="S6824" s="4" t="s">
        <v>15858</v>
      </c>
      <c r="T6824" s="4" t="s">
        <v>15859</v>
      </c>
      <c r="U6824" s="4" t="s">
        <v>15860</v>
      </c>
      <c r="V6824" s="4" t="s">
        <v>15861</v>
      </c>
      <c r="W6824" s="4" t="s">
        <v>12943</v>
      </c>
      <c r="X6824" s="4" t="s">
        <v>15862</v>
      </c>
      <c r="Y6824" s="4" t="s">
        <v>15863</v>
      </c>
      <c r="Z6824" s="4" t="s">
        <v>15864</v>
      </c>
      <c r="AA6824" s="4" t="s">
        <v>15865</v>
      </c>
      <c r="AB6824" s="4" t="s">
        <v>15866</v>
      </c>
      <c r="AC6824" s="4" t="s">
        <v>15867</v>
      </c>
      <c r="AD6824" s="4" t="s">
        <v>15856</v>
      </c>
      <c r="AE6824" s="4" t="s">
        <v>15868</v>
      </c>
      <c r="AF6824" s="4" t="s">
        <v>3472</v>
      </c>
      <c r="AG6824" s="4" t="s">
        <v>15856</v>
      </c>
      <c r="AH6824" s="4" t="s">
        <v>15869</v>
      </c>
      <c r="AI6824" s="4" t="s">
        <v>15870</v>
      </c>
      <c r="AJ6824" s="4" t="s">
        <v>15870</v>
      </c>
      <c r="AK6824" s="4" t="s">
        <v>15871</v>
      </c>
      <c r="AL6824" s="4" t="s">
        <v>15872</v>
      </c>
    </row>
    <row r="6825">
      <c r="A6825" s="4">
        <v>53.0</v>
      </c>
      <c r="B6825" s="4" t="s">
        <v>15610</v>
      </c>
      <c r="C6825" s="4"/>
      <c r="D6825" s="4" t="s">
        <v>968</v>
      </c>
      <c r="E6825" s="4" t="s">
        <v>967</v>
      </c>
      <c r="F6825" s="4" t="s">
        <v>968</v>
      </c>
      <c r="G6825" s="5" t="str">
        <f>IFERROR(__xludf.DUMMYFUNCTION("GOOGLETRANSLATE(D6825,""id"",""es"")"),"Me gusta")</f>
        <v>Me gusta</v>
      </c>
      <c r="H6825" s="4" t="s">
        <v>5871</v>
      </c>
      <c r="I6825" s="4" t="s">
        <v>295</v>
      </c>
      <c r="J6825" s="4" t="s">
        <v>5872</v>
      </c>
      <c r="K6825" s="4" t="s">
        <v>3988</v>
      </c>
      <c r="L6825" s="4" t="s">
        <v>3983</v>
      </c>
      <c r="M6825" s="4" t="s">
        <v>3987</v>
      </c>
      <c r="N6825" s="4" t="s">
        <v>3983</v>
      </c>
      <c r="O6825" s="4" t="s">
        <v>3988</v>
      </c>
      <c r="P6825" s="4" t="s">
        <v>3988</v>
      </c>
      <c r="Q6825" s="4" t="s">
        <v>9435</v>
      </c>
      <c r="R6825" s="4" t="s">
        <v>1649</v>
      </c>
      <c r="S6825" s="4" t="s">
        <v>3988</v>
      </c>
      <c r="T6825" s="4" t="s">
        <v>968</v>
      </c>
    </row>
    <row r="6826">
      <c r="A6826" s="4">
        <v>54.0</v>
      </c>
      <c r="B6826" s="4" t="s">
        <v>15610</v>
      </c>
      <c r="C6826" s="4"/>
      <c r="D6826" s="4" t="s">
        <v>11815</v>
      </c>
      <c r="E6826" s="4" t="s">
        <v>11814</v>
      </c>
      <c r="F6826" s="4" t="s">
        <v>11815</v>
      </c>
      <c r="G6826" s="5" t="str">
        <f>IFERROR(__xludf.DUMMYFUNCTION("GOOGLETRANSLATE(D6826,""id"",""es"")"),"madera")</f>
        <v>madera</v>
      </c>
      <c r="H6826" s="4" t="s">
        <v>15873</v>
      </c>
      <c r="I6826" s="4" t="s">
        <v>3169</v>
      </c>
      <c r="J6826" s="4" t="s">
        <v>14970</v>
      </c>
      <c r="K6826" s="4" t="s">
        <v>15874</v>
      </c>
      <c r="L6826" s="4" t="s">
        <v>15875</v>
      </c>
      <c r="M6826" s="4" t="s">
        <v>14970</v>
      </c>
      <c r="N6826" s="4" t="s">
        <v>14969</v>
      </c>
      <c r="O6826" s="4" t="s">
        <v>14970</v>
      </c>
      <c r="P6826" s="4" t="s">
        <v>14971</v>
      </c>
      <c r="Q6826" s="4" t="s">
        <v>3169</v>
      </c>
      <c r="R6826" s="4" t="s">
        <v>15876</v>
      </c>
      <c r="S6826" s="4" t="s">
        <v>14977</v>
      </c>
      <c r="T6826" s="4" t="s">
        <v>14970</v>
      </c>
    </row>
    <row r="6827">
      <c r="A6827" s="4">
        <v>55.0</v>
      </c>
      <c r="B6827" s="4" t="s">
        <v>15610</v>
      </c>
      <c r="C6827" s="4"/>
      <c r="D6827" s="4" t="s">
        <v>15877</v>
      </c>
      <c r="E6827" s="4" t="s">
        <v>15878</v>
      </c>
      <c r="F6827" s="4" t="s">
        <v>1336</v>
      </c>
      <c r="G6827" s="5" t="str">
        <f>IFERROR(__xludf.DUMMYFUNCTION("GOOGLETRANSLATE(D6827,""id"",""es"")"),"típico")</f>
        <v>típico</v>
      </c>
      <c r="H6827" s="4" t="s">
        <v>15561</v>
      </c>
      <c r="I6827" s="4" t="s">
        <v>15562</v>
      </c>
      <c r="J6827" s="4" t="s">
        <v>7195</v>
      </c>
      <c r="K6827" s="4" t="s">
        <v>15563</v>
      </c>
      <c r="L6827" s="4" t="s">
        <v>15879</v>
      </c>
      <c r="M6827" s="4" t="s">
        <v>15880</v>
      </c>
      <c r="N6827" s="4" t="s">
        <v>15880</v>
      </c>
      <c r="O6827" s="4" t="s">
        <v>7195</v>
      </c>
      <c r="P6827" s="4" t="s">
        <v>15564</v>
      </c>
      <c r="Q6827" s="4" t="s">
        <v>15563</v>
      </c>
      <c r="R6827" s="4" t="s">
        <v>15563</v>
      </c>
      <c r="S6827" s="4" t="s">
        <v>7195</v>
      </c>
      <c r="T6827" s="4" t="s">
        <v>15563</v>
      </c>
      <c r="U6827" s="4" t="s">
        <v>15881</v>
      </c>
      <c r="V6827" s="4" t="s">
        <v>15882</v>
      </c>
      <c r="W6827" s="4" t="s">
        <v>15883</v>
      </c>
      <c r="X6827" s="4" t="s">
        <v>15563</v>
      </c>
      <c r="Y6827" s="4" t="s">
        <v>4589</v>
      </c>
      <c r="Z6827" s="4" t="s">
        <v>15563</v>
      </c>
    </row>
    <row r="6828">
      <c r="A6828" s="4">
        <v>56.0</v>
      </c>
      <c r="B6828" s="4" t="s">
        <v>15610</v>
      </c>
      <c r="C6828" s="4"/>
      <c r="D6828" s="4" t="s">
        <v>15884</v>
      </c>
      <c r="E6828" s="4" t="s">
        <v>15885</v>
      </c>
      <c r="F6828" s="4" t="s">
        <v>8121</v>
      </c>
      <c r="G6828" s="5" t="str">
        <f>IFERROR(__xludf.DUMMYFUNCTION("GOOGLETRANSLATE(D6828,""id"",""es"")"),"Khasi")</f>
        <v>Khasi</v>
      </c>
    </row>
    <row r="6829">
      <c r="A6829" s="4">
        <v>57.0</v>
      </c>
      <c r="B6829" s="4" t="s">
        <v>15610</v>
      </c>
      <c r="C6829" s="4"/>
      <c r="D6829" s="4" t="s">
        <v>15886</v>
      </c>
      <c r="E6829" s="4" t="s">
        <v>15887</v>
      </c>
      <c r="F6829" s="4" t="s">
        <v>15888</v>
      </c>
      <c r="G6829" s="5" t="str">
        <f>IFERROR(__xludf.DUMMYFUNCTION("GOOGLETRANSLATE(D6829,""id"",""es"")"),"fantasía")</f>
        <v>fantasía</v>
      </c>
      <c r="H6829" s="4" t="s">
        <v>546</v>
      </c>
      <c r="I6829" s="4" t="s">
        <v>15889</v>
      </c>
      <c r="J6829" s="4" t="s">
        <v>546</v>
      </c>
      <c r="K6829" s="4" t="s">
        <v>15890</v>
      </c>
    </row>
    <row r="6830">
      <c r="A6830" s="4">
        <v>58.0</v>
      </c>
      <c r="B6830" s="4" t="s">
        <v>15610</v>
      </c>
      <c r="C6830" s="4"/>
      <c r="D6830" s="4" t="s">
        <v>15891</v>
      </c>
      <c r="E6830" s="4" t="s">
        <v>15892</v>
      </c>
      <c r="F6830" s="4" t="s">
        <v>15893</v>
      </c>
      <c r="G6830" s="5" t="str">
        <f>IFERROR(__xludf.DUMMYFUNCTION("GOOGLETRANSLATE(D6830,""id"",""es"")"),"circuncisión")</f>
        <v>circuncisión</v>
      </c>
    </row>
    <row r="6831">
      <c r="A6831" s="4">
        <v>59.0</v>
      </c>
      <c r="B6831" s="4" t="s">
        <v>15610</v>
      </c>
      <c r="C6831" s="4"/>
      <c r="D6831" s="4" t="s">
        <v>15894</v>
      </c>
      <c r="E6831" s="4" t="s">
        <v>15895</v>
      </c>
      <c r="F6831" s="4" t="s">
        <v>15896</v>
      </c>
      <c r="G6831" s="5" t="str">
        <f>IFERROR(__xludf.DUMMYFUNCTION("GOOGLETRANSLATE(D6831,""id"",""es"")"),"especial")</f>
        <v>especial</v>
      </c>
      <c r="H6831" s="4" t="s">
        <v>15897</v>
      </c>
      <c r="I6831" s="4" t="s">
        <v>15898</v>
      </c>
      <c r="J6831" s="4" t="s">
        <v>15899</v>
      </c>
      <c r="K6831" s="4" t="s">
        <v>15880</v>
      </c>
      <c r="L6831" s="4" t="s">
        <v>15880</v>
      </c>
      <c r="M6831" s="4" t="s">
        <v>15900</v>
      </c>
      <c r="N6831" s="4" t="s">
        <v>15563</v>
      </c>
      <c r="O6831" s="4" t="s">
        <v>7195</v>
      </c>
      <c r="P6831" s="4" t="s">
        <v>15564</v>
      </c>
      <c r="Q6831" s="4" t="s">
        <v>15563</v>
      </c>
      <c r="R6831" s="4" t="s">
        <v>15880</v>
      </c>
      <c r="S6831" s="4" t="s">
        <v>7195</v>
      </c>
      <c r="T6831" s="4" t="s">
        <v>15563</v>
      </c>
      <c r="U6831" s="4" t="s">
        <v>15901</v>
      </c>
      <c r="V6831" s="4" t="s">
        <v>15881</v>
      </c>
      <c r="W6831" s="4" t="s">
        <v>1846</v>
      </c>
      <c r="X6831" s="4" t="s">
        <v>8898</v>
      </c>
      <c r="Y6831" s="4" t="s">
        <v>15563</v>
      </c>
    </row>
    <row r="6832">
      <c r="A6832" s="4">
        <v>60.0</v>
      </c>
      <c r="B6832" s="4" t="s">
        <v>15610</v>
      </c>
      <c r="C6832" s="4"/>
      <c r="D6832" s="4" t="s">
        <v>3820</v>
      </c>
      <c r="E6832" s="4" t="s">
        <v>3819</v>
      </c>
      <c r="F6832" s="4" t="s">
        <v>3820</v>
      </c>
      <c r="G6832" s="5" t="str">
        <f>IFERROR(__xludf.DUMMYFUNCTION("GOOGLETRANSLATE(D6832,""id"",""es"")"),"quinina")</f>
        <v>quinina</v>
      </c>
    </row>
    <row r="6833">
      <c r="A6833" s="4">
        <v>61.0</v>
      </c>
      <c r="B6833" s="4" t="s">
        <v>15610</v>
      </c>
      <c r="C6833" s="4"/>
      <c r="D6833" s="4" t="s">
        <v>15902</v>
      </c>
      <c r="E6833" s="4" t="s">
        <v>15903</v>
      </c>
      <c r="F6833" s="4" t="s">
        <v>15902</v>
      </c>
      <c r="G6833" s="5" t="str">
        <f>IFERROR(__xludf.DUMMYFUNCTION("GOOGLETRANSLATE(D6833,""id"",""es"")"),"Kipi")</f>
        <v>Kipi</v>
      </c>
    </row>
    <row r="6834">
      <c r="A6834" s="4">
        <v>62.0</v>
      </c>
      <c r="B6834" s="4" t="s">
        <v>15610</v>
      </c>
      <c r="C6834" s="4"/>
      <c r="D6834" s="4" t="s">
        <v>1480</v>
      </c>
      <c r="E6834" s="4" t="s">
        <v>1479</v>
      </c>
      <c r="F6834" s="4" t="s">
        <v>1480</v>
      </c>
      <c r="G6834" s="5" t="str">
        <f>IFERROR(__xludf.DUMMYFUNCTION("GOOGLETRANSLATE(D6834,""id"",""es"")"),"Obrero")</f>
        <v>Obrero</v>
      </c>
      <c r="H6834" s="4" t="s">
        <v>10117</v>
      </c>
      <c r="I6834" s="4" t="s">
        <v>10118</v>
      </c>
      <c r="J6834" s="4" t="s">
        <v>6128</v>
      </c>
      <c r="K6834" s="4" t="s">
        <v>15904</v>
      </c>
      <c r="L6834" s="4" t="s">
        <v>15905</v>
      </c>
      <c r="M6834" s="4" t="s">
        <v>15906</v>
      </c>
      <c r="N6834" s="4" t="s">
        <v>3492</v>
      </c>
      <c r="O6834" s="4" t="s">
        <v>6128</v>
      </c>
      <c r="P6834" s="4" t="s">
        <v>6129</v>
      </c>
    </row>
    <row r="6835">
      <c r="A6835" s="4">
        <v>63.0</v>
      </c>
      <c r="B6835" s="4" t="s">
        <v>15610</v>
      </c>
      <c r="C6835" s="4"/>
      <c r="D6835" s="4" t="s">
        <v>15907</v>
      </c>
      <c r="E6835" s="4" t="s">
        <v>15908</v>
      </c>
      <c r="F6835" s="4" t="s">
        <v>15907</v>
      </c>
      <c r="G6835" s="5" t="str">
        <f>IFERROR(__xludf.DUMMYFUNCTION("GOOGLETRANSLATE(D6835,""id"",""es"")"),"Kuluyuk")</f>
        <v>Kuluyuk</v>
      </c>
    </row>
    <row r="6836">
      <c r="A6836" s="4">
        <v>64.0</v>
      </c>
      <c r="B6836" s="4" t="s">
        <v>15610</v>
      </c>
      <c r="C6836" s="4"/>
      <c r="D6836" s="4" t="s">
        <v>15909</v>
      </c>
      <c r="E6836" s="4" t="s">
        <v>15910</v>
      </c>
      <c r="F6836" s="4" t="s">
        <v>15909</v>
      </c>
      <c r="G6836" s="5" t="str">
        <f>IFERROR(__xludf.DUMMYFUNCTION("GOOGLETRANSLATE(D6836,""id"",""es"")"),"germen")</f>
        <v>germen</v>
      </c>
      <c r="H6836" s="4" t="s">
        <v>15911</v>
      </c>
      <c r="I6836" s="4" t="s">
        <v>15912</v>
      </c>
      <c r="J6836" s="4" t="s">
        <v>15913</v>
      </c>
      <c r="K6836" s="4" t="s">
        <v>15914</v>
      </c>
      <c r="L6836" s="4" t="s">
        <v>7762</v>
      </c>
      <c r="M6836" s="4" t="s">
        <v>9733</v>
      </c>
      <c r="N6836" s="4" t="s">
        <v>15915</v>
      </c>
      <c r="O6836" s="4" t="s">
        <v>15916</v>
      </c>
      <c r="P6836" s="4" t="s">
        <v>9733</v>
      </c>
    </row>
    <row r="6837">
      <c r="A6837" s="4">
        <v>65.0</v>
      </c>
      <c r="B6837" s="4" t="s">
        <v>15610</v>
      </c>
      <c r="C6837" s="4"/>
      <c r="D6837" s="4" t="s">
        <v>15917</v>
      </c>
      <c r="E6837" s="4" t="s">
        <v>15918</v>
      </c>
      <c r="F6837" s="4" t="s">
        <v>15917</v>
      </c>
      <c r="G6837" s="5" t="str">
        <f>IFERROR(__xludf.DUMMYFUNCTION("GOOGLETRANSLATE(D6837,""id"",""es"")"),"Ila")</f>
        <v>Ila</v>
      </c>
    </row>
    <row r="6838">
      <c r="A6838" s="4">
        <v>66.0</v>
      </c>
      <c r="B6838" s="4" t="s">
        <v>15610</v>
      </c>
      <c r="C6838" s="4"/>
      <c r="D6838" s="4" t="s">
        <v>10167</v>
      </c>
      <c r="E6838" s="4" t="s">
        <v>10168</v>
      </c>
      <c r="F6838" s="4" t="s">
        <v>10167</v>
      </c>
      <c r="G6838" s="5" t="str">
        <f>IFERROR(__xludf.DUMMYFUNCTION("GOOGLETRANSLATE(D6838,""id"",""es"")"),"piojo")</f>
        <v>piojo</v>
      </c>
      <c r="H6838" s="4" t="s">
        <v>15914</v>
      </c>
      <c r="I6838" s="4" t="s">
        <v>7762</v>
      </c>
      <c r="J6838" s="4" t="s">
        <v>9733</v>
      </c>
      <c r="K6838" s="4" t="s">
        <v>7837</v>
      </c>
      <c r="L6838" s="4" t="s">
        <v>15919</v>
      </c>
      <c r="M6838" s="4" t="s">
        <v>15920</v>
      </c>
      <c r="N6838" s="4" t="s">
        <v>1157</v>
      </c>
      <c r="O6838" s="4" t="s">
        <v>13396</v>
      </c>
      <c r="P6838" s="4" t="s">
        <v>3787</v>
      </c>
      <c r="Q6838" s="4" t="s">
        <v>7762</v>
      </c>
      <c r="R6838" s="4" t="s">
        <v>13399</v>
      </c>
      <c r="S6838" s="4" t="s">
        <v>1157</v>
      </c>
      <c r="T6838" s="4" t="s">
        <v>15921</v>
      </c>
      <c r="U6838" s="4" t="s">
        <v>15922</v>
      </c>
    </row>
    <row r="6839">
      <c r="A6839" s="4">
        <v>67.0</v>
      </c>
      <c r="B6839" s="4" t="s">
        <v>15610</v>
      </c>
      <c r="C6839" s="4"/>
      <c r="D6839" s="4" t="s">
        <v>15923</v>
      </c>
      <c r="E6839" s="4" t="s">
        <v>15924</v>
      </c>
      <c r="F6839" s="4" t="s">
        <v>15923</v>
      </c>
      <c r="G6839" s="5" t="str">
        <f>IFERROR(__xludf.DUMMYFUNCTION("GOOGLETRANSLATE(D6839,""id"",""es"")"),"tierra")</f>
        <v>tierra</v>
      </c>
    </row>
    <row r="6840">
      <c r="A6840" s="4">
        <v>68.0</v>
      </c>
      <c r="B6840" s="4" t="s">
        <v>15610</v>
      </c>
      <c r="C6840" s="4"/>
      <c r="D6840" s="4" t="s">
        <v>2260</v>
      </c>
      <c r="E6840" s="4" t="s">
        <v>2259</v>
      </c>
      <c r="F6840" s="4" t="s">
        <v>2260</v>
      </c>
      <c r="G6840" s="5" t="str">
        <f>IFERROR(__xludf.DUMMYFUNCTION("GOOGLETRANSLATE(D6840,""id"",""es"")"),"Lámina")</f>
        <v>Lámina</v>
      </c>
      <c r="H6840" s="4" t="s">
        <v>15925</v>
      </c>
    </row>
    <row r="6841">
      <c r="A6841" s="4">
        <v>69.0</v>
      </c>
      <c r="B6841" s="4" t="s">
        <v>15610</v>
      </c>
      <c r="C6841" s="4"/>
      <c r="D6841" s="4" t="s">
        <v>6517</v>
      </c>
      <c r="E6841" s="4" t="s">
        <v>12529</v>
      </c>
      <c r="F6841" s="4" t="s">
        <v>6517</v>
      </c>
      <c r="G6841" s="5" t="str">
        <f>IFERROR(__xludf.DUMMYFUNCTION("GOOGLETRANSLATE(D6841,""id"",""es"")"),"Lás")</f>
        <v>Lás</v>
      </c>
      <c r="H6841" s="4" t="s">
        <v>15926</v>
      </c>
    </row>
    <row r="6842">
      <c r="A6842" s="4">
        <v>70.0</v>
      </c>
      <c r="B6842" s="4" t="s">
        <v>15610</v>
      </c>
      <c r="C6842" s="4"/>
      <c r="D6842" s="4" t="s">
        <v>15927</v>
      </c>
      <c r="E6842" s="4" t="s">
        <v>15928</v>
      </c>
      <c r="F6842" s="4" t="s">
        <v>15927</v>
      </c>
      <c r="G6842" s="5" t="str">
        <f>IFERROR(__xludf.DUMMYFUNCTION("GOOGLETRANSLATE(D6842,""id"",""es"")"),"Lata")</f>
        <v>Lata</v>
      </c>
      <c r="H6842" s="4" t="s">
        <v>9940</v>
      </c>
      <c r="I6842" s="4" t="s">
        <v>15929</v>
      </c>
      <c r="J6842" s="4" t="s">
        <v>15930</v>
      </c>
      <c r="K6842" s="4" t="s">
        <v>15931</v>
      </c>
      <c r="L6842" s="4" t="s">
        <v>15932</v>
      </c>
      <c r="M6842" s="4" t="s">
        <v>15929</v>
      </c>
      <c r="N6842" s="4" t="s">
        <v>15931</v>
      </c>
      <c r="O6842" s="4" t="s">
        <v>15933</v>
      </c>
      <c r="P6842" s="4" t="s">
        <v>15929</v>
      </c>
      <c r="Q6842" s="4" t="s">
        <v>15931</v>
      </c>
      <c r="R6842" s="4" t="s">
        <v>15934</v>
      </c>
      <c r="S6842" s="4" t="s">
        <v>15935</v>
      </c>
      <c r="T6842" s="4" t="s">
        <v>15936</v>
      </c>
      <c r="U6842" s="4" t="s">
        <v>15937</v>
      </c>
      <c r="V6842" s="4" t="s">
        <v>15938</v>
      </c>
    </row>
    <row r="6843">
      <c r="A6843" s="4">
        <v>71.0</v>
      </c>
      <c r="B6843" s="4" t="s">
        <v>15610</v>
      </c>
      <c r="C6843" s="4"/>
      <c r="D6843" s="4" t="s">
        <v>15939</v>
      </c>
      <c r="E6843" s="4" t="s">
        <v>15940</v>
      </c>
      <c r="F6843" s="4" t="s">
        <v>15939</v>
      </c>
      <c r="G6843" s="5" t="str">
        <f>IFERROR(__xludf.DUMMYFUNCTION("GOOGLETRANSLATE(D6843,""id"",""es"")"),"limusina")</f>
        <v>limusina</v>
      </c>
      <c r="H6843" s="4" t="s">
        <v>15941</v>
      </c>
      <c r="I6843" s="4" t="s">
        <v>15942</v>
      </c>
    </row>
    <row r="6844">
      <c r="A6844" s="4">
        <v>72.0</v>
      </c>
      <c r="B6844" s="4" t="s">
        <v>15610</v>
      </c>
      <c r="C6844" s="4"/>
      <c r="D6844" s="4" t="s">
        <v>6635</v>
      </c>
      <c r="E6844" s="4" t="s">
        <v>6636</v>
      </c>
      <c r="F6844" s="4" t="s">
        <v>6635</v>
      </c>
      <c r="G6844" s="5" t="str">
        <f>IFERROR(__xludf.DUMMYFUNCTION("GOOGLETRANSLATE(D6844,""id"",""es"")"),"Lin")</f>
        <v>Lin</v>
      </c>
      <c r="H6844" s="4" t="s">
        <v>15943</v>
      </c>
      <c r="I6844" s="4" t="s">
        <v>6637</v>
      </c>
      <c r="J6844" s="4" t="s">
        <v>6638</v>
      </c>
    </row>
    <row r="6845">
      <c r="A6845" s="4">
        <v>73.0</v>
      </c>
      <c r="B6845" s="4" t="s">
        <v>15610</v>
      </c>
      <c r="C6845" s="4"/>
      <c r="D6845" s="4" t="s">
        <v>5282</v>
      </c>
      <c r="E6845" s="4" t="s">
        <v>5281</v>
      </c>
      <c r="F6845" s="4" t="s">
        <v>5282</v>
      </c>
      <c r="G6845" s="5" t="str">
        <f>IFERROR(__xludf.DUMMYFUNCTION("GOOGLETRANSLATE(D6845,""id"",""es"")"),"línea")</f>
        <v>línea</v>
      </c>
    </row>
    <row r="6846">
      <c r="A6846" s="4">
        <v>74.0</v>
      </c>
      <c r="B6846" s="4" t="s">
        <v>15610</v>
      </c>
      <c r="C6846" s="4"/>
      <c r="D6846" s="4" t="s">
        <v>15944</v>
      </c>
      <c r="E6846" s="4" t="s">
        <v>15945</v>
      </c>
      <c r="F6846" s="4" t="s">
        <v>15944</v>
      </c>
      <c r="G6846" s="5" t="str">
        <f>IFERROR(__xludf.DUMMYFUNCTION("GOOGLETRANSLATE(D6846,""id"",""es"")"),"ciempiés")</f>
        <v>ciempiés</v>
      </c>
      <c r="H6846" s="4" t="s">
        <v>15946</v>
      </c>
      <c r="I6846" s="4" t="s">
        <v>15947</v>
      </c>
      <c r="J6846" s="4" t="s">
        <v>15948</v>
      </c>
      <c r="K6846" s="4" t="s">
        <v>15949</v>
      </c>
      <c r="L6846" s="4" t="s">
        <v>15950</v>
      </c>
      <c r="M6846" s="4" t="s">
        <v>15951</v>
      </c>
      <c r="N6846" s="4" t="s">
        <v>15952</v>
      </c>
    </row>
    <row r="6847">
      <c r="A6847" s="4">
        <v>75.0</v>
      </c>
      <c r="B6847" s="4" t="s">
        <v>15610</v>
      </c>
      <c r="C6847" s="4"/>
      <c r="D6847" s="4" t="s">
        <v>10331</v>
      </c>
      <c r="E6847" s="4" t="s">
        <v>15953</v>
      </c>
      <c r="F6847" s="4" t="s">
        <v>10331</v>
      </c>
      <c r="G6847" s="5" t="str">
        <f>IFERROR(__xludf.DUMMYFUNCTION("GOOGLETRANSLATE(D6847,""id"",""es"")"),"cucaracha")</f>
        <v>cucaracha</v>
      </c>
      <c r="H6847" s="4" t="s">
        <v>15954</v>
      </c>
      <c r="I6847" s="4" t="s">
        <v>15955</v>
      </c>
    </row>
    <row r="6848">
      <c r="A6848" s="4">
        <v>76.0</v>
      </c>
      <c r="B6848" s="4" t="s">
        <v>15610</v>
      </c>
      <c r="C6848" s="4"/>
      <c r="D6848" s="4" t="s">
        <v>12538</v>
      </c>
      <c r="E6848" s="4" t="s">
        <v>15956</v>
      </c>
      <c r="F6848" s="4" t="s">
        <v>12538</v>
      </c>
      <c r="G6848" s="5" t="str">
        <f>IFERROR(__xludf.DUMMYFUNCTION("GOOGLETRANSLATE(D6848,""id"",""es"")"),"Lis")</f>
        <v>Lis</v>
      </c>
    </row>
    <row r="6849">
      <c r="A6849" s="4">
        <v>77.0</v>
      </c>
      <c r="B6849" s="4" t="s">
        <v>15610</v>
      </c>
      <c r="C6849" s="4"/>
      <c r="D6849" s="4" t="s">
        <v>15957</v>
      </c>
      <c r="E6849" s="4" t="s">
        <v>15958</v>
      </c>
      <c r="F6849" s="4" t="s">
        <v>15957</v>
      </c>
      <c r="G6849" s="5" t="str">
        <f>IFERROR(__xludf.DUMMYFUNCTION("GOOGLETRANSLATE(D6849,""id"",""es"")"),"caro")</f>
        <v>caro</v>
      </c>
      <c r="H6849" s="4" t="s">
        <v>13994</v>
      </c>
      <c r="I6849" s="4" t="s">
        <v>6556</v>
      </c>
      <c r="J6849" s="4" t="s">
        <v>15959</v>
      </c>
      <c r="K6849" s="4" t="s">
        <v>14004</v>
      </c>
      <c r="L6849" s="4" t="s">
        <v>1304</v>
      </c>
      <c r="M6849" s="4" t="s">
        <v>13997</v>
      </c>
      <c r="N6849" s="4" t="s">
        <v>6556</v>
      </c>
      <c r="O6849" s="4" t="s">
        <v>13998</v>
      </c>
      <c r="P6849" s="4" t="s">
        <v>13999</v>
      </c>
      <c r="Q6849" s="4" t="s">
        <v>14000</v>
      </c>
      <c r="R6849" s="4" t="s">
        <v>15856</v>
      </c>
      <c r="S6849" s="4" t="s">
        <v>15849</v>
      </c>
      <c r="T6849" s="4" t="s">
        <v>15960</v>
      </c>
      <c r="U6849" s="4" t="s">
        <v>8497</v>
      </c>
      <c r="V6849" s="4" t="s">
        <v>15961</v>
      </c>
      <c r="W6849" s="4" t="s">
        <v>15962</v>
      </c>
    </row>
    <row r="6850">
      <c r="A6850" s="4">
        <v>78.0</v>
      </c>
      <c r="B6850" s="4" t="s">
        <v>15610</v>
      </c>
      <c r="C6850" s="4"/>
      <c r="D6850" s="4" t="s">
        <v>15963</v>
      </c>
      <c r="E6850" s="4" t="s">
        <v>15964</v>
      </c>
      <c r="F6850" s="4" t="s">
        <v>15963</v>
      </c>
      <c r="G6850" s="5" t="str">
        <f>IFERROR(__xludf.DUMMYFUNCTION("GOOGLETRANSLATE(D6850,""id"",""es"")"),"tumba")</f>
        <v>tumba</v>
      </c>
      <c r="H6850" s="4" t="s">
        <v>8848</v>
      </c>
      <c r="I6850" s="4" t="s">
        <v>8845</v>
      </c>
      <c r="J6850" s="4" t="s">
        <v>15965</v>
      </c>
      <c r="K6850" s="4" t="s">
        <v>3930</v>
      </c>
      <c r="L6850" s="4" t="s">
        <v>15966</v>
      </c>
      <c r="M6850" s="4" t="s">
        <v>15967</v>
      </c>
      <c r="N6850" s="4" t="s">
        <v>15968</v>
      </c>
      <c r="O6850" s="4" t="s">
        <v>15969</v>
      </c>
      <c r="P6850" s="4" t="s">
        <v>15970</v>
      </c>
      <c r="Q6850" s="4" t="s">
        <v>15971</v>
      </c>
      <c r="R6850" s="4" t="s">
        <v>15972</v>
      </c>
      <c r="S6850" s="4" t="s">
        <v>15973</v>
      </c>
    </row>
    <row r="6851">
      <c r="A6851" s="4">
        <v>79.0</v>
      </c>
      <c r="B6851" s="4" t="s">
        <v>15610</v>
      </c>
      <c r="C6851" s="4"/>
      <c r="D6851" s="4" t="s">
        <v>2322</v>
      </c>
      <c r="E6851" s="4" t="s">
        <v>2323</v>
      </c>
      <c r="F6851" s="4" t="s">
        <v>2322</v>
      </c>
      <c r="G6851" s="5" t="str">
        <f>IFERROR(__xludf.DUMMYFUNCTION("GOOGLETRANSLATE(D6851,""id"",""es"")"),"centro comercial")</f>
        <v>centro comercial</v>
      </c>
      <c r="H6851" s="4" t="s">
        <v>6735</v>
      </c>
      <c r="I6851" s="4" t="s">
        <v>2365</v>
      </c>
      <c r="J6851" s="4" t="s">
        <v>4621</v>
      </c>
      <c r="K6851" s="4" t="s">
        <v>6736</v>
      </c>
      <c r="L6851" s="4" t="s">
        <v>6737</v>
      </c>
      <c r="M6851" s="4" t="s">
        <v>6738</v>
      </c>
    </row>
    <row r="6852">
      <c r="A6852" s="4">
        <v>80.0</v>
      </c>
      <c r="B6852" s="4" t="s">
        <v>15610</v>
      </c>
      <c r="C6852" s="4"/>
      <c r="D6852" s="4" t="s">
        <v>2351</v>
      </c>
      <c r="E6852" s="4" t="s">
        <v>2352</v>
      </c>
      <c r="F6852" s="4" t="s">
        <v>2351</v>
      </c>
      <c r="G6852" s="5" t="str">
        <f>IFERROR(__xludf.DUMMYFUNCTION("GOOGLETRANSLATE(D6852,""id"",""es"")"),"Malla")</f>
        <v>Malla</v>
      </c>
    </row>
    <row r="6853">
      <c r="A6853" s="4">
        <v>81.0</v>
      </c>
      <c r="B6853" s="4" t="s">
        <v>15610</v>
      </c>
      <c r="C6853" s="4"/>
      <c r="D6853" s="4" t="s">
        <v>2414</v>
      </c>
      <c r="E6853" s="4" t="s">
        <v>2415</v>
      </c>
      <c r="F6853" s="4" t="s">
        <v>2414</v>
      </c>
      <c r="G6853" s="5" t="str">
        <f>IFERROR(__xludf.DUMMYFUNCTION("GOOGLETRANSLATE(D6853,""id"",""es"")"),"Mani")</f>
        <v>Mani</v>
      </c>
      <c r="H6853" s="4" t="s">
        <v>6093</v>
      </c>
      <c r="I6853" s="4" t="s">
        <v>6094</v>
      </c>
      <c r="J6853" s="4" t="s">
        <v>6095</v>
      </c>
      <c r="K6853" s="4" t="s">
        <v>6096</v>
      </c>
      <c r="L6853" s="4" t="s">
        <v>6090</v>
      </c>
      <c r="M6853" s="4" t="s">
        <v>4146</v>
      </c>
      <c r="N6853" s="4" t="s">
        <v>15974</v>
      </c>
      <c r="O6853" s="4" t="s">
        <v>15975</v>
      </c>
      <c r="P6853" s="4" t="s">
        <v>15976</v>
      </c>
      <c r="Q6853" s="4" t="s">
        <v>15977</v>
      </c>
    </row>
    <row r="6854">
      <c r="A6854" s="4">
        <v>82.0</v>
      </c>
      <c r="B6854" s="4" t="s">
        <v>15610</v>
      </c>
      <c r="C6854" s="4"/>
      <c r="D6854" s="4" t="s">
        <v>6757</v>
      </c>
      <c r="E6854" s="4" t="s">
        <v>15978</v>
      </c>
      <c r="F6854" s="4" t="s">
        <v>6757</v>
      </c>
      <c r="G6854" s="5" t="str">
        <f>IFERROR(__xludf.DUMMYFUNCTION("GOOGLETRANSLATE(D6854,""id"",""es"")"),"Maniquí")</f>
        <v>Maniquí</v>
      </c>
      <c r="H6854" s="4" t="s">
        <v>15979</v>
      </c>
    </row>
    <row r="6855">
      <c r="A6855" s="4">
        <v>83.0</v>
      </c>
      <c r="B6855" s="4" t="s">
        <v>15610</v>
      </c>
      <c r="C6855" s="4"/>
      <c r="D6855" s="4" t="s">
        <v>339</v>
      </c>
      <c r="E6855" s="4" t="s">
        <v>338</v>
      </c>
      <c r="F6855" s="4" t="s">
        <v>339</v>
      </c>
      <c r="G6855" s="5" t="str">
        <f>IFERROR(__xludf.DUMMYFUNCTION("GOOGLETRANSLATE(D6855,""id"",""es"")"),"Masa")</f>
        <v>Masa</v>
      </c>
      <c r="H6855" s="4" t="s">
        <v>15980</v>
      </c>
      <c r="I6855" s="4" t="s">
        <v>15980</v>
      </c>
      <c r="J6855" s="4" t="s">
        <v>15981</v>
      </c>
      <c r="K6855" s="4" t="s">
        <v>15982</v>
      </c>
    </row>
    <row r="6856">
      <c r="A6856" s="4">
        <v>84.0</v>
      </c>
      <c r="B6856" s="4" t="s">
        <v>15610</v>
      </c>
      <c r="C6856" s="4"/>
      <c r="D6856" s="4" t="s">
        <v>2525</v>
      </c>
      <c r="E6856" s="4" t="s">
        <v>2524</v>
      </c>
      <c r="F6856" s="4" t="s">
        <v>2525</v>
      </c>
      <c r="G6856" s="5" t="str">
        <f>IFERROR(__xludf.DUMMYFUNCTION("GOOGLETRANSLATE(D6856,""id"",""es"")"),"veces")</f>
        <v>veces</v>
      </c>
      <c r="H6856" s="4" t="s">
        <v>14963</v>
      </c>
      <c r="I6856" s="4" t="s">
        <v>15983</v>
      </c>
      <c r="J6856" s="4" t="s">
        <v>14963</v>
      </c>
      <c r="K6856" s="4" t="s">
        <v>14963</v>
      </c>
      <c r="L6856" s="4" t="s">
        <v>928</v>
      </c>
      <c r="M6856" s="4" t="s">
        <v>15984</v>
      </c>
      <c r="N6856" s="4" t="s">
        <v>15985</v>
      </c>
      <c r="O6856" s="4" t="s">
        <v>15986</v>
      </c>
      <c r="P6856" s="4" t="s">
        <v>15987</v>
      </c>
      <c r="Q6856" s="4" t="s">
        <v>3709</v>
      </c>
      <c r="R6856" s="4" t="s">
        <v>15988</v>
      </c>
      <c r="S6856" s="4" t="s">
        <v>14963</v>
      </c>
      <c r="T6856" s="4" t="s">
        <v>15989</v>
      </c>
      <c r="U6856" s="4" t="s">
        <v>14963</v>
      </c>
      <c r="V6856" s="4" t="s">
        <v>9673</v>
      </c>
      <c r="W6856" s="4" t="s">
        <v>9674</v>
      </c>
      <c r="X6856" s="4" t="s">
        <v>15990</v>
      </c>
      <c r="Y6856" s="4" t="s">
        <v>14962</v>
      </c>
      <c r="Z6856" s="4" t="s">
        <v>14943</v>
      </c>
      <c r="AA6856" s="4" t="s">
        <v>14963</v>
      </c>
      <c r="AB6856" s="4" t="s">
        <v>15991</v>
      </c>
      <c r="AC6856" s="4" t="s">
        <v>15992</v>
      </c>
      <c r="AD6856" s="4" t="s">
        <v>15993</v>
      </c>
      <c r="AE6856" s="4" t="s">
        <v>14963</v>
      </c>
      <c r="AF6856" s="4" t="s">
        <v>15985</v>
      </c>
      <c r="AG6856" s="4" t="s">
        <v>15994</v>
      </c>
      <c r="AH6856" s="4" t="s">
        <v>15995</v>
      </c>
      <c r="AI6856" s="4" t="s">
        <v>6843</v>
      </c>
      <c r="AJ6856" s="4" t="s">
        <v>15996</v>
      </c>
      <c r="AK6856" s="4" t="s">
        <v>2602</v>
      </c>
      <c r="AL6856" s="4" t="s">
        <v>8300</v>
      </c>
      <c r="AM6856" s="4" t="s">
        <v>8297</v>
      </c>
      <c r="AN6856" s="4" t="s">
        <v>14963</v>
      </c>
      <c r="AO6856" s="4" t="s">
        <v>15997</v>
      </c>
    </row>
    <row r="6857">
      <c r="A6857" s="4">
        <v>85.0</v>
      </c>
      <c r="B6857" s="4" t="s">
        <v>15610</v>
      </c>
      <c r="C6857" s="4"/>
      <c r="D6857" s="4" t="s">
        <v>15998</v>
      </c>
      <c r="E6857" s="4" t="s">
        <v>15999</v>
      </c>
      <c r="F6857" s="4" t="s">
        <v>15998</v>
      </c>
      <c r="G6857" s="5" t="str">
        <f>IFERROR(__xludf.DUMMYFUNCTION("GOOGLETRANSLATE(D6857,""id"",""es"")"),"Masinero")</f>
        <v>Masinero</v>
      </c>
      <c r="H6857" s="4" t="s">
        <v>3887</v>
      </c>
      <c r="I6857" s="4" t="s">
        <v>13580</v>
      </c>
      <c r="J6857" s="4" t="s">
        <v>3476</v>
      </c>
      <c r="K6857" s="4" t="s">
        <v>3887</v>
      </c>
      <c r="L6857" s="4" t="s">
        <v>16000</v>
      </c>
      <c r="M6857" s="4" t="s">
        <v>16001</v>
      </c>
    </row>
    <row r="6858">
      <c r="A6858" s="4">
        <v>86.0</v>
      </c>
      <c r="B6858" s="4" t="s">
        <v>15610</v>
      </c>
      <c r="C6858" s="4"/>
      <c r="D6858" s="4" t="s">
        <v>16002</v>
      </c>
      <c r="E6858" s="4" t="s">
        <v>16003</v>
      </c>
      <c r="F6858" s="4" t="s">
        <v>16002</v>
      </c>
      <c r="G6858" s="5" t="str">
        <f>IFERROR(__xludf.DUMMYFUNCTION("GOOGLETRANSLATE(D6858,""id"",""es"")"),"maquinista")</f>
        <v>maquinista</v>
      </c>
      <c r="H6858" s="4" t="s">
        <v>16004</v>
      </c>
      <c r="I6858" s="4" t="s">
        <v>16005</v>
      </c>
      <c r="J6858" s="4" t="s">
        <v>16006</v>
      </c>
      <c r="K6858" s="4" t="s">
        <v>16007</v>
      </c>
      <c r="L6858" s="4" t="s">
        <v>16008</v>
      </c>
    </row>
    <row r="6859">
      <c r="A6859" s="4">
        <v>87.0</v>
      </c>
      <c r="B6859" s="4" t="s">
        <v>15610</v>
      </c>
      <c r="C6859" s="4"/>
      <c r="D6859" s="4" t="s">
        <v>16009</v>
      </c>
      <c r="E6859" s="4" t="s">
        <v>16010</v>
      </c>
      <c r="F6859" s="4" t="s">
        <v>16009</v>
      </c>
      <c r="G6859" s="5" t="str">
        <f>IFERROR(__xludf.DUMMYFUNCTION("GOOGLETRANSLATE(D6859,""id"",""es"")"),"ingresar")</f>
        <v>ingresar</v>
      </c>
      <c r="H6859" s="4" t="s">
        <v>6354</v>
      </c>
      <c r="I6859" s="4" t="s">
        <v>6353</v>
      </c>
      <c r="J6859" s="4" t="s">
        <v>16011</v>
      </c>
      <c r="K6859" s="4" t="s">
        <v>16012</v>
      </c>
      <c r="L6859" s="4" t="s">
        <v>16013</v>
      </c>
      <c r="M6859" s="4" t="s">
        <v>16014</v>
      </c>
      <c r="N6859" s="4" t="s">
        <v>16014</v>
      </c>
      <c r="O6859" s="4" t="s">
        <v>16015</v>
      </c>
      <c r="P6859" s="4" t="s">
        <v>16016</v>
      </c>
      <c r="Q6859" s="4" t="s">
        <v>16017</v>
      </c>
      <c r="R6859" s="4" t="s">
        <v>16018</v>
      </c>
      <c r="S6859" s="4" t="s">
        <v>16019</v>
      </c>
      <c r="T6859" s="4" t="s">
        <v>3499</v>
      </c>
      <c r="U6859" s="4" t="s">
        <v>16018</v>
      </c>
      <c r="V6859" s="4" t="s">
        <v>16020</v>
      </c>
      <c r="W6859" s="4" t="s">
        <v>16019</v>
      </c>
      <c r="X6859" s="4" t="s">
        <v>16017</v>
      </c>
      <c r="Y6859" s="4" t="s">
        <v>16021</v>
      </c>
      <c r="Z6859" s="4" t="s">
        <v>580</v>
      </c>
      <c r="AA6859" s="4" t="s">
        <v>16022</v>
      </c>
      <c r="AB6859" s="4" t="s">
        <v>4649</v>
      </c>
      <c r="AC6859" s="4" t="s">
        <v>4650</v>
      </c>
      <c r="AD6859" s="4" t="s">
        <v>16023</v>
      </c>
      <c r="AE6859" s="4" t="s">
        <v>6354</v>
      </c>
      <c r="AF6859" s="4" t="s">
        <v>4649</v>
      </c>
      <c r="AG6859" s="4" t="s">
        <v>4651</v>
      </c>
      <c r="AH6859" s="4" t="s">
        <v>16024</v>
      </c>
      <c r="AI6859" s="4" t="s">
        <v>16025</v>
      </c>
      <c r="AJ6859" s="4" t="s">
        <v>16012</v>
      </c>
      <c r="AK6859" s="4" t="s">
        <v>16026</v>
      </c>
      <c r="AL6859" s="4" t="s">
        <v>16027</v>
      </c>
      <c r="AM6859" s="4" t="s">
        <v>16028</v>
      </c>
      <c r="AN6859" s="4" t="s">
        <v>7302</v>
      </c>
      <c r="AO6859" s="4" t="s">
        <v>16029</v>
      </c>
      <c r="AP6859" s="4" t="s">
        <v>16027</v>
      </c>
      <c r="AQ6859" s="4" t="s">
        <v>7303</v>
      </c>
      <c r="AR6859" s="4" t="s">
        <v>16012</v>
      </c>
      <c r="AS6859" s="4" t="s">
        <v>16030</v>
      </c>
      <c r="AT6859" s="4" t="s">
        <v>16031</v>
      </c>
      <c r="AU6859" s="4" t="s">
        <v>16029</v>
      </c>
      <c r="AV6859" s="4" t="s">
        <v>16032</v>
      </c>
      <c r="AW6859" s="4" t="s">
        <v>16033</v>
      </c>
      <c r="AX6859" s="4" t="s">
        <v>16034</v>
      </c>
      <c r="AY6859" s="4" t="s">
        <v>4649</v>
      </c>
      <c r="AZ6859" s="4" t="s">
        <v>16035</v>
      </c>
      <c r="BA6859" s="4" t="s">
        <v>16036</v>
      </c>
      <c r="BB6859" s="4" t="s">
        <v>16013</v>
      </c>
      <c r="BC6859" s="4" t="s">
        <v>16037</v>
      </c>
      <c r="BD6859" s="4" t="s">
        <v>4649</v>
      </c>
      <c r="BE6859" s="4" t="s">
        <v>4652</v>
      </c>
      <c r="BF6859" s="4" t="s">
        <v>3048</v>
      </c>
      <c r="BG6859" s="4" t="s">
        <v>4653</v>
      </c>
      <c r="BH6859" s="4" t="s">
        <v>4649</v>
      </c>
      <c r="BI6859" s="4" t="s">
        <v>4644</v>
      </c>
    </row>
    <row r="6860">
      <c r="A6860" s="4">
        <v>88.0</v>
      </c>
      <c r="B6860" s="4" t="s">
        <v>15610</v>
      </c>
      <c r="C6860" s="4"/>
      <c r="D6860" s="4" t="s">
        <v>342</v>
      </c>
      <c r="E6860" s="4" t="s">
        <v>341</v>
      </c>
      <c r="F6860" s="4" t="s">
        <v>342</v>
      </c>
      <c r="G6860" s="5" t="str">
        <f>IFERROR(__xludf.DUMMYFUNCTION("GOOGLETRANSLATE(D6860,""id"",""es"")"),"Mi")</f>
        <v>Mi</v>
      </c>
      <c r="H6860" s="4" t="s">
        <v>5918</v>
      </c>
      <c r="I6860" s="4" t="s">
        <v>10546</v>
      </c>
      <c r="J6860" s="4" t="s">
        <v>10547</v>
      </c>
      <c r="K6860" s="4" t="s">
        <v>10548</v>
      </c>
      <c r="L6860" s="4" t="s">
        <v>10542</v>
      </c>
    </row>
    <row r="6861">
      <c r="A6861" s="4">
        <v>89.0</v>
      </c>
      <c r="B6861" s="4" t="s">
        <v>15610</v>
      </c>
      <c r="C6861" s="4"/>
      <c r="D6861" s="4" t="s">
        <v>16038</v>
      </c>
      <c r="E6861" s="4" t="s">
        <v>16039</v>
      </c>
      <c r="F6861" s="4" t="s">
        <v>16038</v>
      </c>
      <c r="G6861" s="5" t="str">
        <f>IFERROR(__xludf.DUMMYFUNCTION("GOOGLETRANSLATE(D6861,""id"",""es"")"),"milicia")</f>
        <v>milicia</v>
      </c>
    </row>
    <row r="6862">
      <c r="A6862" s="4">
        <v>90.0</v>
      </c>
      <c r="B6862" s="4" t="s">
        <v>15610</v>
      </c>
      <c r="C6862" s="4"/>
      <c r="D6862" s="4" t="s">
        <v>16040</v>
      </c>
      <c r="E6862" s="4" t="s">
        <v>16041</v>
      </c>
      <c r="F6862" s="4" t="s">
        <v>16040</v>
      </c>
      <c r="G6862" s="5" t="str">
        <f>IFERROR(__xludf.DUMMYFUNCTION("GOOGLETRANSLATE(D6862,""id"",""es"")"),"hemorragia nasal")</f>
        <v>hemorragia nasal</v>
      </c>
      <c r="H6862" s="4" t="s">
        <v>16042</v>
      </c>
      <c r="I6862" s="4" t="s">
        <v>16043</v>
      </c>
    </row>
    <row r="6863">
      <c r="A6863" s="4">
        <v>91.0</v>
      </c>
      <c r="B6863" s="4" t="s">
        <v>15610</v>
      </c>
      <c r="C6863" s="4"/>
      <c r="D6863" s="4" t="s">
        <v>2695</v>
      </c>
      <c r="E6863" s="4" t="s">
        <v>2696</v>
      </c>
      <c r="F6863" s="4" t="s">
        <v>2695</v>
      </c>
      <c r="G6863" s="5" t="str">
        <f>IFERROR(__xludf.DUMMYFUNCTION("GOOGLETRANSLATE(D6863,""id"",""es"")"),"Mina")</f>
        <v>Mina</v>
      </c>
      <c r="H6863" s="4" t="s">
        <v>16044</v>
      </c>
      <c r="I6863" s="4" t="s">
        <v>16045</v>
      </c>
      <c r="J6863" s="4" t="s">
        <v>2695</v>
      </c>
      <c r="K6863" s="4" t="s">
        <v>16046</v>
      </c>
      <c r="L6863" s="4" t="s">
        <v>16047</v>
      </c>
      <c r="M6863" s="4" t="s">
        <v>16048</v>
      </c>
    </row>
    <row r="6864">
      <c r="A6864" s="4">
        <v>92.0</v>
      </c>
      <c r="B6864" s="4" t="s">
        <v>15610</v>
      </c>
      <c r="C6864" s="4"/>
      <c r="D6864" s="4" t="s">
        <v>16049</v>
      </c>
      <c r="E6864" s="4" t="s">
        <v>16050</v>
      </c>
      <c r="F6864" s="4" t="s">
        <v>16049</v>
      </c>
      <c r="G6864" s="5" t="str">
        <f>IFERROR(__xludf.DUMMYFUNCTION("GOOGLETRANSLATE(D6864,""id"",""es"")"),"beber")</f>
        <v>beber</v>
      </c>
      <c r="H6864" s="4" t="s">
        <v>16051</v>
      </c>
      <c r="I6864" s="4" t="s">
        <v>16052</v>
      </c>
      <c r="J6864" s="4" t="s">
        <v>16053</v>
      </c>
      <c r="K6864" s="4" t="s">
        <v>9544</v>
      </c>
      <c r="L6864" s="4" t="s">
        <v>16054</v>
      </c>
      <c r="M6864" s="4" t="s">
        <v>7930</v>
      </c>
      <c r="N6864" s="4" t="s">
        <v>879</v>
      </c>
      <c r="O6864" s="4" t="s">
        <v>486</v>
      </c>
      <c r="P6864" s="4" t="s">
        <v>887</v>
      </c>
      <c r="Q6864" s="4" t="s">
        <v>311</v>
      </c>
      <c r="R6864" s="4" t="s">
        <v>16051</v>
      </c>
      <c r="S6864" s="4" t="s">
        <v>16055</v>
      </c>
      <c r="T6864" s="4" t="s">
        <v>16051</v>
      </c>
      <c r="U6864" s="4" t="s">
        <v>16056</v>
      </c>
      <c r="V6864" s="4" t="s">
        <v>16057</v>
      </c>
      <c r="W6864" s="4" t="s">
        <v>16051</v>
      </c>
      <c r="X6864" s="4" t="s">
        <v>16058</v>
      </c>
      <c r="Y6864" s="4" t="s">
        <v>15157</v>
      </c>
      <c r="Z6864" s="4" t="s">
        <v>3712</v>
      </c>
      <c r="AA6864" s="4" t="s">
        <v>9094</v>
      </c>
      <c r="AB6864" s="4" t="s">
        <v>3624</v>
      </c>
      <c r="AC6864" s="4" t="s">
        <v>7930</v>
      </c>
      <c r="AD6864" s="4" t="s">
        <v>7118</v>
      </c>
      <c r="AE6864" s="4" t="s">
        <v>16051</v>
      </c>
    </row>
    <row r="6865">
      <c r="A6865" s="4">
        <v>93.0</v>
      </c>
      <c r="B6865" s="4" t="s">
        <v>15610</v>
      </c>
      <c r="C6865" s="4"/>
      <c r="D6865" s="4" t="s">
        <v>16059</v>
      </c>
      <c r="E6865" s="4" t="s">
        <v>16060</v>
      </c>
      <c r="F6865" s="4" t="s">
        <v>16061</v>
      </c>
      <c r="G6865" s="5" t="str">
        <f>IFERROR(__xludf.DUMMYFUNCTION("GOOGLETRANSLATE(D6865,""id"",""es"")"),"aceite")</f>
        <v>aceite</v>
      </c>
      <c r="H6865" s="4" t="s">
        <v>16062</v>
      </c>
      <c r="I6865" s="4" t="s">
        <v>16063</v>
      </c>
      <c r="J6865" s="4" t="s">
        <v>16064</v>
      </c>
      <c r="K6865" s="4" t="s">
        <v>16065</v>
      </c>
      <c r="L6865" s="4" t="s">
        <v>2061</v>
      </c>
      <c r="M6865" s="4" t="s">
        <v>16066</v>
      </c>
      <c r="N6865" s="4" t="s">
        <v>16067</v>
      </c>
      <c r="O6865" s="4" t="s">
        <v>16068</v>
      </c>
      <c r="P6865" s="4" t="s">
        <v>16069</v>
      </c>
      <c r="Q6865" s="4" t="s">
        <v>16070</v>
      </c>
      <c r="R6865" s="4" t="s">
        <v>16071</v>
      </c>
      <c r="S6865" s="4" t="s">
        <v>16072</v>
      </c>
      <c r="T6865" s="4" t="s">
        <v>16073</v>
      </c>
      <c r="U6865" s="4" t="s">
        <v>16067</v>
      </c>
      <c r="V6865" s="4" t="s">
        <v>16074</v>
      </c>
      <c r="W6865" s="4" t="s">
        <v>16071</v>
      </c>
      <c r="X6865" s="4" t="s">
        <v>16067</v>
      </c>
    </row>
    <row r="6866">
      <c r="A6866" s="4">
        <v>94.0</v>
      </c>
      <c r="B6866" s="4" t="s">
        <v>15610</v>
      </c>
      <c r="C6866" s="4"/>
      <c r="D6866" s="4" t="s">
        <v>2714</v>
      </c>
      <c r="E6866" s="4" t="s">
        <v>2713</v>
      </c>
      <c r="F6866" s="4" t="s">
        <v>2714</v>
      </c>
      <c r="G6866" s="5" t="str">
        <f>IFERROR(__xludf.DUMMYFUNCTION("GOOGLETRANSLATE(D6866,""id"",""es"")"),"masa")</f>
        <v>masa</v>
      </c>
      <c r="H6866" s="4" t="s">
        <v>2715</v>
      </c>
    </row>
    <row r="6867">
      <c r="A6867" s="4">
        <v>95.0</v>
      </c>
      <c r="B6867" s="4" t="s">
        <v>15610</v>
      </c>
      <c r="C6867" s="4"/>
      <c r="D6867" s="4" t="s">
        <v>16075</v>
      </c>
      <c r="E6867" s="4" t="s">
        <v>16076</v>
      </c>
      <c r="F6867" s="4" t="s">
        <v>16075</v>
      </c>
      <c r="G6867" s="5" t="str">
        <f>IFERROR(__xludf.DUMMYFUNCTION("GOOGLETRANSLATE(D6867,""id"",""es"")"),"ejemplo")</f>
        <v>ejemplo</v>
      </c>
      <c r="H6867" s="4" t="s">
        <v>11927</v>
      </c>
      <c r="I6867" s="4" t="s">
        <v>16077</v>
      </c>
      <c r="J6867" s="4" t="s">
        <v>11926</v>
      </c>
      <c r="K6867" s="4" t="s">
        <v>16078</v>
      </c>
    </row>
    <row r="6868">
      <c r="A6868" s="4">
        <v>96.0</v>
      </c>
      <c r="B6868" s="4" t="s">
        <v>15610</v>
      </c>
      <c r="C6868" s="4"/>
      <c r="D6868" s="4" t="s">
        <v>6880</v>
      </c>
      <c r="E6868" s="4" t="s">
        <v>16079</v>
      </c>
      <c r="F6868" s="4" t="s">
        <v>6880</v>
      </c>
      <c r="G6868" s="5" t="str">
        <f>IFERROR(__xludf.DUMMYFUNCTION("GOOGLETRANSLATE(D6868,""id"",""es"")"),"misión")</f>
        <v>misión</v>
      </c>
      <c r="H6868" s="4" t="s">
        <v>16080</v>
      </c>
      <c r="I6868" s="4" t="s">
        <v>16081</v>
      </c>
      <c r="J6868" s="4" t="s">
        <v>16080</v>
      </c>
      <c r="K6868" s="4" t="s">
        <v>917</v>
      </c>
      <c r="L6868" s="4" t="s">
        <v>16082</v>
      </c>
      <c r="M6868" s="4" t="s">
        <v>13935</v>
      </c>
      <c r="N6868" s="4" t="s">
        <v>16080</v>
      </c>
      <c r="O6868" s="4" t="s">
        <v>16083</v>
      </c>
      <c r="P6868" s="4" t="s">
        <v>16084</v>
      </c>
      <c r="Q6868" s="4" t="s">
        <v>16082</v>
      </c>
      <c r="R6868" s="4" t="s">
        <v>16085</v>
      </c>
      <c r="S6868" s="4" t="s">
        <v>16086</v>
      </c>
      <c r="T6868" s="4" t="s">
        <v>16080</v>
      </c>
      <c r="U6868" s="4" t="s">
        <v>6936</v>
      </c>
    </row>
    <row r="6869">
      <c r="A6869" s="4">
        <v>97.0</v>
      </c>
      <c r="B6869" s="4" t="s">
        <v>15610</v>
      </c>
      <c r="C6869" s="4"/>
      <c r="D6869" s="4" t="s">
        <v>16087</v>
      </c>
      <c r="E6869" s="4" t="s">
        <v>16088</v>
      </c>
      <c r="F6869" s="4" t="s">
        <v>16087</v>
      </c>
      <c r="G6869" s="5" t="str">
        <f>IFERROR(__xludf.DUMMYFUNCTION("GOOGLETRANSLATE(D6869,""id"",""es"")"),"Mukim")</f>
        <v>Mukim</v>
      </c>
      <c r="H6869" s="4" t="s">
        <v>16089</v>
      </c>
      <c r="I6869" s="4" t="s">
        <v>16090</v>
      </c>
      <c r="J6869" s="4" t="s">
        <v>16091</v>
      </c>
    </row>
    <row r="6870">
      <c r="A6870" s="4">
        <v>98.0</v>
      </c>
      <c r="B6870" s="4" t="s">
        <v>15610</v>
      </c>
      <c r="C6870" s="4"/>
      <c r="D6870" s="4" t="s">
        <v>16092</v>
      </c>
      <c r="E6870" s="4" t="s">
        <v>16093</v>
      </c>
      <c r="F6870" s="4" t="s">
        <v>16092</v>
      </c>
      <c r="G6870" s="5" t="str">
        <f>IFERROR(__xludf.DUMMYFUNCTION("GOOGLETRANSLATE(D6870,""id"",""es"")"),"Musala")</f>
        <v>Musala</v>
      </c>
    </row>
    <row r="6871">
      <c r="A6871" s="4">
        <v>99.0</v>
      </c>
      <c r="B6871" s="4" t="s">
        <v>15610</v>
      </c>
      <c r="C6871" s="4"/>
      <c r="D6871" s="4" t="s">
        <v>16094</v>
      </c>
      <c r="E6871" s="4" t="s">
        <v>16095</v>
      </c>
      <c r="F6871" s="4" t="s">
        <v>16094</v>
      </c>
      <c r="G6871" s="5" t="str">
        <f>IFERROR(__xludf.DUMMYFUNCTION("GOOGLETRANSLATE(D6871,""id"",""es"")"),"músico")</f>
        <v>músico</v>
      </c>
    </row>
    <row r="6872">
      <c r="A6872" s="4">
        <v>100.0</v>
      </c>
      <c r="B6872" s="4" t="s">
        <v>15610</v>
      </c>
      <c r="C6872" s="4"/>
      <c r="D6872" s="4" t="s">
        <v>16096</v>
      </c>
      <c r="E6872" s="4" t="s">
        <v>16097</v>
      </c>
      <c r="F6872" s="4" t="s">
        <v>16096</v>
      </c>
      <c r="G6872" s="5" t="str">
        <f>IFERROR(__xludf.DUMMYFUNCTION("GOOGLETRANSLATE(D6872,""id"",""es"")"),"temporada")</f>
        <v>temporada</v>
      </c>
      <c r="H6872" s="4" t="s">
        <v>16098</v>
      </c>
      <c r="I6872" s="4" t="s">
        <v>15986</v>
      </c>
      <c r="J6872" s="4" t="s">
        <v>15987</v>
      </c>
      <c r="K6872" s="4" t="s">
        <v>3709</v>
      </c>
      <c r="L6872" s="4" t="s">
        <v>15993</v>
      </c>
      <c r="M6872" s="4" t="s">
        <v>16099</v>
      </c>
      <c r="N6872" s="4" t="s">
        <v>15993</v>
      </c>
      <c r="O6872" s="4" t="s">
        <v>15993</v>
      </c>
    </row>
    <row r="6873">
      <c r="A6873" s="4">
        <v>101.0</v>
      </c>
      <c r="B6873" s="4" t="s">
        <v>15610</v>
      </c>
      <c r="C6873" s="4"/>
      <c r="D6873" s="4" t="s">
        <v>16100</v>
      </c>
      <c r="E6873" s="4" t="s">
        <v>16101</v>
      </c>
      <c r="F6873" s="4" t="s">
        <v>16100</v>
      </c>
      <c r="G6873" s="5" t="str">
        <f>IFERROR(__xludf.DUMMYFUNCTION("GOOGLETRANSLATE(D6873,""id"",""es"")"),"músico")</f>
        <v>músico</v>
      </c>
      <c r="H6873" s="4" t="s">
        <v>14487</v>
      </c>
      <c r="I6873" s="4" t="s">
        <v>14487</v>
      </c>
      <c r="J6873" s="4" t="s">
        <v>14488</v>
      </c>
      <c r="K6873" s="4" t="s">
        <v>14489</v>
      </c>
    </row>
    <row r="6874">
      <c r="A6874" s="4">
        <v>102.0</v>
      </c>
      <c r="B6874" s="4" t="s">
        <v>15610</v>
      </c>
      <c r="C6874" s="4"/>
      <c r="D6874" s="4" t="s">
        <v>10803</v>
      </c>
      <c r="E6874" s="4" t="s">
        <v>16102</v>
      </c>
      <c r="F6874" s="4" t="s">
        <v>10803</v>
      </c>
      <c r="G6874" s="5" t="str">
        <f>IFERROR(__xludf.DUMMYFUNCTION("GOOGLETRANSLATE(D6874,""id"",""es"")"),"nombre")</f>
        <v>nombre</v>
      </c>
      <c r="H6874" s="4" t="s">
        <v>16103</v>
      </c>
      <c r="I6874" s="4" t="s">
        <v>16104</v>
      </c>
      <c r="J6874" s="4" t="s">
        <v>1438</v>
      </c>
      <c r="K6874" s="4" t="s">
        <v>16105</v>
      </c>
      <c r="L6874" s="4" t="s">
        <v>16106</v>
      </c>
      <c r="M6874" s="4" t="s">
        <v>16103</v>
      </c>
      <c r="N6874" s="4" t="s">
        <v>16107</v>
      </c>
      <c r="O6874" s="4" t="s">
        <v>1438</v>
      </c>
      <c r="P6874" s="4" t="s">
        <v>4861</v>
      </c>
      <c r="Q6874" s="4" t="s">
        <v>10763</v>
      </c>
      <c r="R6874" s="4" t="s">
        <v>1438</v>
      </c>
    </row>
    <row r="6875">
      <c r="A6875" s="4">
        <v>103.0</v>
      </c>
      <c r="B6875" s="4" t="s">
        <v>15610</v>
      </c>
      <c r="C6875" s="4"/>
      <c r="D6875" s="4" t="s">
        <v>16108</v>
      </c>
      <c r="E6875" s="4" t="s">
        <v>16109</v>
      </c>
      <c r="F6875" s="4" t="s">
        <v>16108</v>
      </c>
      <c r="G6875" s="5" t="str">
        <f>IFERROR(__xludf.DUMMYFUNCTION("GOOGLETRANSLATE(D6875,""id"",""es"")"),"aliento")</f>
        <v>aliento</v>
      </c>
      <c r="H6875" s="4" t="s">
        <v>16110</v>
      </c>
      <c r="I6875" s="4" t="s">
        <v>16110</v>
      </c>
    </row>
    <row r="6876">
      <c r="A6876" s="4">
        <v>104.0</v>
      </c>
      <c r="B6876" s="4" t="s">
        <v>15610</v>
      </c>
      <c r="C6876" s="4"/>
      <c r="D6876" s="4" t="s">
        <v>16111</v>
      </c>
      <c r="E6876" s="4" t="s">
        <v>16112</v>
      </c>
      <c r="F6876" s="4" t="s">
        <v>16111</v>
      </c>
      <c r="G6876" s="5" t="str">
        <f>IFERROR(__xludf.DUMMYFUNCTION("GOOGLETRANSLATE(D6876,""id"",""es"")"),"Nayaka")</f>
        <v>Nayaka</v>
      </c>
    </row>
    <row r="6877">
      <c r="A6877" s="4">
        <v>105.0</v>
      </c>
      <c r="B6877" s="4" t="s">
        <v>15610</v>
      </c>
      <c r="C6877" s="4"/>
      <c r="D6877" s="4" t="s">
        <v>16113</v>
      </c>
      <c r="E6877" s="4" t="s">
        <v>16114</v>
      </c>
      <c r="F6877" s="4" t="s">
        <v>16113</v>
      </c>
      <c r="G6877" s="5" t="str">
        <f>IFERROR(__xludf.DUMMYFUNCTION("GOOGLETRANSLATE(D6877,""id"",""es"")"),"pachulí")</f>
        <v>pachulí</v>
      </c>
      <c r="H6877" s="4" t="s">
        <v>16115</v>
      </c>
      <c r="I6877" s="4" t="s">
        <v>16115</v>
      </c>
    </row>
    <row r="6878">
      <c r="A6878" s="4">
        <v>106.0</v>
      </c>
      <c r="B6878" s="4" t="s">
        <v>15610</v>
      </c>
      <c r="C6878" s="4"/>
      <c r="D6878" s="4" t="s">
        <v>16116</v>
      </c>
      <c r="E6878" s="4" t="s">
        <v>16117</v>
      </c>
      <c r="F6878" s="4" t="s">
        <v>16116</v>
      </c>
      <c r="G6878" s="5" t="str">
        <f>IFERROR(__xludf.DUMMYFUNCTION("GOOGLETRANSLATE(D6878,""id"",""es"")"),"Línea")</f>
        <v>Línea</v>
      </c>
      <c r="H6878" s="4" t="s">
        <v>7835</v>
      </c>
      <c r="I6878" s="4" t="s">
        <v>7819</v>
      </c>
      <c r="J6878" s="4" t="s">
        <v>7830</v>
      </c>
      <c r="K6878" s="4" t="s">
        <v>7819</v>
      </c>
      <c r="L6878" s="4" t="s">
        <v>16118</v>
      </c>
      <c r="M6878" s="4" t="s">
        <v>7819</v>
      </c>
      <c r="N6878" s="4" t="s">
        <v>7819</v>
      </c>
      <c r="O6878" s="4" t="s">
        <v>16119</v>
      </c>
      <c r="P6878" s="4" t="s">
        <v>16120</v>
      </c>
      <c r="Q6878" s="4" t="s">
        <v>16121</v>
      </c>
      <c r="R6878" s="4" t="s">
        <v>16122</v>
      </c>
      <c r="S6878" s="4" t="s">
        <v>16123</v>
      </c>
      <c r="T6878" s="4" t="s">
        <v>16124</v>
      </c>
      <c r="U6878" s="4" t="s">
        <v>16125</v>
      </c>
      <c r="V6878" s="4" t="s">
        <v>16126</v>
      </c>
      <c r="W6878" s="4" t="s">
        <v>16127</v>
      </c>
      <c r="X6878" s="4" t="s">
        <v>16128</v>
      </c>
      <c r="Y6878" s="4" t="s">
        <v>16129</v>
      </c>
      <c r="Z6878" s="4" t="s">
        <v>997</v>
      </c>
      <c r="AA6878" s="4" t="s">
        <v>7829</v>
      </c>
      <c r="AB6878" s="4" t="s">
        <v>16130</v>
      </c>
      <c r="AC6878" s="4" t="s">
        <v>16131</v>
      </c>
      <c r="AD6878" s="4" t="s">
        <v>16132</v>
      </c>
    </row>
    <row r="6879">
      <c r="A6879" s="4">
        <v>107.0</v>
      </c>
      <c r="B6879" s="4" t="s">
        <v>15610</v>
      </c>
      <c r="C6879" s="4"/>
      <c r="D6879" s="4" t="s">
        <v>16133</v>
      </c>
      <c r="E6879" s="4" t="s">
        <v>16134</v>
      </c>
      <c r="F6879" s="4" t="s">
        <v>16133</v>
      </c>
      <c r="G6879" s="5" t="str">
        <f>IFERROR(__xludf.DUMMYFUNCTION("GOOGLETRANSLATE(D6879,""id"",""es"")"),"lápida sepulcral")</f>
        <v>lápida sepulcral</v>
      </c>
      <c r="H6879" s="4" t="s">
        <v>16135</v>
      </c>
      <c r="I6879" s="4" t="s">
        <v>8391</v>
      </c>
      <c r="J6879" s="4" t="s">
        <v>16136</v>
      </c>
      <c r="K6879" s="4" t="s">
        <v>16137</v>
      </c>
      <c r="L6879" s="4" t="s">
        <v>16138</v>
      </c>
      <c r="M6879" s="4" t="s">
        <v>16137</v>
      </c>
      <c r="N6879" s="4" t="s">
        <v>16138</v>
      </c>
    </row>
    <row r="6880">
      <c r="A6880" s="4">
        <v>108.0</v>
      </c>
      <c r="B6880" s="4" t="s">
        <v>15610</v>
      </c>
      <c r="C6880" s="4"/>
      <c r="D6880" s="4" t="s">
        <v>16139</v>
      </c>
      <c r="E6880" s="4" t="s">
        <v>16140</v>
      </c>
      <c r="F6880" s="4" t="s">
        <v>16139</v>
      </c>
      <c r="G6880" s="5" t="str">
        <f>IFERROR(__xludf.DUMMYFUNCTION("GOOGLETRANSLATE(D6880,""id"",""es"")"),"NUSA")</f>
        <v>NUSA</v>
      </c>
    </row>
    <row r="6881">
      <c r="A6881" s="4">
        <v>109.0</v>
      </c>
      <c r="B6881" s="4" t="s">
        <v>15610</v>
      </c>
      <c r="C6881" s="4"/>
      <c r="D6881" s="4" t="s">
        <v>16141</v>
      </c>
      <c r="E6881" s="4" t="s">
        <v>16142</v>
      </c>
      <c r="F6881" s="4" t="s">
        <v>16143</v>
      </c>
      <c r="G6881" s="5" t="str">
        <f>IFERROR(__xludf.DUMMYFUNCTION("GOOGLETRANSLATE(D6881,""id"",""es"")"),"fuego")</f>
        <v>fuego</v>
      </c>
      <c r="H6881" s="4" t="s">
        <v>16144</v>
      </c>
      <c r="I6881" s="4" t="s">
        <v>12617</v>
      </c>
      <c r="J6881" s="4" t="s">
        <v>15638</v>
      </c>
      <c r="K6881" s="4" t="s">
        <v>997</v>
      </c>
      <c r="L6881" s="4" t="s">
        <v>16145</v>
      </c>
      <c r="M6881" s="4" t="s">
        <v>15638</v>
      </c>
      <c r="N6881" s="4" t="s">
        <v>16146</v>
      </c>
      <c r="O6881" s="4" t="s">
        <v>16147</v>
      </c>
      <c r="P6881" s="4" t="s">
        <v>16148</v>
      </c>
      <c r="Q6881" s="4" t="s">
        <v>16149</v>
      </c>
      <c r="R6881" s="4" t="s">
        <v>16150</v>
      </c>
      <c r="S6881" s="4" t="s">
        <v>16151</v>
      </c>
      <c r="T6881" s="4" t="s">
        <v>3504</v>
      </c>
      <c r="U6881" s="4" t="s">
        <v>5528</v>
      </c>
    </row>
    <row r="6882">
      <c r="A6882" s="4">
        <v>110.0</v>
      </c>
      <c r="B6882" s="4" t="s">
        <v>15610</v>
      </c>
      <c r="C6882" s="4"/>
      <c r="D6882" s="4" t="s">
        <v>16152</v>
      </c>
      <c r="E6882" s="4" t="s">
        <v>5423</v>
      </c>
      <c r="F6882" s="4" t="s">
        <v>5424</v>
      </c>
      <c r="G6882" s="5" t="str">
        <f>IFERROR(__xludf.DUMMYFUNCTION("GOOGLETRANSLATE(D6882,""id"",""es"")"),"real")</f>
        <v>real</v>
      </c>
      <c r="H6882" s="4" t="s">
        <v>16153</v>
      </c>
      <c r="I6882" s="4" t="s">
        <v>16154</v>
      </c>
      <c r="J6882" s="4" t="s">
        <v>16155</v>
      </c>
      <c r="K6882" s="4" t="s">
        <v>16156</v>
      </c>
      <c r="L6882" s="4" t="s">
        <v>16157</v>
      </c>
      <c r="M6882" s="4" t="s">
        <v>16158</v>
      </c>
      <c r="N6882" s="4" t="s">
        <v>16159</v>
      </c>
      <c r="O6882" s="4" t="s">
        <v>6415</v>
      </c>
      <c r="P6882" s="4" t="s">
        <v>16160</v>
      </c>
      <c r="Q6882" s="4" t="s">
        <v>16161</v>
      </c>
      <c r="R6882" s="4" t="s">
        <v>16162</v>
      </c>
      <c r="S6882" s="4" t="s">
        <v>15575</v>
      </c>
      <c r="T6882" s="4" t="s">
        <v>16163</v>
      </c>
      <c r="U6882" s="4" t="s">
        <v>16164</v>
      </c>
      <c r="V6882" s="4" t="s">
        <v>16165</v>
      </c>
      <c r="W6882" s="4" t="s">
        <v>16166</v>
      </c>
      <c r="X6882" s="4" t="s">
        <v>2682</v>
      </c>
      <c r="Y6882" s="4" t="s">
        <v>16167</v>
      </c>
      <c r="Z6882" s="4" t="s">
        <v>16168</v>
      </c>
      <c r="AA6882" s="4" t="s">
        <v>16169</v>
      </c>
      <c r="AB6882" s="4" t="s">
        <v>16168</v>
      </c>
      <c r="AC6882" s="4" t="s">
        <v>16170</v>
      </c>
      <c r="AD6882" s="4" t="s">
        <v>16171</v>
      </c>
      <c r="AE6882" s="4" t="s">
        <v>16172</v>
      </c>
      <c r="AF6882" s="4" t="s">
        <v>16173</v>
      </c>
      <c r="AG6882" s="4" t="s">
        <v>16174</v>
      </c>
      <c r="AH6882" s="4" t="s">
        <v>16171</v>
      </c>
      <c r="AI6882" s="4" t="s">
        <v>16175</v>
      </c>
      <c r="AJ6882" s="4" t="s">
        <v>16176</v>
      </c>
      <c r="AK6882" s="4" t="s">
        <v>6415</v>
      </c>
      <c r="AL6882" s="4" t="s">
        <v>16177</v>
      </c>
      <c r="AM6882" s="4" t="s">
        <v>16126</v>
      </c>
      <c r="AN6882" s="4" t="s">
        <v>16178</v>
      </c>
      <c r="AO6882" s="4" t="s">
        <v>16179</v>
      </c>
      <c r="AP6882" s="4" t="s">
        <v>16180</v>
      </c>
      <c r="AQ6882" s="4" t="s">
        <v>16181</v>
      </c>
      <c r="AR6882" s="4" t="s">
        <v>16182</v>
      </c>
      <c r="AS6882" s="4" t="s">
        <v>16183</v>
      </c>
      <c r="AT6882" s="4" t="s">
        <v>16184</v>
      </c>
      <c r="AU6882" s="4" t="s">
        <v>16185</v>
      </c>
      <c r="AV6882" s="4" t="s">
        <v>16185</v>
      </c>
      <c r="AW6882" s="4" t="s">
        <v>16186</v>
      </c>
      <c r="AX6882" s="4" t="s">
        <v>16187</v>
      </c>
      <c r="AY6882" s="4" t="s">
        <v>16188</v>
      </c>
      <c r="AZ6882" s="4" t="s">
        <v>16187</v>
      </c>
      <c r="BA6882" s="4" t="s">
        <v>16184</v>
      </c>
      <c r="BB6882" s="4" t="s">
        <v>16189</v>
      </c>
      <c r="BC6882" s="4" t="s">
        <v>16190</v>
      </c>
      <c r="BD6882" s="4" t="s">
        <v>16191</v>
      </c>
      <c r="BE6882" s="4" t="s">
        <v>16192</v>
      </c>
      <c r="BF6882" s="4" t="s">
        <v>16126</v>
      </c>
      <c r="BG6882" s="4" t="s">
        <v>16182</v>
      </c>
      <c r="BH6882" s="4" t="s">
        <v>16193</v>
      </c>
      <c r="BI6882" s="4" t="s">
        <v>16194</v>
      </c>
      <c r="BJ6882" s="4" t="s">
        <v>16195</v>
      </c>
      <c r="BK6882" s="4" t="s">
        <v>3746</v>
      </c>
      <c r="BL6882" s="4" t="s">
        <v>16187</v>
      </c>
      <c r="BM6882" s="4" t="s">
        <v>16196</v>
      </c>
      <c r="BN6882" s="4" t="s">
        <v>16187</v>
      </c>
    </row>
    <row r="6883">
      <c r="A6883" s="4">
        <v>111.0</v>
      </c>
      <c r="B6883" s="4" t="s">
        <v>15610</v>
      </c>
      <c r="C6883" s="4"/>
      <c r="D6883" s="4" t="s">
        <v>392</v>
      </c>
      <c r="E6883" s="4" t="s">
        <v>391</v>
      </c>
      <c r="F6883" s="4" t="s">
        <v>392</v>
      </c>
      <c r="G6883" s="5" t="str">
        <f>IFERROR(__xludf.DUMMYFUNCTION("GOOGLETRANSLATE(D6883,""id"",""es"")"),"Señor")</f>
        <v>Señor</v>
      </c>
      <c r="H6883" s="4" t="s">
        <v>16197</v>
      </c>
      <c r="I6883" s="4" t="s">
        <v>16198</v>
      </c>
      <c r="J6883" s="4" t="s">
        <v>16199</v>
      </c>
      <c r="K6883" s="4" t="s">
        <v>16198</v>
      </c>
      <c r="L6883" s="4" t="s">
        <v>7046</v>
      </c>
      <c r="M6883" s="4" t="s">
        <v>16200</v>
      </c>
      <c r="N6883" s="4" t="s">
        <v>16199</v>
      </c>
      <c r="O6883" s="4" t="s">
        <v>3294</v>
      </c>
      <c r="P6883" s="4" t="s">
        <v>3295</v>
      </c>
      <c r="Q6883" s="4" t="s">
        <v>3296</v>
      </c>
      <c r="R6883" s="4" t="s">
        <v>3147</v>
      </c>
      <c r="S6883" s="4" t="s">
        <v>3292</v>
      </c>
      <c r="T6883" s="4" t="s">
        <v>3297</v>
      </c>
      <c r="U6883" s="4" t="s">
        <v>3298</v>
      </c>
    </row>
    <row r="6884">
      <c r="A6884" s="4">
        <v>112.0</v>
      </c>
      <c r="B6884" s="4" t="s">
        <v>15610</v>
      </c>
      <c r="C6884" s="4"/>
      <c r="D6884" s="4" t="s">
        <v>3161</v>
      </c>
      <c r="E6884" s="4" t="s">
        <v>3162</v>
      </c>
      <c r="F6884" s="4" t="s">
        <v>3161</v>
      </c>
      <c r="G6884" s="5" t="str">
        <f>IFERROR(__xludf.DUMMYFUNCTION("GOOGLETRANSLATE(D6884,""id"",""es"")"),"CAMARADA")</f>
        <v>CAMARADA</v>
      </c>
      <c r="H6884" s="4" t="s">
        <v>7053</v>
      </c>
      <c r="I6884" s="4" t="s">
        <v>7054</v>
      </c>
      <c r="J6884" s="4" t="s">
        <v>7055</v>
      </c>
      <c r="K6884" s="4" t="s">
        <v>7056</v>
      </c>
      <c r="L6884" s="4" t="s">
        <v>3161</v>
      </c>
      <c r="M6884" s="4" t="s">
        <v>7057</v>
      </c>
    </row>
    <row r="6885">
      <c r="A6885" s="4">
        <v>113.0</v>
      </c>
      <c r="B6885" s="4" t="s">
        <v>15610</v>
      </c>
      <c r="C6885" s="4"/>
      <c r="D6885" s="4" t="s">
        <v>16201</v>
      </c>
      <c r="E6885" s="4" t="s">
        <v>16202</v>
      </c>
      <c r="F6885" s="4" t="s">
        <v>16201</v>
      </c>
      <c r="G6885" s="5" t="str">
        <f>IFERROR(__xludf.DUMMYFUNCTION("GOOGLETRANSLATE(D6885,""id"",""es"")"),"modelo a seguir")</f>
        <v>modelo a seguir</v>
      </c>
    </row>
    <row r="6886">
      <c r="A6886" s="4">
        <v>114.0</v>
      </c>
      <c r="B6886" s="4" t="s">
        <v>15610</v>
      </c>
      <c r="C6886" s="4"/>
      <c r="D6886" s="4" t="s">
        <v>3361</v>
      </c>
      <c r="E6886" s="4" t="s">
        <v>3362</v>
      </c>
      <c r="F6886" s="4" t="s">
        <v>3361</v>
      </c>
      <c r="G6886" s="5" t="str">
        <f>IFERROR(__xludf.DUMMYFUNCTION("GOOGLETRANSLATE(D6886,""id"",""es"")"),"Correcto")</f>
        <v>Correcto</v>
      </c>
      <c r="H6886" s="4" t="s">
        <v>3369</v>
      </c>
      <c r="I6886" s="4" t="s">
        <v>647</v>
      </c>
      <c r="J6886" s="4" t="s">
        <v>7117</v>
      </c>
      <c r="K6886" s="4" t="s">
        <v>1266</v>
      </c>
      <c r="L6886" s="4" t="s">
        <v>1266</v>
      </c>
      <c r="M6886" s="4" t="s">
        <v>647</v>
      </c>
      <c r="N6886" s="4" t="s">
        <v>7133</v>
      </c>
      <c r="O6886" s="4" t="s">
        <v>647</v>
      </c>
      <c r="P6886" s="4" t="s">
        <v>7112</v>
      </c>
      <c r="Q6886" s="4" t="s">
        <v>647</v>
      </c>
      <c r="R6886" s="4" t="s">
        <v>7108</v>
      </c>
      <c r="S6886" s="4" t="s">
        <v>647</v>
      </c>
      <c r="T6886" s="4" t="s">
        <v>7107</v>
      </c>
      <c r="U6886" s="4" t="s">
        <v>647</v>
      </c>
      <c r="V6886" s="4" t="s">
        <v>647</v>
      </c>
    </row>
    <row r="6887">
      <c r="A6887" s="4">
        <v>115.0</v>
      </c>
      <c r="B6887" s="4" t="s">
        <v>15610</v>
      </c>
      <c r="C6887" s="4"/>
      <c r="D6887" s="4" t="s">
        <v>14239</v>
      </c>
      <c r="E6887" s="4" t="s">
        <v>14240</v>
      </c>
      <c r="F6887" s="4" t="s">
        <v>14239</v>
      </c>
      <c r="G6887" s="5" t="str">
        <f>IFERROR(__xludf.DUMMYFUNCTION("GOOGLETRANSLATE(D6887,""id"",""es"")"),"capítulo")</f>
        <v>capítulo</v>
      </c>
      <c r="H6887" s="4" t="s">
        <v>16203</v>
      </c>
      <c r="I6887" s="4" t="s">
        <v>16204</v>
      </c>
      <c r="J6887" s="4" t="s">
        <v>10401</v>
      </c>
      <c r="K6887" s="4" t="s">
        <v>10401</v>
      </c>
      <c r="L6887" s="4" t="s">
        <v>10401</v>
      </c>
    </row>
    <row r="6888">
      <c r="A6888" s="4">
        <v>116.0</v>
      </c>
      <c r="B6888" s="4" t="s">
        <v>15610</v>
      </c>
      <c r="C6888" s="4"/>
      <c r="D6888" s="4" t="s">
        <v>16205</v>
      </c>
      <c r="E6888" s="4" t="s">
        <v>16206</v>
      </c>
      <c r="F6888" s="4" t="s">
        <v>16205</v>
      </c>
      <c r="G6888" s="5" t="str">
        <f>IFERROR(__xludf.DUMMYFUNCTION("GOOGLETRANSLATE(D6888,""id"",""es"")"),"Pask")</f>
        <v>Pask</v>
      </c>
    </row>
    <row r="6889">
      <c r="A6889" s="4">
        <v>117.0</v>
      </c>
      <c r="B6889" s="4" t="s">
        <v>15610</v>
      </c>
      <c r="C6889" s="4"/>
      <c r="D6889" s="4" t="s">
        <v>16207</v>
      </c>
      <c r="E6889" s="4" t="s">
        <v>16208</v>
      </c>
      <c r="F6889" s="4" t="s">
        <v>16207</v>
      </c>
      <c r="G6889" s="5" t="str">
        <f>IFERROR(__xludf.DUMMYFUNCTION("GOOGLETRANSLATE(D6889,""id"",""es"")"),"bandera")</f>
        <v>bandera</v>
      </c>
    </row>
    <row r="6890">
      <c r="A6890" s="4">
        <v>118.0</v>
      </c>
      <c r="B6890" s="4" t="s">
        <v>15610</v>
      </c>
      <c r="C6890" s="4"/>
      <c r="D6890" s="4" t="s">
        <v>3442</v>
      </c>
      <c r="E6890" s="4" t="s">
        <v>3443</v>
      </c>
      <c r="F6890" s="4" t="s">
        <v>3442</v>
      </c>
      <c r="G6890" s="5" t="str">
        <f>IFERROR(__xludf.DUMMYFUNCTION("GOOGLETRANSLATE(D6890,""id"",""es"")"),"almidón")</f>
        <v>almidón</v>
      </c>
      <c r="H6890" s="4" t="s">
        <v>7263</v>
      </c>
      <c r="I6890" s="4" t="s">
        <v>5326</v>
      </c>
      <c r="J6890" s="4" t="s">
        <v>7264</v>
      </c>
      <c r="K6890" s="4" t="s">
        <v>4621</v>
      </c>
      <c r="L6890" s="4" t="s">
        <v>4622</v>
      </c>
      <c r="M6890" s="4" t="s">
        <v>7265</v>
      </c>
      <c r="N6890" s="4" t="s">
        <v>7266</v>
      </c>
      <c r="O6890" s="4" t="s">
        <v>4624</v>
      </c>
      <c r="P6890" s="4" t="s">
        <v>7267</v>
      </c>
      <c r="Q6890" s="4" t="s">
        <v>7268</v>
      </c>
      <c r="R6890" s="4" t="s">
        <v>7269</v>
      </c>
      <c r="S6890" s="4" t="s">
        <v>7270</v>
      </c>
      <c r="T6890" s="4" t="s">
        <v>7271</v>
      </c>
      <c r="U6890" s="4" t="s">
        <v>7261</v>
      </c>
      <c r="V6890" s="4" t="s">
        <v>4123</v>
      </c>
      <c r="W6890" s="4" t="s">
        <v>7272</v>
      </c>
      <c r="X6890" s="4" t="s">
        <v>16209</v>
      </c>
      <c r="Y6890" s="4" t="s">
        <v>16210</v>
      </c>
      <c r="Z6890" s="4" t="s">
        <v>7316</v>
      </c>
      <c r="AA6890" s="4" t="s">
        <v>7177</v>
      </c>
      <c r="AB6890" s="4" t="s">
        <v>15722</v>
      </c>
      <c r="AC6890" s="4" t="s">
        <v>7265</v>
      </c>
      <c r="AD6890" s="4" t="s">
        <v>16211</v>
      </c>
      <c r="AE6890" s="4" t="s">
        <v>7264</v>
      </c>
      <c r="AF6890" s="4" t="s">
        <v>7266</v>
      </c>
      <c r="AG6890" s="4" t="s">
        <v>16212</v>
      </c>
      <c r="AH6890" s="4" t="s">
        <v>16213</v>
      </c>
      <c r="AI6890" s="4" t="s">
        <v>7316</v>
      </c>
      <c r="AJ6890" s="4" t="s">
        <v>16214</v>
      </c>
      <c r="AK6890" s="4" t="s">
        <v>7265</v>
      </c>
    </row>
    <row r="6891">
      <c r="A6891" s="4">
        <v>119.0</v>
      </c>
      <c r="B6891" s="4" t="s">
        <v>15610</v>
      </c>
      <c r="C6891" s="4"/>
      <c r="D6891" s="4" t="s">
        <v>7199</v>
      </c>
      <c r="E6891" s="4" t="s">
        <v>7198</v>
      </c>
      <c r="F6891" s="4" t="s">
        <v>7199</v>
      </c>
      <c r="G6891" s="5" t="str">
        <f>IFERROR(__xludf.DUMMYFUNCTION("GOOGLETRANSLATE(D6891,""id"",""es"")"),"píldora")</f>
        <v>píldora</v>
      </c>
      <c r="H6891" s="4" t="s">
        <v>7197</v>
      </c>
      <c r="I6891" s="4" t="s">
        <v>7200</v>
      </c>
      <c r="J6891" s="4" t="s">
        <v>7201</v>
      </c>
      <c r="K6891" s="4" t="s">
        <v>7202</v>
      </c>
      <c r="L6891" s="4" t="s">
        <v>7197</v>
      </c>
      <c r="M6891" s="4" t="s">
        <v>7197</v>
      </c>
      <c r="N6891" s="4" t="s">
        <v>7203</v>
      </c>
      <c r="O6891" s="4" t="s">
        <v>7204</v>
      </c>
      <c r="P6891" s="4" t="s">
        <v>7205</v>
      </c>
      <c r="Q6891" s="4" t="s">
        <v>7206</v>
      </c>
      <c r="R6891" s="4" t="s">
        <v>7207</v>
      </c>
      <c r="S6891" s="4" t="s">
        <v>7208</v>
      </c>
    </row>
    <row r="6892">
      <c r="A6892" s="4">
        <v>120.0</v>
      </c>
      <c r="B6892" s="4" t="s">
        <v>15610</v>
      </c>
      <c r="C6892" s="4"/>
      <c r="D6892" s="4" t="s">
        <v>16215</v>
      </c>
      <c r="E6892" s="4" t="s">
        <v>16216</v>
      </c>
      <c r="F6892" s="4" t="s">
        <v>16215</v>
      </c>
      <c r="G6892" s="5" t="str">
        <f>IFERROR(__xludf.DUMMYFUNCTION("GOOGLETRANSLATE(D6892,""id"",""es"")"),"elección")</f>
        <v>elección</v>
      </c>
      <c r="H6892" s="4" t="s">
        <v>7176</v>
      </c>
      <c r="I6892" s="4" t="s">
        <v>7177</v>
      </c>
      <c r="J6892" s="4" t="s">
        <v>7184</v>
      </c>
      <c r="K6892" s="4" t="s">
        <v>3459</v>
      </c>
      <c r="L6892" s="4" t="s">
        <v>16217</v>
      </c>
      <c r="M6892" s="4" t="s">
        <v>16218</v>
      </c>
      <c r="N6892" s="4" t="s">
        <v>16219</v>
      </c>
      <c r="O6892" s="4" t="s">
        <v>16220</v>
      </c>
      <c r="P6892" s="4" t="s">
        <v>7176</v>
      </c>
      <c r="Q6892" s="4" t="s">
        <v>13294</v>
      </c>
      <c r="R6892" s="4" t="s">
        <v>16221</v>
      </c>
      <c r="S6892" s="4" t="s">
        <v>16222</v>
      </c>
      <c r="T6892" s="4" t="s">
        <v>7915</v>
      </c>
      <c r="U6892" s="4" t="s">
        <v>7176</v>
      </c>
      <c r="V6892" s="4" t="s">
        <v>3459</v>
      </c>
      <c r="W6892" s="4" t="s">
        <v>7177</v>
      </c>
      <c r="X6892" s="4" t="s">
        <v>7184</v>
      </c>
      <c r="Y6892" s="4" t="s">
        <v>16223</v>
      </c>
      <c r="Z6892" s="4" t="s">
        <v>7176</v>
      </c>
      <c r="AA6892" s="4" t="s">
        <v>16224</v>
      </c>
      <c r="AB6892" s="4" t="s">
        <v>16225</v>
      </c>
      <c r="AC6892" s="4" t="s">
        <v>16226</v>
      </c>
      <c r="AD6892" s="4" t="s">
        <v>7177</v>
      </c>
      <c r="AE6892" s="4" t="s">
        <v>16224</v>
      </c>
      <c r="AF6892" s="4" t="s">
        <v>7184</v>
      </c>
      <c r="AG6892" s="4" t="s">
        <v>16227</v>
      </c>
    </row>
    <row r="6893">
      <c r="A6893" s="4">
        <v>121.0</v>
      </c>
      <c r="B6893" s="4" t="s">
        <v>15610</v>
      </c>
      <c r="C6893" s="4"/>
      <c r="D6893" s="4" t="s">
        <v>3170</v>
      </c>
      <c r="E6893" s="4" t="s">
        <v>7156</v>
      </c>
      <c r="F6893" s="4" t="s">
        <v>3170</v>
      </c>
      <c r="G6893" s="5" t="str">
        <f>IFERROR(__xludf.DUMMYFUNCTION("GOOGLETRANSLATE(D6893,""id"",""es"")"),"alfiler")</f>
        <v>alfiler</v>
      </c>
      <c r="H6893" s="4" t="s">
        <v>7218</v>
      </c>
      <c r="I6893" s="4" t="s">
        <v>3170</v>
      </c>
      <c r="J6893" s="4" t="s">
        <v>3170</v>
      </c>
      <c r="K6893" s="4" t="s">
        <v>3170</v>
      </c>
      <c r="L6893" s="4" t="s">
        <v>7209</v>
      </c>
      <c r="M6893" s="4" t="s">
        <v>7210</v>
      </c>
      <c r="N6893" s="4" t="s">
        <v>7211</v>
      </c>
    </row>
    <row r="6894">
      <c r="A6894" s="4">
        <v>122.0</v>
      </c>
      <c r="B6894" s="4" t="s">
        <v>15610</v>
      </c>
      <c r="C6894" s="4"/>
      <c r="D6894" s="4" t="s">
        <v>3553</v>
      </c>
      <c r="E6894" s="4" t="s">
        <v>3554</v>
      </c>
      <c r="F6894" s="4" t="s">
        <v>3553</v>
      </c>
      <c r="G6894" s="5" t="str">
        <f>IFERROR(__xludf.DUMMYFUNCTION("GOOGLETRANSLATE(D6894,""id"",""es"")"),"tubo")</f>
        <v>tubo</v>
      </c>
      <c r="H6894" s="4" t="s">
        <v>16228</v>
      </c>
      <c r="I6894" s="4" t="s">
        <v>16229</v>
      </c>
      <c r="J6894" s="4" t="s">
        <v>3555</v>
      </c>
      <c r="K6894" s="4" t="s">
        <v>13376</v>
      </c>
      <c r="L6894" s="4" t="s">
        <v>13377</v>
      </c>
      <c r="M6894" s="4" t="s">
        <v>3555</v>
      </c>
      <c r="N6894" s="4" t="s">
        <v>3556</v>
      </c>
      <c r="O6894" s="4" t="s">
        <v>3555</v>
      </c>
      <c r="P6894" s="4" t="s">
        <v>4562</v>
      </c>
      <c r="Q6894" s="4" t="s">
        <v>4564</v>
      </c>
    </row>
    <row r="6895">
      <c r="A6895" s="4">
        <v>123.0</v>
      </c>
      <c r="B6895" s="4" t="s">
        <v>15610</v>
      </c>
      <c r="C6895" s="4"/>
      <c r="D6895" s="4" t="s">
        <v>7296</v>
      </c>
      <c r="E6895" s="4" t="s">
        <v>7295</v>
      </c>
      <c r="F6895" s="4" t="s">
        <v>7296</v>
      </c>
      <c r="G6895" s="5" t="str">
        <f>IFERROR(__xludf.DUMMYFUNCTION("GOOGLETRANSLATE(D6895,""id"",""es"")"),"Pis")</f>
        <v>Pis</v>
      </c>
    </row>
    <row r="6896">
      <c r="A6896" s="4">
        <v>124.0</v>
      </c>
      <c r="B6896" s="4" t="s">
        <v>15610</v>
      </c>
      <c r="C6896" s="4"/>
      <c r="D6896" s="4" t="s">
        <v>3703</v>
      </c>
      <c r="E6896" s="4" t="s">
        <v>16230</v>
      </c>
      <c r="F6896" s="4" t="s">
        <v>3703</v>
      </c>
      <c r="G6896" s="5" t="str">
        <f>IFERROR(__xludf.DUMMYFUNCTION("GOOGLETRANSLATE(D6896,""id"",""es"")"),"incluso")</f>
        <v>incluso</v>
      </c>
      <c r="H6896" s="4" t="s">
        <v>15218</v>
      </c>
      <c r="I6896" s="4" t="s">
        <v>8855</v>
      </c>
      <c r="J6896" s="4" t="s">
        <v>16231</v>
      </c>
    </row>
    <row r="6897">
      <c r="A6897" s="4">
        <v>125.0</v>
      </c>
      <c r="B6897" s="4" t="s">
        <v>15610</v>
      </c>
      <c r="C6897" s="4"/>
      <c r="D6897" s="4" t="s">
        <v>16232</v>
      </c>
      <c r="E6897" s="4" t="s">
        <v>16233</v>
      </c>
      <c r="F6897" s="4" t="s">
        <v>16232</v>
      </c>
      <c r="G6897" s="5" t="str">
        <f>IFERROR(__xludf.DUMMYFUNCTION("GOOGLETRANSLATE(D6897,""id"",""es"")"),"crisálida")</f>
        <v>crisálida</v>
      </c>
      <c r="H6897" s="4" t="s">
        <v>16232</v>
      </c>
    </row>
    <row r="6898">
      <c r="A6898" s="4">
        <v>126.0</v>
      </c>
      <c r="B6898" s="4" t="s">
        <v>15610</v>
      </c>
      <c r="C6898" s="4"/>
      <c r="D6898" s="4" t="s">
        <v>3786</v>
      </c>
      <c r="E6898" s="4" t="s">
        <v>3785</v>
      </c>
      <c r="F6898" s="4" t="s">
        <v>3786</v>
      </c>
      <c r="G6898" s="5" t="str">
        <f>IFERROR(__xludf.DUMMYFUNCTION("GOOGLETRANSLATE(D6898,""id"",""es"")"),"Pusa")</f>
        <v>Pusa</v>
      </c>
    </row>
    <row r="6899">
      <c r="A6899" s="4">
        <v>127.0</v>
      </c>
      <c r="B6899" s="4" t="s">
        <v>15610</v>
      </c>
      <c r="C6899" s="4"/>
      <c r="D6899" s="4" t="s">
        <v>16234</v>
      </c>
      <c r="E6899" s="4" t="s">
        <v>16235</v>
      </c>
      <c r="F6899" s="4" t="s">
        <v>16234</v>
      </c>
      <c r="G6899" s="5" t="str">
        <f>IFERROR(__xludf.DUMMYFUNCTION("GOOGLETRANSLATE(D6899,""id"",""es"")"),"Herencia")</f>
        <v>Herencia</v>
      </c>
      <c r="H6899" s="4" t="s">
        <v>16236</v>
      </c>
      <c r="I6899" s="4" t="s">
        <v>16237</v>
      </c>
      <c r="J6899" s="4" t="s">
        <v>16238</v>
      </c>
      <c r="K6899" s="4" t="s">
        <v>16239</v>
      </c>
      <c r="L6899" s="4" t="s">
        <v>16240</v>
      </c>
      <c r="M6899" s="4" t="s">
        <v>16241</v>
      </c>
      <c r="N6899" s="4" t="s">
        <v>16236</v>
      </c>
      <c r="O6899" s="4" t="s">
        <v>16237</v>
      </c>
      <c r="P6899" s="4" t="s">
        <v>16236</v>
      </c>
      <c r="Q6899" s="4" t="s">
        <v>16242</v>
      </c>
      <c r="R6899" s="4" t="s">
        <v>16237</v>
      </c>
      <c r="S6899" s="4" t="s">
        <v>11396</v>
      </c>
      <c r="T6899" s="4" t="s">
        <v>16236</v>
      </c>
      <c r="U6899" s="4" t="s">
        <v>16237</v>
      </c>
      <c r="V6899" s="4" t="s">
        <v>16243</v>
      </c>
      <c r="W6899" s="4" t="s">
        <v>16244</v>
      </c>
      <c r="X6899" s="4" t="s">
        <v>16245</v>
      </c>
    </row>
    <row r="6900">
      <c r="A6900" s="4">
        <v>128.0</v>
      </c>
      <c r="B6900" s="4" t="s">
        <v>15610</v>
      </c>
      <c r="C6900" s="4"/>
      <c r="D6900" s="4" t="s">
        <v>11051</v>
      </c>
      <c r="E6900" s="4" t="s">
        <v>11052</v>
      </c>
      <c r="F6900" s="4" t="s">
        <v>11051</v>
      </c>
      <c r="G6900" s="5" t="str">
        <f>IFERROR(__xludf.DUMMYFUNCTION("GOOGLETRANSLATE(D6900,""id"",""es"")"),"Putu")</f>
        <v>Putu</v>
      </c>
    </row>
    <row r="6901">
      <c r="A6901" s="4">
        <v>129.0</v>
      </c>
      <c r="B6901" s="4" t="s">
        <v>15610</v>
      </c>
      <c r="C6901" s="4"/>
      <c r="D6901" s="4" t="s">
        <v>16246</v>
      </c>
      <c r="E6901" s="4" t="s">
        <v>16247</v>
      </c>
      <c r="F6901" s="4" t="s">
        <v>16246</v>
      </c>
      <c r="G6901" s="5" t="str">
        <f>IFERROR(__xludf.DUMMYFUNCTION("GOOGLETRANSLATE(D6901,""id"",""es"")"),"Cuota")</f>
        <v>Cuota</v>
      </c>
      <c r="H6901" s="4" t="s">
        <v>16248</v>
      </c>
      <c r="I6901" s="4" t="s">
        <v>10894</v>
      </c>
      <c r="J6901" s="4" t="s">
        <v>16249</v>
      </c>
      <c r="K6901" s="4" t="s">
        <v>16250</v>
      </c>
      <c r="L6901" s="4" t="s">
        <v>1742</v>
      </c>
      <c r="M6901" s="4" t="s">
        <v>16251</v>
      </c>
      <c r="N6901" s="4" t="s">
        <v>11395</v>
      </c>
      <c r="O6901" s="4" t="s">
        <v>16252</v>
      </c>
      <c r="P6901" s="4" t="s">
        <v>16253</v>
      </c>
      <c r="Q6901" s="4" t="s">
        <v>16249</v>
      </c>
      <c r="R6901" s="4" t="s">
        <v>16254</v>
      </c>
      <c r="S6901" s="4" t="s">
        <v>10894</v>
      </c>
      <c r="T6901" s="4" t="s">
        <v>16255</v>
      </c>
      <c r="U6901" s="4" t="s">
        <v>1633</v>
      </c>
      <c r="V6901" s="4" t="s">
        <v>16249</v>
      </c>
    </row>
    <row r="6902">
      <c r="A6902" s="4">
        <v>130.0</v>
      </c>
      <c r="B6902" s="4" t="s">
        <v>15610</v>
      </c>
      <c r="C6902" s="4"/>
      <c r="D6902" s="4" t="s">
        <v>3868</v>
      </c>
      <c r="E6902" s="4" t="s">
        <v>3867</v>
      </c>
      <c r="F6902" s="4" t="s">
        <v>3868</v>
      </c>
      <c r="G6902" s="5" t="str">
        <f>IFERROR(__xludf.DUMMYFUNCTION("GOOGLETRANSLATE(D6902,""id"",""es"")"),"Sak")</f>
        <v>Sak</v>
      </c>
    </row>
    <row r="6903">
      <c r="A6903" s="4">
        <v>131.0</v>
      </c>
      <c r="B6903" s="4" t="s">
        <v>15610</v>
      </c>
      <c r="C6903" s="4"/>
      <c r="D6903" s="4" t="s">
        <v>3881</v>
      </c>
      <c r="E6903" s="4" t="s">
        <v>3880</v>
      </c>
      <c r="F6903" s="4" t="s">
        <v>3881</v>
      </c>
      <c r="G6903" s="5" t="str">
        <f>IFERROR(__xludf.DUMMYFUNCTION("GOOGLETRANSLATE(D6903,""id"",""es"")"),"Saka")</f>
        <v>Saka</v>
      </c>
      <c r="H6903" s="4" t="s">
        <v>15363</v>
      </c>
      <c r="I6903" s="4" t="s">
        <v>15363</v>
      </c>
    </row>
    <row r="6904">
      <c r="A6904" s="4">
        <v>132.0</v>
      </c>
      <c r="B6904" s="4" t="s">
        <v>15610</v>
      </c>
      <c r="C6904" s="4"/>
      <c r="D6904" s="4" t="s">
        <v>3955</v>
      </c>
      <c r="E6904" s="4" t="s">
        <v>3954</v>
      </c>
      <c r="F6904" s="4" t="s">
        <v>3955</v>
      </c>
      <c r="G6904" s="5" t="str">
        <f>IFERROR(__xludf.DUMMYFUNCTION("GOOGLETRANSLATE(D6904,""id"",""es"")"),"Saki")</f>
        <v>Saki</v>
      </c>
      <c r="H6904" s="4" t="s">
        <v>13698</v>
      </c>
      <c r="I6904" s="4" t="s">
        <v>3955</v>
      </c>
      <c r="J6904" s="4" t="s">
        <v>16256</v>
      </c>
      <c r="K6904" s="4" t="s">
        <v>602</v>
      </c>
      <c r="L6904" s="4" t="s">
        <v>16257</v>
      </c>
      <c r="M6904" s="4" t="s">
        <v>16258</v>
      </c>
      <c r="N6904" s="4" t="s">
        <v>16259</v>
      </c>
      <c r="O6904" s="4" t="s">
        <v>16260</v>
      </c>
    </row>
    <row r="6905">
      <c r="A6905" s="4">
        <v>133.0</v>
      </c>
      <c r="B6905" s="4" t="s">
        <v>15610</v>
      </c>
      <c r="C6905" s="4"/>
      <c r="D6905" s="4" t="s">
        <v>11075</v>
      </c>
      <c r="E6905" s="4" t="s">
        <v>16261</v>
      </c>
      <c r="F6905" s="4" t="s">
        <v>11075</v>
      </c>
      <c r="G6905" s="5" t="str">
        <f>IFERROR(__xludf.DUMMYFUNCTION("GOOGLETRANSLATE(D6905,""id"",""es"")"),"bolsillo")</f>
        <v>bolsillo</v>
      </c>
      <c r="H6905" s="4" t="s">
        <v>7362</v>
      </c>
      <c r="I6905" s="4" t="s">
        <v>3869</v>
      </c>
      <c r="J6905" s="4" t="s">
        <v>7362</v>
      </c>
      <c r="K6905" s="4" t="s">
        <v>7361</v>
      </c>
      <c r="L6905" s="4" t="s">
        <v>7362</v>
      </c>
      <c r="M6905" s="4" t="s">
        <v>7361</v>
      </c>
      <c r="N6905" s="4" t="s">
        <v>3866</v>
      </c>
      <c r="O6905" s="4" t="s">
        <v>1785</v>
      </c>
      <c r="P6905" s="4" t="s">
        <v>7362</v>
      </c>
    </row>
    <row r="6906">
      <c r="A6906" s="4">
        <v>134.0</v>
      </c>
      <c r="B6906" s="4" t="s">
        <v>15610</v>
      </c>
      <c r="C6906" s="4"/>
      <c r="D6906" s="4" t="s">
        <v>16262</v>
      </c>
      <c r="E6906" s="4" t="s">
        <v>16263</v>
      </c>
      <c r="F6906" s="4" t="s">
        <v>16264</v>
      </c>
      <c r="G6906" s="5" t="str">
        <f>IFERROR(__xludf.DUMMYFUNCTION("GOOGLETRANSLATE(D6906,""id"",""es"")"),"cruz")</f>
        <v>cruz</v>
      </c>
      <c r="H6906" s="4" t="s">
        <v>16265</v>
      </c>
      <c r="I6906" s="4" t="s">
        <v>16266</v>
      </c>
      <c r="J6906" s="4" t="s">
        <v>16267</v>
      </c>
      <c r="K6906" s="4" t="s">
        <v>16268</v>
      </c>
      <c r="L6906" s="4" t="s">
        <v>16269</v>
      </c>
      <c r="M6906" s="4" t="s">
        <v>16270</v>
      </c>
    </row>
    <row r="6907">
      <c r="A6907" s="4">
        <v>135.0</v>
      </c>
      <c r="B6907" s="4" t="s">
        <v>15610</v>
      </c>
      <c r="C6907" s="4"/>
      <c r="D6907" s="4" t="s">
        <v>16264</v>
      </c>
      <c r="E6907" s="4" t="s">
        <v>16263</v>
      </c>
      <c r="F6907" s="4" t="s">
        <v>16264</v>
      </c>
      <c r="G6907" s="5" t="str">
        <f>IFERROR(__xludf.DUMMYFUNCTION("GOOGLETRANSLATE(D6907,""id"",""es"")"),"Salpón")</f>
        <v>Salpón</v>
      </c>
    </row>
    <row r="6908">
      <c r="A6908" s="4">
        <v>136.0</v>
      </c>
      <c r="B6908" s="4" t="s">
        <v>15610</v>
      </c>
      <c r="C6908" s="4"/>
      <c r="D6908" s="4" t="s">
        <v>7437</v>
      </c>
      <c r="E6908" s="4" t="s">
        <v>7436</v>
      </c>
      <c r="F6908" s="4" t="s">
        <v>7437</v>
      </c>
      <c r="G6908" s="5" t="str">
        <f>IFERROR(__xludf.DUMMYFUNCTION("GOOGLETRANSLATE(D6908,""id"",""es"")"),"Sasi")</f>
        <v>Sasi</v>
      </c>
    </row>
    <row r="6909">
      <c r="A6909" s="4">
        <v>137.0</v>
      </c>
      <c r="B6909" s="4" t="s">
        <v>15610</v>
      </c>
      <c r="C6909" s="4"/>
      <c r="D6909" s="4" t="s">
        <v>16271</v>
      </c>
      <c r="E6909" s="4" t="s">
        <v>16272</v>
      </c>
      <c r="F6909" s="4" t="s">
        <v>16271</v>
      </c>
      <c r="G6909" s="5" t="str">
        <f>IFERROR(__xludf.DUMMYFUNCTION("GOOGLETRANSLATE(D6909,""id"",""es"")"),"chasis")</f>
        <v>chasis</v>
      </c>
    </row>
    <row r="6910">
      <c r="A6910" s="4">
        <v>138.0</v>
      </c>
      <c r="B6910" s="4" t="s">
        <v>15610</v>
      </c>
      <c r="C6910" s="4"/>
      <c r="D6910" s="4" t="s">
        <v>16273</v>
      </c>
      <c r="E6910" s="4" t="s">
        <v>16274</v>
      </c>
      <c r="F6910" s="4" t="s">
        <v>7428</v>
      </c>
      <c r="G6910" s="5" t="str">
        <f>IFERROR(__xludf.DUMMYFUNCTION("GOOGLETRANSLATE(D6910,""id"",""es"")"),"Sasyimi")</f>
        <v>Sasyimi</v>
      </c>
    </row>
    <row r="6911">
      <c r="A6911" s="4">
        <v>139.0</v>
      </c>
      <c r="B6911" s="4" t="s">
        <v>15610</v>
      </c>
      <c r="C6911" s="4"/>
      <c r="D6911" s="4" t="s">
        <v>16275</v>
      </c>
      <c r="E6911" s="4" t="s">
        <v>16276</v>
      </c>
      <c r="F6911" s="4" t="s">
        <v>16275</v>
      </c>
      <c r="G6911" s="5" t="str">
        <f>IFERROR(__xludf.DUMMYFUNCTION("GOOGLETRANSLATE(D6911,""id"",""es"")"),"silo")</f>
        <v>silo</v>
      </c>
      <c r="H6911" s="4" t="s">
        <v>16277</v>
      </c>
    </row>
    <row r="6912">
      <c r="A6912" s="4">
        <v>140.0</v>
      </c>
      <c r="B6912" s="4" t="s">
        <v>15610</v>
      </c>
      <c r="C6912" s="4"/>
      <c r="D6912" s="4" t="s">
        <v>409</v>
      </c>
      <c r="E6912" s="4" t="s">
        <v>408</v>
      </c>
      <c r="F6912" s="4" t="s">
        <v>409</v>
      </c>
      <c r="G6912" s="5" t="str">
        <f>IFERROR(__xludf.DUMMYFUNCTION("GOOGLETRANSLATE(D6912,""id"",""es"")"),"seno")</f>
        <v>seno</v>
      </c>
      <c r="H6912" s="4" t="s">
        <v>409</v>
      </c>
      <c r="I6912" s="4" t="s">
        <v>16278</v>
      </c>
      <c r="J6912" s="4" t="s">
        <v>16279</v>
      </c>
      <c r="K6912" s="4" t="s">
        <v>4003</v>
      </c>
      <c r="L6912" s="4" t="s">
        <v>404</v>
      </c>
    </row>
    <row r="6913">
      <c r="A6913" s="4">
        <v>141.0</v>
      </c>
      <c r="B6913" s="4" t="s">
        <v>15610</v>
      </c>
      <c r="C6913" s="4"/>
      <c r="D6913" s="4" t="s">
        <v>16280</v>
      </c>
      <c r="E6913" s="4" t="s">
        <v>13646</v>
      </c>
      <c r="F6913" s="4" t="s">
        <v>13647</v>
      </c>
      <c r="G6913" s="5" t="str">
        <f>IFERROR(__xludf.DUMMYFUNCTION("GOOGLETRANSLATE(D6913,""id"",""es"")"),"señal")</f>
        <v>señal</v>
      </c>
      <c r="H6913" s="4" t="s">
        <v>13645</v>
      </c>
    </row>
    <row r="6914">
      <c r="A6914" s="4">
        <v>142.0</v>
      </c>
      <c r="B6914" s="4" t="s">
        <v>15610</v>
      </c>
      <c r="C6914" s="4"/>
      <c r="D6914" s="4" t="s">
        <v>7626</v>
      </c>
      <c r="E6914" s="4" t="s">
        <v>7627</v>
      </c>
      <c r="F6914" s="4" t="s">
        <v>7626</v>
      </c>
      <c r="G6914" s="5" t="str">
        <f>IFERROR(__xludf.DUMMYFUNCTION("GOOGLETRANSLATE(D6914,""id"",""es"")"),"OK")</f>
        <v>OK</v>
      </c>
    </row>
    <row r="6915">
      <c r="A6915" s="4">
        <v>143.0</v>
      </c>
      <c r="B6915" s="4" t="s">
        <v>15610</v>
      </c>
      <c r="C6915" s="4"/>
      <c r="D6915" s="4" t="s">
        <v>16281</v>
      </c>
      <c r="E6915" s="4" t="s">
        <v>16282</v>
      </c>
      <c r="F6915" s="4" t="s">
        <v>16281</v>
      </c>
      <c r="G6915" s="5" t="str">
        <f>IFERROR(__xludf.DUMMYFUNCTION("GOOGLETRANSLATE(D6915,""id"",""es"")"),"sipahi")</f>
        <v>sipahi</v>
      </c>
    </row>
    <row r="6916">
      <c r="A6916" s="4">
        <v>144.0</v>
      </c>
      <c r="B6916" s="4" t="s">
        <v>15610</v>
      </c>
      <c r="C6916" s="4"/>
      <c r="D6916" s="4" t="s">
        <v>16283</v>
      </c>
      <c r="E6916" s="4" t="s">
        <v>16284</v>
      </c>
      <c r="F6916" s="4" t="s">
        <v>16283</v>
      </c>
      <c r="G6916" s="5" t="str">
        <f>IFERROR(__xludf.DUMMYFUNCTION("GOOGLETRANSLATE(D6916,""id"",""es"")"),"resto")</f>
        <v>resto</v>
      </c>
      <c r="H6916" s="4" t="s">
        <v>16285</v>
      </c>
      <c r="I6916" s="4" t="s">
        <v>16286</v>
      </c>
      <c r="J6916" s="4" t="s">
        <v>16287</v>
      </c>
      <c r="K6916" s="4" t="s">
        <v>16288</v>
      </c>
      <c r="L6916" s="4" t="s">
        <v>16289</v>
      </c>
      <c r="M6916" s="4" t="s">
        <v>16290</v>
      </c>
      <c r="N6916" s="4" t="s">
        <v>16291</v>
      </c>
      <c r="O6916" s="4" t="s">
        <v>16292</v>
      </c>
      <c r="P6916" s="4" t="s">
        <v>950</v>
      </c>
      <c r="Q6916" s="4" t="s">
        <v>16293</v>
      </c>
      <c r="R6916" s="4" t="s">
        <v>16294</v>
      </c>
      <c r="S6916" s="4" t="s">
        <v>16295</v>
      </c>
      <c r="T6916" s="4" t="s">
        <v>3713</v>
      </c>
      <c r="U6916" s="4" t="s">
        <v>16296</v>
      </c>
      <c r="V6916" s="4" t="s">
        <v>16297</v>
      </c>
      <c r="W6916" s="4" t="s">
        <v>16298</v>
      </c>
      <c r="X6916" s="4" t="s">
        <v>16299</v>
      </c>
      <c r="Y6916" s="4" t="s">
        <v>16300</v>
      </c>
      <c r="Z6916" s="4" t="s">
        <v>16293</v>
      </c>
      <c r="AA6916" s="4" t="s">
        <v>16301</v>
      </c>
      <c r="AB6916" s="4" t="s">
        <v>16291</v>
      </c>
      <c r="AC6916" s="4" t="s">
        <v>5175</v>
      </c>
      <c r="AD6916" s="4" t="s">
        <v>16302</v>
      </c>
      <c r="AE6916" s="4" t="s">
        <v>11459</v>
      </c>
      <c r="AF6916" s="4" t="s">
        <v>16285</v>
      </c>
      <c r="AG6916" s="4" t="s">
        <v>16294</v>
      </c>
      <c r="AH6916" s="4" t="s">
        <v>5175</v>
      </c>
    </row>
    <row r="6917">
      <c r="A6917" s="4">
        <v>145.0</v>
      </c>
      <c r="B6917" s="4" t="s">
        <v>15610</v>
      </c>
      <c r="C6917" s="4"/>
      <c r="D6917" s="4" t="s">
        <v>16303</v>
      </c>
      <c r="E6917" s="4" t="s">
        <v>16304</v>
      </c>
      <c r="F6917" s="4" t="s">
        <v>16303</v>
      </c>
      <c r="G6917" s="5" t="str">
        <f>IFERROR(__xludf.DUMMYFUNCTION("GOOGLETRANSLATE(D6917,""id"",""es"")"),"sitio")</f>
        <v>sitio</v>
      </c>
      <c r="H6917" s="4" t="s">
        <v>16305</v>
      </c>
      <c r="I6917" s="4" t="s">
        <v>16306</v>
      </c>
      <c r="J6917" s="4" t="s">
        <v>16307</v>
      </c>
      <c r="K6917" s="4" t="s">
        <v>16308</v>
      </c>
    </row>
    <row r="6918">
      <c r="A6918" s="4">
        <v>146.0</v>
      </c>
      <c r="B6918" s="4" t="s">
        <v>15610</v>
      </c>
      <c r="C6918" s="4"/>
      <c r="D6918" s="4" t="s">
        <v>11226</v>
      </c>
      <c r="E6918" s="4" t="s">
        <v>11227</v>
      </c>
      <c r="F6918" s="4" t="s">
        <v>11226</v>
      </c>
      <c r="G6918" s="5" t="str">
        <f>IFERROR(__xludf.DUMMYFUNCTION("GOOGLETRANSLATE(D6918,""id"",""es"")"),"la temperatura")</f>
        <v>la temperatura</v>
      </c>
      <c r="H6918" s="4" t="s">
        <v>16309</v>
      </c>
      <c r="I6918" s="4" t="s">
        <v>16309</v>
      </c>
      <c r="J6918" s="4" t="s">
        <v>15306</v>
      </c>
      <c r="K6918" s="4" t="s">
        <v>16310</v>
      </c>
    </row>
    <row r="6919">
      <c r="A6919" s="4">
        <v>147.0</v>
      </c>
      <c r="B6919" s="4" t="s">
        <v>15610</v>
      </c>
      <c r="C6919" s="4"/>
      <c r="D6919" s="4" t="s">
        <v>11233</v>
      </c>
      <c r="E6919" s="4" t="s">
        <v>11234</v>
      </c>
      <c r="F6919" s="4" t="s">
        <v>11233</v>
      </c>
      <c r="G6919" s="5" t="str">
        <f>IFERROR(__xludf.DUMMYFUNCTION("GOOGLETRANSLATE(D6919,""id"",""es"")"),"grupo étnico")</f>
        <v>grupo étnico</v>
      </c>
      <c r="H6919" s="4" t="s">
        <v>16311</v>
      </c>
      <c r="I6919" s="4" t="s">
        <v>1617</v>
      </c>
      <c r="J6919" s="4" t="s">
        <v>13450</v>
      </c>
      <c r="K6919" s="4" t="s">
        <v>13451</v>
      </c>
      <c r="L6919" s="4" t="s">
        <v>6996</v>
      </c>
      <c r="M6919" s="4" t="s">
        <v>1619</v>
      </c>
      <c r="N6919" s="4" t="s">
        <v>3817</v>
      </c>
      <c r="O6919" s="4" t="s">
        <v>6438</v>
      </c>
      <c r="P6919" s="4" t="s">
        <v>6439</v>
      </c>
      <c r="Q6919" s="4" t="s">
        <v>6440</v>
      </c>
      <c r="R6919" s="4" t="s">
        <v>6441</v>
      </c>
      <c r="S6919" s="4" t="s">
        <v>6442</v>
      </c>
      <c r="T6919" s="4" t="s">
        <v>6442</v>
      </c>
      <c r="U6919" s="4" t="s">
        <v>16312</v>
      </c>
      <c r="V6919" s="4" t="s">
        <v>6442</v>
      </c>
      <c r="W6919" s="4" t="s">
        <v>11239</v>
      </c>
      <c r="X6919" s="4" t="s">
        <v>16313</v>
      </c>
      <c r="Y6919" s="4" t="s">
        <v>16314</v>
      </c>
      <c r="Z6919" s="4" t="s">
        <v>16315</v>
      </c>
      <c r="AA6919" s="4" t="s">
        <v>13451</v>
      </c>
      <c r="AB6919" s="4" t="s">
        <v>16316</v>
      </c>
      <c r="AC6919" s="4" t="s">
        <v>16317</v>
      </c>
      <c r="AD6919" s="4" t="s">
        <v>16318</v>
      </c>
    </row>
    <row r="6920">
      <c r="A6920" s="4">
        <v>148.0</v>
      </c>
      <c r="B6920" s="4" t="s">
        <v>15610</v>
      </c>
      <c r="C6920" s="4"/>
      <c r="D6920" s="4" t="s">
        <v>11283</v>
      </c>
      <c r="E6920" s="4" t="s">
        <v>16319</v>
      </c>
      <c r="F6920" s="4" t="s">
        <v>11283</v>
      </c>
      <c r="G6920" s="5" t="str">
        <f>IFERROR(__xludf.DUMMYFUNCTION("GOOGLETRANSLATE(D6920,""id"",""es"")"),"Sol")</f>
        <v>Sol</v>
      </c>
    </row>
    <row r="6921">
      <c r="A6921" s="4">
        <v>149.0</v>
      </c>
      <c r="B6921" s="4" t="s">
        <v>15610</v>
      </c>
      <c r="C6921" s="4"/>
      <c r="D6921" s="4" t="s">
        <v>16320</v>
      </c>
      <c r="E6921" s="4" t="s">
        <v>16321</v>
      </c>
      <c r="F6921" s="4" t="s">
        <v>16322</v>
      </c>
      <c r="G6921" s="5" t="str">
        <f>IFERROR(__xludf.DUMMYFUNCTION("GOOGLETRANSLATE(D6921,""id"",""es"")"),"solitaria")</f>
        <v>solitaria</v>
      </c>
      <c r="H6921" s="4" t="s">
        <v>14787</v>
      </c>
      <c r="I6921" s="4" t="s">
        <v>439</v>
      </c>
      <c r="J6921" s="4" t="s">
        <v>6319</v>
      </c>
      <c r="K6921" s="4" t="s">
        <v>8118</v>
      </c>
      <c r="L6921" s="4" t="s">
        <v>3625</v>
      </c>
      <c r="M6921" s="4" t="s">
        <v>14788</v>
      </c>
      <c r="N6921" s="4" t="s">
        <v>16323</v>
      </c>
      <c r="O6921" s="4" t="s">
        <v>16324</v>
      </c>
      <c r="P6921" s="4" t="s">
        <v>16325</v>
      </c>
      <c r="Q6921" s="4" t="s">
        <v>439</v>
      </c>
      <c r="R6921" s="4" t="s">
        <v>16326</v>
      </c>
      <c r="S6921" s="4" t="s">
        <v>16327</v>
      </c>
      <c r="T6921" s="4" t="s">
        <v>6319</v>
      </c>
      <c r="U6921" s="4" t="s">
        <v>14792</v>
      </c>
      <c r="V6921" s="4" t="s">
        <v>14793</v>
      </c>
      <c r="W6921" s="4" t="s">
        <v>14794</v>
      </c>
      <c r="X6921" s="4" t="s">
        <v>439</v>
      </c>
      <c r="Y6921" s="4" t="s">
        <v>16328</v>
      </c>
      <c r="Z6921" s="4" t="s">
        <v>16329</v>
      </c>
      <c r="AA6921" s="4" t="s">
        <v>16330</v>
      </c>
      <c r="AB6921" s="4" t="s">
        <v>16331</v>
      </c>
    </row>
    <row r="6922">
      <c r="A6922" s="4">
        <v>150.0</v>
      </c>
      <c r="B6922" s="4" t="s">
        <v>15610</v>
      </c>
      <c r="C6922" s="4"/>
      <c r="D6922" s="4" t="s">
        <v>16332</v>
      </c>
      <c r="E6922" s="4" t="s">
        <v>16333</v>
      </c>
      <c r="F6922" s="4" t="s">
        <v>16332</v>
      </c>
      <c r="G6922" s="5" t="str">
        <f>IFERROR(__xludf.DUMMYFUNCTION("GOOGLETRANSLATE(D6922,""id"",""es"")"),"moral")</f>
        <v>moral</v>
      </c>
      <c r="H6922" s="4" t="s">
        <v>16334</v>
      </c>
      <c r="I6922" s="4" t="s">
        <v>2744</v>
      </c>
      <c r="J6922" s="4" t="s">
        <v>2744</v>
      </c>
    </row>
    <row r="6923">
      <c r="A6923" s="4">
        <v>151.0</v>
      </c>
      <c r="B6923" s="4" t="s">
        <v>15610</v>
      </c>
      <c r="C6923" s="4"/>
      <c r="D6923" s="4" t="s">
        <v>16335</v>
      </c>
      <c r="E6923" s="4" t="s">
        <v>16336</v>
      </c>
      <c r="F6923" s="4" t="s">
        <v>16335</v>
      </c>
      <c r="G6923" s="5" t="str">
        <f>IFERROR(__xludf.DUMMYFUNCTION("GOOGLETRANSLATE(D6923,""id"",""es"")"),"Leche")</f>
        <v>Leche</v>
      </c>
      <c r="H6923" s="4" t="s">
        <v>5885</v>
      </c>
      <c r="I6923" s="4" t="s">
        <v>2830</v>
      </c>
      <c r="J6923" s="4" t="s">
        <v>7904</v>
      </c>
      <c r="K6923" s="4" t="s">
        <v>4759</v>
      </c>
      <c r="L6923" s="4" t="s">
        <v>7905</v>
      </c>
      <c r="M6923" s="4" t="s">
        <v>3240</v>
      </c>
      <c r="N6923" s="4" t="s">
        <v>7097</v>
      </c>
      <c r="O6923" s="4" t="s">
        <v>7902</v>
      </c>
      <c r="P6923" s="4" t="s">
        <v>16337</v>
      </c>
      <c r="Q6923" s="4" t="s">
        <v>16338</v>
      </c>
      <c r="R6923" s="4" t="s">
        <v>2830</v>
      </c>
      <c r="S6923" s="4" t="s">
        <v>2830</v>
      </c>
    </row>
    <row r="6924">
      <c r="A6924" s="4">
        <v>152.0</v>
      </c>
      <c r="B6924" s="4" t="s">
        <v>15610</v>
      </c>
      <c r="C6924" s="4"/>
      <c r="D6924" s="4" t="s">
        <v>16339</v>
      </c>
      <c r="E6924" s="4" t="s">
        <v>16340</v>
      </c>
      <c r="F6924" s="4" t="s">
        <v>16339</v>
      </c>
      <c r="G6924" s="5" t="str">
        <f>IFERROR(__xludf.DUMMYFUNCTION("GOOGLETRANSLATE(D6924,""id"",""es"")"),"continuación")</f>
        <v>continuación</v>
      </c>
      <c r="H6924" s="4" t="s">
        <v>16341</v>
      </c>
      <c r="I6924" s="4" t="s">
        <v>16342</v>
      </c>
      <c r="J6924" s="4" t="s">
        <v>16343</v>
      </c>
      <c r="K6924" s="4" t="s">
        <v>16344</v>
      </c>
      <c r="L6924" s="4" t="s">
        <v>16345</v>
      </c>
    </row>
    <row r="6925">
      <c r="A6925" s="4">
        <v>153.0</v>
      </c>
      <c r="B6925" s="4" t="s">
        <v>15610</v>
      </c>
      <c r="C6925" s="4"/>
      <c r="D6925" s="4" t="s">
        <v>16346</v>
      </c>
      <c r="E6925" s="4" t="s">
        <v>16347</v>
      </c>
      <c r="F6925" s="4" t="s">
        <v>16348</v>
      </c>
      <c r="G6925" s="5" t="str">
        <f>IFERROR(__xludf.DUMMYFUNCTION("GOOGLETRANSLATE(D6925,""id"",""es"")"),"Syala")</f>
        <v>Syala</v>
      </c>
    </row>
    <row r="6926">
      <c r="A6926" s="4">
        <v>154.0</v>
      </c>
      <c r="B6926" s="4" t="s">
        <v>15610</v>
      </c>
      <c r="C6926" s="4"/>
      <c r="D6926" s="4" t="s">
        <v>16349</v>
      </c>
      <c r="E6926" s="4" t="s">
        <v>16350</v>
      </c>
      <c r="F6926" s="4" t="s">
        <v>16349</v>
      </c>
      <c r="G6926" s="5" t="str">
        <f>IFERROR(__xludf.DUMMYFUNCTION("GOOGLETRANSLATE(D6926,""id"",""es"")"),"pararse")</f>
        <v>pararse</v>
      </c>
      <c r="H6926" s="4" t="s">
        <v>313</v>
      </c>
      <c r="I6926" s="4" t="s">
        <v>16351</v>
      </c>
      <c r="J6926" s="4" t="s">
        <v>16352</v>
      </c>
      <c r="K6926" s="4" t="s">
        <v>16353</v>
      </c>
      <c r="L6926" s="4" t="s">
        <v>877</v>
      </c>
      <c r="M6926" s="4" t="s">
        <v>16354</v>
      </c>
      <c r="N6926" s="4" t="s">
        <v>16355</v>
      </c>
      <c r="O6926" s="4" t="s">
        <v>9438</v>
      </c>
      <c r="P6926" s="4" t="s">
        <v>15684</v>
      </c>
      <c r="Q6926" s="4" t="s">
        <v>14755</v>
      </c>
      <c r="R6926" s="4" t="s">
        <v>16356</v>
      </c>
      <c r="S6926" s="4" t="s">
        <v>11451</v>
      </c>
      <c r="T6926" s="4" t="s">
        <v>16357</v>
      </c>
      <c r="U6926" s="4" t="s">
        <v>15661</v>
      </c>
      <c r="V6926" s="4" t="s">
        <v>3452</v>
      </c>
      <c r="W6926" s="4" t="s">
        <v>2996</v>
      </c>
      <c r="X6926" s="4" t="s">
        <v>3169</v>
      </c>
      <c r="Y6926" s="4" t="s">
        <v>3482</v>
      </c>
      <c r="Z6926" s="4" t="s">
        <v>16358</v>
      </c>
      <c r="AA6926" s="4" t="s">
        <v>16359</v>
      </c>
      <c r="AB6926" s="4" t="s">
        <v>14755</v>
      </c>
      <c r="AC6926" s="4" t="s">
        <v>16360</v>
      </c>
      <c r="AD6926" s="4" t="s">
        <v>16359</v>
      </c>
      <c r="AE6926" s="4" t="s">
        <v>16361</v>
      </c>
      <c r="AF6926" s="4" t="s">
        <v>16362</v>
      </c>
      <c r="AG6926" s="4" t="s">
        <v>16363</v>
      </c>
      <c r="AH6926" s="4" t="s">
        <v>16364</v>
      </c>
      <c r="AI6926" s="4" t="s">
        <v>1457</v>
      </c>
      <c r="AJ6926" s="4" t="s">
        <v>8236</v>
      </c>
      <c r="AK6926" s="4" t="s">
        <v>8237</v>
      </c>
      <c r="AL6926" s="4" t="s">
        <v>8238</v>
      </c>
      <c r="AM6926" s="4" t="s">
        <v>2678</v>
      </c>
      <c r="AN6926" s="4" t="s">
        <v>8239</v>
      </c>
      <c r="AO6926" s="4" t="s">
        <v>6296</v>
      </c>
      <c r="AP6926" s="4" t="s">
        <v>2056</v>
      </c>
      <c r="AQ6926" s="4" t="s">
        <v>16365</v>
      </c>
      <c r="AR6926" s="4" t="s">
        <v>16366</v>
      </c>
      <c r="AS6926" s="4" t="s">
        <v>16367</v>
      </c>
      <c r="AT6926" s="4" t="s">
        <v>2056</v>
      </c>
      <c r="AU6926" s="4" t="s">
        <v>2060</v>
      </c>
      <c r="AV6926" s="4" t="s">
        <v>313</v>
      </c>
      <c r="AW6926" s="4" t="s">
        <v>10373</v>
      </c>
      <c r="AX6926" s="4" t="s">
        <v>10378</v>
      </c>
      <c r="AY6926" s="4" t="s">
        <v>16368</v>
      </c>
      <c r="AZ6926" s="4" t="s">
        <v>16369</v>
      </c>
      <c r="BA6926" s="4" t="s">
        <v>10373</v>
      </c>
      <c r="BB6926" s="4" t="s">
        <v>10374</v>
      </c>
      <c r="BC6926" s="4" t="s">
        <v>10375</v>
      </c>
      <c r="BD6926" s="4" t="s">
        <v>10376</v>
      </c>
      <c r="BE6926" s="4" t="s">
        <v>10380</v>
      </c>
      <c r="BF6926" s="4" t="s">
        <v>10378</v>
      </c>
      <c r="BG6926" s="4" t="s">
        <v>16370</v>
      </c>
      <c r="BH6926" s="4" t="s">
        <v>16371</v>
      </c>
      <c r="BI6926" s="4" t="s">
        <v>16372</v>
      </c>
      <c r="BJ6926" s="4" t="s">
        <v>2056</v>
      </c>
      <c r="BK6926" s="4" t="s">
        <v>11467</v>
      </c>
      <c r="BL6926" s="4" t="s">
        <v>16373</v>
      </c>
      <c r="BM6926" s="4" t="s">
        <v>4346</v>
      </c>
      <c r="BN6926" s="4" t="s">
        <v>10814</v>
      </c>
      <c r="BO6926" s="4" t="s">
        <v>16374</v>
      </c>
      <c r="BP6926" s="4" t="s">
        <v>16375</v>
      </c>
      <c r="BQ6926" s="4" t="s">
        <v>16376</v>
      </c>
      <c r="BR6926" s="4" t="s">
        <v>16377</v>
      </c>
      <c r="BS6926" s="4" t="s">
        <v>16378</v>
      </c>
      <c r="BT6926" s="4" t="s">
        <v>16379</v>
      </c>
      <c r="BU6926" s="4" t="s">
        <v>16380</v>
      </c>
      <c r="BV6926" s="4" t="s">
        <v>16381</v>
      </c>
      <c r="BW6926" s="4" t="s">
        <v>16382</v>
      </c>
      <c r="BX6926" s="4" t="s">
        <v>16383</v>
      </c>
      <c r="BY6926" s="4" t="s">
        <v>16384</v>
      </c>
      <c r="BZ6926" s="4" t="s">
        <v>16385</v>
      </c>
      <c r="CA6926" s="4" t="s">
        <v>16386</v>
      </c>
      <c r="CB6926" s="4" t="s">
        <v>8453</v>
      </c>
      <c r="CC6926" s="4" t="s">
        <v>15433</v>
      </c>
      <c r="CD6926" s="4" t="s">
        <v>2060</v>
      </c>
      <c r="CE6926" s="4" t="s">
        <v>16352</v>
      </c>
      <c r="CF6926" s="4" t="s">
        <v>11987</v>
      </c>
      <c r="CG6926" s="4" t="s">
        <v>16387</v>
      </c>
      <c r="CH6926" s="4" t="s">
        <v>15474</v>
      </c>
      <c r="CI6926" s="4" t="s">
        <v>16388</v>
      </c>
      <c r="CJ6926" s="4" t="s">
        <v>16389</v>
      </c>
      <c r="CK6926" s="4" t="s">
        <v>5742</v>
      </c>
      <c r="CL6926" s="4" t="s">
        <v>1737</v>
      </c>
      <c r="CM6926" s="4" t="s">
        <v>2427</v>
      </c>
      <c r="CN6926" s="4" t="s">
        <v>16390</v>
      </c>
      <c r="CO6926" s="4" t="s">
        <v>16391</v>
      </c>
      <c r="CP6926" s="4" t="s">
        <v>16392</v>
      </c>
      <c r="CQ6926" s="4" t="s">
        <v>646</v>
      </c>
      <c r="CR6926" s="4" t="s">
        <v>16354</v>
      </c>
      <c r="CS6926" s="4" t="s">
        <v>4797</v>
      </c>
      <c r="CT6926" s="4" t="s">
        <v>16361</v>
      </c>
      <c r="CU6926" s="4" t="s">
        <v>16354</v>
      </c>
      <c r="CV6926" s="4" t="s">
        <v>11467</v>
      </c>
      <c r="CW6926" s="4" t="s">
        <v>16393</v>
      </c>
    </row>
    <row r="6927">
      <c r="A6927" s="4">
        <v>155.0</v>
      </c>
      <c r="B6927" s="4" t="s">
        <v>15610</v>
      </c>
      <c r="C6927" s="4"/>
      <c r="D6927" s="4" t="s">
        <v>11338</v>
      </c>
      <c r="E6927" s="4" t="s">
        <v>16394</v>
      </c>
      <c r="F6927" s="4" t="s">
        <v>11338</v>
      </c>
      <c r="G6927" s="5" t="str">
        <f>IFERROR(__xludf.DUMMYFUNCTION("GOOGLETRANSLATE(D6927,""id"",""es"")"),"Taro")</f>
        <v>Taro</v>
      </c>
      <c r="H6927" s="4" t="s">
        <v>16395</v>
      </c>
      <c r="I6927" s="4" t="s">
        <v>16396</v>
      </c>
      <c r="J6927" s="4" t="s">
        <v>16397</v>
      </c>
      <c r="K6927" s="4" t="s">
        <v>16398</v>
      </c>
      <c r="L6927" s="4" t="s">
        <v>16399</v>
      </c>
      <c r="M6927" s="4" t="s">
        <v>16395</v>
      </c>
      <c r="N6927" s="4" t="s">
        <v>16400</v>
      </c>
      <c r="O6927" s="4" t="s">
        <v>16401</v>
      </c>
      <c r="P6927" s="4" t="s">
        <v>16398</v>
      </c>
      <c r="Q6927" s="4" t="s">
        <v>16402</v>
      </c>
      <c r="R6927" s="4" t="s">
        <v>16403</v>
      </c>
      <c r="S6927" s="4" t="s">
        <v>16404</v>
      </c>
    </row>
    <row r="6928">
      <c r="A6928" s="4">
        <v>156.0</v>
      </c>
      <c r="B6928" s="4" t="s">
        <v>15610</v>
      </c>
      <c r="C6928" s="4"/>
      <c r="D6928" s="4" t="s">
        <v>16405</v>
      </c>
      <c r="E6928" s="4" t="s">
        <v>16406</v>
      </c>
      <c r="F6928" s="4" t="s">
        <v>16405</v>
      </c>
      <c r="G6928" s="5" t="str">
        <f>IFERROR(__xludf.DUMMYFUNCTION("GOOGLETRANSLATE(D6928,""id"",""es"")"),"jardín")</f>
        <v>jardín</v>
      </c>
      <c r="H6928" s="4" t="s">
        <v>16407</v>
      </c>
      <c r="I6928" s="4" t="s">
        <v>16408</v>
      </c>
      <c r="J6928" s="4" t="s">
        <v>4879</v>
      </c>
      <c r="K6928" s="4" t="s">
        <v>4879</v>
      </c>
      <c r="L6928" s="4" t="s">
        <v>4879</v>
      </c>
      <c r="M6928" s="4" t="s">
        <v>16408</v>
      </c>
      <c r="N6928" s="4" t="s">
        <v>16409</v>
      </c>
      <c r="O6928" s="4" t="s">
        <v>16408</v>
      </c>
      <c r="P6928" s="4" t="s">
        <v>16410</v>
      </c>
      <c r="Q6928" s="4" t="s">
        <v>1529</v>
      </c>
      <c r="R6928" s="4" t="s">
        <v>16411</v>
      </c>
      <c r="S6928" s="4" t="s">
        <v>16412</v>
      </c>
      <c r="T6928" s="4" t="s">
        <v>16413</v>
      </c>
      <c r="U6928" s="4" t="s">
        <v>16414</v>
      </c>
    </row>
    <row r="6929">
      <c r="A6929" s="4">
        <v>157.0</v>
      </c>
      <c r="B6929" s="4" t="s">
        <v>15610</v>
      </c>
      <c r="C6929" s="4"/>
      <c r="D6929" s="4" t="s">
        <v>16415</v>
      </c>
      <c r="E6929" s="4" t="s">
        <v>16416</v>
      </c>
      <c r="F6929" s="4" t="s">
        <v>16417</v>
      </c>
      <c r="G6929" s="5" t="str">
        <f>IFERROR(__xludf.DUMMYFUNCTION("GOOGLETRANSLATE(D6929,""id"",""es"")"),"Turismo")</f>
        <v>Turismo</v>
      </c>
    </row>
    <row r="6930">
      <c r="A6930" s="4">
        <v>158.0</v>
      </c>
      <c r="B6930" s="4" t="s">
        <v>15610</v>
      </c>
      <c r="C6930" s="4"/>
      <c r="D6930" s="4" t="s">
        <v>16418</v>
      </c>
      <c r="E6930" s="4" t="s">
        <v>16419</v>
      </c>
      <c r="F6930" s="4" t="s">
        <v>16418</v>
      </c>
      <c r="G6930" s="5" t="str">
        <f>IFERROR(__xludf.DUMMYFUNCTION("GOOGLETRANSLATE(D6930,""id"",""es"")"),"visitante")</f>
        <v>visitante</v>
      </c>
      <c r="H6930" s="4" t="s">
        <v>16420</v>
      </c>
      <c r="I6930" s="4" t="s">
        <v>16421</v>
      </c>
      <c r="J6930" s="4" t="s">
        <v>16422</v>
      </c>
      <c r="K6930" s="4" t="s">
        <v>16423</v>
      </c>
      <c r="L6930" s="4" t="s">
        <v>16420</v>
      </c>
      <c r="M6930" s="4" t="s">
        <v>16420</v>
      </c>
      <c r="N6930" s="4" t="s">
        <v>16420</v>
      </c>
      <c r="O6930" s="4" t="s">
        <v>16424</v>
      </c>
      <c r="P6930" s="4" t="s">
        <v>16420</v>
      </c>
      <c r="Q6930" s="4" t="s">
        <v>16425</v>
      </c>
      <c r="R6930" s="4" t="s">
        <v>16426</v>
      </c>
      <c r="S6930" s="4" t="s">
        <v>16425</v>
      </c>
      <c r="T6930" s="4" t="s">
        <v>16427</v>
      </c>
      <c r="U6930" s="4" t="s">
        <v>16428</v>
      </c>
    </row>
    <row r="6931">
      <c r="A6931" s="4">
        <v>159.0</v>
      </c>
      <c r="B6931" s="4" t="s">
        <v>15610</v>
      </c>
      <c r="C6931" s="4"/>
      <c r="D6931" s="4" t="s">
        <v>4318</v>
      </c>
      <c r="E6931" s="4" t="s">
        <v>4317</v>
      </c>
      <c r="F6931" s="4" t="s">
        <v>4318</v>
      </c>
      <c r="G6931" s="5" t="str">
        <f>IFERROR(__xludf.DUMMYFUNCTION("GOOGLETRANSLATE(D6931,""id"",""es"")"),"Agricultores")</f>
        <v>Agricultores</v>
      </c>
    </row>
    <row r="6932">
      <c r="A6932" s="4">
        <v>160.0</v>
      </c>
      <c r="B6932" s="4" t="s">
        <v>15610</v>
      </c>
      <c r="C6932" s="4"/>
      <c r="D6932" s="4" t="s">
        <v>16429</v>
      </c>
      <c r="E6932" s="4" t="s">
        <v>16430</v>
      </c>
      <c r="F6932" s="4" t="s">
        <v>16429</v>
      </c>
      <c r="G6932" s="5" t="str">
        <f>IFERROR(__xludf.DUMMYFUNCTION("GOOGLETRANSLATE(D6932,""id"",""es"")"),"cataplasma")</f>
        <v>cataplasma</v>
      </c>
    </row>
    <row r="6933">
      <c r="A6933" s="4">
        <v>161.0</v>
      </c>
      <c r="B6933" s="4" t="s">
        <v>15610</v>
      </c>
      <c r="C6933" s="4"/>
      <c r="D6933" s="4" t="s">
        <v>13820</v>
      </c>
      <c r="E6933" s="4" t="s">
        <v>13821</v>
      </c>
      <c r="F6933" s="4" t="s">
        <v>13820</v>
      </c>
      <c r="G6933" s="5" t="str">
        <f>IFERROR(__xludf.DUMMYFUNCTION("GOOGLETRANSLATE(D6933,""id"",""es"")"),"sistema")</f>
        <v>sistema</v>
      </c>
      <c r="H6933" s="4" t="s">
        <v>3372</v>
      </c>
      <c r="I6933" s="4" t="s">
        <v>16431</v>
      </c>
      <c r="J6933" s="4" t="s">
        <v>16226</v>
      </c>
      <c r="K6933" s="4" t="s">
        <v>2405</v>
      </c>
      <c r="L6933" s="4" t="s">
        <v>1680</v>
      </c>
      <c r="M6933" s="4" t="s">
        <v>11158</v>
      </c>
    </row>
    <row r="6934">
      <c r="A6934" s="4">
        <v>162.0</v>
      </c>
      <c r="B6934" s="4" t="s">
        <v>15610</v>
      </c>
      <c r="C6934" s="4"/>
      <c r="D6934" s="4" t="s">
        <v>9179</v>
      </c>
      <c r="E6934" s="4" t="s">
        <v>9180</v>
      </c>
      <c r="F6934" s="4" t="s">
        <v>9179</v>
      </c>
      <c r="G6934" s="5" t="str">
        <f>IFERROR(__xludf.DUMMYFUNCTION("GOOGLETRANSLATE(D6934,""id"",""es"")"),"Tatami")</f>
        <v>Tatami</v>
      </c>
    </row>
    <row r="6935">
      <c r="A6935" s="4">
        <v>163.0</v>
      </c>
      <c r="B6935" s="4" t="s">
        <v>15610</v>
      </c>
      <c r="C6935" s="4"/>
      <c r="D6935" s="4" t="s">
        <v>16432</v>
      </c>
      <c r="E6935" s="4" t="s">
        <v>16433</v>
      </c>
      <c r="F6935" s="4" t="s">
        <v>16432</v>
      </c>
      <c r="G6935" s="5" t="str">
        <f>IFERROR(__xludf.DUMMYFUNCTION("GOOGLETRANSLATE(D6935,""id"",""es"")"),"rata")</f>
        <v>rata</v>
      </c>
      <c r="H6935" s="4" t="s">
        <v>16434</v>
      </c>
      <c r="I6935" s="4" t="s">
        <v>1143</v>
      </c>
      <c r="J6935" s="4" t="s">
        <v>16435</v>
      </c>
      <c r="K6935" s="4" t="s">
        <v>16436</v>
      </c>
    </row>
    <row r="6936">
      <c r="A6936" s="4">
        <v>164.0</v>
      </c>
      <c r="B6936" s="4" t="s">
        <v>15610</v>
      </c>
      <c r="C6936" s="4"/>
      <c r="D6936" s="4" t="s">
        <v>4381</v>
      </c>
      <c r="E6936" s="4" t="s">
        <v>7863</v>
      </c>
      <c r="F6936" s="4" t="s">
        <v>4381</v>
      </c>
      <c r="G6936" s="5" t="str">
        <f>IFERROR(__xludf.DUMMYFUNCTION("GOOGLETRANSLATE(D6936,""id"",""es"")"),"equipo")</f>
        <v>equipo</v>
      </c>
      <c r="H6936" s="4" t="s">
        <v>16437</v>
      </c>
      <c r="I6936" s="4" t="s">
        <v>16437</v>
      </c>
      <c r="J6936" s="4" t="s">
        <v>16438</v>
      </c>
    </row>
    <row r="6937">
      <c r="A6937" s="4">
        <v>165.0</v>
      </c>
      <c r="B6937" s="4" t="s">
        <v>15610</v>
      </c>
      <c r="C6937" s="4"/>
      <c r="D6937" s="4" t="s">
        <v>5944</v>
      </c>
      <c r="E6937" s="4" t="s">
        <v>7866</v>
      </c>
      <c r="F6937" s="4" t="s">
        <v>5944</v>
      </c>
      <c r="G6937" s="5" t="str">
        <f>IFERROR(__xludf.DUMMYFUNCTION("GOOGLETRANSLATE(D6937,""id"",""es"")"),"estaño")</f>
        <v>estaño</v>
      </c>
      <c r="H6937" s="4" t="s">
        <v>16439</v>
      </c>
      <c r="I6937" s="4" t="s">
        <v>16440</v>
      </c>
      <c r="J6937" s="4" t="s">
        <v>1120</v>
      </c>
      <c r="K6937" s="4" t="s">
        <v>5944</v>
      </c>
      <c r="L6937" s="4" t="s">
        <v>5945</v>
      </c>
      <c r="M6937" s="4" t="s">
        <v>7869</v>
      </c>
      <c r="N6937" s="4" t="s">
        <v>7870</v>
      </c>
      <c r="O6937" s="4" t="s">
        <v>5944</v>
      </c>
      <c r="P6937" s="4" t="s">
        <v>16441</v>
      </c>
      <c r="Q6937" s="4" t="s">
        <v>16442</v>
      </c>
      <c r="R6937" s="4" t="s">
        <v>16443</v>
      </c>
      <c r="S6937" s="4" t="s">
        <v>16444</v>
      </c>
      <c r="T6937" s="4" t="s">
        <v>5944</v>
      </c>
      <c r="U6937" s="4" t="s">
        <v>7867</v>
      </c>
      <c r="V6937" s="4" t="s">
        <v>7868</v>
      </c>
    </row>
    <row r="6938">
      <c r="A6938" s="4">
        <v>166.0</v>
      </c>
      <c r="B6938" s="4" t="s">
        <v>15610</v>
      </c>
      <c r="C6938" s="4"/>
      <c r="D6938" s="4" t="s">
        <v>16445</v>
      </c>
      <c r="E6938" s="4" t="s">
        <v>16446</v>
      </c>
      <c r="F6938" s="4" t="s">
        <v>16445</v>
      </c>
      <c r="G6938" s="5" t="str">
        <f>IFERROR(__xludf.DUMMYFUNCTION("GOOGLETRANSLATE(D6938,""id"",""es"")"),"Tipi")</f>
        <v>Tipi</v>
      </c>
    </row>
    <row r="6939">
      <c r="A6939" s="4">
        <v>167.0</v>
      </c>
      <c r="B6939" s="4" t="s">
        <v>15610</v>
      </c>
      <c r="C6939" s="4"/>
      <c r="D6939" s="4" t="s">
        <v>16447</v>
      </c>
      <c r="E6939" s="4" t="s">
        <v>16448</v>
      </c>
      <c r="F6939" s="4" t="s">
        <v>16447</v>
      </c>
      <c r="G6939" s="5" t="str">
        <f>IFERROR(__xludf.DUMMYFUNCTION("GOOGLETRANSLATE(D6939,""id"",""es"")"),"delgada")</f>
        <v>delgada</v>
      </c>
      <c r="H6939" s="4" t="s">
        <v>7830</v>
      </c>
      <c r="I6939" s="4" t="s">
        <v>7819</v>
      </c>
      <c r="J6939" s="4" t="s">
        <v>15323</v>
      </c>
      <c r="K6939" s="4" t="s">
        <v>16449</v>
      </c>
      <c r="L6939" s="4" t="s">
        <v>16450</v>
      </c>
      <c r="M6939" s="4" t="s">
        <v>7819</v>
      </c>
      <c r="N6939" s="4" t="s">
        <v>997</v>
      </c>
    </row>
    <row r="6940">
      <c r="A6940" s="4">
        <v>168.0</v>
      </c>
      <c r="B6940" s="4" t="s">
        <v>15610</v>
      </c>
      <c r="C6940" s="4"/>
      <c r="D6940" s="4" t="s">
        <v>16451</v>
      </c>
      <c r="E6940" s="4" t="s">
        <v>16452</v>
      </c>
      <c r="F6940" s="4" t="s">
        <v>16451</v>
      </c>
      <c r="G6940" s="5" t="str">
        <f>IFERROR(__xludf.DUMMYFUNCTION("GOOGLETRANSLATE(D6940,""id"",""es"")"),"tejido")</f>
        <v>tejido</v>
      </c>
      <c r="H6940" s="4" t="s">
        <v>7897</v>
      </c>
      <c r="I6940" s="4" t="s">
        <v>16453</v>
      </c>
    </row>
    <row r="6941">
      <c r="A6941" s="4">
        <v>169.0</v>
      </c>
      <c r="B6941" s="4" t="s">
        <v>15610</v>
      </c>
      <c r="C6941" s="4"/>
      <c r="D6941" s="4" t="s">
        <v>4567</v>
      </c>
      <c r="E6941" s="4" t="s">
        <v>4568</v>
      </c>
      <c r="F6941" s="4" t="s">
        <v>4567</v>
      </c>
      <c r="G6941" s="5" t="str">
        <f>IFERROR(__xludf.DUMMYFUNCTION("GOOGLETRANSLATE(D6941,""id"",""es"")"),"sordo")</f>
        <v>sordo</v>
      </c>
      <c r="H6941" s="4" t="s">
        <v>16454</v>
      </c>
      <c r="I6941" s="4" t="s">
        <v>16455</v>
      </c>
      <c r="J6941" s="4" t="s">
        <v>16456</v>
      </c>
    </row>
    <row r="6942">
      <c r="A6942" s="4">
        <v>170.0</v>
      </c>
      <c r="B6942" s="4" t="s">
        <v>15610</v>
      </c>
      <c r="C6942" s="4"/>
      <c r="D6942" s="4" t="s">
        <v>16457</v>
      </c>
      <c r="E6942" s="4" t="s">
        <v>16458</v>
      </c>
      <c r="F6942" s="4" t="s">
        <v>16457</v>
      </c>
      <c r="G6942" s="5" t="str">
        <f>IFERROR(__xludf.DUMMYFUNCTION("GOOGLETRANSLATE(D6942,""id"",""es"")"),"escritura")</f>
        <v>escritura</v>
      </c>
      <c r="H6942" s="4" t="s">
        <v>16459</v>
      </c>
      <c r="I6942" s="4" t="s">
        <v>16460</v>
      </c>
      <c r="J6942" s="4" t="s">
        <v>16459</v>
      </c>
      <c r="K6942" s="4" t="s">
        <v>16461</v>
      </c>
      <c r="L6942" s="4" t="s">
        <v>16462</v>
      </c>
      <c r="M6942" s="4" t="s">
        <v>16463</v>
      </c>
      <c r="N6942" s="4" t="s">
        <v>16464</v>
      </c>
      <c r="O6942" s="4" t="s">
        <v>16465</v>
      </c>
      <c r="P6942" s="4" t="s">
        <v>16466</v>
      </c>
      <c r="Q6942" s="4" t="s">
        <v>16459</v>
      </c>
      <c r="R6942" s="4" t="s">
        <v>16459</v>
      </c>
      <c r="S6942" s="4" t="s">
        <v>16467</v>
      </c>
      <c r="T6942" s="4" t="s">
        <v>16468</v>
      </c>
      <c r="U6942" s="4" t="s">
        <v>16469</v>
      </c>
      <c r="V6942" s="4" t="s">
        <v>16470</v>
      </c>
      <c r="W6942" s="4" t="s">
        <v>16471</v>
      </c>
      <c r="X6942" s="4" t="s">
        <v>16469</v>
      </c>
      <c r="Y6942" s="4" t="s">
        <v>16472</v>
      </c>
    </row>
    <row r="6943">
      <c r="A6943" s="4">
        <v>171.0</v>
      </c>
      <c r="B6943" s="4" t="s">
        <v>15610</v>
      </c>
      <c r="C6943" s="4"/>
      <c r="D6943" s="4" t="s">
        <v>16473</v>
      </c>
      <c r="E6943" s="4" t="s">
        <v>16474</v>
      </c>
      <c r="F6943" s="4" t="s">
        <v>16473</v>
      </c>
      <c r="G6943" s="5" t="str">
        <f>IFERROR(__xludf.DUMMYFUNCTION("GOOGLETRANSLATE(D6943,""id"",""es"")"),"atún")</f>
        <v>atún</v>
      </c>
    </row>
    <row r="6944">
      <c r="A6944" s="4">
        <v>172.0</v>
      </c>
      <c r="B6944" s="4" t="s">
        <v>15610</v>
      </c>
      <c r="C6944" s="4"/>
      <c r="D6944" s="4" t="s">
        <v>11543</v>
      </c>
      <c r="E6944" s="4" t="s">
        <v>16475</v>
      </c>
      <c r="F6944" s="4" t="s">
        <v>11543</v>
      </c>
      <c r="G6944" s="5" t="str">
        <f>IFERROR(__xludf.DUMMYFUNCTION("GOOGLETRANSLATE(D6944,""id"",""es"")"),"Umami")</f>
        <v>Umami</v>
      </c>
    </row>
    <row r="6945">
      <c r="A6945" s="4">
        <v>173.0</v>
      </c>
      <c r="B6945" s="4" t="s">
        <v>15610</v>
      </c>
      <c r="C6945" s="4"/>
      <c r="D6945" s="4" t="s">
        <v>3117</v>
      </c>
      <c r="E6945" s="4" t="s">
        <v>16476</v>
      </c>
      <c r="F6945" s="4" t="s">
        <v>3117</v>
      </c>
      <c r="G6945" s="5" t="str">
        <f>IFERROR(__xludf.DUMMYFUNCTION("GOOGLETRANSLATE(D6945,""id"",""es"")"),"UMAN")</f>
        <v>UMAN</v>
      </c>
    </row>
    <row r="6946">
      <c r="A6946" s="4">
        <v>174.0</v>
      </c>
      <c r="B6946" s="4" t="s">
        <v>15610</v>
      </c>
      <c r="C6946" s="4"/>
      <c r="D6946" s="4" t="s">
        <v>16477</v>
      </c>
      <c r="E6946" s="4" t="s">
        <v>16478</v>
      </c>
      <c r="F6946" s="4" t="s">
        <v>16477</v>
      </c>
      <c r="G6946" s="5" t="str">
        <f>IFERROR(__xludf.DUMMYFUNCTION("GOOGLETRANSLATE(D6946,""id"",""es"")"),"general")</f>
        <v>general</v>
      </c>
      <c r="H6946" s="4" t="s">
        <v>16479</v>
      </c>
      <c r="I6946" s="4" t="s">
        <v>16480</v>
      </c>
      <c r="J6946" s="4" t="s">
        <v>16481</v>
      </c>
      <c r="K6946" s="4" t="s">
        <v>16482</v>
      </c>
      <c r="L6946" s="4" t="s">
        <v>1529</v>
      </c>
      <c r="M6946" s="4" t="s">
        <v>14785</v>
      </c>
      <c r="N6946" s="4" t="s">
        <v>1531</v>
      </c>
      <c r="O6946" s="4" t="s">
        <v>1529</v>
      </c>
      <c r="P6946" s="4" t="s">
        <v>16483</v>
      </c>
      <c r="Q6946" s="4" t="s">
        <v>14782</v>
      </c>
      <c r="R6946" s="4" t="s">
        <v>14783</v>
      </c>
      <c r="S6946" s="4" t="s">
        <v>14784</v>
      </c>
      <c r="T6946" s="4" t="s">
        <v>14785</v>
      </c>
      <c r="U6946" s="4" t="s">
        <v>14786</v>
      </c>
      <c r="V6946" s="4" t="s">
        <v>14016</v>
      </c>
      <c r="W6946" s="4" t="s">
        <v>14017</v>
      </c>
      <c r="X6946" s="4" t="s">
        <v>8691</v>
      </c>
      <c r="Y6946" s="4" t="s">
        <v>14785</v>
      </c>
      <c r="Z6946" s="4" t="s">
        <v>14785</v>
      </c>
      <c r="AA6946" s="4" t="s">
        <v>16484</v>
      </c>
      <c r="AB6946" s="4" t="s">
        <v>16485</v>
      </c>
      <c r="AC6946" s="4" t="s">
        <v>16486</v>
      </c>
      <c r="AD6946" s="4" t="s">
        <v>14785</v>
      </c>
      <c r="AE6946" s="4" t="s">
        <v>1529</v>
      </c>
      <c r="AF6946" s="4" t="s">
        <v>1535</v>
      </c>
      <c r="AG6946" s="4" t="s">
        <v>1534</v>
      </c>
      <c r="AH6946" s="4" t="s">
        <v>1536</v>
      </c>
      <c r="AI6946" s="4" t="s">
        <v>11357</v>
      </c>
      <c r="AJ6946" s="4" t="s">
        <v>16487</v>
      </c>
      <c r="AK6946" s="4" t="s">
        <v>1529</v>
      </c>
      <c r="AL6946" s="4" t="s">
        <v>1514</v>
      </c>
      <c r="AM6946" s="4" t="s">
        <v>1743</v>
      </c>
      <c r="AN6946" s="4" t="s">
        <v>16408</v>
      </c>
      <c r="AO6946" s="4" t="s">
        <v>16410</v>
      </c>
      <c r="AP6946" s="4" t="s">
        <v>1529</v>
      </c>
      <c r="AQ6946" s="4" t="s">
        <v>16411</v>
      </c>
    </row>
    <row r="6947">
      <c r="A6947" s="4">
        <v>175.0</v>
      </c>
      <c r="B6947" s="4" t="s">
        <v>15610</v>
      </c>
      <c r="C6947" s="4"/>
      <c r="D6947" s="4" t="s">
        <v>4640</v>
      </c>
      <c r="E6947" s="4" t="s">
        <v>16488</v>
      </c>
      <c r="F6947" s="4" t="s">
        <v>4640</v>
      </c>
      <c r="G6947" s="5" t="str">
        <f>IFERROR(__xludf.DUMMYFUNCTION("GOOGLETRANSLATE(D6947,""id"",""es"")"),"UNI")</f>
        <v>UNI</v>
      </c>
    </row>
    <row r="6948">
      <c r="A6948" s="4">
        <v>176.0</v>
      </c>
      <c r="B6948" s="4" t="s">
        <v>15610</v>
      </c>
      <c r="C6948" s="4"/>
      <c r="D6948" s="4" t="s">
        <v>16489</v>
      </c>
      <c r="E6948" s="4" t="s">
        <v>16490</v>
      </c>
      <c r="F6948" s="4" t="s">
        <v>16489</v>
      </c>
      <c r="G6948" s="5" t="str">
        <f>IFERROR(__xludf.DUMMYFUNCTION("GOOGLETRANSLATE(D6948,""id"",""es"")"),"esfuerzo")</f>
        <v>esfuerzo</v>
      </c>
      <c r="H6948" s="4" t="s">
        <v>16491</v>
      </c>
      <c r="I6948" s="4" t="s">
        <v>15568</v>
      </c>
      <c r="J6948" s="4" t="s">
        <v>7760</v>
      </c>
      <c r="K6948" s="4" t="s">
        <v>16492</v>
      </c>
      <c r="L6948" s="4" t="s">
        <v>697</v>
      </c>
      <c r="M6948" s="4" t="s">
        <v>16493</v>
      </c>
      <c r="N6948" s="4" t="s">
        <v>7335</v>
      </c>
      <c r="O6948" s="4" t="s">
        <v>7336</v>
      </c>
      <c r="P6948" s="4" t="s">
        <v>16494</v>
      </c>
      <c r="Q6948" s="4" t="s">
        <v>15568</v>
      </c>
      <c r="R6948" s="4" t="s">
        <v>16495</v>
      </c>
      <c r="S6948" s="4" t="s">
        <v>16496</v>
      </c>
      <c r="T6948" s="4" t="s">
        <v>16497</v>
      </c>
      <c r="U6948" s="4" t="s">
        <v>9501</v>
      </c>
      <c r="V6948" s="4" t="s">
        <v>899</v>
      </c>
      <c r="W6948" s="4" t="s">
        <v>15568</v>
      </c>
      <c r="X6948" s="4" t="s">
        <v>15569</v>
      </c>
      <c r="Y6948" s="4" t="s">
        <v>15570</v>
      </c>
      <c r="Z6948" s="4" t="s">
        <v>15571</v>
      </c>
      <c r="AA6948" s="4" t="s">
        <v>6998</v>
      </c>
      <c r="AB6948" s="4" t="s">
        <v>788</v>
      </c>
      <c r="AC6948" s="4" t="s">
        <v>16498</v>
      </c>
      <c r="AD6948" s="4" t="s">
        <v>13554</v>
      </c>
      <c r="AE6948" s="4" t="s">
        <v>13929</v>
      </c>
      <c r="AF6948" s="4" t="s">
        <v>7335</v>
      </c>
      <c r="AG6948" s="4" t="s">
        <v>16499</v>
      </c>
      <c r="AH6948" s="4" t="s">
        <v>15569</v>
      </c>
      <c r="AI6948" s="4" t="s">
        <v>15570</v>
      </c>
      <c r="AJ6948" s="4" t="s">
        <v>16500</v>
      </c>
      <c r="AK6948" s="4" t="s">
        <v>7341</v>
      </c>
      <c r="AL6948" s="4" t="s">
        <v>11917</v>
      </c>
      <c r="AM6948" s="4" t="s">
        <v>7338</v>
      </c>
      <c r="AN6948" s="4" t="s">
        <v>7337</v>
      </c>
      <c r="AO6948" s="4" t="s">
        <v>16501</v>
      </c>
      <c r="AP6948" s="4" t="s">
        <v>15568</v>
      </c>
      <c r="AQ6948" s="4" t="s">
        <v>16500</v>
      </c>
      <c r="AR6948" s="4" t="s">
        <v>16502</v>
      </c>
      <c r="AS6948" s="4" t="s">
        <v>16503</v>
      </c>
      <c r="AT6948" s="4" t="s">
        <v>16504</v>
      </c>
      <c r="AU6948" s="4" t="s">
        <v>16499</v>
      </c>
      <c r="AV6948" s="4" t="s">
        <v>16505</v>
      </c>
      <c r="AW6948" s="4" t="s">
        <v>16506</v>
      </c>
      <c r="AX6948" s="4" t="s">
        <v>16507</v>
      </c>
      <c r="AY6948" s="4" t="s">
        <v>15746</v>
      </c>
      <c r="AZ6948" s="4" t="s">
        <v>6611</v>
      </c>
    </row>
    <row r="6949">
      <c r="A6949" s="4">
        <v>177.0</v>
      </c>
      <c r="B6949" s="4" t="s">
        <v>15610</v>
      </c>
      <c r="C6949" s="4"/>
      <c r="D6949" s="4" t="s">
        <v>16508</v>
      </c>
      <c r="E6949" s="4" t="s">
        <v>16509</v>
      </c>
      <c r="F6949" s="4" t="s">
        <v>16508</v>
      </c>
      <c r="G6949" s="5" t="str">
        <f>IFERROR(__xludf.DUMMYFUNCTION("GOOGLETRANSLATE(D6949,""id"",""es"")"),"intestino")</f>
        <v>intestino</v>
      </c>
      <c r="H6949" s="4" t="s">
        <v>16510</v>
      </c>
      <c r="I6949" s="4" t="s">
        <v>16511</v>
      </c>
      <c r="J6949" s="4" t="s">
        <v>16512</v>
      </c>
      <c r="K6949" s="4" t="s">
        <v>16513</v>
      </c>
      <c r="L6949" s="4" t="s">
        <v>16514</v>
      </c>
      <c r="M6949" s="4" t="s">
        <v>16515</v>
      </c>
      <c r="N6949" s="4" t="s">
        <v>16516</v>
      </c>
      <c r="O6949" s="4" t="s">
        <v>16517</v>
      </c>
      <c r="P6949" s="4" t="s">
        <v>16518</v>
      </c>
    </row>
    <row r="6950">
      <c r="A6950" s="4">
        <v>178.0</v>
      </c>
      <c r="B6950" s="4" t="s">
        <v>15610</v>
      </c>
      <c r="C6950" s="4"/>
      <c r="D6950" s="4" t="s">
        <v>16519</v>
      </c>
      <c r="E6950" s="4" t="s">
        <v>16520</v>
      </c>
      <c r="F6950" s="4" t="s">
        <v>16519</v>
      </c>
      <c r="G6950" s="5" t="str">
        <f>IFERROR(__xludf.DUMMYFUNCTION("GOOGLETRANSLATE(D6950,""id"",""es"")"),"Yakiniku")</f>
        <v>Yakiniku</v>
      </c>
    </row>
    <row r="6951">
      <c r="A6951" s="4">
        <v>179.0</v>
      </c>
      <c r="B6951" s="4" t="s">
        <v>15610</v>
      </c>
      <c r="C6951" s="4"/>
      <c r="D6951" s="4" t="s">
        <v>16521</v>
      </c>
      <c r="E6951" s="4" t="s">
        <v>16522</v>
      </c>
      <c r="F6951" s="4" t="s">
        <v>16521</v>
      </c>
      <c r="G6951" s="5" t="str">
        <f>IFERROR(__xludf.DUMMYFUNCTION("GOOGLETRANSLATE(D6951,""id"",""es"")"),"Fundación")</f>
        <v>Fundación</v>
      </c>
      <c r="H6951" s="4" t="s">
        <v>16523</v>
      </c>
      <c r="I6951" s="4" t="s">
        <v>16524</v>
      </c>
      <c r="J6951" s="4" t="s">
        <v>14757</v>
      </c>
      <c r="K6951" s="4" t="s">
        <v>11360</v>
      </c>
      <c r="L6951" s="4" t="s">
        <v>16525</v>
      </c>
      <c r="M6951" s="4" t="s">
        <v>2952</v>
      </c>
      <c r="N6951" s="4" t="s">
        <v>16526</v>
      </c>
      <c r="O6951" s="4" t="s">
        <v>16527</v>
      </c>
      <c r="P6951" s="4" t="s">
        <v>16528</v>
      </c>
      <c r="Q6951" s="4" t="s">
        <v>14757</v>
      </c>
      <c r="R6951" s="4" t="s">
        <v>13526</v>
      </c>
      <c r="S6951" s="4" t="s">
        <v>1608</v>
      </c>
      <c r="T6951" s="4" t="s">
        <v>7188</v>
      </c>
      <c r="U6951" s="4" t="s">
        <v>14758</v>
      </c>
      <c r="V6951" s="4" t="s">
        <v>14759</v>
      </c>
      <c r="W6951" s="4" t="s">
        <v>14760</v>
      </c>
      <c r="X6951" s="4" t="s">
        <v>11360</v>
      </c>
      <c r="Y6951" s="4" t="s">
        <v>11360</v>
      </c>
      <c r="Z6951" s="4" t="s">
        <v>16529</v>
      </c>
      <c r="AA6951" s="4" t="s">
        <v>14757</v>
      </c>
    </row>
    <row r="6952">
      <c r="A6952" s="4">
        <v>180.0</v>
      </c>
      <c r="B6952" s="4" t="s">
        <v>15610</v>
      </c>
      <c r="C6952" s="4"/>
      <c r="D6952" s="4" t="s">
        <v>16530</v>
      </c>
      <c r="E6952" s="4" t="s">
        <v>16531</v>
      </c>
      <c r="F6952" s="4" t="s">
        <v>16530</v>
      </c>
      <c r="G6952" s="5" t="str">
        <f>IFERROR(__xludf.DUMMYFUNCTION("GOOGLETRANSLATE(D6952,""id"",""es"")"),"Grecia")</f>
        <v>Grecia</v>
      </c>
      <c r="H6952" s="4" t="s">
        <v>16532</v>
      </c>
      <c r="I6952" s="4" t="s">
        <v>16533</v>
      </c>
      <c r="J6952" s="4" t="s">
        <v>16534</v>
      </c>
      <c r="K6952" s="4" t="s">
        <v>16532</v>
      </c>
      <c r="L6952" s="4" t="s">
        <v>16533</v>
      </c>
      <c r="M6952" s="4" t="s">
        <v>16534</v>
      </c>
      <c r="N6952" s="4" t="s">
        <v>16532</v>
      </c>
    </row>
    <row r="6953">
      <c r="A6953" s="4">
        <v>181.0</v>
      </c>
      <c r="B6953" s="4" t="s">
        <v>15610</v>
      </c>
      <c r="C6953" s="4"/>
      <c r="D6953" s="4" t="s">
        <v>16535</v>
      </c>
      <c r="E6953" s="4" t="s">
        <v>16536</v>
      </c>
      <c r="F6953" s="4" t="s">
        <v>16535</v>
      </c>
      <c r="G6953" s="5" t="str">
        <f>IFERROR(__xludf.DUMMYFUNCTION("GOOGLETRANSLATE(D6953,""id"",""es"")"),"Sí")</f>
        <v>Sí</v>
      </c>
    </row>
    <row r="6954">
      <c r="A6954" s="4">
        <v>1.0</v>
      </c>
      <c r="B6954" s="4" t="s">
        <v>16537</v>
      </c>
      <c r="C6954" s="4"/>
      <c r="D6954" s="4" t="s">
        <v>1856</v>
      </c>
      <c r="E6954" s="4" t="s">
        <v>4841</v>
      </c>
      <c r="F6954" s="4" t="s">
        <v>1856</v>
      </c>
      <c r="G6954" s="5" t="str">
        <f>IFERROR(__xludf.DUMMYFUNCTION("GOOGLETRANSLATE(D6954,""is"",""es"")"),"hombre")</f>
        <v>hombre</v>
      </c>
    </row>
    <row r="6955">
      <c r="A6955" s="4">
        <v>2.0</v>
      </c>
      <c r="B6955" s="4" t="s">
        <v>16537</v>
      </c>
      <c r="C6955" s="4"/>
      <c r="D6955" s="4" t="s">
        <v>16538</v>
      </c>
      <c r="E6955" s="4" t="s">
        <v>16539</v>
      </c>
      <c r="F6955" s="4" t="s">
        <v>16540</v>
      </c>
      <c r="G6955" s="5" t="str">
        <f>IFERROR(__xludf.DUMMYFUNCTION("GOOGLETRANSLATE(D6955,""is"",""es"")"),"tú")</f>
        <v>tú</v>
      </c>
    </row>
    <row r="6956">
      <c r="A6956" s="4">
        <v>4.0</v>
      </c>
      <c r="B6956" s="4" t="s">
        <v>16541</v>
      </c>
      <c r="C6956" s="4"/>
      <c r="D6956" s="4" t="s">
        <v>503</v>
      </c>
      <c r="E6956" s="4" t="s">
        <v>504</v>
      </c>
      <c r="F6956" s="4" t="s">
        <v>505</v>
      </c>
      <c r="G6956" s="5" t="str">
        <f>IFERROR(__xludf.DUMMYFUNCTION("GOOGLETRANSLATE(D6956,""it"",""es"")"),"hacia")</f>
        <v>hacia</v>
      </c>
    </row>
    <row r="6957">
      <c r="A6957" s="4">
        <v>5.0</v>
      </c>
      <c r="B6957" s="4" t="s">
        <v>16541</v>
      </c>
      <c r="C6957" s="4"/>
      <c r="D6957" s="4" t="s">
        <v>16542</v>
      </c>
      <c r="E6957" s="4" t="s">
        <v>11782</v>
      </c>
      <c r="F6957" s="4" t="s">
        <v>11781</v>
      </c>
      <c r="G6957" s="5" t="str">
        <f>IFERROR(__xludf.DUMMYFUNCTION("GOOGLETRANSLATE(D6957,""it"",""es"")"),"AIA")</f>
        <v>AIA</v>
      </c>
      <c r="H6957" s="4" t="s">
        <v>16543</v>
      </c>
      <c r="I6957" s="4" t="s">
        <v>16544</v>
      </c>
      <c r="J6957" s="4" t="s">
        <v>16545</v>
      </c>
      <c r="K6957" s="6" t="s">
        <v>16546</v>
      </c>
      <c r="L6957" s="4" t="s">
        <v>16547</v>
      </c>
    </row>
    <row r="6958">
      <c r="A6958" s="4">
        <v>6.0</v>
      </c>
      <c r="B6958" s="4" t="s">
        <v>16541</v>
      </c>
      <c r="C6958" s="4"/>
      <c r="D6958" s="4" t="s">
        <v>16548</v>
      </c>
      <c r="E6958" s="4" t="s">
        <v>16549</v>
      </c>
      <c r="F6958" s="4" t="s">
        <v>16550</v>
      </c>
      <c r="G6958" s="5" t="str">
        <f>IFERROR(__xludf.DUMMYFUNCTION("GOOGLETRANSLATE(D6958,""it"",""es"")"),"ayuda")</f>
        <v>ayuda</v>
      </c>
    </row>
    <row r="6959">
      <c r="A6959" s="4">
        <v>7.0</v>
      </c>
      <c r="B6959" s="4" t="s">
        <v>16541</v>
      </c>
      <c r="C6959" s="4"/>
      <c r="D6959" s="4" t="s">
        <v>506</v>
      </c>
      <c r="E6959" s="4" t="s">
        <v>507</v>
      </c>
      <c r="F6959" s="4" t="s">
        <v>506</v>
      </c>
      <c r="G6959" s="5" t="str">
        <f>IFERROR(__xludf.DUMMYFUNCTION("GOOGLETRANSLATE(D6959,""it"",""es"")"),"hacia")</f>
        <v>hacia</v>
      </c>
    </row>
    <row r="6960">
      <c r="A6960" s="4">
        <v>8.0</v>
      </c>
      <c r="B6960" s="4" t="s">
        <v>16541</v>
      </c>
      <c r="C6960" s="4"/>
      <c r="D6960" s="4" t="s">
        <v>508</v>
      </c>
      <c r="E6960" s="4" t="s">
        <v>509</v>
      </c>
      <c r="F6960" s="4" t="s">
        <v>508</v>
      </c>
      <c r="G6960" s="5" t="str">
        <f>IFERROR(__xludf.DUMMYFUNCTION("GOOGLETRANSLATE(D6960,""it"",""es"")"),"ala")</f>
        <v>ala</v>
      </c>
      <c r="H6960" s="4" t="s">
        <v>510</v>
      </c>
      <c r="I6960" s="4" t="s">
        <v>510</v>
      </c>
    </row>
    <row r="6961">
      <c r="A6961" s="4">
        <v>9.0</v>
      </c>
      <c r="B6961" s="4" t="s">
        <v>16541</v>
      </c>
      <c r="C6961" s="4"/>
      <c r="D6961" s="4" t="s">
        <v>16551</v>
      </c>
      <c r="E6961" s="4" t="s">
        <v>14067</v>
      </c>
      <c r="F6961" s="4" t="s">
        <v>14068</v>
      </c>
      <c r="G6961" s="5" t="str">
        <f>IFERROR(__xludf.DUMMYFUNCTION("GOOGLETRANSLATE(D6961,""it"",""es"")"),"ala")</f>
        <v>ala</v>
      </c>
    </row>
    <row r="6962">
      <c r="A6962" s="4">
        <v>10.0</v>
      </c>
      <c r="B6962" s="4" t="s">
        <v>16541</v>
      </c>
      <c r="C6962" s="4"/>
      <c r="D6962" s="4" t="s">
        <v>16552</v>
      </c>
      <c r="E6962" s="4" t="s">
        <v>507</v>
      </c>
      <c r="F6962" s="4" t="s">
        <v>506</v>
      </c>
      <c r="G6962" s="5" t="str">
        <f>IFERROR(__xludf.DUMMYFUNCTION("GOOGLETRANSLATE(D6962,""it"",""es"")"),"a")</f>
        <v>a</v>
      </c>
    </row>
    <row r="6963">
      <c r="A6963" s="4">
        <v>11.0</v>
      </c>
      <c r="B6963" s="4" t="s">
        <v>16541</v>
      </c>
      <c r="C6963" s="4"/>
      <c r="D6963" s="4" t="s">
        <v>9271</v>
      </c>
      <c r="E6963" s="4" t="s">
        <v>16553</v>
      </c>
      <c r="F6963" s="4" t="s">
        <v>9271</v>
      </c>
      <c r="G6963" s="5" t="str">
        <f>IFERROR(__xludf.DUMMYFUNCTION("GOOGLETRANSLATE(D6963,""it"",""es"")"),"Alula")</f>
        <v>Alula</v>
      </c>
    </row>
    <row r="6964">
      <c r="A6964" s="4">
        <v>12.0</v>
      </c>
      <c r="B6964" s="4" t="s">
        <v>16541</v>
      </c>
      <c r="C6964" s="4"/>
      <c r="D6964" s="4" t="s">
        <v>16554</v>
      </c>
      <c r="E6964" s="4" t="s">
        <v>14076</v>
      </c>
      <c r="F6964" s="4" t="s">
        <v>5793</v>
      </c>
      <c r="G6964" s="5" t="str">
        <f>IFERROR(__xludf.DUMMYFUNCTION("GOOGLETRANSLATE(D6964,""it"",""es"")"),"Alì")</f>
        <v>Alì</v>
      </c>
    </row>
    <row r="6965">
      <c r="A6965" s="4">
        <v>13.0</v>
      </c>
      <c r="B6965" s="4" t="s">
        <v>16541</v>
      </c>
      <c r="C6965" s="4"/>
      <c r="D6965" s="4" t="s">
        <v>16555</v>
      </c>
      <c r="E6965" s="4" t="s">
        <v>1780</v>
      </c>
      <c r="F6965" s="4" t="s">
        <v>1781</v>
      </c>
      <c r="G6965" s="5" t="str">
        <f>IFERROR(__xludf.DUMMYFUNCTION("GOOGLETRANSLATE(D6965,""it"",""es"")"),"hamaca")</f>
        <v>hamaca</v>
      </c>
      <c r="H6965" s="4" t="s">
        <v>1784</v>
      </c>
      <c r="I6965" s="4" t="s">
        <v>1785</v>
      </c>
    </row>
    <row r="6966">
      <c r="A6966" s="4">
        <v>14.0</v>
      </c>
      <c r="B6966" s="4" t="s">
        <v>16541</v>
      </c>
      <c r="C6966" s="4"/>
      <c r="D6966" s="4" t="s">
        <v>16556</v>
      </c>
      <c r="E6966" s="4" t="s">
        <v>16557</v>
      </c>
      <c r="F6966" s="4" t="s">
        <v>16556</v>
      </c>
      <c r="G6966" s="5" t="str">
        <f>IFERROR(__xludf.DUMMYFUNCTION("GOOGLETRANSLATE(D6966,""it"",""es"")"),"amanita")</f>
        <v>amanita</v>
      </c>
      <c r="H6966" s="4" t="s">
        <v>16558</v>
      </c>
      <c r="I6966" s="4" t="s">
        <v>16559</v>
      </c>
    </row>
    <row r="6967">
      <c r="A6967" s="4">
        <v>15.0</v>
      </c>
      <c r="B6967" s="4" t="s">
        <v>16541</v>
      </c>
      <c r="C6967" s="4"/>
      <c r="D6967" s="4" t="s">
        <v>16560</v>
      </c>
      <c r="E6967" s="4" t="s">
        <v>16561</v>
      </c>
      <c r="F6967" s="4" t="s">
        <v>16560</v>
      </c>
      <c r="G6967" s="5" t="str">
        <f>IFERROR(__xludf.DUMMYFUNCTION("GOOGLETRANSLATE(D6967,""it"",""es"")"),"amanina")</f>
        <v>amanina</v>
      </c>
    </row>
    <row r="6968">
      <c r="A6968" s="4">
        <v>16.0</v>
      </c>
      <c r="B6968" s="4" t="s">
        <v>16541</v>
      </c>
      <c r="C6968" s="4"/>
      <c r="D6968" s="4" t="s">
        <v>16562</v>
      </c>
      <c r="E6968" s="4" t="s">
        <v>16563</v>
      </c>
      <c r="F6968" s="4" t="s">
        <v>16562</v>
      </c>
      <c r="G6968" s="5" t="str">
        <f>IFERROR(__xludf.DUMMYFUNCTION("GOOGLETRANSLATE(D6968,""it"",""es"")"),"amado")</f>
        <v>amado</v>
      </c>
    </row>
    <row r="6969">
      <c r="A6969" s="4">
        <v>17.0</v>
      </c>
      <c r="B6969" s="4" t="s">
        <v>16541</v>
      </c>
      <c r="C6969" s="4"/>
      <c r="D6969" s="4" t="s">
        <v>16564</v>
      </c>
      <c r="E6969" s="4" t="s">
        <v>16565</v>
      </c>
      <c r="F6969" s="4" t="s">
        <v>16566</v>
      </c>
      <c r="G6969" s="5" t="str">
        <f>IFERROR(__xludf.DUMMYFUNCTION("GOOGLETRANSLATE(D6969,""it"",""es"")"),"amigo")</f>
        <v>amigo</v>
      </c>
      <c r="H6969" s="4" t="s">
        <v>16567</v>
      </c>
    </row>
    <row r="6970">
      <c r="A6970" s="4">
        <v>18.0</v>
      </c>
      <c r="B6970" s="4" t="s">
        <v>16541</v>
      </c>
      <c r="C6970" s="4"/>
      <c r="D6970" s="4" t="s">
        <v>3547</v>
      </c>
      <c r="E6970" s="4" t="s">
        <v>4810</v>
      </c>
      <c r="F6970" s="4" t="s">
        <v>3547</v>
      </c>
      <c r="G6970" s="5" t="str">
        <f>IFERROR(__xludf.DUMMYFUNCTION("GOOGLETRANSLATE(D6970,""it"",""es"")"),"piña")</f>
        <v>piña</v>
      </c>
      <c r="H6970" s="4" t="s">
        <v>3546</v>
      </c>
      <c r="I6970" s="4" t="s">
        <v>3547</v>
      </c>
      <c r="J6970" s="4" t="s">
        <v>3546</v>
      </c>
      <c r="K6970" s="4" t="s">
        <v>8943</v>
      </c>
      <c r="L6970" s="4" t="s">
        <v>8944</v>
      </c>
    </row>
    <row r="6971">
      <c r="A6971" s="4">
        <v>19.0</v>
      </c>
      <c r="B6971" s="4" t="s">
        <v>16541</v>
      </c>
      <c r="C6971" s="4"/>
      <c r="D6971" s="4" t="s">
        <v>652</v>
      </c>
      <c r="E6971" s="4" t="s">
        <v>653</v>
      </c>
      <c r="F6971" s="4" t="s">
        <v>652</v>
      </c>
      <c r="G6971" s="5" t="str">
        <f>IFERROR(__xludf.DUMMYFUNCTION("GOOGLETRANSLATE(D6971,""it"",""es"")"),"alma")</f>
        <v>alma</v>
      </c>
      <c r="H6971" s="4" t="s">
        <v>1845</v>
      </c>
      <c r="I6971" s="4" t="s">
        <v>1846</v>
      </c>
      <c r="J6971" s="4" t="s">
        <v>1847</v>
      </c>
      <c r="K6971" s="4" t="s">
        <v>1848</v>
      </c>
      <c r="L6971" s="4" t="s">
        <v>1849</v>
      </c>
      <c r="M6971" s="4" t="s">
        <v>1850</v>
      </c>
      <c r="N6971" s="4" t="s">
        <v>1850</v>
      </c>
      <c r="O6971" s="4" t="s">
        <v>13967</v>
      </c>
      <c r="P6971" s="4" t="s">
        <v>9365</v>
      </c>
      <c r="Q6971" s="4" t="s">
        <v>9366</v>
      </c>
      <c r="R6971" s="4" t="s">
        <v>9367</v>
      </c>
      <c r="S6971" s="4" t="s">
        <v>9368</v>
      </c>
      <c r="T6971" s="4" t="s">
        <v>9369</v>
      </c>
      <c r="U6971" s="4" t="s">
        <v>1850</v>
      </c>
      <c r="V6971" s="4" t="s">
        <v>1214</v>
      </c>
    </row>
    <row r="6972">
      <c r="A6972" s="4">
        <v>20.0</v>
      </c>
      <c r="B6972" s="4" t="s">
        <v>16541</v>
      </c>
      <c r="C6972" s="4"/>
      <c r="D6972" s="4" t="s">
        <v>16568</v>
      </c>
      <c r="E6972" s="4" t="s">
        <v>16569</v>
      </c>
      <c r="F6972" s="4" t="s">
        <v>16570</v>
      </c>
      <c r="G6972" s="5" t="str">
        <f>IFERROR(__xludf.DUMMYFUNCTION("GOOGLETRANSLATE(D6972,""it"",""es"")"),"animalidad")</f>
        <v>animalidad</v>
      </c>
      <c r="H6972" s="4" t="s">
        <v>16571</v>
      </c>
      <c r="I6972" s="4" t="s">
        <v>16572</v>
      </c>
    </row>
    <row r="6973">
      <c r="A6973" s="4">
        <v>21.0</v>
      </c>
      <c r="B6973" s="4" t="s">
        <v>16541</v>
      </c>
      <c r="C6973" s="4"/>
      <c r="D6973" s="4" t="s">
        <v>16573</v>
      </c>
      <c r="E6973" s="4" t="s">
        <v>16574</v>
      </c>
      <c r="F6973" s="4" t="s">
        <v>16573</v>
      </c>
      <c r="G6973" s="5" t="str">
        <f>IFERROR(__xludf.DUMMYFUNCTION("GOOGLETRANSLATE(D6973,""it"",""es"")"),"animal")</f>
        <v>animal</v>
      </c>
    </row>
    <row r="6974">
      <c r="A6974" s="4">
        <v>22.0</v>
      </c>
      <c r="B6974" s="4" t="s">
        <v>16541</v>
      </c>
      <c r="C6974" s="4"/>
      <c r="D6974" s="4" t="s">
        <v>16575</v>
      </c>
      <c r="E6974" s="4" t="s">
        <v>16576</v>
      </c>
      <c r="F6974" s="4" t="s">
        <v>16575</v>
      </c>
      <c r="G6974" s="5" t="str">
        <f>IFERROR(__xludf.DUMMYFUNCTION("GOOGLETRANSLATE(D6974,""it"",""es"")"),"apula")</f>
        <v>apula</v>
      </c>
    </row>
    <row r="6975">
      <c r="A6975" s="4">
        <v>23.0</v>
      </c>
      <c r="B6975" s="4" t="s">
        <v>16541</v>
      </c>
      <c r="C6975" s="4"/>
      <c r="D6975" s="4" t="s">
        <v>16577</v>
      </c>
      <c r="E6975" s="4" t="s">
        <v>16578</v>
      </c>
      <c r="F6975" s="4" t="s">
        <v>16577</v>
      </c>
      <c r="G6975" s="5" t="str">
        <f>IFERROR(__xludf.DUMMYFUNCTION("GOOGLETRANSLATE(D6975,""it"",""es"")"),"Atine")</f>
        <v>Atine</v>
      </c>
    </row>
    <row r="6976">
      <c r="A6976" s="4">
        <v>24.0</v>
      </c>
      <c r="B6976" s="4" t="s">
        <v>16541</v>
      </c>
      <c r="C6976" s="4"/>
      <c r="D6976" s="4" t="s">
        <v>960</v>
      </c>
      <c r="E6976" s="4" t="s">
        <v>961</v>
      </c>
      <c r="F6976" s="4" t="s">
        <v>962</v>
      </c>
      <c r="G6976" s="5" t="str">
        <f>IFERROR(__xludf.DUMMYFUNCTION("GOOGLETRANSLATE(D6976,""it"",""es"")"),"California")</f>
        <v>California</v>
      </c>
    </row>
    <row r="6977">
      <c r="A6977" s="4">
        <v>25.0</v>
      </c>
      <c r="B6977" s="4" t="s">
        <v>16541</v>
      </c>
      <c r="C6977" s="4"/>
      <c r="D6977" s="4" t="s">
        <v>16579</v>
      </c>
      <c r="E6977" s="4" t="s">
        <v>961</v>
      </c>
      <c r="F6977" s="4" t="s">
        <v>962</v>
      </c>
      <c r="G6977" s="5" t="str">
        <f>IFERROR(__xludf.DUMMYFUNCTION("GOOGLETRANSLATE(D6977,""it"",""es"")"),"caza")</f>
        <v>caza</v>
      </c>
    </row>
    <row r="6978">
      <c r="A6978" s="4">
        <v>26.0</v>
      </c>
      <c r="B6978" s="4" t="s">
        <v>16541</v>
      </c>
      <c r="C6978" s="4"/>
      <c r="D6978" s="4" t="s">
        <v>11793</v>
      </c>
      <c r="E6978" s="4" t="s">
        <v>11794</v>
      </c>
      <c r="F6978" s="4" t="s">
        <v>9073</v>
      </c>
      <c r="G6978" s="5" t="str">
        <f>IFERROR(__xludf.DUMMYFUNCTION("GOOGLETRANSLATE(D6978,""it"",""es"")"),"caca")</f>
        <v>caca</v>
      </c>
    </row>
    <row r="6979">
      <c r="A6979" s="4">
        <v>27.0</v>
      </c>
      <c r="B6979" s="4" t="s">
        <v>16541</v>
      </c>
      <c r="C6979" s="4"/>
      <c r="D6979" s="4" t="s">
        <v>16580</v>
      </c>
      <c r="E6979" s="4" t="s">
        <v>16581</v>
      </c>
      <c r="F6979" s="4" t="s">
        <v>16582</v>
      </c>
      <c r="G6979" s="5" t="str">
        <f>IFERROR(__xludf.DUMMYFUNCTION("GOOGLETRANSLATE(D6979,""it"",""es"")"),"hacer cotizar")</f>
        <v>hacer cotizar</v>
      </c>
      <c r="H6979" s="4" t="s">
        <v>16583</v>
      </c>
      <c r="I6979" s="4" t="s">
        <v>16584</v>
      </c>
      <c r="J6979" s="4" t="s">
        <v>6265</v>
      </c>
      <c r="K6979" s="4" t="s">
        <v>16585</v>
      </c>
      <c r="L6979" s="4" t="s">
        <v>8769</v>
      </c>
      <c r="M6979" s="4" t="s">
        <v>16586</v>
      </c>
      <c r="N6979" s="4" t="s">
        <v>16587</v>
      </c>
      <c r="O6979" s="4" t="s">
        <v>16588</v>
      </c>
      <c r="P6979" s="4" t="s">
        <v>15461</v>
      </c>
      <c r="Q6979" s="4" t="s">
        <v>13683</v>
      </c>
      <c r="R6979" s="4" t="s">
        <v>8769</v>
      </c>
      <c r="S6979" s="4" t="s">
        <v>15462</v>
      </c>
      <c r="T6979" s="4" t="s">
        <v>6996</v>
      </c>
      <c r="U6979" s="4" t="s">
        <v>15463</v>
      </c>
    </row>
    <row r="6980">
      <c r="A6980" s="4">
        <v>28.0</v>
      </c>
      <c r="B6980" s="4" t="s">
        <v>16541</v>
      </c>
      <c r="C6980" s="4"/>
      <c r="D6980" s="4" t="s">
        <v>16589</v>
      </c>
      <c r="E6980" s="4" t="s">
        <v>1296</v>
      </c>
      <c r="F6980" s="4" t="s">
        <v>1297</v>
      </c>
      <c r="G6980" s="5" t="str">
        <f>IFERROR(__xludf.DUMMYFUNCTION("GOOGLETRANSLATE(D6980,""it"",""es"")"),"caquis")</f>
        <v>caquis</v>
      </c>
      <c r="H6980" s="4" t="s">
        <v>1299</v>
      </c>
      <c r="I6980" s="4" t="s">
        <v>1299</v>
      </c>
      <c r="J6980" s="4" t="s">
        <v>1300</v>
      </c>
      <c r="K6980" s="4" t="s">
        <v>6396</v>
      </c>
      <c r="L6980" s="4" t="s">
        <v>1297</v>
      </c>
      <c r="M6980" s="4" t="s">
        <v>6397</v>
      </c>
    </row>
    <row r="6981">
      <c r="A6981" s="4">
        <v>29.0</v>
      </c>
      <c r="B6981" s="4" t="s">
        <v>16541</v>
      </c>
      <c r="C6981" s="4"/>
      <c r="D6981" s="4" t="s">
        <v>976</v>
      </c>
      <c r="E6981" s="4" t="s">
        <v>977</v>
      </c>
      <c r="F6981" s="4" t="s">
        <v>978</v>
      </c>
      <c r="G6981" s="5" t="str">
        <f>IFERROR(__xludf.DUMMYFUNCTION("GOOGLETRANSLATE(D6981,""it"",""es"")"),"calla")</f>
        <v>calla</v>
      </c>
      <c r="H6981" s="4" t="s">
        <v>11828</v>
      </c>
      <c r="I6981" s="4" t="s">
        <v>11829</v>
      </c>
      <c r="J6981" s="4" t="s">
        <v>11830</v>
      </c>
      <c r="K6981" s="4" t="s">
        <v>313</v>
      </c>
      <c r="L6981" s="4" t="s">
        <v>11831</v>
      </c>
      <c r="M6981" s="4" t="s">
        <v>11390</v>
      </c>
      <c r="N6981" s="4" t="s">
        <v>16590</v>
      </c>
    </row>
    <row r="6982">
      <c r="A6982" s="4">
        <v>30.0</v>
      </c>
      <c r="B6982" s="4" t="s">
        <v>16541</v>
      </c>
      <c r="C6982" s="4"/>
      <c r="D6982" s="4" t="s">
        <v>16591</v>
      </c>
      <c r="E6982" s="4" t="s">
        <v>16592</v>
      </c>
      <c r="F6982" s="4" t="s">
        <v>16593</v>
      </c>
      <c r="G6982" s="5" t="str">
        <f>IFERROR(__xludf.DUMMYFUNCTION("GOOGLETRANSLATE(D6982,""it"",""es"")"),"imán")</f>
        <v>imán</v>
      </c>
      <c r="H6982" s="4" t="s">
        <v>1904</v>
      </c>
    </row>
    <row r="6983">
      <c r="A6983" s="4">
        <v>31.0</v>
      </c>
      <c r="B6983" s="4" t="s">
        <v>16541</v>
      </c>
      <c r="C6983" s="4"/>
      <c r="D6983" s="4" t="s">
        <v>16594</v>
      </c>
      <c r="E6983" s="4" t="s">
        <v>16592</v>
      </c>
      <c r="F6983" s="4" t="s">
        <v>16593</v>
      </c>
      <c r="G6983" s="5" t="str">
        <f>IFERROR(__xludf.DUMMYFUNCTION("GOOGLETRANSLATE(D6983,""it"",""es"")"),"imán")</f>
        <v>imán</v>
      </c>
      <c r="H6983" s="4" t="s">
        <v>16595</v>
      </c>
      <c r="I6983" s="4" t="s">
        <v>16596</v>
      </c>
      <c r="J6983" s="4" t="s">
        <v>16597</v>
      </c>
      <c r="K6983" s="4" t="s">
        <v>16595</v>
      </c>
      <c r="L6983" s="4" t="s">
        <v>16598</v>
      </c>
      <c r="M6983" s="4" t="s">
        <v>16599</v>
      </c>
      <c r="N6983" s="4" t="s">
        <v>16597</v>
      </c>
      <c r="O6983" s="4" t="s">
        <v>16599</v>
      </c>
      <c r="P6983" s="4" t="s">
        <v>16597</v>
      </c>
      <c r="Q6983" s="4" t="s">
        <v>16595</v>
      </c>
    </row>
    <row r="6984">
      <c r="A6984" s="4">
        <v>32.0</v>
      </c>
      <c r="B6984" s="4" t="s">
        <v>16541</v>
      </c>
      <c r="C6984" s="4"/>
      <c r="D6984" s="4" t="s">
        <v>16600</v>
      </c>
      <c r="E6984" s="4" t="s">
        <v>16601</v>
      </c>
      <c r="F6984" s="4" t="s">
        <v>16602</v>
      </c>
      <c r="G6984" s="5" t="str">
        <f>IFERROR(__xludf.DUMMYFUNCTION("GOOGLETRANSLATE(D6984,""it"",""es"")"),"otoño")</f>
        <v>otoño</v>
      </c>
      <c r="H6984" s="4" t="s">
        <v>8705</v>
      </c>
      <c r="I6984" s="4" t="s">
        <v>9239</v>
      </c>
      <c r="J6984" s="4" t="s">
        <v>9240</v>
      </c>
      <c r="K6984" s="4" t="s">
        <v>4502</v>
      </c>
      <c r="L6984" s="4" t="s">
        <v>9241</v>
      </c>
      <c r="M6984" s="4" t="s">
        <v>9242</v>
      </c>
      <c r="N6984" s="4" t="s">
        <v>9243</v>
      </c>
      <c r="O6984" s="4" t="s">
        <v>9244</v>
      </c>
    </row>
    <row r="6985">
      <c r="A6985" s="4">
        <v>33.0</v>
      </c>
      <c r="B6985" s="4" t="s">
        <v>16541</v>
      </c>
      <c r="C6985" s="4"/>
      <c r="D6985" s="4" t="s">
        <v>16603</v>
      </c>
      <c r="E6985" s="4" t="s">
        <v>16604</v>
      </c>
      <c r="F6985" s="4" t="s">
        <v>16605</v>
      </c>
      <c r="G6985" s="5" t="str">
        <f>IFERROR(__xludf.DUMMYFUNCTION("GOOGLETRANSLATE(D6985,""it"",""es"")"),"Camita")</f>
        <v>Camita</v>
      </c>
    </row>
    <row r="6986">
      <c r="A6986" s="4">
        <v>34.0</v>
      </c>
      <c r="B6986" s="4" t="s">
        <v>16541</v>
      </c>
      <c r="C6986" s="4"/>
      <c r="D6986" s="4" t="s">
        <v>16606</v>
      </c>
      <c r="E6986" s="4" t="s">
        <v>16607</v>
      </c>
      <c r="F6986" s="4" t="s">
        <v>16608</v>
      </c>
      <c r="G6986" s="5" t="str">
        <f>IFERROR(__xludf.DUMMYFUNCTION("GOOGLETRANSLATE(D6986,""it"",""es"")"),"Camití")</f>
        <v>Camití</v>
      </c>
    </row>
    <row r="6987">
      <c r="A6987" s="4">
        <v>35.0</v>
      </c>
      <c r="B6987" s="4" t="s">
        <v>16541</v>
      </c>
      <c r="C6987" s="4"/>
      <c r="D6987" s="4" t="s">
        <v>16609</v>
      </c>
      <c r="E6987" s="4" t="s">
        <v>16610</v>
      </c>
      <c r="F6987" s="4" t="s">
        <v>16611</v>
      </c>
      <c r="G6987" s="5" t="str">
        <f>IFERROR(__xludf.DUMMYFUNCTION("GOOGLETRANSLATE(D6987,""it"",""es"")"),"Camuna")</f>
        <v>Camuna</v>
      </c>
    </row>
    <row r="6988">
      <c r="A6988" s="4">
        <v>36.0</v>
      </c>
      <c r="B6988" s="4" t="s">
        <v>16541</v>
      </c>
      <c r="C6988" s="4"/>
      <c r="D6988" s="4" t="s">
        <v>16612</v>
      </c>
      <c r="E6988" s="4" t="s">
        <v>16613</v>
      </c>
      <c r="F6988" s="4" t="s">
        <v>16614</v>
      </c>
      <c r="G6988" s="5" t="str">
        <f>IFERROR(__xludf.DUMMYFUNCTION("GOOGLETRANSLATE(D6988,""it"",""es"")"),"Camuni")</f>
        <v>Camuni</v>
      </c>
    </row>
    <row r="6989">
      <c r="A6989" s="4">
        <v>37.0</v>
      </c>
      <c r="B6989" s="4" t="s">
        <v>16541</v>
      </c>
      <c r="C6989" s="4"/>
      <c r="D6989" s="4" t="s">
        <v>1120</v>
      </c>
      <c r="E6989" s="4" t="s">
        <v>1121</v>
      </c>
      <c r="F6989" s="4" t="s">
        <v>1122</v>
      </c>
      <c r="G6989" s="5" t="str">
        <f>IFERROR(__xludf.DUMMYFUNCTION("GOOGLETRANSLATE(D6989,""it"",""es"")"),"pueden")</f>
        <v>pueden</v>
      </c>
    </row>
    <row r="6990">
      <c r="A6990" s="4">
        <v>38.0</v>
      </c>
      <c r="B6990" s="4" t="s">
        <v>16541</v>
      </c>
      <c r="C6990" s="4"/>
      <c r="D6990" s="4" t="s">
        <v>1123</v>
      </c>
      <c r="E6990" s="4" t="s">
        <v>1124</v>
      </c>
      <c r="F6990" s="4" t="s">
        <v>1125</v>
      </c>
      <c r="G6990" s="5" t="str">
        <f>IFERROR(__xludf.DUMMYFUNCTION("GOOGLETRANSLATE(D6990,""it"",""es"")"),"Césped")</f>
        <v>Césped</v>
      </c>
    </row>
    <row r="6991">
      <c r="A6991" s="4">
        <v>39.0</v>
      </c>
      <c r="B6991" s="4" t="s">
        <v>16541</v>
      </c>
      <c r="C6991" s="4"/>
      <c r="D6991" s="4" t="s">
        <v>16615</v>
      </c>
      <c r="E6991" s="4" t="s">
        <v>16616</v>
      </c>
      <c r="F6991" s="4" t="s">
        <v>16617</v>
      </c>
      <c r="G6991" s="5" t="str">
        <f>IFERROR(__xludf.DUMMYFUNCTION("GOOGLETRANSLATE(D6991,""it"",""es"")"),"cáñamo")</f>
        <v>cáñamo</v>
      </c>
      <c r="H6991" s="4" t="s">
        <v>16618</v>
      </c>
      <c r="I6991" s="4" t="s">
        <v>16619</v>
      </c>
      <c r="J6991" s="4" t="s">
        <v>16620</v>
      </c>
      <c r="K6991" s="4" t="s">
        <v>16621</v>
      </c>
      <c r="L6991" s="4" t="s">
        <v>16622</v>
      </c>
      <c r="M6991" s="4" t="s">
        <v>16623</v>
      </c>
    </row>
    <row r="6992">
      <c r="A6992" s="4">
        <v>40.0</v>
      </c>
      <c r="B6992" s="4" t="s">
        <v>16541</v>
      </c>
      <c r="C6992" s="4"/>
      <c r="D6992" s="4" t="s">
        <v>1231</v>
      </c>
      <c r="E6992" s="4" t="s">
        <v>1232</v>
      </c>
      <c r="F6992" s="4" t="s">
        <v>1233</v>
      </c>
      <c r="G6992" s="5" t="str">
        <f>IFERROR(__xludf.DUMMYFUNCTION("GOOGLETRANSLATE(D6992,""it"",""es"")"),"capaz")</f>
        <v>capaz</v>
      </c>
    </row>
    <row r="6993">
      <c r="A6993" s="4">
        <v>41.0</v>
      </c>
      <c r="B6993" s="4" t="s">
        <v>16541</v>
      </c>
      <c r="C6993" s="4"/>
      <c r="D6993" s="4" t="s">
        <v>11892</v>
      </c>
      <c r="E6993" s="4" t="s">
        <v>1292</v>
      </c>
      <c r="F6993" s="4" t="s">
        <v>1293</v>
      </c>
      <c r="G6993" s="5" t="str">
        <f>IFERROR(__xludf.DUMMYFUNCTION("GOOGLETRANSLATE(D6993,""it"",""es"")"),"suceder")</f>
        <v>suceder</v>
      </c>
    </row>
    <row r="6994">
      <c r="A6994" s="4">
        <v>42.0</v>
      </c>
      <c r="B6994" s="4" t="s">
        <v>16541</v>
      </c>
      <c r="C6994" s="4"/>
      <c r="D6994" s="4" t="s">
        <v>16624</v>
      </c>
      <c r="E6994" s="4" t="s">
        <v>1358</v>
      </c>
      <c r="F6994" s="4" t="s">
        <v>1359</v>
      </c>
      <c r="G6994" s="5" t="str">
        <f>IFERROR(__xludf.DUMMYFUNCTION("GOOGLETRANSLATE(D6994,""it"",""es"")"),"hogar")</f>
        <v>hogar</v>
      </c>
      <c r="H6994" s="4" t="s">
        <v>3573</v>
      </c>
      <c r="I6994" s="4" t="s">
        <v>2125</v>
      </c>
      <c r="J6994" s="4" t="s">
        <v>3574</v>
      </c>
      <c r="K6994" s="4" t="s">
        <v>3575</v>
      </c>
      <c r="L6994" s="4" t="s">
        <v>3576</v>
      </c>
      <c r="M6994" s="4" t="s">
        <v>3577</v>
      </c>
      <c r="N6994" s="4" t="s">
        <v>2130</v>
      </c>
      <c r="O6994" s="4" t="s">
        <v>16625</v>
      </c>
      <c r="P6994" s="4" t="s">
        <v>16626</v>
      </c>
      <c r="Q6994" s="4" t="s">
        <v>9219</v>
      </c>
      <c r="R6994" s="4" t="s">
        <v>13695</v>
      </c>
      <c r="S6994" s="4" t="s">
        <v>16627</v>
      </c>
      <c r="T6994" s="4" t="s">
        <v>16628</v>
      </c>
      <c r="U6994" s="4" t="s">
        <v>16629</v>
      </c>
      <c r="V6994" s="4" t="s">
        <v>2128</v>
      </c>
      <c r="W6994" s="4" t="s">
        <v>2129</v>
      </c>
      <c r="X6994" s="4" t="s">
        <v>2130</v>
      </c>
      <c r="Y6994" s="4" t="s">
        <v>2125</v>
      </c>
      <c r="Z6994" s="4" t="s">
        <v>2131</v>
      </c>
      <c r="AA6994" s="4" t="s">
        <v>2125</v>
      </c>
      <c r="AB6994" s="4" t="s">
        <v>13653</v>
      </c>
      <c r="AC6994" s="4" t="s">
        <v>13654</v>
      </c>
      <c r="AD6994" s="4" t="s">
        <v>13648</v>
      </c>
      <c r="AE6994" s="4" t="s">
        <v>13655</v>
      </c>
      <c r="AF6994" s="4" t="s">
        <v>2130</v>
      </c>
      <c r="AG6994" s="4" t="s">
        <v>13656</v>
      </c>
    </row>
    <row r="6995">
      <c r="A6995" s="4">
        <v>43.0</v>
      </c>
      <c r="B6995" s="4" t="s">
        <v>16541</v>
      </c>
      <c r="C6995" s="4"/>
      <c r="D6995" s="4" t="s">
        <v>16630</v>
      </c>
      <c r="E6995" s="4" t="s">
        <v>16631</v>
      </c>
      <c r="F6995" s="4" t="s">
        <v>16632</v>
      </c>
      <c r="G6995" s="5" t="str">
        <f>IFERROR(__xludf.DUMMYFUNCTION("GOOGLETRANSLATE(D6995,""it"",""es"")"),"casa")</f>
        <v>casa</v>
      </c>
      <c r="H6995" s="4" t="s">
        <v>2130</v>
      </c>
      <c r="I6995" s="4" t="s">
        <v>9239</v>
      </c>
      <c r="J6995" s="4" t="s">
        <v>16633</v>
      </c>
      <c r="K6995" s="4" t="s">
        <v>16634</v>
      </c>
      <c r="L6995" s="4" t="s">
        <v>16635</v>
      </c>
    </row>
    <row r="6996">
      <c r="A6996" s="4">
        <v>44.0</v>
      </c>
      <c r="B6996" s="4" t="s">
        <v>16541</v>
      </c>
      <c r="C6996" s="4"/>
      <c r="D6996" s="4" t="s">
        <v>16636</v>
      </c>
      <c r="E6996" s="4" t="s">
        <v>16637</v>
      </c>
      <c r="F6996" s="4" t="s">
        <v>16638</v>
      </c>
      <c r="G6996" s="5" t="str">
        <f>IFERROR(__xludf.DUMMYFUNCTION("GOOGLETRANSLATE(D6996,""it"",""es"")"),"Casini")</f>
        <v>Casini</v>
      </c>
    </row>
    <row r="6997">
      <c r="A6997" s="4">
        <v>45.0</v>
      </c>
      <c r="B6997" s="4" t="s">
        <v>16541</v>
      </c>
      <c r="C6997" s="4"/>
      <c r="D6997" s="4" t="s">
        <v>16639</v>
      </c>
      <c r="E6997" s="4" t="s">
        <v>16640</v>
      </c>
      <c r="F6997" s="4" t="s">
        <v>16641</v>
      </c>
      <c r="G6997" s="5" t="str">
        <f>IFERROR(__xludf.DUMMYFUNCTION("GOOGLETRANSLATE(D6997,""it"",""es"")"),"Catai")</f>
        <v>Catai</v>
      </c>
    </row>
    <row r="6998">
      <c r="A6998" s="4">
        <v>46.0</v>
      </c>
      <c r="B6998" s="4" t="s">
        <v>16541</v>
      </c>
      <c r="C6998" s="4"/>
      <c r="D6998" s="4" t="s">
        <v>1340</v>
      </c>
      <c r="E6998" s="4" t="s">
        <v>1341</v>
      </c>
      <c r="F6998" s="4" t="s">
        <v>1342</v>
      </c>
      <c r="G6998" s="5" t="str">
        <f>IFERROR(__xludf.DUMMYFUNCTION("GOOGLETRANSLATE(D6998,""it"",""es"")"),"catalán")</f>
        <v>catalán</v>
      </c>
    </row>
    <row r="6999">
      <c r="A6999" s="4">
        <v>47.0</v>
      </c>
      <c r="B6999" s="4" t="s">
        <v>16541</v>
      </c>
      <c r="C6999" s="4"/>
      <c r="D6999" s="4" t="s">
        <v>16642</v>
      </c>
      <c r="E6999" s="4" t="s">
        <v>16643</v>
      </c>
      <c r="F6999" s="4" t="s">
        <v>16644</v>
      </c>
      <c r="G6999" s="5" t="str">
        <f>IFERROR(__xludf.DUMMYFUNCTION("GOOGLETRANSLATE(D6999,""it"",""es"")"),"catalanidad")</f>
        <v>catalanidad</v>
      </c>
    </row>
    <row r="7000">
      <c r="A7000" s="4">
        <v>48.0</v>
      </c>
      <c r="B7000" s="4" t="s">
        <v>16541</v>
      </c>
      <c r="C7000" s="4"/>
      <c r="D7000" s="4" t="s">
        <v>16645</v>
      </c>
      <c r="E7000" s="4" t="s">
        <v>12452</v>
      </c>
      <c r="F7000" s="4" t="s">
        <v>12451</v>
      </c>
      <c r="G7000" s="5" t="str">
        <f>IFERROR(__xludf.DUMMYFUNCTION("GOOGLETRANSLATE(D7000,""it"",""es"")"),"montón")</f>
        <v>montón</v>
      </c>
    </row>
    <row r="7001">
      <c r="A7001" s="4">
        <v>49.0</v>
      </c>
      <c r="B7001" s="4" t="s">
        <v>16541</v>
      </c>
      <c r="C7001" s="4"/>
      <c r="D7001" s="4" t="s">
        <v>16646</v>
      </c>
      <c r="E7001" s="4" t="s">
        <v>16647</v>
      </c>
      <c r="F7001" s="4" t="s">
        <v>16648</v>
      </c>
      <c r="G7001" s="5" t="str">
        <f>IFERROR(__xludf.DUMMYFUNCTION("GOOGLETRANSLATE(D7001,""it"",""es"")"),"catiline")</f>
        <v>catiline</v>
      </c>
    </row>
    <row r="7002">
      <c r="A7002" s="4">
        <v>50.0</v>
      </c>
      <c r="B7002" s="4" t="s">
        <v>16541</v>
      </c>
      <c r="C7002" s="4"/>
      <c r="D7002" s="4" t="s">
        <v>12469</v>
      </c>
      <c r="E7002" s="4" t="s">
        <v>2013</v>
      </c>
      <c r="F7002" s="4" t="s">
        <v>2014</v>
      </c>
      <c r="G7002" s="5" t="str">
        <f>IFERROR(__xludf.DUMMYFUNCTION("GOOGLETRANSLATE(D7002,""it"",""es"")"),"quién")</f>
        <v>quién</v>
      </c>
    </row>
    <row r="7003">
      <c r="A7003" s="4">
        <v>51.0</v>
      </c>
      <c r="B7003" s="4" t="s">
        <v>16541</v>
      </c>
      <c r="C7003" s="4"/>
      <c r="D7003" s="4" t="s">
        <v>16649</v>
      </c>
      <c r="E7003" s="4" t="s">
        <v>3855</v>
      </c>
      <c r="F7003" s="4" t="s">
        <v>3856</v>
      </c>
      <c r="G7003" s="5" t="str">
        <f>IFERROR(__xludf.DUMMYFUNCTION("GOOGLETRANSLATE(D7003,""it"",""es"")"),"química")</f>
        <v>química</v>
      </c>
      <c r="H7003" s="4" t="s">
        <v>3857</v>
      </c>
      <c r="I7003" s="4" t="s">
        <v>3858</v>
      </c>
    </row>
    <row r="7004">
      <c r="A7004" s="4">
        <v>52.0</v>
      </c>
      <c r="B7004" s="4" t="s">
        <v>16541</v>
      </c>
      <c r="C7004" s="4"/>
      <c r="D7004" s="4" t="s">
        <v>12054</v>
      </c>
      <c r="E7004" s="4" t="s">
        <v>3819</v>
      </c>
      <c r="F7004" s="4" t="s">
        <v>3820</v>
      </c>
      <c r="G7004" s="5" t="str">
        <f>IFERROR(__xludf.DUMMYFUNCTION("GOOGLETRANSLATE(D7004,""it"",""es"")"),"China")</f>
        <v>China</v>
      </c>
      <c r="H7004" s="4" t="s">
        <v>9239</v>
      </c>
      <c r="I7004" s="4" t="s">
        <v>9240</v>
      </c>
      <c r="J7004" s="4" t="s">
        <v>4502</v>
      </c>
      <c r="K7004" s="4" t="s">
        <v>9241</v>
      </c>
      <c r="L7004" s="4" t="s">
        <v>9242</v>
      </c>
      <c r="M7004" s="4" t="s">
        <v>9243</v>
      </c>
      <c r="N7004" s="4" t="s">
        <v>9244</v>
      </c>
      <c r="O7004" s="4" t="s">
        <v>10638</v>
      </c>
      <c r="P7004" s="4" t="s">
        <v>10639</v>
      </c>
      <c r="Q7004" s="4" t="s">
        <v>515</v>
      </c>
      <c r="R7004" s="4" t="s">
        <v>3821</v>
      </c>
      <c r="S7004" s="4" t="s">
        <v>16650</v>
      </c>
      <c r="T7004" s="4" t="s">
        <v>3821</v>
      </c>
      <c r="U7004" s="4" t="s">
        <v>3822</v>
      </c>
      <c r="V7004" s="4" t="s">
        <v>3823</v>
      </c>
      <c r="W7004" s="4" t="s">
        <v>3824</v>
      </c>
    </row>
    <row r="7005">
      <c r="A7005" s="4">
        <v>53.0</v>
      </c>
      <c r="B7005" s="4" t="s">
        <v>16541</v>
      </c>
      <c r="C7005" s="4"/>
      <c r="D7005" s="4" t="s">
        <v>16651</v>
      </c>
      <c r="E7005" s="4" t="s">
        <v>16652</v>
      </c>
      <c r="F7005" s="4" t="s">
        <v>6478</v>
      </c>
      <c r="G7005" s="4" t="s">
        <v>16653</v>
      </c>
    </row>
    <row r="7006">
      <c r="A7006" s="4">
        <v>54.0</v>
      </c>
      <c r="B7006" s="4" t="s">
        <v>16541</v>
      </c>
      <c r="C7006" s="4"/>
      <c r="D7006" s="4" t="s">
        <v>6068</v>
      </c>
      <c r="E7006" s="4" t="s">
        <v>4020</v>
      </c>
      <c r="F7006" s="4" t="s">
        <v>4019</v>
      </c>
      <c r="G7006" s="5" t="str">
        <f>IFERROR(__xludf.DUMMYFUNCTION("GOOGLETRANSLATE(D7006,""it"",""es"")"),"Ciudad")</f>
        <v>Ciudad</v>
      </c>
    </row>
    <row r="7007">
      <c r="A7007" s="4">
        <v>55.0</v>
      </c>
      <c r="B7007" s="4" t="s">
        <v>16541</v>
      </c>
      <c r="C7007" s="4"/>
      <c r="D7007" s="4" t="s">
        <v>1580</v>
      </c>
      <c r="E7007" s="4" t="s">
        <v>1581</v>
      </c>
      <c r="F7007" s="4" t="s">
        <v>1582</v>
      </c>
      <c r="G7007" s="5" t="str">
        <f>IFERROR(__xludf.DUMMYFUNCTION("GOOGLETRANSLATE(D7007,""it"",""es"")"),"cupia")</f>
        <v>cupia</v>
      </c>
      <c r="H7007" s="4" t="s">
        <v>16654</v>
      </c>
    </row>
    <row r="7008">
      <c r="A7008" s="4">
        <v>56.0</v>
      </c>
      <c r="B7008" s="4" t="s">
        <v>16541</v>
      </c>
      <c r="C7008" s="4"/>
      <c r="D7008" s="4" t="s">
        <v>16655</v>
      </c>
      <c r="E7008" s="4" t="s">
        <v>9115</v>
      </c>
      <c r="F7008" s="4" t="s">
        <v>9114</v>
      </c>
      <c r="G7008" s="5" t="str">
        <f>IFERROR(__xludf.DUMMYFUNCTION("GOOGLETRANSLATE(D7008,""it"",""es"")"),"cuco")</f>
        <v>cuco</v>
      </c>
      <c r="H7008" s="4" t="s">
        <v>9118</v>
      </c>
    </row>
    <row r="7009">
      <c r="A7009" s="4">
        <v>57.0</v>
      </c>
      <c r="B7009" s="4" t="s">
        <v>16541</v>
      </c>
      <c r="C7009" s="4"/>
      <c r="D7009" s="4" t="s">
        <v>16656</v>
      </c>
      <c r="E7009" s="4" t="s">
        <v>12219</v>
      </c>
      <c r="F7009" s="4" t="s">
        <v>468</v>
      </c>
      <c r="G7009" s="5" t="str">
        <f>IFERROR(__xludf.DUMMYFUNCTION("GOOGLETRANSLATE(D7009,""it"",""es"")"),"cual")</f>
        <v>cual</v>
      </c>
    </row>
    <row r="7010">
      <c r="A7010" s="4">
        <v>58.0</v>
      </c>
      <c r="B7010" s="4" t="s">
        <v>16541</v>
      </c>
      <c r="C7010" s="4"/>
      <c r="D7010" s="4" t="s">
        <v>16657</v>
      </c>
      <c r="E7010" s="4" t="s">
        <v>16658</v>
      </c>
      <c r="F7010" s="4" t="s">
        <v>16659</v>
      </c>
      <c r="G7010" s="5" t="str">
        <f>IFERROR(__xludf.DUMMYFUNCTION("GOOGLETRANSLATE(D7010,""it"",""es"")"),"culachi")</f>
        <v>culachi</v>
      </c>
    </row>
    <row r="7011">
      <c r="A7011" s="4">
        <v>59.0</v>
      </c>
      <c r="B7011" s="4" t="s">
        <v>16541</v>
      </c>
      <c r="C7011" s="4"/>
      <c r="D7011" s="4" t="s">
        <v>16660</v>
      </c>
      <c r="E7011" s="4" t="s">
        <v>15066</v>
      </c>
      <c r="F7011" s="4" t="s">
        <v>10135</v>
      </c>
      <c r="G7011" s="5" t="str">
        <f>IFERROR(__xludf.DUMMYFUNCTION("GOOGLETRANSLATE(D7011,""it"",""es"")"),"cuna")</f>
        <v>cuna</v>
      </c>
    </row>
    <row r="7012">
      <c r="A7012" s="4">
        <v>60.0</v>
      </c>
      <c r="B7012" s="4" t="s">
        <v>16541</v>
      </c>
      <c r="C7012" s="4"/>
      <c r="D7012" s="4" t="s">
        <v>16661</v>
      </c>
      <c r="E7012" s="4" t="s">
        <v>2151</v>
      </c>
      <c r="F7012" s="4" t="s">
        <v>2150</v>
      </c>
      <c r="G7012" s="5" t="str">
        <f>IFERROR(__xludf.DUMMYFUNCTION("GOOGLETRANSLATE(D7012,""it"",""es"")"),"la")</f>
        <v>la</v>
      </c>
    </row>
    <row r="7013">
      <c r="A7013" s="4">
        <v>61.0</v>
      </c>
      <c r="B7013" s="4" t="s">
        <v>16541</v>
      </c>
      <c r="C7013" s="4"/>
      <c r="D7013" s="4" t="s">
        <v>16662</v>
      </c>
      <c r="E7013" s="4" t="s">
        <v>16663</v>
      </c>
      <c r="F7013" s="4" t="s">
        <v>16664</v>
      </c>
      <c r="G7013" s="5" t="str">
        <f>IFERROR(__xludf.DUMMYFUNCTION("GOOGLETRANSLATE(D7013,""it"",""es"")"),"gna")</f>
        <v>gna</v>
      </c>
    </row>
    <row r="7014">
      <c r="A7014" s="4">
        <v>62.0</v>
      </c>
      <c r="B7014" s="4" t="s">
        <v>16541</v>
      </c>
      <c r="C7014" s="4"/>
      <c r="D7014" s="4" t="s">
        <v>3067</v>
      </c>
      <c r="E7014" s="4" t="s">
        <v>3065</v>
      </c>
      <c r="F7014" s="4" t="s">
        <v>3066</v>
      </c>
      <c r="G7014" s="5" t="str">
        <f>IFERROR(__xludf.DUMMYFUNCTION("GOOGLETRANSLATE(D7014,""it"",""es"")"),"ñu")</f>
        <v>ñu</v>
      </c>
      <c r="H7014" s="4" t="s">
        <v>3067</v>
      </c>
      <c r="I7014" s="4" t="s">
        <v>3068</v>
      </c>
    </row>
    <row r="7015">
      <c r="A7015" s="4">
        <v>63.0</v>
      </c>
      <c r="B7015" s="4" t="s">
        <v>16541</v>
      </c>
      <c r="C7015" s="4"/>
      <c r="D7015" s="4" t="s">
        <v>16665</v>
      </c>
      <c r="E7015" s="4" t="s">
        <v>504</v>
      </c>
      <c r="F7015" s="4" t="s">
        <v>505</v>
      </c>
      <c r="G7015" s="5" t="str">
        <f>IFERROR(__xludf.DUMMYFUNCTION("GOOGLETRANSLATE(D7015,""it"",""es"")"),"tú tienes")</f>
        <v>tú tienes</v>
      </c>
    </row>
    <row r="7016">
      <c r="A7016" s="4">
        <v>64.0</v>
      </c>
      <c r="B7016" s="4" t="s">
        <v>16541</v>
      </c>
      <c r="C7016" s="4"/>
      <c r="D7016" s="4" t="s">
        <v>16666</v>
      </c>
      <c r="E7016" s="4" t="s">
        <v>16667</v>
      </c>
      <c r="F7016" s="4" t="s">
        <v>16668</v>
      </c>
      <c r="G7016" s="5" t="str">
        <f>IFERROR(__xludf.DUMMYFUNCTION("GOOGLETRANSLATE(D7016,""it"",""es"")"),"Huchi")</f>
        <v>Huchi</v>
      </c>
    </row>
    <row r="7017">
      <c r="A7017" s="4">
        <v>65.0</v>
      </c>
      <c r="B7017" s="4" t="s">
        <v>16541</v>
      </c>
      <c r="C7017" s="4"/>
      <c r="D7017" s="4" t="s">
        <v>9592</v>
      </c>
      <c r="E7017" s="4" t="s">
        <v>11562</v>
      </c>
      <c r="F7017" s="4" t="s">
        <v>11561</v>
      </c>
      <c r="G7017" s="5" t="str">
        <f>IFERROR(__xludf.DUMMYFUNCTION("GOOGLETRANSLATE(D7017,""it"",""es"")"),"hutu")</f>
        <v>hutu</v>
      </c>
    </row>
    <row r="7018">
      <c r="A7018" s="4">
        <v>66.0</v>
      </c>
      <c r="B7018" s="4" t="s">
        <v>16541</v>
      </c>
      <c r="C7018" s="4"/>
      <c r="D7018" s="4" t="s">
        <v>6341</v>
      </c>
      <c r="E7018" s="4" t="s">
        <v>9010</v>
      </c>
      <c r="F7018" s="4" t="s">
        <v>6341</v>
      </c>
      <c r="G7018" s="5" t="str">
        <f>IFERROR(__xludf.DUMMYFUNCTION("GOOGLETRANSLATE(D7018,""it"",""es"")"),"la")</f>
        <v>la</v>
      </c>
    </row>
    <row r="7019">
      <c r="A7019" s="4">
        <v>67.0</v>
      </c>
      <c r="B7019" s="4" t="s">
        <v>16541</v>
      </c>
      <c r="C7019" s="4"/>
      <c r="D7019" s="4" t="s">
        <v>8350</v>
      </c>
      <c r="E7019" s="4" t="s">
        <v>16669</v>
      </c>
      <c r="F7019" s="4" t="s">
        <v>8350</v>
      </c>
      <c r="G7019" s="5" t="str">
        <f>IFERROR(__xludf.DUMMYFUNCTION("GOOGLETRANSLATE(D7019,""it"",""es"")"),"Ili")</f>
        <v>Ili</v>
      </c>
    </row>
    <row r="7020">
      <c r="A7020" s="4">
        <v>68.0</v>
      </c>
      <c r="B7020" s="4" t="s">
        <v>16541</v>
      </c>
      <c r="C7020" s="4"/>
      <c r="D7020" s="4" t="s">
        <v>310</v>
      </c>
      <c r="E7020" s="4" t="s">
        <v>309</v>
      </c>
      <c r="F7020" s="4" t="s">
        <v>310</v>
      </c>
      <c r="G7020" s="5" t="str">
        <f>IFERROR(__xludf.DUMMYFUNCTION("GOOGLETRANSLATE(D7020,""it"",""es"")"),"imán")</f>
        <v>imán</v>
      </c>
      <c r="H7020" s="4" t="s">
        <v>310</v>
      </c>
      <c r="I7020" s="4" t="s">
        <v>1900</v>
      </c>
    </row>
    <row r="7021">
      <c r="A7021" s="4">
        <v>69.0</v>
      </c>
      <c r="B7021" s="4" t="s">
        <v>16541</v>
      </c>
      <c r="C7021" s="4"/>
      <c r="D7021" s="4" t="s">
        <v>9681</v>
      </c>
      <c r="E7021" s="4" t="s">
        <v>9682</v>
      </c>
      <c r="F7021" s="4" t="s">
        <v>9681</v>
      </c>
      <c r="G7021" s="5" t="str">
        <f>IFERROR(__xludf.DUMMYFUNCTION("GOOGLETRANSLATE(D7021,""it"",""es"")"),"imi")</f>
        <v>imi</v>
      </c>
    </row>
    <row r="7022">
      <c r="A7022" s="4">
        <v>70.0</v>
      </c>
      <c r="B7022" s="4" t="s">
        <v>16541</v>
      </c>
      <c r="C7022" s="4"/>
      <c r="D7022" s="4" t="s">
        <v>1907</v>
      </c>
      <c r="E7022" s="4" t="s">
        <v>1906</v>
      </c>
      <c r="F7022" s="4" t="s">
        <v>1907</v>
      </c>
      <c r="G7022" s="5" t="str">
        <f>IFERROR(__xludf.DUMMYFUNCTION("GOOGLETRANSLATE(D7022,""it"",""es"")"),"imita")</f>
        <v>imita</v>
      </c>
    </row>
    <row r="7023">
      <c r="A7023" s="4">
        <v>71.0</v>
      </c>
      <c r="B7023" s="4" t="s">
        <v>16541</v>
      </c>
      <c r="C7023" s="4"/>
      <c r="D7023" s="4" t="s">
        <v>16670</v>
      </c>
      <c r="E7023" s="4" t="s">
        <v>16671</v>
      </c>
      <c r="F7023" s="4" t="s">
        <v>16670</v>
      </c>
      <c r="G7023" s="5" t="str">
        <f>IFERROR(__xludf.DUMMYFUNCTION("GOOGLETRANSLATE(D7023,""it"",""es"")"),"Los mitos")</f>
        <v>Los mitos</v>
      </c>
    </row>
    <row r="7024">
      <c r="A7024" s="4">
        <v>72.0</v>
      </c>
      <c r="B7024" s="4" t="s">
        <v>16541</v>
      </c>
      <c r="C7024" s="4"/>
      <c r="D7024" s="4" t="s">
        <v>4824</v>
      </c>
      <c r="E7024" s="4" t="s">
        <v>9699</v>
      </c>
      <c r="F7024" s="4" t="s">
        <v>4824</v>
      </c>
      <c r="G7024" s="5" t="str">
        <f>IFERROR(__xludf.DUMMYFUNCTION("GOOGLETRANSLATE(D7024,""it"",""es"")"),"en")</f>
        <v>en</v>
      </c>
    </row>
    <row r="7025">
      <c r="A7025" s="4">
        <v>73.0</v>
      </c>
      <c r="B7025" s="4" t="s">
        <v>16541</v>
      </c>
      <c r="C7025" s="4"/>
      <c r="D7025" s="4" t="s">
        <v>16672</v>
      </c>
      <c r="E7025" s="4" t="s">
        <v>16673</v>
      </c>
      <c r="F7025" s="4" t="s">
        <v>16674</v>
      </c>
      <c r="G7025" s="5" t="str">
        <f>IFERROR(__xludf.DUMMYFUNCTION("GOOGLETRANSLATE(D7025,""it"",""es"")"),"incertito")</f>
        <v>incertito</v>
      </c>
    </row>
    <row r="7026">
      <c r="A7026" s="4">
        <v>74.0</v>
      </c>
      <c r="B7026" s="4" t="s">
        <v>16541</v>
      </c>
      <c r="C7026" s="4"/>
      <c r="D7026" s="4" t="s">
        <v>16675</v>
      </c>
      <c r="E7026" s="4" t="s">
        <v>16676</v>
      </c>
      <c r="F7026" s="4" t="s">
        <v>16677</v>
      </c>
      <c r="G7026" s="5" t="str">
        <f>IFERROR(__xludf.DUMMYFUNCTION("GOOGLETRANSLATE(D7026,""it"",""es"")"),"inanidad")</f>
        <v>inanidad</v>
      </c>
      <c r="H7026" s="4" t="s">
        <v>16678</v>
      </c>
    </row>
    <row r="7027">
      <c r="A7027" s="4">
        <v>75.0</v>
      </c>
      <c r="B7027" s="4" t="s">
        <v>16541</v>
      </c>
      <c r="C7027" s="4"/>
      <c r="D7027" s="4" t="s">
        <v>16679</v>
      </c>
      <c r="E7027" s="4" t="s">
        <v>16680</v>
      </c>
      <c r="F7027" s="4" t="s">
        <v>16681</v>
      </c>
      <c r="G7027" s="5" t="str">
        <f>IFERROR(__xludf.DUMMYFUNCTION("GOOGLETRANSLATE(D7027,""it"",""es"")"),"no realizado")</f>
        <v>no realizado</v>
      </c>
    </row>
    <row r="7028">
      <c r="A7028" s="4">
        <v>76.0</v>
      </c>
      <c r="B7028" s="4" t="s">
        <v>16541</v>
      </c>
      <c r="C7028" s="4"/>
      <c r="D7028" s="4" t="s">
        <v>16682</v>
      </c>
      <c r="E7028" s="4" t="s">
        <v>16683</v>
      </c>
      <c r="F7028" s="4" t="s">
        <v>16684</v>
      </c>
      <c r="G7028" s="5" t="str">
        <f>IFERROR(__xludf.DUMMYFUNCTION("GOOGLETRANSLATE(D7028,""it"",""es"")"),"inhumanidad")</f>
        <v>inhumanidad</v>
      </c>
      <c r="H7028" s="4" t="s">
        <v>16685</v>
      </c>
      <c r="I7028" s="4" t="s">
        <v>16686</v>
      </c>
      <c r="J7028" s="4" t="s">
        <v>16687</v>
      </c>
      <c r="K7028" s="4" t="s">
        <v>16686</v>
      </c>
      <c r="L7028" s="4" t="s">
        <v>16688</v>
      </c>
      <c r="M7028" s="4" t="s">
        <v>16689</v>
      </c>
      <c r="N7028" s="4" t="s">
        <v>16690</v>
      </c>
      <c r="O7028" s="4" t="s">
        <v>16691</v>
      </c>
    </row>
    <row r="7029">
      <c r="A7029" s="4">
        <v>77.0</v>
      </c>
      <c r="B7029" s="4" t="s">
        <v>16541</v>
      </c>
      <c r="C7029" s="4"/>
      <c r="D7029" s="4" t="s">
        <v>16692</v>
      </c>
      <c r="E7029" s="4" t="s">
        <v>16693</v>
      </c>
      <c r="F7029" s="4" t="s">
        <v>16694</v>
      </c>
      <c r="G7029" s="5" t="str">
        <f>IFERROR(__xludf.DUMMYFUNCTION("GOOGLETRANSLATE(D7029,""it"",""es"")"),"inutilidad")</f>
        <v>inutilidad</v>
      </c>
      <c r="H7029" s="4" t="s">
        <v>16678</v>
      </c>
    </row>
    <row r="7030">
      <c r="A7030" s="4">
        <v>78.0</v>
      </c>
      <c r="B7030" s="4" t="s">
        <v>16541</v>
      </c>
      <c r="C7030" s="4"/>
      <c r="D7030" s="4" t="s">
        <v>16695</v>
      </c>
      <c r="E7030" s="4" t="s">
        <v>16696</v>
      </c>
      <c r="F7030" s="4" t="s">
        <v>16695</v>
      </c>
      <c r="G7030" s="5" t="str">
        <f>IFERROR(__xludf.DUMMYFUNCTION("GOOGLETRANSLATE(D7030,""it"",""es"")"),"Itala")</f>
        <v>Itala</v>
      </c>
    </row>
    <row r="7031">
      <c r="A7031" s="4">
        <v>79.0</v>
      </c>
      <c r="B7031" s="4" t="s">
        <v>16541</v>
      </c>
      <c r="C7031" s="4"/>
      <c r="D7031" s="4" t="s">
        <v>968</v>
      </c>
      <c r="E7031" s="4" t="s">
        <v>967</v>
      </c>
      <c r="F7031" s="4" t="s">
        <v>968</v>
      </c>
      <c r="G7031" s="5" t="str">
        <f>IFERROR(__xludf.DUMMYFUNCTION("GOOGLETRANSLATE(D7031,""it"",""es"")"),"kayac")</f>
        <v>kayac</v>
      </c>
      <c r="H7031" s="4" t="s">
        <v>968</v>
      </c>
    </row>
    <row r="7032">
      <c r="A7032" s="4">
        <v>80.0</v>
      </c>
      <c r="B7032" s="4" t="s">
        <v>16541</v>
      </c>
      <c r="C7032" s="4"/>
      <c r="D7032" s="4" t="s">
        <v>16697</v>
      </c>
      <c r="E7032" s="4" t="s">
        <v>1121</v>
      </c>
      <c r="F7032" s="4" t="s">
        <v>1122</v>
      </c>
      <c r="G7032" s="5" t="str">
        <f>IFERROR(__xludf.DUMMYFUNCTION("GOOGLETRANSLATE(D7032,""it"",""es"")"),"kan")</f>
        <v>kan</v>
      </c>
    </row>
    <row r="7033">
      <c r="A7033" s="4">
        <v>81.0</v>
      </c>
      <c r="B7033" s="4" t="s">
        <v>16541</v>
      </c>
      <c r="C7033" s="4"/>
      <c r="D7033" s="4" t="s">
        <v>16698</v>
      </c>
      <c r="E7033" s="4" t="s">
        <v>16699</v>
      </c>
      <c r="F7033" s="4" t="s">
        <v>16700</v>
      </c>
      <c r="G7033" s="5" t="str">
        <f>IFERROR(__xludf.DUMMYFUNCTION("GOOGLETRANSLATE(D7033,""it"",""es"")"),"khanati")</f>
        <v>khanati</v>
      </c>
    </row>
    <row r="7034">
      <c r="A7034" s="4">
        <v>82.0</v>
      </c>
      <c r="B7034" s="4" t="s">
        <v>16541</v>
      </c>
      <c r="C7034" s="4"/>
      <c r="D7034" s="4" t="s">
        <v>6513</v>
      </c>
      <c r="E7034" s="4" t="s">
        <v>8401</v>
      </c>
      <c r="F7034" s="4" t="s">
        <v>6513</v>
      </c>
      <c r="G7034" s="5" t="str">
        <f>IFERROR(__xludf.DUMMYFUNCTION("GOOGLETRANSLATE(D7034,""it"",""es"")"),"Kilim")</f>
        <v>Kilim</v>
      </c>
    </row>
    <row r="7035">
      <c r="A7035" s="4">
        <v>83.0</v>
      </c>
      <c r="B7035" s="4" t="s">
        <v>16541</v>
      </c>
      <c r="C7035" s="4"/>
      <c r="D7035" s="4" t="s">
        <v>8425</v>
      </c>
      <c r="E7035" s="4" t="s">
        <v>12483</v>
      </c>
      <c r="F7035" s="4" t="s">
        <v>8425</v>
      </c>
      <c r="G7035" s="5" t="str">
        <f>IFERROR(__xludf.DUMMYFUNCTION("GOOGLETRANSLATE(D7035,""it"",""es"")"),"kulak")</f>
        <v>kulak</v>
      </c>
    </row>
    <row r="7036">
      <c r="A7036" s="4">
        <v>84.0</v>
      </c>
      <c r="B7036" s="4" t="s">
        <v>16541</v>
      </c>
      <c r="C7036" s="4"/>
      <c r="D7036" s="4" t="s">
        <v>16701</v>
      </c>
      <c r="E7036" s="4" t="s">
        <v>16702</v>
      </c>
      <c r="F7036" s="4" t="s">
        <v>16701</v>
      </c>
      <c r="G7036" s="5" t="str">
        <f>IFERROR(__xludf.DUMMYFUNCTION("GOOGLETRANSLATE(D7036,""it"",""es"")"),"kulán")</f>
        <v>kulán</v>
      </c>
    </row>
    <row r="7037">
      <c r="A7037" s="4">
        <v>85.0</v>
      </c>
      <c r="B7037" s="4" t="s">
        <v>16541</v>
      </c>
      <c r="C7037" s="4"/>
      <c r="D7037" s="4" t="s">
        <v>2015</v>
      </c>
      <c r="E7037" s="4" t="s">
        <v>2016</v>
      </c>
      <c r="F7037" s="4" t="s">
        <v>2015</v>
      </c>
      <c r="G7037" s="5" t="str">
        <f>IFERROR(__xludf.DUMMYFUNCTION("GOOGLETRANSLATE(D7037,""it"",""es"")"),"allá")</f>
        <v>allá</v>
      </c>
      <c r="H7037" s="4" t="s">
        <v>2015</v>
      </c>
      <c r="I7037" s="4" t="s">
        <v>2017</v>
      </c>
    </row>
    <row r="7038">
      <c r="A7038" s="4">
        <v>86.0</v>
      </c>
      <c r="B7038" s="4" t="s">
        <v>16541</v>
      </c>
      <c r="C7038" s="4"/>
      <c r="D7038" s="4" t="s">
        <v>16703</v>
      </c>
      <c r="E7038" s="4" t="s">
        <v>15069</v>
      </c>
      <c r="F7038" s="4" t="s">
        <v>6531</v>
      </c>
      <c r="G7038" s="5" t="str">
        <f>IFERROR(__xludf.DUMMYFUNCTION("GOOGLETRANSLATE(D7038,""it"",""es"")"),"Lachi")</f>
        <v>Lachi</v>
      </c>
    </row>
    <row r="7039">
      <c r="A7039" s="4">
        <v>87.0</v>
      </c>
      <c r="B7039" s="4" t="s">
        <v>16541</v>
      </c>
      <c r="C7039" s="4"/>
      <c r="D7039" s="4" t="s">
        <v>16704</v>
      </c>
      <c r="E7039" s="4" t="s">
        <v>16705</v>
      </c>
      <c r="F7039" s="4" t="s">
        <v>16706</v>
      </c>
      <c r="G7039" s="5" t="str">
        <f>IFERROR(__xludf.DUMMYFUNCTION("GOOGLETRANSLATE(D7039,""it"",""es"")"),"brecha")</f>
        <v>brecha</v>
      </c>
      <c r="H7039" s="4" t="s">
        <v>16704</v>
      </c>
      <c r="I7039" s="4" t="s">
        <v>16707</v>
      </c>
    </row>
    <row r="7040">
      <c r="A7040" s="4">
        <v>88.0</v>
      </c>
      <c r="B7040" s="4" t="s">
        <v>16541</v>
      </c>
      <c r="C7040" s="4"/>
      <c r="D7040" s="4" t="s">
        <v>10244</v>
      </c>
      <c r="E7040" s="4" t="s">
        <v>12499</v>
      </c>
      <c r="F7040" s="4" t="s">
        <v>10244</v>
      </c>
      <c r="G7040" s="5" t="str">
        <f>IFERROR(__xludf.DUMMYFUNCTION("GOOGLETRANSLATE(D7040,""it"",""es"")"),"lama")</f>
        <v>lama</v>
      </c>
      <c r="H7040" s="4" t="s">
        <v>2099</v>
      </c>
      <c r="I7040" s="4" t="s">
        <v>16708</v>
      </c>
      <c r="J7040" s="4" t="s">
        <v>16709</v>
      </c>
      <c r="K7040" s="4" t="s">
        <v>10259</v>
      </c>
      <c r="L7040" s="4" t="s">
        <v>16710</v>
      </c>
      <c r="M7040" s="4" t="s">
        <v>10259</v>
      </c>
      <c r="N7040" s="4" t="s">
        <v>4235</v>
      </c>
      <c r="O7040" s="4" t="s">
        <v>16711</v>
      </c>
      <c r="P7040" s="4" t="s">
        <v>16712</v>
      </c>
      <c r="Q7040" s="4" t="s">
        <v>16713</v>
      </c>
      <c r="R7040" s="4" t="s">
        <v>16714</v>
      </c>
      <c r="S7040" s="4" t="s">
        <v>16715</v>
      </c>
      <c r="T7040" s="4" t="s">
        <v>10244</v>
      </c>
    </row>
    <row r="7041">
      <c r="A7041" s="4">
        <v>89.0</v>
      </c>
      <c r="B7041" s="4" t="s">
        <v>16541</v>
      </c>
      <c r="C7041" s="4"/>
      <c r="D7041" s="4" t="s">
        <v>10255</v>
      </c>
      <c r="E7041" s="4" t="s">
        <v>16716</v>
      </c>
      <c r="F7041" s="4" t="s">
        <v>10255</v>
      </c>
      <c r="G7041" s="5" t="str">
        <f>IFERROR(__xludf.DUMMYFUNCTION("GOOGLETRANSLATE(D7041,""it"",""es"")"),"lana")</f>
        <v>lana</v>
      </c>
      <c r="H7041" s="4" t="s">
        <v>2109</v>
      </c>
      <c r="I7041" s="4" t="s">
        <v>2111</v>
      </c>
      <c r="J7041" s="4" t="s">
        <v>2112</v>
      </c>
    </row>
    <row r="7042">
      <c r="A7042" s="4">
        <v>90.0</v>
      </c>
      <c r="B7042" s="4" t="s">
        <v>16541</v>
      </c>
      <c r="C7042" s="4"/>
      <c r="D7042" s="4" t="s">
        <v>15927</v>
      </c>
      <c r="E7042" s="4" t="s">
        <v>15928</v>
      </c>
      <c r="F7042" s="4" t="s">
        <v>15927</v>
      </c>
      <c r="G7042" s="5" t="str">
        <f>IFERROR(__xludf.DUMMYFUNCTION("GOOGLETRANSLATE(D7042,""it"",""es"")"),"lata")</f>
        <v>lata</v>
      </c>
    </row>
    <row r="7043">
      <c r="A7043" s="4">
        <v>91.0</v>
      </c>
      <c r="B7043" s="4" t="s">
        <v>16541</v>
      </c>
      <c r="C7043" s="4"/>
      <c r="D7043" s="4" t="s">
        <v>12535</v>
      </c>
      <c r="E7043" s="4" t="s">
        <v>12534</v>
      </c>
      <c r="F7043" s="4" t="s">
        <v>12535</v>
      </c>
      <c r="G7043" s="5" t="str">
        <f>IFERROR(__xludf.DUMMYFUNCTION("GOOGLETRANSLATE(D7043,""it"",""es"")"),"lado")</f>
        <v>lado</v>
      </c>
    </row>
    <row r="7044">
      <c r="A7044" s="4">
        <v>92.0</v>
      </c>
      <c r="B7044" s="4" t="s">
        <v>16541</v>
      </c>
      <c r="C7044" s="4"/>
      <c r="D7044" s="4" t="s">
        <v>10275</v>
      </c>
      <c r="E7044" s="4" t="s">
        <v>16717</v>
      </c>
      <c r="F7044" s="4" t="s">
        <v>10275</v>
      </c>
      <c r="G7044" s="5" t="str">
        <f>IFERROR(__xludf.DUMMYFUNCTION("GOOGLETRANSLATE(D7044,""it"",""es"")"),"latín")</f>
        <v>latín</v>
      </c>
    </row>
    <row r="7045">
      <c r="A7045" s="4">
        <v>93.0</v>
      </c>
      <c r="B7045" s="4" t="s">
        <v>16541</v>
      </c>
      <c r="C7045" s="4"/>
      <c r="D7045" s="4" t="s">
        <v>16718</v>
      </c>
      <c r="E7045" s="4" t="s">
        <v>16719</v>
      </c>
      <c r="F7045" s="4" t="s">
        <v>16720</v>
      </c>
      <c r="G7045" s="5" t="str">
        <f>IFERROR(__xludf.DUMMYFUNCTION("GOOGLETRANSLATE(D7045,""it"",""es"")"),"latín")</f>
        <v>latín</v>
      </c>
    </row>
    <row r="7046">
      <c r="A7046" s="4">
        <v>94.0</v>
      </c>
      <c r="B7046" s="4" t="s">
        <v>16541</v>
      </c>
      <c r="C7046" s="4"/>
      <c r="D7046" s="4" t="s">
        <v>2037</v>
      </c>
      <c r="E7046" s="4" t="s">
        <v>2038</v>
      </c>
      <c r="F7046" s="4" t="s">
        <v>2037</v>
      </c>
      <c r="G7046" s="5" t="str">
        <f>IFERROR(__xludf.DUMMYFUNCTION("GOOGLETRANSLATE(D7046,""it"",""es"")"),"allá")</f>
        <v>allá</v>
      </c>
    </row>
    <row r="7047">
      <c r="A7047" s="4">
        <v>95.0</v>
      </c>
      <c r="B7047" s="4" t="s">
        <v>16541</v>
      </c>
      <c r="C7047" s="4"/>
      <c r="D7047" s="4" t="s">
        <v>16721</v>
      </c>
      <c r="E7047" s="4" t="s">
        <v>16722</v>
      </c>
      <c r="F7047" s="4" t="s">
        <v>16723</v>
      </c>
      <c r="G7047" s="5" t="str">
        <f>IFERROR(__xludf.DUMMYFUNCTION("GOOGLETRANSLATE(D7047,""it"",""es"")"),"licata")</f>
        <v>licata</v>
      </c>
    </row>
    <row r="7048">
      <c r="A7048" s="4">
        <v>96.0</v>
      </c>
      <c r="B7048" s="4" t="s">
        <v>16541</v>
      </c>
      <c r="C7048" s="4"/>
      <c r="D7048" s="4" t="s">
        <v>10313</v>
      </c>
      <c r="E7048" s="4" t="s">
        <v>12589</v>
      </c>
      <c r="F7048" s="4" t="s">
        <v>10313</v>
      </c>
      <c r="G7048" s="5" t="str">
        <f>IFERROR(__xludf.DUMMYFUNCTION("GOOGLETRANSLATE(D7048,""it"",""es"")"),"expediente")</f>
        <v>expediente</v>
      </c>
      <c r="H7048" s="4" t="s">
        <v>1</v>
      </c>
      <c r="I7048" s="4" t="s">
        <v>10319</v>
      </c>
      <c r="J7048" s="4" t="s">
        <v>10320</v>
      </c>
    </row>
    <row r="7049">
      <c r="A7049" s="4">
        <v>97.0</v>
      </c>
      <c r="B7049" s="4" t="s">
        <v>16541</v>
      </c>
      <c r="C7049" s="4"/>
      <c r="D7049" s="4" t="s">
        <v>16724</v>
      </c>
      <c r="E7049" s="4" t="s">
        <v>16725</v>
      </c>
      <c r="F7049" s="4" t="s">
        <v>16724</v>
      </c>
      <c r="G7049" s="5" t="str">
        <f>IFERROR(__xludf.DUMMYFUNCTION("GOOGLETRANSLATE(D7049,""it"",""es"")"),"lima")</f>
        <v>lima</v>
      </c>
    </row>
    <row r="7050">
      <c r="A7050" s="4">
        <v>98.0</v>
      </c>
      <c r="B7050" s="4" t="s">
        <v>16541</v>
      </c>
      <c r="C7050" s="4"/>
      <c r="D7050" s="4" t="s">
        <v>6629</v>
      </c>
      <c r="E7050" s="4" t="s">
        <v>10326</v>
      </c>
      <c r="F7050" s="4" t="s">
        <v>6629</v>
      </c>
      <c r="G7050" s="5" t="str">
        <f>IFERROR(__xludf.DUMMYFUNCTION("GOOGLETRANSLATE(D7050,""it"",""es"")"),"limitar")</f>
        <v>limitar</v>
      </c>
    </row>
    <row r="7051">
      <c r="A7051" s="4">
        <v>99.0</v>
      </c>
      <c r="B7051" s="4" t="s">
        <v>16541</v>
      </c>
      <c r="C7051" s="4"/>
      <c r="D7051" s="4" t="s">
        <v>16726</v>
      </c>
      <c r="E7051" s="4" t="s">
        <v>16727</v>
      </c>
      <c r="F7051" s="4" t="s">
        <v>16726</v>
      </c>
      <c r="G7051" s="5" t="str">
        <f>IFERROR(__xludf.DUMMYFUNCTION("GOOGLETRANSLATE(D7051,""it"",""es"")"),"limitado")</f>
        <v>limitado</v>
      </c>
    </row>
    <row r="7052">
      <c r="A7052" s="4">
        <v>100.0</v>
      </c>
      <c r="B7052" s="4" t="s">
        <v>16541</v>
      </c>
      <c r="C7052" s="4"/>
      <c r="D7052" s="4" t="s">
        <v>16728</v>
      </c>
      <c r="E7052" s="4" t="s">
        <v>16729</v>
      </c>
      <c r="F7052" s="4" t="s">
        <v>16728</v>
      </c>
      <c r="G7052" s="5" t="str">
        <f>IFERROR(__xludf.DUMMYFUNCTION("GOOGLETRANSLATE(D7052,""it"",""es"")"),"limitado")</f>
        <v>limitado</v>
      </c>
    </row>
    <row r="7053">
      <c r="A7053" s="4">
        <v>101.0</v>
      </c>
      <c r="B7053" s="4" t="s">
        <v>16541</v>
      </c>
      <c r="C7053" s="4"/>
      <c r="D7053" s="4" t="s">
        <v>16730</v>
      </c>
      <c r="E7053" s="4" t="s">
        <v>16731</v>
      </c>
      <c r="F7053" s="4" t="s">
        <v>16730</v>
      </c>
      <c r="G7053" s="5" t="str">
        <f>IFERROR(__xludf.DUMMYFUNCTION("GOOGLETRANSLATE(D7053,""it"",""es"")"),"Lina")</f>
        <v>Lina</v>
      </c>
    </row>
    <row r="7054">
      <c r="A7054" s="4">
        <v>102.0</v>
      </c>
      <c r="B7054" s="4" t="s">
        <v>16541</v>
      </c>
      <c r="C7054" s="4"/>
      <c r="D7054" s="4" t="s">
        <v>16732</v>
      </c>
      <c r="E7054" s="4" t="s">
        <v>16733</v>
      </c>
      <c r="F7054" s="4" t="s">
        <v>10387</v>
      </c>
      <c r="G7054" s="5" t="str">
        <f>IFERROR(__xludf.DUMMYFUNCTION("GOOGLETRANSLATE(D7054,""it"",""es"")"),"Luca")</f>
        <v>Luca</v>
      </c>
    </row>
    <row r="7055">
      <c r="A7055" s="4">
        <v>103.0</v>
      </c>
      <c r="B7055" s="4" t="s">
        <v>16541</v>
      </c>
      <c r="C7055" s="4"/>
      <c r="D7055" s="4" t="s">
        <v>16734</v>
      </c>
      <c r="E7055" s="4" t="s">
        <v>16735</v>
      </c>
      <c r="F7055" s="4" t="s">
        <v>16736</v>
      </c>
      <c r="G7055" s="5" t="str">
        <f>IFERROR(__xludf.DUMMYFUNCTION("GOOGLETRANSLATE(D7055,""it"",""es"")"),"él")</f>
        <v>él</v>
      </c>
    </row>
    <row r="7056">
      <c r="A7056" s="4">
        <v>104.0</v>
      </c>
      <c r="B7056" s="4" t="s">
        <v>16541</v>
      </c>
      <c r="C7056" s="4"/>
      <c r="D7056" s="4" t="s">
        <v>16737</v>
      </c>
      <c r="E7056" s="4" t="s">
        <v>16738</v>
      </c>
      <c r="F7056" s="4" t="s">
        <v>16739</v>
      </c>
      <c r="G7056" s="5" t="str">
        <f>IFERROR(__xludf.DUMMYFUNCTION("GOOGLETRANSLATE(D7056,""it"",""es"")"),"caracol")</f>
        <v>caracol</v>
      </c>
      <c r="H7056" s="4" t="s">
        <v>16740</v>
      </c>
      <c r="I7056" s="4" t="s">
        <v>16741</v>
      </c>
      <c r="J7056" s="4" t="s">
        <v>2170</v>
      </c>
      <c r="K7056" s="4" t="s">
        <v>16742</v>
      </c>
      <c r="L7056" s="4" t="s">
        <v>16743</v>
      </c>
      <c r="M7056" s="4" t="s">
        <v>16744</v>
      </c>
      <c r="N7056" s="4" t="s">
        <v>16745</v>
      </c>
      <c r="O7056" s="4" t="s">
        <v>16746</v>
      </c>
      <c r="P7056" s="4" t="s">
        <v>16747</v>
      </c>
    </row>
    <row r="7057">
      <c r="A7057" s="4">
        <v>105.0</v>
      </c>
      <c r="B7057" s="4" t="s">
        <v>16541</v>
      </c>
      <c r="C7057" s="4"/>
      <c r="D7057" s="4" t="s">
        <v>2249</v>
      </c>
      <c r="E7057" s="4" t="s">
        <v>2248</v>
      </c>
      <c r="F7057" s="4" t="s">
        <v>2249</v>
      </c>
      <c r="G7057" s="5" t="str">
        <f>IFERROR(__xludf.DUMMYFUNCTION("GOOGLETRANSLATE(D7057,""it"",""es"")"),"luna")</f>
        <v>luna</v>
      </c>
      <c r="H7057" s="4" t="s">
        <v>16748</v>
      </c>
      <c r="I7057" s="4" t="s">
        <v>16749</v>
      </c>
      <c r="J7057" s="4" t="s">
        <v>16748</v>
      </c>
      <c r="K7057" s="4" t="s">
        <v>2212</v>
      </c>
      <c r="L7057" s="4" t="s">
        <v>2214</v>
      </c>
      <c r="M7057" s="4" t="s">
        <v>2212</v>
      </c>
      <c r="N7057" s="4" t="s">
        <v>2215</v>
      </c>
      <c r="O7057" s="4" t="s">
        <v>2216</v>
      </c>
    </row>
    <row r="7058">
      <c r="A7058" s="4">
        <v>106.0</v>
      </c>
      <c r="B7058" s="4" t="s">
        <v>16541</v>
      </c>
      <c r="C7058" s="4"/>
      <c r="D7058" s="4" t="s">
        <v>16750</v>
      </c>
      <c r="E7058" s="4" t="s">
        <v>16751</v>
      </c>
      <c r="F7058" s="4" t="s">
        <v>16750</v>
      </c>
      <c r="G7058" s="5" t="str">
        <f>IFERROR(__xludf.DUMMYFUNCTION("GOOGLETRANSLATE(D7058,""it"",""es"")"),"lunino")</f>
        <v>lunino</v>
      </c>
    </row>
    <row r="7059">
      <c r="A7059" s="4">
        <v>107.0</v>
      </c>
      <c r="B7059" s="4" t="s">
        <v>16541</v>
      </c>
      <c r="C7059" s="4"/>
      <c r="D7059" s="4" t="s">
        <v>12666</v>
      </c>
      <c r="E7059" s="4" t="s">
        <v>2016</v>
      </c>
      <c r="F7059" s="4" t="s">
        <v>2015</v>
      </c>
      <c r="G7059" s="5" t="str">
        <f>IFERROR(__xludf.DUMMYFUNCTION("GOOGLETRANSLATE(D7059,""it"",""es"")"),"allá")</f>
        <v>allá</v>
      </c>
    </row>
    <row r="7060">
      <c r="A7060" s="4">
        <v>108.0</v>
      </c>
      <c r="B7060" s="4" t="s">
        <v>16541</v>
      </c>
      <c r="C7060" s="4"/>
      <c r="D7060" s="4" t="s">
        <v>16752</v>
      </c>
      <c r="E7060" s="4" t="s">
        <v>2038</v>
      </c>
      <c r="F7060" s="4" t="s">
        <v>2037</v>
      </c>
      <c r="G7060" s="5" t="str">
        <f>IFERROR(__xludf.DUMMYFUNCTION("GOOGLETRANSLATE(D7060,""it"",""es"")"),"allá")</f>
        <v>allá</v>
      </c>
    </row>
    <row r="7061">
      <c r="A7061" s="4">
        <v>109.0</v>
      </c>
      <c r="B7061" s="4" t="s">
        <v>16541</v>
      </c>
      <c r="C7061" s="4"/>
      <c r="D7061" s="4" t="s">
        <v>2278</v>
      </c>
      <c r="E7061" s="4" t="s">
        <v>2279</v>
      </c>
      <c r="F7061" s="4" t="s">
        <v>2278</v>
      </c>
      <c r="G7061" s="5" t="str">
        <f>IFERROR(__xludf.DUMMYFUNCTION("GOOGLETRANSLATE(D7061,""it"",""es"")"),"pero")</f>
        <v>pero</v>
      </c>
      <c r="H7061" s="4" t="s">
        <v>10470</v>
      </c>
      <c r="I7061" s="4" t="s">
        <v>10471</v>
      </c>
    </row>
    <row r="7062">
      <c r="A7062" s="4">
        <v>110.0</v>
      </c>
      <c r="B7062" s="4" t="s">
        <v>16541</v>
      </c>
      <c r="C7062" s="4"/>
      <c r="D7062" s="4" t="s">
        <v>16753</v>
      </c>
      <c r="E7062" s="4" t="s">
        <v>2279</v>
      </c>
      <c r="F7062" s="4" t="s">
        <v>2278</v>
      </c>
      <c r="G7062" s="5" t="str">
        <f>IFERROR(__xludf.DUMMYFUNCTION("GOOGLETRANSLATE(D7062,""it"",""es"")"),"mah")</f>
        <v>mah</v>
      </c>
    </row>
    <row r="7063">
      <c r="A7063" s="4">
        <v>111.0</v>
      </c>
      <c r="B7063" s="4" t="s">
        <v>16541</v>
      </c>
      <c r="C7063" s="4"/>
      <c r="D7063" s="4" t="s">
        <v>2312</v>
      </c>
      <c r="E7063" s="4" t="s">
        <v>332</v>
      </c>
      <c r="F7063" s="4" t="s">
        <v>333</v>
      </c>
      <c r="G7063" s="5" t="str">
        <f>IFERROR(__xludf.DUMMYFUNCTION("GOOGLETRANSLATE(D7063,""it"",""es"")"),"nunca")</f>
        <v>nunca</v>
      </c>
      <c r="H7063" s="4" t="s">
        <v>16754</v>
      </c>
      <c r="I7063" s="4" t="s">
        <v>16755</v>
      </c>
      <c r="J7063" s="4" t="s">
        <v>16756</v>
      </c>
      <c r="K7063" s="4" t="s">
        <v>16757</v>
      </c>
    </row>
    <row r="7064">
      <c r="A7064" s="4">
        <v>112.0</v>
      </c>
      <c r="B7064" s="4" t="s">
        <v>16541</v>
      </c>
      <c r="C7064" s="4"/>
      <c r="D7064" s="4" t="s">
        <v>16758</v>
      </c>
      <c r="E7064" s="4" t="s">
        <v>16759</v>
      </c>
      <c r="F7064" s="4" t="s">
        <v>16760</v>
      </c>
      <c r="G7064" s="5" t="str">
        <f>IFERROR(__xludf.DUMMYFUNCTION("GOOGLETRANSLATE(D7064,""it"",""es"")"),"cerdo")</f>
        <v>cerdo</v>
      </c>
    </row>
    <row r="7065">
      <c r="A7065" s="4">
        <v>113.0</v>
      </c>
      <c r="B7065" s="4" t="s">
        <v>16541</v>
      </c>
      <c r="C7065" s="4"/>
      <c r="D7065" s="4" t="s">
        <v>2463</v>
      </c>
      <c r="E7065" s="4" t="s">
        <v>2462</v>
      </c>
      <c r="F7065" s="4" t="s">
        <v>2463</v>
      </c>
      <c r="G7065" s="5" t="str">
        <f>IFERROR(__xludf.DUMMYFUNCTION("GOOGLETRANSLATE(D7065,""it"",""es"")"),"maki")</f>
        <v>maki</v>
      </c>
    </row>
    <row r="7066">
      <c r="A7066" s="4">
        <v>114.0</v>
      </c>
      <c r="B7066" s="4" t="s">
        <v>16541</v>
      </c>
      <c r="C7066" s="4"/>
      <c r="D7066" s="4" t="s">
        <v>2351</v>
      </c>
      <c r="E7066" s="4" t="s">
        <v>2352</v>
      </c>
      <c r="F7066" s="4" t="s">
        <v>2351</v>
      </c>
      <c r="G7066" s="5" t="str">
        <f>IFERROR(__xludf.DUMMYFUNCTION("GOOGLETRANSLATE(D7066,""it"",""es"")"),"malo")</f>
        <v>malo</v>
      </c>
      <c r="H7066" s="4" t="s">
        <v>10522</v>
      </c>
    </row>
    <row r="7067">
      <c r="A7067" s="4">
        <v>115.0</v>
      </c>
      <c r="B7067" s="4" t="s">
        <v>16541</v>
      </c>
      <c r="C7067" s="4"/>
      <c r="D7067" s="4" t="s">
        <v>16761</v>
      </c>
      <c r="E7067" s="4" t="s">
        <v>16762</v>
      </c>
      <c r="F7067" s="4" t="s">
        <v>16761</v>
      </c>
      <c r="G7067" s="5" t="str">
        <f>IFERROR(__xludf.DUMMYFUNCTION("GOOGLETRANSLATE(D7067,""it"",""es"")"),"paciente")</f>
        <v>paciente</v>
      </c>
    </row>
    <row r="7068">
      <c r="A7068" s="4">
        <v>116.0</v>
      </c>
      <c r="B7068" s="4" t="s">
        <v>16541</v>
      </c>
      <c r="C7068" s="4"/>
      <c r="D7068" s="4" t="s">
        <v>16763</v>
      </c>
      <c r="E7068" s="4" t="s">
        <v>16764</v>
      </c>
      <c r="F7068" s="4" t="s">
        <v>16763</v>
      </c>
      <c r="G7068" s="5" t="str">
        <f>IFERROR(__xludf.DUMMYFUNCTION("GOOGLETRANSLATE(D7068,""it"",""es"")"),"resolver")</f>
        <v>resolver</v>
      </c>
      <c r="H7068" s="4" t="s">
        <v>12239</v>
      </c>
      <c r="I7068" s="4" t="s">
        <v>7005</v>
      </c>
      <c r="J7068" s="4" t="s">
        <v>16765</v>
      </c>
      <c r="K7068" s="4" t="s">
        <v>16766</v>
      </c>
      <c r="L7068" s="4" t="s">
        <v>16765</v>
      </c>
      <c r="M7068" s="4" t="s">
        <v>16767</v>
      </c>
    </row>
    <row r="7069">
      <c r="A7069" s="4">
        <v>117.0</v>
      </c>
      <c r="B7069" s="4" t="s">
        <v>16541</v>
      </c>
      <c r="C7069" s="4"/>
      <c r="D7069" s="4" t="s">
        <v>16768</v>
      </c>
      <c r="E7069" s="4" t="s">
        <v>16769</v>
      </c>
      <c r="F7069" s="4" t="s">
        <v>16770</v>
      </c>
      <c r="G7069" s="5" t="str">
        <f>IFERROR(__xludf.DUMMYFUNCTION("GOOGLETRANSLATE(D7069,""it"",""es"")"),"manga")</f>
        <v>manga</v>
      </c>
      <c r="H7069" s="4" t="s">
        <v>9126</v>
      </c>
      <c r="I7069" s="4" t="s">
        <v>6625</v>
      </c>
    </row>
    <row r="7070">
      <c r="A7070" s="4">
        <v>118.0</v>
      </c>
      <c r="B7070" s="4" t="s">
        <v>16541</v>
      </c>
      <c r="C7070" s="4"/>
      <c r="D7070" s="4" t="s">
        <v>16771</v>
      </c>
      <c r="E7070" s="4" t="s">
        <v>16772</v>
      </c>
      <c r="F7070" s="4" t="s">
        <v>16771</v>
      </c>
      <c r="G7070" s="5" t="str">
        <f>IFERROR(__xludf.DUMMYFUNCTION("GOOGLETRANSLATE(D7070,""it"",""es"")"),"mano")</f>
        <v>mano</v>
      </c>
    </row>
    <row r="7071">
      <c r="A7071" s="4">
        <v>119.0</v>
      </c>
      <c r="B7071" s="4" t="s">
        <v>16541</v>
      </c>
      <c r="C7071" s="4"/>
      <c r="D7071" s="4" t="s">
        <v>16773</v>
      </c>
      <c r="E7071" s="4" t="s">
        <v>12817</v>
      </c>
      <c r="F7071" s="4" t="s">
        <v>12818</v>
      </c>
      <c r="G7071" s="5" t="str">
        <f>IFERROR(__xludf.DUMMYFUNCTION("GOOGLETRANSLATE(D7071,""it"",""es"")"),"manitu")</f>
        <v>manitu</v>
      </c>
    </row>
    <row r="7072">
      <c r="A7072" s="4">
        <v>120.0</v>
      </c>
      <c r="B7072" s="4" t="s">
        <v>16541</v>
      </c>
      <c r="C7072" s="4"/>
      <c r="D7072" s="4" t="s">
        <v>16774</v>
      </c>
      <c r="E7072" s="4" t="s">
        <v>16775</v>
      </c>
      <c r="F7072" s="4" t="s">
        <v>16776</v>
      </c>
      <c r="G7072" s="5" t="str">
        <f>IFERROR(__xludf.DUMMYFUNCTION("GOOGLETRANSLATE(D7072,""it"",""es"")"),"fabricante")</f>
        <v>fabricante</v>
      </c>
    </row>
    <row r="7073">
      <c r="A7073" s="4">
        <v>121.0</v>
      </c>
      <c r="B7073" s="4" t="s">
        <v>16541</v>
      </c>
      <c r="C7073" s="4"/>
      <c r="D7073" s="4" t="s">
        <v>16777</v>
      </c>
      <c r="E7073" s="4" t="s">
        <v>16778</v>
      </c>
      <c r="F7073" s="4" t="s">
        <v>16779</v>
      </c>
      <c r="G7073" s="5" t="str">
        <f>IFERROR(__xludf.DUMMYFUNCTION("GOOGLETRANSLATE(D7073,""it"",""es"")"),"Manuchi")</f>
        <v>Manuchi</v>
      </c>
    </row>
    <row r="7074">
      <c r="A7074" s="4">
        <v>122.0</v>
      </c>
      <c r="B7074" s="4" t="s">
        <v>16541</v>
      </c>
      <c r="C7074" s="4"/>
      <c r="D7074" s="4" t="s">
        <v>16780</v>
      </c>
      <c r="E7074" s="4" t="s">
        <v>16781</v>
      </c>
      <c r="F7074" s="4" t="s">
        <v>16782</v>
      </c>
      <c r="G7074" s="5" t="str">
        <f>IFERROR(__xludf.DUMMYFUNCTION("GOOGLETRANSLATE(D7074,""it"",""es"")"),"Matachi")</f>
        <v>Matachi</v>
      </c>
    </row>
    <row r="7075">
      <c r="A7075" s="4">
        <v>123.0</v>
      </c>
      <c r="B7075" s="4" t="s">
        <v>16541</v>
      </c>
      <c r="C7075" s="4"/>
      <c r="D7075" s="4" t="s">
        <v>16783</v>
      </c>
      <c r="E7075" s="4" t="s">
        <v>16784</v>
      </c>
      <c r="F7075" s="4" t="s">
        <v>16783</v>
      </c>
      <c r="G7075" s="5" t="str">
        <f>IFERROR(__xludf.DUMMYFUNCTION("GOOGLETRANSLATE(D7075,""it"",""es"")"),"lápiz")</f>
        <v>lápiz</v>
      </c>
      <c r="H7075" s="4" t="s">
        <v>2118</v>
      </c>
    </row>
    <row r="7076">
      <c r="A7076" s="4">
        <v>124.0</v>
      </c>
      <c r="B7076" s="4" t="s">
        <v>16541</v>
      </c>
      <c r="C7076" s="4"/>
      <c r="D7076" s="4" t="s">
        <v>16785</v>
      </c>
      <c r="E7076" s="4" t="s">
        <v>16786</v>
      </c>
      <c r="F7076" s="4" t="s">
        <v>16787</v>
      </c>
      <c r="G7076" s="5" t="str">
        <f>IFERROR(__xludf.DUMMYFUNCTION("GOOGLETRANSLATE(D7076,""it"",""es"")"),"reunión")</f>
        <v>reunión</v>
      </c>
      <c r="H7076" s="4" t="s">
        <v>16785</v>
      </c>
      <c r="I7076" s="4" t="s">
        <v>16788</v>
      </c>
      <c r="J7076" s="4" t="s">
        <v>16785</v>
      </c>
      <c r="K7076" s="4" t="s">
        <v>16789</v>
      </c>
    </row>
    <row r="7077">
      <c r="A7077" s="4">
        <v>125.0</v>
      </c>
      <c r="B7077" s="4" t="s">
        <v>16541</v>
      </c>
      <c r="C7077" s="4"/>
      <c r="D7077" s="4" t="s">
        <v>342</v>
      </c>
      <c r="E7077" s="4" t="s">
        <v>341</v>
      </c>
      <c r="F7077" s="4" t="s">
        <v>342</v>
      </c>
      <c r="G7077" s="5" t="str">
        <f>IFERROR(__xludf.DUMMYFUNCTION("GOOGLETRANSLATE(D7077,""it"",""es"")"),"yo")</f>
        <v>yo</v>
      </c>
      <c r="H7077" s="4" t="s">
        <v>342</v>
      </c>
      <c r="I7077" s="4" t="s">
        <v>6823</v>
      </c>
      <c r="J7077" s="4" t="s">
        <v>6824</v>
      </c>
    </row>
    <row r="7078">
      <c r="A7078" s="4">
        <v>126.0</v>
      </c>
      <c r="B7078" s="4" t="s">
        <v>16541</v>
      </c>
      <c r="C7078" s="4"/>
      <c r="D7078" s="4" t="s">
        <v>2599</v>
      </c>
      <c r="E7078" s="4" t="s">
        <v>2600</v>
      </c>
      <c r="F7078" s="4" t="s">
        <v>2601</v>
      </c>
      <c r="G7078" s="5" t="str">
        <f>IFERROR(__xludf.DUMMYFUNCTION("GOOGLETRANSLATE(D7078,""it"",""es"")"),"no")</f>
        <v>no</v>
      </c>
      <c r="H7078" s="4" t="s">
        <v>2599</v>
      </c>
      <c r="I7078" s="4" t="s">
        <v>2613</v>
      </c>
    </row>
    <row r="7079">
      <c r="A7079" s="4">
        <v>127.0</v>
      </c>
      <c r="B7079" s="4" t="s">
        <v>16541</v>
      </c>
      <c r="C7079" s="4"/>
      <c r="D7079" s="4" t="s">
        <v>2686</v>
      </c>
      <c r="E7079" s="4" t="s">
        <v>2685</v>
      </c>
      <c r="F7079" s="4" t="s">
        <v>2686</v>
      </c>
      <c r="G7079" s="5" t="str">
        <f>IFERROR(__xludf.DUMMYFUNCTION("GOOGLETRANSLATE(D7079,""it"",""es"")"),"miles")</f>
        <v>miles</v>
      </c>
    </row>
    <row r="7080">
      <c r="A7080" s="4">
        <v>128.0</v>
      </c>
      <c r="B7080" s="4" t="s">
        <v>16541</v>
      </c>
      <c r="C7080" s="4"/>
      <c r="D7080" s="4" t="s">
        <v>16790</v>
      </c>
      <c r="E7080" s="4" t="s">
        <v>16791</v>
      </c>
      <c r="F7080" s="4" t="s">
        <v>16790</v>
      </c>
      <c r="G7080" s="5" t="str">
        <f>IFERROR(__xludf.DUMMYFUNCTION("GOOGLETRANSLATE(D7080,""it"",""es"")"),"militar")</f>
        <v>militar</v>
      </c>
    </row>
    <row r="7081">
      <c r="A7081" s="4">
        <v>129.0</v>
      </c>
      <c r="B7081" s="4" t="s">
        <v>16541</v>
      </c>
      <c r="C7081" s="4"/>
      <c r="D7081" s="4" t="s">
        <v>2637</v>
      </c>
      <c r="E7081" s="4" t="s">
        <v>2638</v>
      </c>
      <c r="F7081" s="4" t="s">
        <v>2637</v>
      </c>
      <c r="G7081" s="5" t="str">
        <f>IFERROR(__xludf.DUMMYFUNCTION("GOOGLETRANSLATE(D7081,""it"",""es"")"),"Milita")</f>
        <v>Milita</v>
      </c>
    </row>
    <row r="7082">
      <c r="A7082" s="4">
        <v>130.0</v>
      </c>
      <c r="B7082" s="4" t="s">
        <v>16541</v>
      </c>
      <c r="C7082" s="4"/>
      <c r="D7082" s="4" t="s">
        <v>16792</v>
      </c>
      <c r="E7082" s="4" t="s">
        <v>16793</v>
      </c>
      <c r="F7082" s="4" t="s">
        <v>16792</v>
      </c>
      <c r="G7082" s="5" t="str">
        <f>IFERROR(__xludf.DUMMYFUNCTION("GOOGLETRANSLATE(D7082,""it"",""es"")"),"mimi")</f>
        <v>mimi</v>
      </c>
    </row>
    <row r="7083">
      <c r="A7083" s="4">
        <v>131.0</v>
      </c>
      <c r="B7083" s="4" t="s">
        <v>16541</v>
      </c>
      <c r="C7083" s="4"/>
      <c r="D7083" s="4" t="s">
        <v>2695</v>
      </c>
      <c r="E7083" s="4" t="s">
        <v>2696</v>
      </c>
      <c r="F7083" s="4" t="s">
        <v>2695</v>
      </c>
      <c r="G7083" s="5" t="str">
        <f>IFERROR(__xludf.DUMMYFUNCTION("GOOGLETRANSLATE(D7083,""it"",""es"")"),"compañero")</f>
        <v>compañero</v>
      </c>
      <c r="H7083" s="4" t="s">
        <v>648</v>
      </c>
      <c r="I7083" s="4" t="s">
        <v>2697</v>
      </c>
      <c r="J7083" s="4" t="s">
        <v>2698</v>
      </c>
    </row>
    <row r="7084">
      <c r="A7084" s="4">
        <v>132.0</v>
      </c>
      <c r="B7084" s="4" t="s">
        <v>16541</v>
      </c>
      <c r="C7084" s="4"/>
      <c r="D7084" s="4" t="s">
        <v>6851</v>
      </c>
      <c r="E7084" s="4" t="s">
        <v>12907</v>
      </c>
      <c r="F7084" s="4" t="s">
        <v>6851</v>
      </c>
      <c r="G7084" s="5" t="str">
        <f>IFERROR(__xludf.DUMMYFUNCTION("GOOGLETRANSLATE(D7084,""it"",""es"")"),"mini")</f>
        <v>mini</v>
      </c>
      <c r="H7084" s="4" t="s">
        <v>6851</v>
      </c>
    </row>
    <row r="7085">
      <c r="A7085" s="4">
        <v>133.0</v>
      </c>
      <c r="B7085" s="4" t="s">
        <v>16541</v>
      </c>
      <c r="C7085" s="4"/>
      <c r="D7085" s="4" t="s">
        <v>16794</v>
      </c>
      <c r="E7085" s="4" t="s">
        <v>16795</v>
      </c>
      <c r="F7085" s="4" t="s">
        <v>16796</v>
      </c>
      <c r="G7085" s="5" t="str">
        <f>IFERROR(__xludf.DUMMYFUNCTION("GOOGLETRANSLATE(D7085,""it"",""es"")"),"mítico")</f>
        <v>mítico</v>
      </c>
    </row>
    <row r="7086">
      <c r="A7086" s="4">
        <v>134.0</v>
      </c>
      <c r="B7086" s="4" t="s">
        <v>16541</v>
      </c>
      <c r="C7086" s="4"/>
      <c r="D7086" s="4" t="s">
        <v>367</v>
      </c>
      <c r="E7086" s="4" t="s">
        <v>366</v>
      </c>
      <c r="F7086" s="4" t="s">
        <v>367</v>
      </c>
      <c r="G7086" s="5" t="str">
        <f>IFERROR(__xludf.DUMMYFUNCTION("GOOGLETRANSLATE(D7086,""it"",""es"")"),"musa")</f>
        <v>musa</v>
      </c>
      <c r="H7086" s="4" t="s">
        <v>342</v>
      </c>
    </row>
    <row r="7087">
      <c r="A7087" s="4">
        <v>135.0</v>
      </c>
      <c r="B7087" s="4" t="s">
        <v>16541</v>
      </c>
      <c r="C7087" s="4"/>
      <c r="D7087" s="4" t="s">
        <v>16797</v>
      </c>
      <c r="E7087" s="4" t="s">
        <v>10591</v>
      </c>
      <c r="F7087" s="4" t="s">
        <v>10590</v>
      </c>
      <c r="G7087" s="5" t="str">
        <f>IFERROR(__xludf.DUMMYFUNCTION("GOOGLETRANSLATE(D7087,""it"",""es"")"),"mucho")</f>
        <v>mucho</v>
      </c>
    </row>
    <row r="7088">
      <c r="A7088" s="4">
        <v>136.0</v>
      </c>
      <c r="B7088" s="4" t="s">
        <v>16541</v>
      </c>
      <c r="C7088" s="4"/>
      <c r="D7088" s="4" t="s">
        <v>2850</v>
      </c>
      <c r="E7088" s="4" t="s">
        <v>2849</v>
      </c>
      <c r="F7088" s="4" t="s">
        <v>2850</v>
      </c>
      <c r="G7088" s="5" t="str">
        <f>IFERROR(__xludf.DUMMYFUNCTION("GOOGLETRANSLATE(D7088,""it"",""es"")"),"mojado")</f>
        <v>mojado</v>
      </c>
      <c r="H7088" s="4" t="s">
        <v>16437</v>
      </c>
      <c r="I7088" s="4" t="s">
        <v>2543</v>
      </c>
      <c r="J7088" s="4" t="s">
        <v>16798</v>
      </c>
      <c r="K7088" s="4" t="s">
        <v>16799</v>
      </c>
      <c r="L7088" s="4" t="s">
        <v>12986</v>
      </c>
      <c r="M7088" s="4" t="s">
        <v>16800</v>
      </c>
      <c r="N7088" s="4" t="s">
        <v>16801</v>
      </c>
    </row>
    <row r="7089">
      <c r="A7089" s="4">
        <v>137.0</v>
      </c>
      <c r="B7089" s="4" t="s">
        <v>16541</v>
      </c>
      <c r="C7089" s="4"/>
      <c r="D7089" s="4" t="s">
        <v>2779</v>
      </c>
      <c r="E7089" s="4" t="s">
        <v>2778</v>
      </c>
      <c r="F7089" s="4" t="s">
        <v>2779</v>
      </c>
      <c r="G7089" s="5" t="str">
        <f>IFERROR(__xludf.DUMMYFUNCTION("GOOGLETRANSLATE(D7089,""it"",""es"")"),"silencio")</f>
        <v>silencio</v>
      </c>
    </row>
    <row r="7090">
      <c r="A7090" s="4">
        <v>138.0</v>
      </c>
      <c r="B7090" s="4" t="s">
        <v>16541</v>
      </c>
      <c r="C7090" s="4"/>
      <c r="D7090" s="4" t="s">
        <v>16802</v>
      </c>
      <c r="E7090" s="4" t="s">
        <v>16803</v>
      </c>
      <c r="F7090" s="4" t="s">
        <v>16804</v>
      </c>
      <c r="G7090" s="5" t="str">
        <f>IFERROR(__xludf.DUMMYFUNCTION("GOOGLETRANSLATE(D7090,""it"",""es"")"),"nace")</f>
        <v>nace</v>
      </c>
    </row>
    <row r="7091">
      <c r="A7091" s="4">
        <v>139.0</v>
      </c>
      <c r="B7091" s="4" t="s">
        <v>16541</v>
      </c>
      <c r="C7091" s="4"/>
      <c r="D7091" s="4" t="s">
        <v>2923</v>
      </c>
      <c r="E7091" s="4" t="s">
        <v>2924</v>
      </c>
      <c r="F7091" s="4" t="s">
        <v>2923</v>
      </c>
      <c r="G7091" s="5" t="str">
        <f>IFERROR(__xludf.DUMMYFUNCTION("GOOGLETRANSLATE(D7091,""it"",""es"")"),"enano")</f>
        <v>enano</v>
      </c>
    </row>
    <row r="7092">
      <c r="A7092" s="4">
        <v>140.0</v>
      </c>
      <c r="B7092" s="4" t="s">
        <v>16541</v>
      </c>
      <c r="C7092" s="4"/>
      <c r="D7092" s="4" t="s">
        <v>2935</v>
      </c>
      <c r="E7092" s="4" t="s">
        <v>2936</v>
      </c>
      <c r="F7092" s="4" t="s">
        <v>2935</v>
      </c>
      <c r="G7092" s="5" t="str">
        <f>IFERROR(__xludf.DUMMYFUNCTION("GOOGLETRANSLATE(D7092,""it"",""es"")"),"nacido")</f>
        <v>nacido</v>
      </c>
    </row>
    <row r="7093">
      <c r="A7093" s="4">
        <v>141.0</v>
      </c>
      <c r="B7093" s="4" t="s">
        <v>16541</v>
      </c>
      <c r="C7093" s="4"/>
      <c r="D7093" s="4" t="s">
        <v>16805</v>
      </c>
      <c r="E7093" s="4" t="s">
        <v>16806</v>
      </c>
      <c r="F7093" s="4" t="s">
        <v>16807</v>
      </c>
      <c r="G7093" s="5" t="str">
        <f>IFERROR(__xludf.DUMMYFUNCTION("GOOGLETRANSLATE(D7093,""it"",""es"")"),"nacido")</f>
        <v>nacido</v>
      </c>
      <c r="H7093" s="4" t="s">
        <v>16808</v>
      </c>
      <c r="I7093" s="4" t="s">
        <v>16809</v>
      </c>
      <c r="J7093" s="4" t="s">
        <v>16810</v>
      </c>
      <c r="K7093" s="4" t="s">
        <v>16811</v>
      </c>
      <c r="L7093" s="4" t="s">
        <v>16812</v>
      </c>
    </row>
    <row r="7094">
      <c r="A7094" s="4">
        <v>142.0</v>
      </c>
      <c r="B7094" s="4" t="s">
        <v>16541</v>
      </c>
      <c r="C7094" s="4"/>
      <c r="D7094" s="4" t="s">
        <v>6960</v>
      </c>
      <c r="E7094" s="4" t="s">
        <v>16813</v>
      </c>
      <c r="F7094" s="4" t="s">
        <v>6960</v>
      </c>
      <c r="G7094" s="5" t="str">
        <f>IFERROR(__xludf.DUMMYFUNCTION("GOOGLETRANSLATE(D7094,""it"",""es"")"),"nacido")</f>
        <v>nacido</v>
      </c>
    </row>
    <row r="7095">
      <c r="A7095" s="4">
        <v>143.0</v>
      </c>
      <c r="B7095" s="4" t="s">
        <v>16541</v>
      </c>
      <c r="C7095" s="4"/>
      <c r="D7095" s="4" t="s">
        <v>389</v>
      </c>
      <c r="E7095" s="4" t="s">
        <v>388</v>
      </c>
      <c r="F7095" s="4" t="s">
        <v>389</v>
      </c>
      <c r="G7095" s="5" t="str">
        <f>IFERROR(__xludf.DUMMYFUNCTION("GOOGLETRANSLATE(D7095,""it"",""es"")"),"NI")</f>
        <v>NI</v>
      </c>
    </row>
    <row r="7096">
      <c r="A7096" s="4">
        <v>144.0</v>
      </c>
      <c r="B7096" s="4" t="s">
        <v>16541</v>
      </c>
      <c r="C7096" s="4"/>
      <c r="D7096" s="4" t="s">
        <v>10759</v>
      </c>
      <c r="E7096" s="4" t="s">
        <v>10760</v>
      </c>
      <c r="F7096" s="4" t="s">
        <v>10759</v>
      </c>
      <c r="G7096" s="5" t="str">
        <f>IFERROR(__xludf.DUMMYFUNCTION("GOOGLETRANSLATE(D7096,""it"",""es"")"),"nimi")</f>
        <v>nimi</v>
      </c>
    </row>
    <row r="7097">
      <c r="A7097" s="4">
        <v>145.0</v>
      </c>
      <c r="B7097" s="4" t="s">
        <v>16541</v>
      </c>
      <c r="C7097" s="4"/>
      <c r="D7097" s="4" t="s">
        <v>2972</v>
      </c>
      <c r="E7097" s="4" t="s">
        <v>3018</v>
      </c>
      <c r="F7097" s="4" t="s">
        <v>2972</v>
      </c>
      <c r="G7097" s="5" t="str">
        <f>IFERROR(__xludf.DUMMYFUNCTION("GOOGLETRANSLATE(D7097,""it"",""es"")"),"liendre")</f>
        <v>liendre</v>
      </c>
    </row>
    <row r="7098">
      <c r="A7098" s="4">
        <v>146.0</v>
      </c>
      <c r="B7098" s="4" t="s">
        <v>16541</v>
      </c>
      <c r="C7098" s="4"/>
      <c r="D7098" s="4" t="s">
        <v>3037</v>
      </c>
      <c r="E7098" s="4" t="s">
        <v>3038</v>
      </c>
      <c r="F7098" s="4" t="s">
        <v>3039</v>
      </c>
      <c r="G7098" s="5" t="str">
        <f>IFERROR(__xludf.DUMMYFUNCTION("GOOGLETRANSLATE(D7098,""it"",""es"")"),"nuca")</f>
        <v>nuca</v>
      </c>
      <c r="H7098" s="4" t="s">
        <v>3040</v>
      </c>
      <c r="I7098" s="4" t="s">
        <v>3041</v>
      </c>
      <c r="J7098" s="4" t="s">
        <v>3042</v>
      </c>
    </row>
    <row r="7099">
      <c r="A7099" s="4">
        <v>147.0</v>
      </c>
      <c r="B7099" s="4" t="s">
        <v>16541</v>
      </c>
      <c r="C7099" s="4"/>
      <c r="D7099" s="4" t="s">
        <v>7032</v>
      </c>
      <c r="E7099" s="4" t="s">
        <v>13102</v>
      </c>
      <c r="F7099" s="4" t="s">
        <v>7032</v>
      </c>
      <c r="G7099" s="5" t="str">
        <f>IFERROR(__xludf.DUMMYFUNCTION("GOOGLETRANSLATE(D7099,""it"",""es"")"),"monja")</f>
        <v>monja</v>
      </c>
    </row>
    <row r="7100">
      <c r="A7100" s="4">
        <v>148.0</v>
      </c>
      <c r="B7100" s="4" t="s">
        <v>16541</v>
      </c>
      <c r="C7100" s="4"/>
      <c r="D7100" s="4" t="s">
        <v>16814</v>
      </c>
      <c r="E7100" s="4" t="s">
        <v>16815</v>
      </c>
      <c r="F7100" s="4" t="s">
        <v>16814</v>
      </c>
      <c r="G7100" s="5" t="str">
        <f>IFERROR(__xludf.DUMMYFUNCTION("GOOGLETRANSLATE(D7100,""it"",""es"")"),"nuti")</f>
        <v>nuti</v>
      </c>
    </row>
    <row r="7101">
      <c r="A7101" s="4">
        <v>149.0</v>
      </c>
      <c r="B7101" s="4" t="s">
        <v>16541</v>
      </c>
      <c r="C7101" s="4"/>
      <c r="D7101" s="4" t="s">
        <v>16816</v>
      </c>
      <c r="E7101" s="4" t="s">
        <v>388</v>
      </c>
      <c r="F7101" s="4" t="s">
        <v>389</v>
      </c>
      <c r="G7101" s="5" t="str">
        <f>IFERROR(__xludf.DUMMYFUNCTION("GOOGLETRANSLATE(D7101,""it"",""es"")"),"n.")</f>
        <v>n.</v>
      </c>
    </row>
    <row r="7102">
      <c r="A7102" s="4">
        <v>150.0</v>
      </c>
      <c r="B7102" s="4" t="s">
        <v>16541</v>
      </c>
      <c r="C7102" s="4"/>
      <c r="D7102" s="4" t="s">
        <v>16817</v>
      </c>
      <c r="E7102" s="4" t="s">
        <v>229</v>
      </c>
      <c r="F7102" s="4" t="s">
        <v>230</v>
      </c>
      <c r="G7102" s="5" t="str">
        <f>IFERROR(__xludf.DUMMYFUNCTION("GOOGLETRANSLATE(D7102,""it"",""es"")"),"pags")</f>
        <v>pags</v>
      </c>
      <c r="H7102" s="4" t="s">
        <v>16818</v>
      </c>
      <c r="I7102" s="4" t="s">
        <v>16819</v>
      </c>
      <c r="J7102" s="4" t="s">
        <v>16820</v>
      </c>
    </row>
    <row r="7103">
      <c r="A7103" s="4">
        <v>151.0</v>
      </c>
      <c r="B7103" s="4" t="s">
        <v>16541</v>
      </c>
      <c r="C7103" s="4"/>
      <c r="D7103" s="4" t="s">
        <v>13144</v>
      </c>
      <c r="E7103" s="4" t="s">
        <v>13145</v>
      </c>
      <c r="F7103" s="4" t="s">
        <v>11055</v>
      </c>
      <c r="G7103" s="5" t="str">
        <f>IFERROR(__xludf.DUMMYFUNCTION("GOOGLETRANSLATE(D7103,""it"",""es"")"),"paca")</f>
        <v>paca</v>
      </c>
      <c r="H7103" s="4" t="s">
        <v>13144</v>
      </c>
      <c r="I7103" s="4" t="s">
        <v>13146</v>
      </c>
    </row>
    <row r="7104">
      <c r="A7104" s="4">
        <v>152.0</v>
      </c>
      <c r="B7104" s="4" t="s">
        <v>16541</v>
      </c>
      <c r="C7104" s="4"/>
      <c r="D7104" s="4" t="s">
        <v>16821</v>
      </c>
      <c r="E7104" s="4" t="s">
        <v>16822</v>
      </c>
      <c r="F7104" s="4" t="s">
        <v>16823</v>
      </c>
      <c r="G7104" s="5" t="str">
        <f>IFERROR(__xludf.DUMMYFUNCTION("GOOGLETRANSLATE(D7104,""it"",""es"")"),"calma")</f>
        <v>calma</v>
      </c>
    </row>
    <row r="7105">
      <c r="A7105" s="4">
        <v>153.0</v>
      </c>
      <c r="B7105" s="4" t="s">
        <v>16541</v>
      </c>
      <c r="C7105" s="4"/>
      <c r="D7105" s="4" t="s">
        <v>16824</v>
      </c>
      <c r="E7105" s="4" t="s">
        <v>16825</v>
      </c>
      <c r="F7105" s="4" t="s">
        <v>16826</v>
      </c>
      <c r="G7105" s="5" t="str">
        <f>IFERROR(__xludf.DUMMYFUNCTION("GOOGLETRANSLATE(D7105,""it"",""es"")"),"calma")</f>
        <v>calma</v>
      </c>
    </row>
    <row r="7106">
      <c r="A7106" s="4">
        <v>154.0</v>
      </c>
      <c r="B7106" s="4" t="s">
        <v>16541</v>
      </c>
      <c r="C7106" s="4"/>
      <c r="D7106" s="4" t="s">
        <v>16827</v>
      </c>
      <c r="E7106" s="4" t="s">
        <v>13171</v>
      </c>
      <c r="F7106" s="4" t="s">
        <v>7051</v>
      </c>
      <c r="G7106" s="5" t="str">
        <f>IFERROR(__xludf.DUMMYFUNCTION("GOOGLETRANSLATE(D7106,""it"",""es"")"),"paquistaní")</f>
        <v>paquistaní</v>
      </c>
    </row>
    <row r="7107">
      <c r="A7107" s="4">
        <v>155.0</v>
      </c>
      <c r="B7107" s="4" t="s">
        <v>16541</v>
      </c>
      <c r="C7107" s="4"/>
      <c r="D7107" s="4" t="s">
        <v>3173</v>
      </c>
      <c r="E7107" s="4" t="s">
        <v>3174</v>
      </c>
      <c r="F7107" s="4" t="s">
        <v>3173</v>
      </c>
      <c r="G7107" s="5" t="str">
        <f>IFERROR(__xludf.DUMMYFUNCTION("GOOGLETRANSLATE(D7107,""it"",""es"")"),"retablo")</f>
        <v>retablo</v>
      </c>
      <c r="H7107" s="4" t="s">
        <v>16828</v>
      </c>
      <c r="I7107" s="4" t="s">
        <v>16829</v>
      </c>
      <c r="J7107" s="4" t="s">
        <v>13178</v>
      </c>
      <c r="K7107" s="4" t="s">
        <v>3175</v>
      </c>
    </row>
    <row r="7108">
      <c r="A7108" s="4">
        <v>156.0</v>
      </c>
      <c r="B7108" s="4" t="s">
        <v>16541</v>
      </c>
      <c r="C7108" s="4"/>
      <c r="D7108" s="4" t="s">
        <v>16830</v>
      </c>
      <c r="E7108" s="4" t="s">
        <v>16831</v>
      </c>
      <c r="F7108" s="4" t="s">
        <v>16830</v>
      </c>
      <c r="G7108" s="5" t="str">
        <f>IFERROR(__xludf.DUMMYFUNCTION("GOOGLETRANSLATE(D7108,""it"",""es"")"),"palmado")</f>
        <v>palmado</v>
      </c>
      <c r="H7108" s="4" t="s">
        <v>3175</v>
      </c>
      <c r="I7108" s="4" t="s">
        <v>16832</v>
      </c>
      <c r="J7108" s="4" t="s">
        <v>16833</v>
      </c>
    </row>
    <row r="7109">
      <c r="A7109" s="4">
        <v>157.0</v>
      </c>
      <c r="B7109" s="4" t="s">
        <v>16541</v>
      </c>
      <c r="C7109" s="4"/>
      <c r="D7109" s="4" t="s">
        <v>3183</v>
      </c>
      <c r="E7109" s="4" t="s">
        <v>3182</v>
      </c>
      <c r="F7109" s="4" t="s">
        <v>3183</v>
      </c>
      <c r="G7109" s="5" t="str">
        <f>IFERROR(__xludf.DUMMYFUNCTION("GOOGLETRANSLATE(D7109,""it"",""es"")"),"paladar")</f>
        <v>paladar</v>
      </c>
    </row>
    <row r="7110">
      <c r="A7110" s="4">
        <v>158.0</v>
      </c>
      <c r="B7110" s="4" t="s">
        <v>16541</v>
      </c>
      <c r="C7110" s="4"/>
      <c r="D7110" s="4" t="s">
        <v>3184</v>
      </c>
      <c r="E7110" s="4" t="s">
        <v>3185</v>
      </c>
      <c r="F7110" s="4" t="s">
        <v>3184</v>
      </c>
      <c r="G7110" s="5" t="str">
        <f>IFERROR(__xludf.DUMMYFUNCTION("GOOGLETRANSLATE(D7110,""it"",""es"")"),"polos")</f>
        <v>polos</v>
      </c>
    </row>
    <row r="7111">
      <c r="A7111" s="4">
        <v>159.0</v>
      </c>
      <c r="B7111" s="4" t="s">
        <v>16541</v>
      </c>
      <c r="C7111" s="4"/>
      <c r="D7111" s="4" t="s">
        <v>7069</v>
      </c>
      <c r="E7111" s="4" t="s">
        <v>13195</v>
      </c>
      <c r="F7111" s="4" t="s">
        <v>7069</v>
      </c>
      <c r="G7111" s="5" t="str">
        <f>IFERROR(__xludf.DUMMYFUNCTION("GOOGLETRANSLATE(D7111,""it"",""es"")"),"Sartén")</f>
        <v>Sartén</v>
      </c>
      <c r="H7111" s="4" t="s">
        <v>7072</v>
      </c>
      <c r="I7111" s="4" t="s">
        <v>7073</v>
      </c>
    </row>
    <row r="7112">
      <c r="A7112" s="4">
        <v>160.0</v>
      </c>
      <c r="B7112" s="4" t="s">
        <v>16541</v>
      </c>
      <c r="C7112" s="4"/>
      <c r="D7112" s="4" t="s">
        <v>3265</v>
      </c>
      <c r="E7112" s="4" t="s">
        <v>3264</v>
      </c>
      <c r="F7112" s="4" t="s">
        <v>3265</v>
      </c>
      <c r="G7112" s="5" t="str">
        <f>IFERROR(__xludf.DUMMYFUNCTION("GOOGLETRANSLATE(D7112,""it"",""es"")"),"Panamá")</f>
        <v>Panamá</v>
      </c>
      <c r="H7112" s="4" t="s">
        <v>3268</v>
      </c>
      <c r="I7112" s="4" t="s">
        <v>3272</v>
      </c>
    </row>
    <row r="7113">
      <c r="A7113" s="4">
        <v>161.0</v>
      </c>
      <c r="B7113" s="4" t="s">
        <v>16541</v>
      </c>
      <c r="C7113" s="4"/>
      <c r="D7113" s="4" t="s">
        <v>16834</v>
      </c>
      <c r="E7113" s="4" t="s">
        <v>16835</v>
      </c>
      <c r="F7113" s="4" t="s">
        <v>16834</v>
      </c>
      <c r="G7113" s="5" t="str">
        <f>IFERROR(__xludf.DUMMYFUNCTION("GOOGLETRANSLATE(D7113,""it"",""es"")"),"panata")</f>
        <v>panata</v>
      </c>
    </row>
    <row r="7114">
      <c r="A7114" s="4">
        <v>162.0</v>
      </c>
      <c r="B7114" s="4" t="s">
        <v>16541</v>
      </c>
      <c r="C7114" s="4"/>
      <c r="D7114" s="4" t="s">
        <v>16836</v>
      </c>
      <c r="E7114" s="4" t="s">
        <v>16837</v>
      </c>
      <c r="F7114" s="4" t="s">
        <v>16838</v>
      </c>
      <c r="G7114" s="5" t="str">
        <f>IFERROR(__xludf.DUMMYFUNCTION("GOOGLETRANSLATE(D7114,""it"",""es"")"),"pánico")</f>
        <v>pánico</v>
      </c>
    </row>
    <row r="7115">
      <c r="A7115" s="4">
        <v>163.0</v>
      </c>
      <c r="B7115" s="4" t="s">
        <v>16541</v>
      </c>
      <c r="C7115" s="4"/>
      <c r="D7115" s="4" t="s">
        <v>3292</v>
      </c>
      <c r="E7115" s="4" t="s">
        <v>3293</v>
      </c>
      <c r="F7115" s="4" t="s">
        <v>3292</v>
      </c>
      <c r="G7115" s="5" t="str">
        <f>IFERROR(__xludf.DUMMYFUNCTION("GOOGLETRANSLATE(D7115,""it"",""es"")"),"Papa")</f>
        <v>Papa</v>
      </c>
      <c r="H7115" s="4" t="s">
        <v>3302</v>
      </c>
      <c r="I7115" s="4" t="s">
        <v>3303</v>
      </c>
      <c r="J7115" s="4" t="s">
        <v>3304</v>
      </c>
      <c r="K7115" s="4" t="s">
        <v>3305</v>
      </c>
      <c r="L7115" s="4" t="s">
        <v>3306</v>
      </c>
      <c r="M7115" s="4" t="s">
        <v>3307</v>
      </c>
      <c r="N7115" s="4" t="s">
        <v>3308</v>
      </c>
    </row>
    <row r="7116">
      <c r="A7116" s="4">
        <v>164.0</v>
      </c>
      <c r="B7116" s="4" t="s">
        <v>16541</v>
      </c>
      <c r="C7116" s="4"/>
      <c r="D7116" s="4" t="s">
        <v>16839</v>
      </c>
      <c r="E7116" s="4" t="s">
        <v>16840</v>
      </c>
      <c r="F7116" s="4" t="s">
        <v>16839</v>
      </c>
      <c r="G7116" s="5" t="str">
        <f>IFERROR(__xludf.DUMMYFUNCTION("GOOGLETRANSLATE(D7116,""it"",""es"")"),"papal")</f>
        <v>papal</v>
      </c>
      <c r="H7116" s="4" t="s">
        <v>12478</v>
      </c>
    </row>
    <row r="7117">
      <c r="A7117" s="4">
        <v>165.0</v>
      </c>
      <c r="B7117" s="4" t="s">
        <v>16541</v>
      </c>
      <c r="C7117" s="4"/>
      <c r="D7117" s="4" t="s">
        <v>16841</v>
      </c>
      <c r="E7117" s="4" t="s">
        <v>16842</v>
      </c>
      <c r="F7117" s="4" t="s">
        <v>16841</v>
      </c>
      <c r="G7117" s="5" t="str">
        <f>IFERROR(__xludf.DUMMYFUNCTION("GOOGLETRANSLATE(D7117,""it"",""es"")"),"pápula")</f>
        <v>pápula</v>
      </c>
      <c r="H7117" s="4" t="s">
        <v>16843</v>
      </c>
    </row>
    <row r="7118">
      <c r="A7118" s="4">
        <v>166.0</v>
      </c>
      <c r="B7118" s="4" t="s">
        <v>16541</v>
      </c>
      <c r="C7118" s="4"/>
      <c r="D7118" s="4" t="s">
        <v>16844</v>
      </c>
      <c r="E7118" s="4" t="s">
        <v>3293</v>
      </c>
      <c r="F7118" s="4" t="s">
        <v>3292</v>
      </c>
      <c r="G7118" s="5" t="str">
        <f>IFERROR(__xludf.DUMMYFUNCTION("GOOGLETRANSLATE(D7118,""it"",""es"")"),"Papa")</f>
        <v>Papa</v>
      </c>
      <c r="H7118" s="4" t="s">
        <v>3294</v>
      </c>
      <c r="I7118" s="4" t="s">
        <v>3295</v>
      </c>
      <c r="J7118" s="4" t="s">
        <v>3296</v>
      </c>
      <c r="K7118" s="4" t="s">
        <v>3147</v>
      </c>
      <c r="L7118" s="4" t="s">
        <v>3292</v>
      </c>
      <c r="M7118" s="4" t="s">
        <v>3297</v>
      </c>
      <c r="N7118" s="4" t="s">
        <v>3298</v>
      </c>
    </row>
    <row r="7119">
      <c r="A7119" s="4">
        <v>167.0</v>
      </c>
      <c r="B7119" s="4" t="s">
        <v>16541</v>
      </c>
      <c r="C7119" s="4"/>
      <c r="D7119" s="4" t="s">
        <v>10941</v>
      </c>
      <c r="E7119" s="4" t="s">
        <v>16845</v>
      </c>
      <c r="F7119" s="4" t="s">
        <v>10941</v>
      </c>
      <c r="G7119" s="5" t="str">
        <f>IFERROR(__xludf.DUMMYFUNCTION("GOOGLETRANSLATE(D7119,""it"",""es"")"),"pata")</f>
        <v>pata</v>
      </c>
      <c r="H7119" s="4" t="s">
        <v>16846</v>
      </c>
      <c r="I7119" s="4" t="s">
        <v>16847</v>
      </c>
      <c r="J7119" s="4" t="s">
        <v>16848</v>
      </c>
    </row>
    <row r="7120">
      <c r="A7120" s="4">
        <v>168.0</v>
      </c>
      <c r="B7120" s="4" t="s">
        <v>16541</v>
      </c>
      <c r="C7120" s="4"/>
      <c r="D7120" s="4" t="s">
        <v>16846</v>
      </c>
      <c r="E7120" s="4" t="s">
        <v>16849</v>
      </c>
      <c r="F7120" s="4" t="s">
        <v>16846</v>
      </c>
      <c r="G7120" s="5" t="str">
        <f>IFERROR(__xludf.DUMMYFUNCTION("GOOGLETRANSLATE(D7120,""it"",""es"")"),"patas")</f>
        <v>patas</v>
      </c>
    </row>
    <row r="7121">
      <c r="A7121" s="4">
        <v>169.0</v>
      </c>
      <c r="B7121" s="4" t="s">
        <v>16541</v>
      </c>
      <c r="C7121" s="4"/>
      <c r="D7121" s="4" t="s">
        <v>3430</v>
      </c>
      <c r="E7121" s="4" t="s">
        <v>3431</v>
      </c>
      <c r="F7121" s="4" t="s">
        <v>3430</v>
      </c>
      <c r="G7121" s="5" t="str">
        <f>IFERROR(__xludf.DUMMYFUNCTION("GOOGLETRANSLATE(D7121,""it"",""es"")"),"papa")</f>
        <v>papa</v>
      </c>
      <c r="H7121" s="4" t="s">
        <v>3436</v>
      </c>
      <c r="I7121" s="4" t="s">
        <v>3437</v>
      </c>
      <c r="J7121" s="4" t="s">
        <v>3438</v>
      </c>
      <c r="K7121" s="4" t="s">
        <v>3439</v>
      </c>
      <c r="L7121" s="4" t="s">
        <v>3440</v>
      </c>
      <c r="M7121" s="4" t="s">
        <v>3441</v>
      </c>
    </row>
    <row r="7122">
      <c r="A7122" s="4">
        <v>170.0</v>
      </c>
      <c r="B7122" s="4" t="s">
        <v>16541</v>
      </c>
      <c r="C7122" s="4"/>
      <c r="D7122" s="4" t="s">
        <v>16850</v>
      </c>
      <c r="E7122" s="4" t="s">
        <v>16851</v>
      </c>
      <c r="F7122" s="4" t="s">
        <v>16852</v>
      </c>
      <c r="G7122" s="5" t="str">
        <f>IFERROR(__xludf.DUMMYFUNCTION("GOOGLETRANSLATE(D7122,""it"",""es"")"),"papa")</f>
        <v>papa</v>
      </c>
    </row>
    <row r="7123">
      <c r="A7123" s="4">
        <v>171.0</v>
      </c>
      <c r="B7123" s="4" t="s">
        <v>16541</v>
      </c>
      <c r="C7123" s="4"/>
      <c r="D7123" s="4" t="s">
        <v>16853</v>
      </c>
      <c r="E7123" s="4" t="s">
        <v>16854</v>
      </c>
      <c r="F7123" s="4" t="s">
        <v>16853</v>
      </c>
      <c r="G7123" s="5" t="str">
        <f>IFERROR(__xludf.DUMMYFUNCTION("GOOGLETRANSLATE(D7123,""it"",""es"")"),"papas fritas")</f>
        <v>papas fritas</v>
      </c>
    </row>
    <row r="7124">
      <c r="A7124" s="4">
        <v>172.0</v>
      </c>
      <c r="B7124" s="4" t="s">
        <v>16541</v>
      </c>
      <c r="C7124" s="4"/>
      <c r="D7124" s="4" t="s">
        <v>13260</v>
      </c>
      <c r="E7124" s="4" t="s">
        <v>16855</v>
      </c>
      <c r="F7124" s="4" t="s">
        <v>13260</v>
      </c>
      <c r="G7124" s="5" t="str">
        <f>IFERROR(__xludf.DUMMYFUNCTION("GOOGLETRANSLATE(D7124,""it"",""es"")"),"pátina")</f>
        <v>pátina</v>
      </c>
      <c r="H7124" s="4" t="s">
        <v>13260</v>
      </c>
    </row>
    <row r="7125">
      <c r="A7125" s="4">
        <v>173.0</v>
      </c>
      <c r="B7125" s="4" t="s">
        <v>16541</v>
      </c>
      <c r="C7125" s="4"/>
      <c r="D7125" s="4" t="s">
        <v>16856</v>
      </c>
      <c r="E7125" s="4" t="s">
        <v>16857</v>
      </c>
      <c r="F7125" s="4" t="s">
        <v>7259</v>
      </c>
      <c r="G7125" s="5" t="str">
        <f>IFERROR(__xludf.DUMMYFUNCTION("GOOGLETRANSLATE(D7125,""it"",""es"")"),"ordenador personal")</f>
        <v>ordenador personal</v>
      </c>
    </row>
    <row r="7126">
      <c r="A7126" s="4">
        <v>174.0</v>
      </c>
      <c r="B7126" s="4" t="s">
        <v>16541</v>
      </c>
      <c r="C7126" s="4"/>
      <c r="D7126" s="4" t="s">
        <v>16858</v>
      </c>
      <c r="E7126" s="4" t="s">
        <v>229</v>
      </c>
      <c r="F7126" s="4" t="s">
        <v>230</v>
      </c>
      <c r="G7126" s="5" t="str">
        <f>IFERROR(__xludf.DUMMYFUNCTION("GOOGLETRANSLATE(D7126,""it"",""es"")"),"fi")</f>
        <v>fi</v>
      </c>
    </row>
    <row r="7127">
      <c r="A7127" s="4">
        <v>175.0</v>
      </c>
      <c r="B7127" s="4" t="s">
        <v>16541</v>
      </c>
      <c r="C7127" s="4"/>
      <c r="D7127" s="4" t="s">
        <v>230</v>
      </c>
      <c r="E7127" s="4" t="s">
        <v>229</v>
      </c>
      <c r="F7127" s="4" t="s">
        <v>230</v>
      </c>
      <c r="G7127" s="5" t="str">
        <f>IFERROR(__xludf.DUMMYFUNCTION("GOOGLETRANSLATE(D7127,""it"",""es"")"),"Pi")</f>
        <v>Pi</v>
      </c>
      <c r="H7127" s="4" t="s">
        <v>16859</v>
      </c>
    </row>
    <row r="7128">
      <c r="A7128" s="4">
        <v>176.0</v>
      </c>
      <c r="B7128" s="4" t="s">
        <v>16541</v>
      </c>
      <c r="C7128" s="4"/>
      <c r="D7128" s="4" t="s">
        <v>7199</v>
      </c>
      <c r="E7128" s="4" t="s">
        <v>13337</v>
      </c>
      <c r="F7128" s="4" t="s">
        <v>7199</v>
      </c>
      <c r="G7128" s="5" t="str">
        <f>IFERROR(__xludf.DUMMYFUNCTION("GOOGLETRANSLATE(D7128,""it"",""es"")"),"PIB")</f>
        <v>PIB</v>
      </c>
      <c r="H7128" s="4" t="s">
        <v>16860</v>
      </c>
      <c r="I7128" s="4" t="s">
        <v>16861</v>
      </c>
    </row>
    <row r="7129">
      <c r="A7129" s="4">
        <v>177.0</v>
      </c>
      <c r="B7129" s="4" t="s">
        <v>16541</v>
      </c>
      <c r="C7129" s="4"/>
      <c r="D7129" s="4" t="s">
        <v>3519</v>
      </c>
      <c r="E7129" s="4" t="s">
        <v>3520</v>
      </c>
      <c r="F7129" s="4" t="s">
        <v>3519</v>
      </c>
      <c r="G7129" s="5" t="str">
        <f>IFERROR(__xludf.DUMMYFUNCTION("GOOGLETRANSLATE(D7129,""it"",""es"")"),"pila")</f>
        <v>pila</v>
      </c>
      <c r="H7129" s="4" t="s">
        <v>13341</v>
      </c>
      <c r="I7129" s="4" t="s">
        <v>13342</v>
      </c>
      <c r="J7129" s="4" t="s">
        <v>16862</v>
      </c>
      <c r="K7129" s="4" t="s">
        <v>16863</v>
      </c>
      <c r="L7129" s="4" t="s">
        <v>483</v>
      </c>
      <c r="M7129" s="4" t="s">
        <v>484</v>
      </c>
      <c r="N7129" s="4" t="s">
        <v>2824</v>
      </c>
      <c r="O7129" s="4" t="s">
        <v>2825</v>
      </c>
      <c r="P7129" s="4" t="s">
        <v>2826</v>
      </c>
      <c r="Q7129" s="4" t="s">
        <v>1734</v>
      </c>
    </row>
    <row r="7130">
      <c r="A7130" s="4">
        <v>178.0</v>
      </c>
      <c r="B7130" s="4" t="s">
        <v>16541</v>
      </c>
      <c r="C7130" s="4"/>
      <c r="D7130" s="4" t="s">
        <v>13357</v>
      </c>
      <c r="E7130" s="4" t="s">
        <v>13358</v>
      </c>
      <c r="F7130" s="4" t="s">
        <v>13357</v>
      </c>
      <c r="G7130" s="5" t="str">
        <f>IFERROR(__xludf.DUMMYFUNCTION("GOOGLETRANSLATE(D7130,""it"",""es"")"),"Pina")</f>
        <v>Pina</v>
      </c>
    </row>
    <row r="7131">
      <c r="A7131" s="4">
        <v>179.0</v>
      </c>
      <c r="B7131" s="4" t="s">
        <v>16541</v>
      </c>
      <c r="C7131" s="4"/>
      <c r="D7131" s="4" t="s">
        <v>3553</v>
      </c>
      <c r="E7131" s="4" t="s">
        <v>3554</v>
      </c>
      <c r="F7131" s="4" t="s">
        <v>3553</v>
      </c>
      <c r="G7131" s="5" t="str">
        <f>IFERROR(__xludf.DUMMYFUNCTION("GOOGLETRANSLATE(D7131,""it"",""es"")"),"tubo")</f>
        <v>tubo</v>
      </c>
      <c r="H7131" s="4" t="s">
        <v>3555</v>
      </c>
      <c r="I7131" s="4" t="s">
        <v>3556</v>
      </c>
      <c r="J7131" s="4" t="s">
        <v>16864</v>
      </c>
    </row>
    <row r="7132">
      <c r="A7132" s="4">
        <v>180.0</v>
      </c>
      <c r="B7132" s="4" t="s">
        <v>16541</v>
      </c>
      <c r="C7132" s="4"/>
      <c r="D7132" s="4" t="s">
        <v>16865</v>
      </c>
      <c r="E7132" s="4" t="s">
        <v>16866</v>
      </c>
      <c r="F7132" s="4" t="s">
        <v>16865</v>
      </c>
      <c r="G7132" s="5" t="str">
        <f>IFERROR(__xludf.DUMMYFUNCTION("GOOGLETRANSLATE(D7132,""it"",""es"")"),"padrastro")</f>
        <v>padrastro</v>
      </c>
      <c r="H7132" s="4" t="s">
        <v>16867</v>
      </c>
      <c r="I7132" s="4" t="s">
        <v>16868</v>
      </c>
    </row>
    <row r="7133">
      <c r="A7133" s="4">
        <v>181.0</v>
      </c>
      <c r="B7133" s="4" t="s">
        <v>16541</v>
      </c>
      <c r="C7133" s="4"/>
      <c r="D7133" s="4" t="s">
        <v>257</v>
      </c>
      <c r="E7133" s="4" t="s">
        <v>256</v>
      </c>
      <c r="F7133" s="4" t="s">
        <v>257</v>
      </c>
      <c r="G7133" s="5" t="str">
        <f>IFERROR(__xludf.DUMMYFUNCTION("GOOGLETRANSLATE(D7133,""it"",""es"")"),"Pisa")</f>
        <v>Pisa</v>
      </c>
      <c r="H7133" s="4" t="s">
        <v>16859</v>
      </c>
    </row>
    <row r="7134">
      <c r="A7134" s="4">
        <v>182.0</v>
      </c>
      <c r="B7134" s="4" t="s">
        <v>16541</v>
      </c>
      <c r="C7134" s="4"/>
      <c r="D7134" s="4" t="s">
        <v>16869</v>
      </c>
      <c r="E7134" s="4" t="s">
        <v>16870</v>
      </c>
      <c r="F7134" s="4" t="s">
        <v>16869</v>
      </c>
      <c r="G7134" s="5" t="str">
        <f>IFERROR(__xludf.DUMMYFUNCTION("GOOGLETRANSLATE(D7134,""it"",""es"")"),"pitimi")</f>
        <v>pitimi</v>
      </c>
    </row>
    <row r="7135">
      <c r="A7135" s="4">
        <v>183.0</v>
      </c>
      <c r="B7135" s="4" t="s">
        <v>16541</v>
      </c>
      <c r="C7135" s="4"/>
      <c r="D7135" s="4" t="s">
        <v>16871</v>
      </c>
      <c r="E7135" s="4" t="s">
        <v>3615</v>
      </c>
      <c r="F7135" s="4" t="s">
        <v>3616</v>
      </c>
      <c r="G7135" s="5" t="str">
        <f>IFERROR(__xludf.DUMMYFUNCTION("GOOGLETRANSLATE(D7135,""it"",""es"")"),"limpio")</f>
        <v>limpio</v>
      </c>
    </row>
    <row r="7136">
      <c r="A7136" s="4">
        <v>184.0</v>
      </c>
      <c r="B7136" s="4" t="s">
        <v>16541</v>
      </c>
      <c r="C7136" s="4"/>
      <c r="D7136" s="4" t="s">
        <v>16872</v>
      </c>
      <c r="E7136" s="4" t="s">
        <v>11041</v>
      </c>
      <c r="F7136" s="4" t="s">
        <v>11040</v>
      </c>
      <c r="G7136" s="5" t="str">
        <f>IFERROR(__xludf.DUMMYFUNCTION("GOOGLETRANSLATE(D7136,""it"",""es"")"),"pupu")</f>
        <v>pupu</v>
      </c>
    </row>
    <row r="7137">
      <c r="A7137" s="4">
        <v>185.0</v>
      </c>
      <c r="B7137" s="4" t="s">
        <v>16541</v>
      </c>
      <c r="C7137" s="4"/>
      <c r="D7137" s="4" t="s">
        <v>3766</v>
      </c>
      <c r="E7137" s="4" t="s">
        <v>3767</v>
      </c>
      <c r="F7137" s="4" t="s">
        <v>3766</v>
      </c>
      <c r="G7137" s="5" t="str">
        <f>IFERROR(__xludf.DUMMYFUNCTION("GOOGLETRANSLATE(D7137,""it"",""es"")"),"pus")</f>
        <v>pus</v>
      </c>
      <c r="H7137" s="4" t="s">
        <v>3766</v>
      </c>
      <c r="I7137" s="4" t="s">
        <v>3768</v>
      </c>
      <c r="J7137" s="4" t="s">
        <v>3769</v>
      </c>
      <c r="K7137" s="4" t="s">
        <v>3770</v>
      </c>
      <c r="L7137" s="4" t="s">
        <v>3771</v>
      </c>
      <c r="M7137" s="4" t="s">
        <v>3772</v>
      </c>
    </row>
    <row r="7138">
      <c r="A7138" s="4">
        <v>186.0</v>
      </c>
      <c r="B7138" s="4" t="s">
        <v>16541</v>
      </c>
      <c r="C7138" s="4"/>
      <c r="D7138" s="4" t="s">
        <v>9176</v>
      </c>
      <c r="E7138" s="4" t="s">
        <v>1581</v>
      </c>
      <c r="F7138" s="4" t="s">
        <v>1582</v>
      </c>
      <c r="G7138" s="5" t="str">
        <f>IFERROR(__xludf.DUMMYFUNCTION("GOOGLETRANSLATE(D7138,""it"",""es"")"),"Q")</f>
        <v>Q</v>
      </c>
    </row>
    <row r="7139">
      <c r="A7139" s="4">
        <v>187.0</v>
      </c>
      <c r="B7139" s="4" t="s">
        <v>16541</v>
      </c>
      <c r="C7139" s="4"/>
      <c r="D7139" s="4" t="s">
        <v>3861</v>
      </c>
      <c r="E7139" s="4" t="s">
        <v>3862</v>
      </c>
      <c r="F7139" s="4" t="s">
        <v>3861</v>
      </c>
      <c r="G7139" s="5" t="str">
        <f>IFERROR(__xludf.DUMMYFUNCTION("GOOGLETRANSLATE(D7139,""it"",""es"")"),"saber")</f>
        <v>saber</v>
      </c>
    </row>
    <row r="7140">
      <c r="A7140" s="4">
        <v>188.0</v>
      </c>
      <c r="B7140" s="4" t="s">
        <v>16541</v>
      </c>
      <c r="C7140" s="4"/>
      <c r="D7140" s="4" t="s">
        <v>3890</v>
      </c>
      <c r="E7140" s="4" t="s">
        <v>3891</v>
      </c>
      <c r="F7140" s="4" t="s">
        <v>3890</v>
      </c>
      <c r="G7140" s="5" t="str">
        <f>IFERROR(__xludf.DUMMYFUNCTION("GOOGLETRANSLATE(D7140,""it"",""es"")"),"habitación")</f>
        <v>habitación</v>
      </c>
      <c r="H7140" s="4" t="s">
        <v>16873</v>
      </c>
      <c r="I7140" s="4" t="s">
        <v>16874</v>
      </c>
      <c r="J7140" s="4" t="s">
        <v>16875</v>
      </c>
      <c r="K7140" s="4" t="s">
        <v>11094</v>
      </c>
      <c r="L7140" s="4" t="s">
        <v>16876</v>
      </c>
      <c r="M7140" s="4" t="s">
        <v>11094</v>
      </c>
      <c r="N7140" s="4" t="s">
        <v>3893</v>
      </c>
      <c r="O7140" s="4" t="s">
        <v>3894</v>
      </c>
      <c r="P7140" s="4" t="s">
        <v>3895</v>
      </c>
      <c r="Q7140" s="4" t="s">
        <v>3896</v>
      </c>
      <c r="R7140" s="4" t="s">
        <v>3897</v>
      </c>
      <c r="S7140" s="4" t="s">
        <v>3898</v>
      </c>
      <c r="T7140" s="4" t="s">
        <v>11404</v>
      </c>
    </row>
    <row r="7141">
      <c r="A7141" s="4">
        <v>189.0</v>
      </c>
      <c r="B7141" s="4" t="s">
        <v>16541</v>
      </c>
      <c r="C7141" s="4"/>
      <c r="D7141" s="4" t="s">
        <v>16877</v>
      </c>
      <c r="E7141" s="4" t="s">
        <v>16878</v>
      </c>
      <c r="F7141" s="4" t="s">
        <v>16877</v>
      </c>
      <c r="G7141" s="5" t="str">
        <f>IFERROR(__xludf.DUMMYFUNCTION("GOOGLETRANSLATE(D7141,""it"",""es"")"),"salado")</f>
        <v>salado</v>
      </c>
    </row>
    <row r="7142">
      <c r="A7142" s="4">
        <v>190.0</v>
      </c>
      <c r="B7142" s="4" t="s">
        <v>16541</v>
      </c>
      <c r="C7142" s="4"/>
      <c r="D7142" s="4" t="s">
        <v>16879</v>
      </c>
      <c r="E7142" s="4" t="s">
        <v>16880</v>
      </c>
      <c r="F7142" s="4" t="s">
        <v>16881</v>
      </c>
      <c r="G7142" s="5" t="str">
        <f>IFERROR(__xludf.DUMMYFUNCTION("GOOGLETRANSLATE(D7142,""it"",""es"")"),"salinidad")</f>
        <v>salinidad</v>
      </c>
      <c r="H7142" s="4" t="s">
        <v>16882</v>
      </c>
      <c r="I7142" s="4" t="s">
        <v>16001</v>
      </c>
      <c r="J7142" s="4" t="s">
        <v>3887</v>
      </c>
      <c r="K7142" s="4" t="s">
        <v>16000</v>
      </c>
      <c r="L7142" s="4" t="s">
        <v>16001</v>
      </c>
    </row>
    <row r="7143">
      <c r="A7143" s="4">
        <v>191.0</v>
      </c>
      <c r="B7143" s="4" t="s">
        <v>16541</v>
      </c>
      <c r="C7143" s="4"/>
      <c r="D7143" s="4" t="s">
        <v>16883</v>
      </c>
      <c r="E7143" s="4" t="s">
        <v>16884</v>
      </c>
      <c r="F7143" s="4" t="s">
        <v>16883</v>
      </c>
      <c r="G7143" s="5" t="str">
        <f>IFERROR(__xludf.DUMMYFUNCTION("GOOGLETRANSLATE(D7143,""it"",""es"")"),"subida")</f>
        <v>subida</v>
      </c>
      <c r="H7143" s="4" t="s">
        <v>16885</v>
      </c>
      <c r="I7143" s="4" t="s">
        <v>16886</v>
      </c>
      <c r="J7143" s="4" t="s">
        <v>16887</v>
      </c>
      <c r="K7143" s="4" t="s">
        <v>16888</v>
      </c>
      <c r="L7143" s="4" t="s">
        <v>16889</v>
      </c>
      <c r="M7143" s="4" t="s">
        <v>16890</v>
      </c>
      <c r="N7143" s="4" t="s">
        <v>16891</v>
      </c>
      <c r="O7143" s="4" t="s">
        <v>16892</v>
      </c>
      <c r="P7143" s="4" t="s">
        <v>16886</v>
      </c>
      <c r="Q7143" s="4" t="s">
        <v>16893</v>
      </c>
      <c r="R7143" s="4" t="s">
        <v>16885</v>
      </c>
      <c r="S7143" s="4" t="s">
        <v>16894</v>
      </c>
      <c r="T7143" s="4" t="s">
        <v>16889</v>
      </c>
      <c r="U7143" s="4" t="s">
        <v>16895</v>
      </c>
    </row>
    <row r="7144">
      <c r="A7144" s="4">
        <v>192.0</v>
      </c>
      <c r="B7144" s="4" t="s">
        <v>16541</v>
      </c>
      <c r="C7144" s="4"/>
      <c r="D7144" s="4" t="s">
        <v>16896</v>
      </c>
      <c r="E7144" s="4" t="s">
        <v>16897</v>
      </c>
      <c r="F7144" s="4" t="s">
        <v>7387</v>
      </c>
      <c r="G7144" s="5" t="str">
        <f>IFERROR(__xludf.DUMMYFUNCTION("GOOGLETRANSLATE(D7144,""it"",""es"")"),"sales")</f>
        <v>sales</v>
      </c>
    </row>
    <row r="7145">
      <c r="A7145" s="4">
        <v>193.0</v>
      </c>
      <c r="B7145" s="4" t="s">
        <v>16541</v>
      </c>
      <c r="C7145" s="4"/>
      <c r="D7145" s="4" t="s">
        <v>3937</v>
      </c>
      <c r="E7145" s="4" t="s">
        <v>3938</v>
      </c>
      <c r="F7145" s="4" t="s">
        <v>3937</v>
      </c>
      <c r="G7145" s="5" t="str">
        <f>IFERROR(__xludf.DUMMYFUNCTION("GOOGLETRANSLATE(D7145,""it"",""es"")"),"San")</f>
        <v>San</v>
      </c>
    </row>
    <row r="7146">
      <c r="A7146" s="4">
        <v>194.0</v>
      </c>
      <c r="B7146" s="4" t="s">
        <v>16541</v>
      </c>
      <c r="C7146" s="4"/>
      <c r="D7146" s="4" t="s">
        <v>16898</v>
      </c>
      <c r="E7146" s="4" t="s">
        <v>16899</v>
      </c>
      <c r="F7146" s="4" t="s">
        <v>16898</v>
      </c>
      <c r="G7146" s="5" t="str">
        <f>IFERROR(__xludf.DUMMYFUNCTION("GOOGLETRANSLATE(D7146,""it"",""es"")"),"sanción")</f>
        <v>sanción</v>
      </c>
    </row>
    <row r="7147">
      <c r="A7147" s="4">
        <v>195.0</v>
      </c>
      <c r="B7147" s="4" t="s">
        <v>16541</v>
      </c>
      <c r="C7147" s="4"/>
      <c r="D7147" s="4" t="s">
        <v>16900</v>
      </c>
      <c r="E7147" s="4" t="s">
        <v>16901</v>
      </c>
      <c r="F7147" s="4" t="s">
        <v>16900</v>
      </c>
      <c r="G7147" s="5" t="str">
        <f>IFERROR(__xludf.DUMMYFUNCTION("GOOGLETRANSLATE(D7147,""it"",""es"")"),"recurso")</f>
        <v>recurso</v>
      </c>
    </row>
    <row r="7148">
      <c r="A7148" s="4">
        <v>196.0</v>
      </c>
      <c r="B7148" s="4" t="s">
        <v>16541</v>
      </c>
      <c r="C7148" s="4"/>
      <c r="D7148" s="4" t="s">
        <v>16902</v>
      </c>
      <c r="E7148" s="4" t="s">
        <v>16903</v>
      </c>
      <c r="F7148" s="4" t="s">
        <v>16904</v>
      </c>
      <c r="G7148" s="5" t="str">
        <f>IFERROR(__xludf.DUMMYFUNCTION("GOOGLETRANSLATE(D7148,""it"",""es"")"),"Cuidado de la salud")</f>
        <v>Cuidado de la salud</v>
      </c>
      <c r="H7148" s="4" t="s">
        <v>16905</v>
      </c>
      <c r="I7148" s="4" t="s">
        <v>16906</v>
      </c>
    </row>
    <row r="7149">
      <c r="A7149" s="4">
        <v>197.0</v>
      </c>
      <c r="B7149" s="4" t="s">
        <v>16541</v>
      </c>
      <c r="C7149" s="4"/>
      <c r="D7149" s="4" t="s">
        <v>11123</v>
      </c>
      <c r="E7149" s="4" t="s">
        <v>13599</v>
      </c>
      <c r="F7149" s="4" t="s">
        <v>11123</v>
      </c>
      <c r="G7149" s="5" t="str">
        <f>IFERROR(__xludf.DUMMYFUNCTION("GOOGLETRANSLATE(D7149,""it"",""es"")"),"safa")</f>
        <v>safa</v>
      </c>
    </row>
    <row r="7150">
      <c r="A7150" s="4">
        <v>198.0</v>
      </c>
      <c r="B7150" s="4" t="s">
        <v>16541</v>
      </c>
      <c r="C7150" s="4"/>
      <c r="D7150" s="4" t="s">
        <v>16907</v>
      </c>
      <c r="E7150" s="4" t="s">
        <v>16908</v>
      </c>
      <c r="F7150" s="4" t="s">
        <v>16907</v>
      </c>
      <c r="G7150" s="5" t="str">
        <f>IFERROR(__xludf.DUMMYFUNCTION("GOOGLETRANSLATE(D7150,""it"",""es"")"),"Satán")</f>
        <v>Satán</v>
      </c>
      <c r="H7150" s="4" t="s">
        <v>16909</v>
      </c>
      <c r="I7150" s="4" t="s">
        <v>16910</v>
      </c>
      <c r="J7150" s="4" t="s">
        <v>16911</v>
      </c>
      <c r="K7150" s="4" t="s">
        <v>16912</v>
      </c>
      <c r="L7150" s="4" t="s">
        <v>16913</v>
      </c>
      <c r="M7150" s="4" t="s">
        <v>16914</v>
      </c>
      <c r="N7150" s="4" t="s">
        <v>16915</v>
      </c>
    </row>
    <row r="7151">
      <c r="A7151" s="4">
        <v>199.0</v>
      </c>
      <c r="B7151" s="4" t="s">
        <v>16541</v>
      </c>
      <c r="C7151" s="4"/>
      <c r="D7151" s="4" t="s">
        <v>16916</v>
      </c>
      <c r="E7151" s="4" t="s">
        <v>16917</v>
      </c>
      <c r="F7151" s="4" t="s">
        <v>16918</v>
      </c>
      <c r="G7151" s="5" t="str">
        <f>IFERROR(__xludf.DUMMYFUNCTION("GOOGLETRANSLATE(D7151,""it"",""es"")"),"satánico")</f>
        <v>satánico</v>
      </c>
    </row>
    <row r="7152">
      <c r="A7152" s="4">
        <v>200.0</v>
      </c>
      <c r="B7152" s="4" t="s">
        <v>16541</v>
      </c>
      <c r="C7152" s="4"/>
      <c r="D7152" s="4" t="s">
        <v>16919</v>
      </c>
      <c r="E7152" s="4" t="s">
        <v>277</v>
      </c>
      <c r="F7152" s="4" t="s">
        <v>278</v>
      </c>
      <c r="G7152" s="5" t="str">
        <f>IFERROR(__xludf.DUMMYFUNCTION("GOOGLETRANSLATE(D7152,""it"",""es"")"),"esquí")</f>
        <v>esquí</v>
      </c>
      <c r="H7152" s="4" t="s">
        <v>16920</v>
      </c>
      <c r="I7152" s="4" t="s">
        <v>16921</v>
      </c>
    </row>
    <row r="7153">
      <c r="A7153" s="4">
        <v>201.0</v>
      </c>
      <c r="B7153" s="4" t="s">
        <v>16541</v>
      </c>
      <c r="C7153" s="4"/>
      <c r="D7153" s="4" t="s">
        <v>16922</v>
      </c>
      <c r="E7153" s="4" t="s">
        <v>16923</v>
      </c>
      <c r="F7153" s="4" t="s">
        <v>16924</v>
      </c>
      <c r="G7153" s="5" t="str">
        <f>IFERROR(__xludf.DUMMYFUNCTION("GOOGLETRANSLATE(D7153,""it"",""es"")"),"chamánico")</f>
        <v>chamánico</v>
      </c>
    </row>
    <row r="7154">
      <c r="A7154" s="4">
        <v>202.0</v>
      </c>
      <c r="B7154" s="4" t="s">
        <v>16541</v>
      </c>
      <c r="C7154" s="4"/>
      <c r="D7154" s="4" t="s">
        <v>16925</v>
      </c>
      <c r="E7154" s="4" t="s">
        <v>16926</v>
      </c>
      <c r="F7154" s="4" t="s">
        <v>16927</v>
      </c>
      <c r="G7154" s="5" t="str">
        <f>IFERROR(__xludf.DUMMYFUNCTION("GOOGLETRANSLATE(D7154,""it"",""es"")"),"ciática")</f>
        <v>ciática</v>
      </c>
      <c r="H7154" s="4" t="s">
        <v>16925</v>
      </c>
    </row>
    <row r="7155">
      <c r="A7155" s="4">
        <v>203.0</v>
      </c>
      <c r="B7155" s="4" t="s">
        <v>16541</v>
      </c>
      <c r="C7155" s="4"/>
      <c r="D7155" s="4" t="s">
        <v>16928</v>
      </c>
      <c r="E7155" s="4" t="s">
        <v>16929</v>
      </c>
      <c r="F7155" s="4" t="s">
        <v>16930</v>
      </c>
      <c r="G7155" s="5" t="str">
        <f>IFERROR(__xludf.DUMMYFUNCTION("GOOGLETRANSLATE(D7155,""it"",""es"")"),"Chiíta")</f>
        <v>Chiíta</v>
      </c>
      <c r="H7155" s="4" t="s">
        <v>16931</v>
      </c>
      <c r="I7155" s="4" t="s">
        <v>16932</v>
      </c>
      <c r="J7155" s="4" t="s">
        <v>16933</v>
      </c>
      <c r="K7155" s="4" t="s">
        <v>16934</v>
      </c>
      <c r="L7155" s="4" t="s">
        <v>16935</v>
      </c>
    </row>
    <row r="7156">
      <c r="A7156" s="4">
        <v>204.0</v>
      </c>
      <c r="B7156" s="4" t="s">
        <v>16541</v>
      </c>
      <c r="C7156" s="4"/>
      <c r="D7156" s="4" t="s">
        <v>16936</v>
      </c>
      <c r="E7156" s="4" t="s">
        <v>16937</v>
      </c>
      <c r="F7156" s="4" t="s">
        <v>7510</v>
      </c>
      <c r="G7156" s="5" t="str">
        <f>IFERROR(__xludf.DUMMYFUNCTION("GOOGLETRANSLATE(D7156,""it"",""es"")"),"Chiíta")</f>
        <v>Chiíta</v>
      </c>
    </row>
    <row r="7157">
      <c r="A7157" s="4">
        <v>205.0</v>
      </c>
      <c r="B7157" s="4" t="s">
        <v>16541</v>
      </c>
      <c r="C7157" s="4"/>
      <c r="D7157" s="4" t="s">
        <v>16938</v>
      </c>
      <c r="E7157" s="4" t="s">
        <v>12047</v>
      </c>
      <c r="F7157" s="4" t="s">
        <v>7490</v>
      </c>
      <c r="G7157" s="5" t="str">
        <f>IFERROR(__xludf.DUMMYFUNCTION("GOOGLETRANSLATE(D7157,""it"",""es"")"),"esquemas")</f>
        <v>esquemas</v>
      </c>
    </row>
    <row r="7158">
      <c r="A7158" s="4">
        <v>206.0</v>
      </c>
      <c r="B7158" s="4" t="s">
        <v>16541</v>
      </c>
      <c r="C7158" s="4"/>
      <c r="D7158" s="4" t="s">
        <v>16939</v>
      </c>
      <c r="E7158" s="4" t="s">
        <v>16940</v>
      </c>
      <c r="F7158" s="4" t="s">
        <v>16941</v>
      </c>
      <c r="G7158" s="5" t="str">
        <f>IFERROR(__xludf.DUMMYFUNCTION("GOOGLETRANSLATE(D7158,""it"",""es"")"),"arruinado")</f>
        <v>arruinado</v>
      </c>
    </row>
    <row r="7159">
      <c r="A7159" s="4">
        <v>207.0</v>
      </c>
      <c r="B7159" s="4" t="s">
        <v>16541</v>
      </c>
      <c r="C7159" s="4"/>
      <c r="D7159" s="4" t="s">
        <v>16942</v>
      </c>
      <c r="E7159" s="4" t="s">
        <v>4671</v>
      </c>
      <c r="F7159" s="4" t="s">
        <v>4672</v>
      </c>
      <c r="G7159" s="5" t="str">
        <f>IFERROR(__xludf.DUMMYFUNCTION("GOOGLETRANSLATE(D7159,""it"",""es"")"),"ciencia escolar")</f>
        <v>ciencia escolar</v>
      </c>
      <c r="H7159" s="4" t="s">
        <v>4673</v>
      </c>
      <c r="I7159" s="4" t="s">
        <v>4674</v>
      </c>
    </row>
    <row r="7160">
      <c r="A7160" s="4">
        <v>208.0</v>
      </c>
      <c r="B7160" s="4" t="s">
        <v>16541</v>
      </c>
      <c r="C7160" s="4"/>
      <c r="D7160" s="4" t="s">
        <v>401</v>
      </c>
      <c r="E7160" s="4" t="s">
        <v>400</v>
      </c>
      <c r="F7160" s="4" t="s">
        <v>401</v>
      </c>
      <c r="G7160" s="5" t="str">
        <f>IFERROR(__xludf.DUMMYFUNCTION("GOOGLETRANSLATE(D7160,""it"",""es"")"),"sí")</f>
        <v>sí</v>
      </c>
      <c r="H7160" s="4" t="s">
        <v>422</v>
      </c>
      <c r="I7160" s="4" t="s">
        <v>3975</v>
      </c>
      <c r="J7160" s="4" t="s">
        <v>401</v>
      </c>
    </row>
    <row r="7161">
      <c r="A7161" s="4">
        <v>209.0</v>
      </c>
      <c r="B7161" s="4" t="s">
        <v>16541</v>
      </c>
      <c r="C7161" s="4"/>
      <c r="D7161" s="4" t="s">
        <v>16943</v>
      </c>
      <c r="E7161" s="4" t="s">
        <v>16944</v>
      </c>
      <c r="F7161" s="4" t="s">
        <v>5554</v>
      </c>
      <c r="G7161" s="5" t="str">
        <f>IFERROR(__xludf.DUMMYFUNCTION("GOOGLETRANSLATE(D7161,""it"",""es"")"),"sica")</f>
        <v>sica</v>
      </c>
    </row>
    <row r="7162">
      <c r="A7162" s="4">
        <v>210.0</v>
      </c>
      <c r="B7162" s="4" t="s">
        <v>16541</v>
      </c>
      <c r="C7162" s="4"/>
      <c r="D7162" s="4" t="s">
        <v>3992</v>
      </c>
      <c r="E7162" s="4" t="s">
        <v>3991</v>
      </c>
      <c r="F7162" s="4" t="s">
        <v>3992</v>
      </c>
      <c r="G7162" s="5" t="str">
        <f>IFERROR(__xludf.DUMMYFUNCTION("GOOGLETRANSLATE(D7162,""it"",""es"")"),"simula")</f>
        <v>simula</v>
      </c>
    </row>
    <row r="7163">
      <c r="A7163" s="4">
        <v>211.0</v>
      </c>
      <c r="B7163" s="4" t="s">
        <v>16541</v>
      </c>
      <c r="C7163" s="4"/>
      <c r="D7163" s="4" t="s">
        <v>16945</v>
      </c>
      <c r="E7163" s="4" t="s">
        <v>16946</v>
      </c>
      <c r="F7163" s="4" t="s">
        <v>16945</v>
      </c>
      <c r="G7163" s="5" t="str">
        <f>IFERROR(__xludf.DUMMYFUNCTION("GOOGLETRANSLATE(D7163,""it"",""es"")"),"simuli")</f>
        <v>simuli</v>
      </c>
    </row>
    <row r="7164">
      <c r="A7164" s="4">
        <v>212.0</v>
      </c>
      <c r="B7164" s="4" t="s">
        <v>16541</v>
      </c>
      <c r="C7164" s="4"/>
      <c r="D7164" s="4" t="s">
        <v>404</v>
      </c>
      <c r="E7164" s="4" t="s">
        <v>403</v>
      </c>
      <c r="F7164" s="4" t="s">
        <v>404</v>
      </c>
      <c r="G7164" s="5" t="str">
        <f>IFERROR(__xludf.DUMMYFUNCTION("GOOGLETRANSLATE(D7164,""it"",""es"")"),"asi que")</f>
        <v>asi que</v>
      </c>
    </row>
    <row r="7165">
      <c r="A7165" s="4">
        <v>213.0</v>
      </c>
      <c r="B7165" s="4" t="s">
        <v>16541</v>
      </c>
      <c r="C7165" s="4"/>
      <c r="D7165" s="4" t="s">
        <v>11192</v>
      </c>
      <c r="E7165" s="4" t="s">
        <v>16947</v>
      </c>
      <c r="F7165" s="4" t="s">
        <v>11192</v>
      </c>
      <c r="G7165" s="5" t="str">
        <f>IFERROR(__xludf.DUMMYFUNCTION("GOOGLETRANSLATE(D7165,""it"",""es"")"),"sipa")</f>
        <v>sipa</v>
      </c>
    </row>
    <row r="7166">
      <c r="A7166" s="4">
        <v>214.0</v>
      </c>
      <c r="B7166" s="4" t="s">
        <v>16541</v>
      </c>
      <c r="C7166" s="4"/>
      <c r="D7166" s="4" t="s">
        <v>16948</v>
      </c>
      <c r="E7166" s="4" t="s">
        <v>16949</v>
      </c>
      <c r="F7166" s="4" t="s">
        <v>16948</v>
      </c>
      <c r="G7166" s="5" t="str">
        <f>IFERROR(__xludf.DUMMYFUNCTION("GOOGLETRANSLATE(D7166,""it"",""es"")"),"situula")</f>
        <v>situula</v>
      </c>
    </row>
    <row r="7167">
      <c r="A7167" s="4">
        <v>215.0</v>
      </c>
      <c r="B7167" s="4" t="s">
        <v>16541</v>
      </c>
      <c r="C7167" s="4"/>
      <c r="D7167" s="4" t="s">
        <v>8717</v>
      </c>
      <c r="E7167" s="4" t="s">
        <v>8716</v>
      </c>
      <c r="F7167" s="4" t="s">
        <v>8717</v>
      </c>
      <c r="G7167" s="5" t="str">
        <f>IFERROR(__xludf.DUMMYFUNCTION("GOOGLETRANSLATE(D7167,""it"",""es"")"),"en")</f>
        <v>en</v>
      </c>
      <c r="H7167" s="4" t="s">
        <v>7041</v>
      </c>
      <c r="I7167" s="4" t="s">
        <v>16950</v>
      </c>
      <c r="J7167" s="4" t="s">
        <v>16951</v>
      </c>
      <c r="K7167" s="4" t="s">
        <v>16952</v>
      </c>
    </row>
    <row r="7168">
      <c r="A7168" s="4">
        <v>216.0</v>
      </c>
      <c r="B7168" s="4" t="s">
        <v>16541</v>
      </c>
      <c r="C7168" s="4"/>
      <c r="D7168" s="4" t="s">
        <v>16953</v>
      </c>
      <c r="E7168" s="4" t="s">
        <v>16954</v>
      </c>
      <c r="F7168" s="4" t="s">
        <v>16955</v>
      </c>
      <c r="G7168" s="5" t="str">
        <f>IFERROR(__xludf.DUMMYFUNCTION("GOOGLETRANSLATE(D7168,""it"",""es"")"),"sobre quien")</f>
        <v>sobre quien</v>
      </c>
    </row>
    <row r="7169">
      <c r="A7169" s="4">
        <v>217.0</v>
      </c>
      <c r="B7169" s="4" t="s">
        <v>16541</v>
      </c>
      <c r="C7169" s="4"/>
      <c r="D7169" s="4" t="s">
        <v>16956</v>
      </c>
      <c r="E7169" s="4" t="s">
        <v>16957</v>
      </c>
      <c r="F7169" s="4" t="s">
        <v>16956</v>
      </c>
      <c r="G7169" s="5" t="str">
        <f>IFERROR(__xludf.DUMMYFUNCTION("GOOGLETRANSLATE(D7169,""it"",""es"")"),"ciruela")</f>
        <v>ciruela</v>
      </c>
      <c r="H7169" s="4" t="s">
        <v>8951</v>
      </c>
    </row>
    <row r="7170">
      <c r="A7170" s="4">
        <v>218.0</v>
      </c>
      <c r="B7170" s="4" t="s">
        <v>16541</v>
      </c>
      <c r="C7170" s="4"/>
      <c r="D7170" s="4" t="s">
        <v>16958</v>
      </c>
      <c r="E7170" s="4" t="s">
        <v>400</v>
      </c>
      <c r="F7170" s="4" t="s">
        <v>401</v>
      </c>
      <c r="G7170" s="5" t="str">
        <f>IFERROR(__xludf.DUMMYFUNCTION("GOOGLETRANSLATE(D7170,""it"",""es"")"),"Sí")</f>
        <v>Sí</v>
      </c>
    </row>
    <row r="7171">
      <c r="A7171" s="4">
        <v>219.0</v>
      </c>
      <c r="B7171" s="4" t="s">
        <v>16541</v>
      </c>
      <c r="C7171" s="4"/>
      <c r="D7171" s="4" t="s">
        <v>16959</v>
      </c>
      <c r="E7171" s="4" t="s">
        <v>421</v>
      </c>
      <c r="F7171" s="4" t="s">
        <v>422</v>
      </c>
      <c r="G7171" s="5" t="str">
        <f>IFERROR(__xludf.DUMMYFUNCTION("GOOGLETRANSLATE(D7171,""it"",""es"")"),"T")</f>
        <v>T</v>
      </c>
      <c r="H7171" s="4" t="s">
        <v>16960</v>
      </c>
      <c r="I7171" s="4" t="s">
        <v>16961</v>
      </c>
      <c r="J7171" s="4" t="s">
        <v>16962</v>
      </c>
      <c r="K7171" s="4" t="s">
        <v>16959</v>
      </c>
    </row>
    <row r="7172">
      <c r="A7172" s="4">
        <v>220.0</v>
      </c>
      <c r="B7172" s="4" t="s">
        <v>16541</v>
      </c>
      <c r="C7172" s="4"/>
      <c r="D7172" s="4" t="s">
        <v>16963</v>
      </c>
      <c r="E7172" s="4" t="s">
        <v>16964</v>
      </c>
      <c r="F7172" s="4" t="s">
        <v>16965</v>
      </c>
      <c r="G7172" s="5" t="str">
        <f>IFERROR(__xludf.DUMMYFUNCTION("GOOGLETRANSLATE(D7172,""it"",""es"")"),"mesa")</f>
        <v>mesa</v>
      </c>
    </row>
    <row r="7173">
      <c r="A7173" s="4">
        <v>221.0</v>
      </c>
      <c r="B7173" s="4" t="s">
        <v>16541</v>
      </c>
      <c r="C7173" s="4"/>
      <c r="D7173" s="4" t="s">
        <v>16966</v>
      </c>
      <c r="E7173" s="4" t="s">
        <v>16967</v>
      </c>
      <c r="F7173" s="4" t="s">
        <v>16966</v>
      </c>
      <c r="G7173" s="5" t="str">
        <f>IFERROR(__xludf.DUMMYFUNCTION("GOOGLETRANSLATE(D7173,""it"",""es"")"),"alguno")</f>
        <v>alguno</v>
      </c>
    </row>
    <row r="7174">
      <c r="A7174" s="4">
        <v>222.0</v>
      </c>
      <c r="B7174" s="4" t="s">
        <v>16541</v>
      </c>
      <c r="C7174" s="4"/>
      <c r="D7174" s="4" t="s">
        <v>13786</v>
      </c>
      <c r="E7174" s="4" t="s">
        <v>13787</v>
      </c>
      <c r="F7174" s="4" t="s">
        <v>13786</v>
      </c>
      <c r="G7174" s="5" t="str">
        <f>IFERROR(__xludf.DUMMYFUNCTION("GOOGLETRANSLATE(D7174,""it"",""es"")"),"guarida")</f>
        <v>guarida</v>
      </c>
      <c r="H7174" s="4" t="s">
        <v>11802</v>
      </c>
      <c r="I7174" s="4" t="s">
        <v>11799</v>
      </c>
      <c r="J7174" s="4" t="s">
        <v>11803</v>
      </c>
      <c r="K7174" s="4" t="s">
        <v>13088</v>
      </c>
      <c r="L7174" s="4" t="s">
        <v>11803</v>
      </c>
    </row>
    <row r="7175">
      <c r="A7175" s="4">
        <v>223.0</v>
      </c>
      <c r="B7175" s="4" t="s">
        <v>16541</v>
      </c>
      <c r="C7175" s="4"/>
      <c r="D7175" s="4" t="s">
        <v>16968</v>
      </c>
      <c r="E7175" s="4" t="s">
        <v>16969</v>
      </c>
      <c r="F7175" s="4" t="s">
        <v>16970</v>
      </c>
      <c r="G7175" s="5" t="str">
        <f>IFERROR(__xludf.DUMMYFUNCTION("GOOGLETRANSLATE(D7175,""it"",""es"")"),"tanque")</f>
        <v>tanque</v>
      </c>
    </row>
    <row r="7176">
      <c r="A7176" s="4">
        <v>224.0</v>
      </c>
      <c r="B7176" s="4" t="s">
        <v>16541</v>
      </c>
      <c r="C7176" s="4"/>
      <c r="D7176" s="4" t="s">
        <v>16971</v>
      </c>
      <c r="E7176" s="4" t="s">
        <v>16972</v>
      </c>
      <c r="F7176" s="4" t="s">
        <v>16971</v>
      </c>
      <c r="G7176" s="5" t="str">
        <f>IFERROR(__xludf.DUMMYFUNCTION("GOOGLETRANSLATE(D7176,""it"",""es"")"),"toca en")</f>
        <v>toca en</v>
      </c>
    </row>
    <row r="7177">
      <c r="A7177" s="4">
        <v>225.0</v>
      </c>
      <c r="B7177" s="4" t="s">
        <v>16541</v>
      </c>
      <c r="C7177" s="4"/>
      <c r="D7177" s="4" t="s">
        <v>16973</v>
      </c>
      <c r="E7177" s="4" t="s">
        <v>16974</v>
      </c>
      <c r="F7177" s="4" t="s">
        <v>16975</v>
      </c>
      <c r="G7177" s="5" t="str">
        <f>IFERROR(__xludf.DUMMYFUNCTION("GOOGLETRANSLATE(D7177,""it"",""es"")"),"tapinidad")</f>
        <v>tapinidad</v>
      </c>
    </row>
    <row r="7178">
      <c r="A7178" s="4">
        <v>226.0</v>
      </c>
      <c r="B7178" s="4" t="s">
        <v>16541</v>
      </c>
      <c r="C7178" s="4"/>
      <c r="D7178" s="4" t="s">
        <v>13820</v>
      </c>
      <c r="E7178" s="4" t="s">
        <v>13821</v>
      </c>
      <c r="F7178" s="4" t="s">
        <v>13820</v>
      </c>
      <c r="G7178" s="5" t="str">
        <f>IFERROR(__xludf.DUMMYFUNCTION("GOOGLETRANSLATE(D7178,""it"",""es"")"),"niñera")</f>
        <v>niñera</v>
      </c>
    </row>
    <row r="7179">
      <c r="A7179" s="4">
        <v>227.0</v>
      </c>
      <c r="B7179" s="4" t="s">
        <v>16541</v>
      </c>
      <c r="C7179" s="4"/>
      <c r="D7179" s="4" t="s">
        <v>16437</v>
      </c>
      <c r="E7179" s="4" t="s">
        <v>4382</v>
      </c>
      <c r="F7179" s="4" t="s">
        <v>4381</v>
      </c>
      <c r="G7179" s="5" t="str">
        <f>IFERROR(__xludf.DUMMYFUNCTION("GOOGLETRANSLATE(D7179,""it"",""es"")"),"equipo")</f>
        <v>equipo</v>
      </c>
      <c r="H7179" s="4" t="s">
        <v>16976</v>
      </c>
      <c r="I7179" s="4" t="s">
        <v>16977</v>
      </c>
    </row>
    <row r="7180">
      <c r="A7180" s="4">
        <v>228.0</v>
      </c>
      <c r="B7180" s="4" t="s">
        <v>16541</v>
      </c>
      <c r="C7180" s="4"/>
      <c r="D7180" s="4" t="s">
        <v>422</v>
      </c>
      <c r="E7180" s="4" t="s">
        <v>421</v>
      </c>
      <c r="F7180" s="4" t="s">
        <v>422</v>
      </c>
      <c r="G7180" s="5" t="str">
        <f>IFERROR(__xludf.DUMMYFUNCTION("GOOGLETRANSLATE(D7180,""it"",""es"")"),"tú")</f>
        <v>tú</v>
      </c>
    </row>
    <row r="7181">
      <c r="A7181" s="4">
        <v>229.0</v>
      </c>
      <c r="B7181" s="4" t="s">
        <v>16541</v>
      </c>
      <c r="C7181" s="4"/>
      <c r="D7181" s="4" t="s">
        <v>4379</v>
      </c>
      <c r="E7181" s="4" t="s">
        <v>4380</v>
      </c>
      <c r="F7181" s="4" t="s">
        <v>438</v>
      </c>
      <c r="G7181" s="5" t="str">
        <f>IFERROR(__xludf.DUMMYFUNCTION("GOOGLETRANSLATE(D7181,""it"",""es"")"),"tic")</f>
        <v>tic</v>
      </c>
      <c r="H7181" s="4" t="s">
        <v>7837</v>
      </c>
      <c r="I7181" s="4" t="s">
        <v>7838</v>
      </c>
      <c r="J7181" s="4" t="s">
        <v>4379</v>
      </c>
    </row>
    <row r="7182">
      <c r="A7182" s="4">
        <v>230.0</v>
      </c>
      <c r="B7182" s="4" t="s">
        <v>16541</v>
      </c>
      <c r="C7182" s="4"/>
      <c r="D7182" s="4" t="s">
        <v>5606</v>
      </c>
      <c r="E7182" s="4" t="s">
        <v>5605</v>
      </c>
      <c r="F7182" s="4" t="s">
        <v>5606</v>
      </c>
      <c r="G7182" s="5" t="str">
        <f>IFERROR(__xludf.DUMMYFUNCTION("GOOGLETRANSLATE(D7182,""it"",""es"")"),"tiempo")</f>
        <v>tiempo</v>
      </c>
    </row>
    <row r="7183">
      <c r="A7183" s="4">
        <v>231.0</v>
      </c>
      <c r="B7183" s="4" t="s">
        <v>16541</v>
      </c>
      <c r="C7183" s="4"/>
      <c r="D7183" s="4" t="s">
        <v>5587</v>
      </c>
      <c r="E7183" s="4" t="s">
        <v>5586</v>
      </c>
      <c r="F7183" s="4" t="s">
        <v>5587</v>
      </c>
      <c r="G7183" s="5" t="str">
        <f>IFERROR(__xludf.DUMMYFUNCTION("GOOGLETRANSLATE(D7183,""it"",""es"")"),"Tina")</f>
        <v>Tina</v>
      </c>
    </row>
    <row r="7184">
      <c r="A7184" s="4">
        <v>232.0</v>
      </c>
      <c r="B7184" s="4" t="s">
        <v>16541</v>
      </c>
      <c r="C7184" s="4"/>
      <c r="D7184" s="4" t="s">
        <v>16978</v>
      </c>
      <c r="E7184" s="4" t="s">
        <v>4594</v>
      </c>
      <c r="F7184" s="4" t="s">
        <v>4595</v>
      </c>
      <c r="G7184" s="5" t="str">
        <f>IFERROR(__xludf.DUMMYFUNCTION("GOOGLETRANSLATE(D7184,""it"",""es"")"),"típico")</f>
        <v>típico</v>
      </c>
    </row>
    <row r="7185">
      <c r="A7185" s="4">
        <v>233.0</v>
      </c>
      <c r="B7185" s="4" t="s">
        <v>16541</v>
      </c>
      <c r="C7185" s="4"/>
      <c r="D7185" s="4" t="s">
        <v>16979</v>
      </c>
      <c r="E7185" s="4" t="s">
        <v>16980</v>
      </c>
      <c r="F7185" s="4" t="s">
        <v>16981</v>
      </c>
      <c r="G7185" s="5" t="str">
        <f>IFERROR(__xludf.DUMMYFUNCTION("GOOGLETRANSLATE(D7185,""it"",""es"")"),"titánico")</f>
        <v>titánico</v>
      </c>
    </row>
    <row r="7186">
      <c r="A7186" s="4">
        <v>234.0</v>
      </c>
      <c r="B7186" s="4" t="s">
        <v>16541</v>
      </c>
      <c r="C7186" s="4"/>
      <c r="D7186" s="4" t="s">
        <v>4555</v>
      </c>
      <c r="E7186" s="4" t="s">
        <v>4556</v>
      </c>
      <c r="F7186" s="4" t="s">
        <v>4555</v>
      </c>
      <c r="G7186" s="5" t="str">
        <f>IFERROR(__xludf.DUMMYFUNCTION("GOOGLETRANSLATE(D7186,""it"",""es"")"),"tú")</f>
        <v>tú</v>
      </c>
    </row>
    <row r="7187">
      <c r="A7187" s="4">
        <v>235.0</v>
      </c>
      <c r="B7187" s="4" t="s">
        <v>16541</v>
      </c>
      <c r="C7187" s="4"/>
      <c r="D7187" s="4" t="s">
        <v>4611</v>
      </c>
      <c r="E7187" s="4" t="s">
        <v>4608</v>
      </c>
      <c r="F7187" s="4" t="s">
        <v>4609</v>
      </c>
      <c r="G7187" s="5" t="str">
        <f>IFERROR(__xludf.DUMMYFUNCTION("GOOGLETRANSLATE(D7187,""it"",""es"")"),"sayo")</f>
        <v>sayo</v>
      </c>
      <c r="H7187" s="4" t="s">
        <v>4610</v>
      </c>
      <c r="I7187" s="4" t="s">
        <v>4611</v>
      </c>
      <c r="J7187" s="4" t="s">
        <v>4612</v>
      </c>
    </row>
    <row r="7188">
      <c r="A7188" s="4">
        <v>236.0</v>
      </c>
      <c r="B7188" s="4" t="s">
        <v>16541</v>
      </c>
      <c r="C7188" s="4"/>
      <c r="D7188" s="4" t="s">
        <v>4575</v>
      </c>
      <c r="E7188" s="4" t="s">
        <v>4576</v>
      </c>
      <c r="F7188" s="4" t="s">
        <v>4575</v>
      </c>
      <c r="G7188" s="5" t="str">
        <f>IFERROR(__xludf.DUMMYFUNCTION("GOOGLETRANSLATE(D7188,""it"",""es"")"),"traje")</f>
        <v>traje</v>
      </c>
    </row>
    <row r="7189">
      <c r="A7189" s="4">
        <v>237.0</v>
      </c>
      <c r="B7189" s="4" t="s">
        <v>16541</v>
      </c>
      <c r="C7189" s="4"/>
      <c r="D7189" s="4" t="s">
        <v>16982</v>
      </c>
      <c r="E7189" s="4" t="s">
        <v>4578</v>
      </c>
      <c r="F7189" s="4" t="s">
        <v>4579</v>
      </c>
      <c r="G7189" s="5" t="str">
        <f>IFERROR(__xludf.DUMMYFUNCTION("GOOGLETRANSLATE(D7189,""it"",""es"")"),"tutú")</f>
        <v>tutú</v>
      </c>
      <c r="H7189" s="4" t="s">
        <v>4580</v>
      </c>
      <c r="I7189" s="4" t="s">
        <v>4579</v>
      </c>
    </row>
    <row r="7190">
      <c r="A7190" s="4">
        <v>238.0</v>
      </c>
      <c r="B7190" s="4" t="s">
        <v>16541</v>
      </c>
      <c r="C7190" s="4"/>
      <c r="D7190" s="4" t="s">
        <v>16983</v>
      </c>
      <c r="E7190" s="4" t="s">
        <v>16984</v>
      </c>
      <c r="F7190" s="4" t="s">
        <v>16983</v>
      </c>
      <c r="G7190" s="5" t="str">
        <f>IFERROR(__xludf.DUMMYFUNCTION("GOOGLETRANSLATE(D7190,""it"",""es"")"),"humano")</f>
        <v>humano</v>
      </c>
    </row>
    <row r="7191">
      <c r="A7191" s="4">
        <v>239.0</v>
      </c>
      <c r="B7191" s="4" t="s">
        <v>16541</v>
      </c>
      <c r="C7191" s="4"/>
      <c r="D7191" s="4" t="s">
        <v>16985</v>
      </c>
      <c r="E7191" s="4" t="s">
        <v>16986</v>
      </c>
      <c r="F7191" s="4" t="s">
        <v>16987</v>
      </c>
      <c r="G7191" s="5" t="str">
        <f>IFERROR(__xludf.DUMMYFUNCTION("GOOGLETRANSLATE(D7191,""it"",""es"")"),"humanidad")</f>
        <v>humanidad</v>
      </c>
      <c r="H7191" s="4" t="s">
        <v>2953</v>
      </c>
      <c r="I7191" s="4" t="s">
        <v>6749</v>
      </c>
      <c r="J7191" s="4" t="s">
        <v>6750</v>
      </c>
      <c r="K7191" s="4" t="s">
        <v>6751</v>
      </c>
      <c r="L7191" s="4" t="s">
        <v>6752</v>
      </c>
      <c r="M7191" s="4" t="s">
        <v>6753</v>
      </c>
      <c r="N7191" s="4" t="s">
        <v>6754</v>
      </c>
      <c r="O7191" s="4" t="s">
        <v>1856</v>
      </c>
      <c r="P7191" s="4" t="s">
        <v>6750</v>
      </c>
    </row>
    <row r="7192">
      <c r="A7192" s="4">
        <v>240.0</v>
      </c>
      <c r="B7192" s="4" t="s">
        <v>16541</v>
      </c>
      <c r="C7192" s="4"/>
      <c r="D7192" s="4" t="s">
        <v>16988</v>
      </c>
      <c r="E7192" s="4" t="s">
        <v>16989</v>
      </c>
      <c r="F7192" s="4" t="s">
        <v>16990</v>
      </c>
      <c r="G7192" s="5" t="str">
        <f>IFERROR(__xludf.DUMMYFUNCTION("GOOGLETRANSLATE(D7192,""it"",""es"")"),"humildad")</f>
        <v>humildad</v>
      </c>
    </row>
    <row r="7193">
      <c r="A7193" s="4">
        <v>241.0</v>
      </c>
      <c r="B7193" s="4" t="s">
        <v>16541</v>
      </c>
      <c r="C7193" s="4"/>
      <c r="D7193" s="4" t="s">
        <v>1860</v>
      </c>
      <c r="E7193" s="4" t="s">
        <v>1859</v>
      </c>
      <c r="F7193" s="4" t="s">
        <v>1860</v>
      </c>
      <c r="G7193" s="5" t="str">
        <f>IFERROR(__xludf.DUMMYFUNCTION("GOOGLETRANSLATE(D7193,""it"",""es"")"),"a")</f>
        <v>a</v>
      </c>
    </row>
    <row r="7194">
      <c r="A7194" s="4">
        <v>242.0</v>
      </c>
      <c r="B7194" s="4" t="s">
        <v>16541</v>
      </c>
      <c r="C7194" s="4"/>
      <c r="D7194" s="4" t="s">
        <v>16991</v>
      </c>
      <c r="E7194" s="4" t="s">
        <v>1859</v>
      </c>
      <c r="F7194" s="4" t="s">
        <v>1860</v>
      </c>
      <c r="G7194" s="5" t="str">
        <f>IFERROR(__xludf.DUMMYFUNCTION("GOOGLETRANSLATE(D7194,""it"",""es"")"),"a")</f>
        <v>a</v>
      </c>
    </row>
    <row r="7195">
      <c r="A7195" s="4">
        <v>243.0</v>
      </c>
      <c r="B7195" s="4" t="s">
        <v>16541</v>
      </c>
      <c r="C7195" s="4"/>
      <c r="D7195" s="4" t="s">
        <v>1864</v>
      </c>
      <c r="E7195" s="4" t="s">
        <v>1863</v>
      </c>
      <c r="F7195" s="4" t="s">
        <v>1864</v>
      </c>
      <c r="G7195" s="5" t="str">
        <f>IFERROR(__xludf.DUMMYFUNCTION("GOOGLETRANSLATE(D7195,""it"",""es"")"),"a")</f>
        <v>a</v>
      </c>
    </row>
    <row r="7196">
      <c r="A7196" s="4">
        <v>244.0</v>
      </c>
      <c r="B7196" s="4" t="s">
        <v>16541</v>
      </c>
      <c r="C7196" s="4"/>
      <c r="D7196" s="4" t="s">
        <v>16992</v>
      </c>
      <c r="E7196" s="4" t="s">
        <v>16993</v>
      </c>
      <c r="F7196" s="4" t="s">
        <v>16994</v>
      </c>
      <c r="G7196" s="5" t="str">
        <f>IFERROR(__xludf.DUMMYFUNCTION("GOOGLETRANSLATE(D7196,""it"",""es"")"),"unanimidad")</f>
        <v>unanimidad</v>
      </c>
      <c r="H7196" s="4" t="s">
        <v>16995</v>
      </c>
    </row>
    <row r="7197">
      <c r="A7197" s="4">
        <v>245.0</v>
      </c>
      <c r="B7197" s="4" t="s">
        <v>16541</v>
      </c>
      <c r="C7197" s="4"/>
      <c r="D7197" s="4" t="s">
        <v>4640</v>
      </c>
      <c r="E7197" s="4" t="s">
        <v>4639</v>
      </c>
      <c r="F7197" s="4" t="s">
        <v>4640</v>
      </c>
      <c r="G7197" s="5" t="str">
        <f>IFERROR(__xludf.DUMMYFUNCTION("GOOGLETRANSLATE(D7197,""it"",""es"")"),"UNI")</f>
        <v>UNI</v>
      </c>
    </row>
    <row r="7198">
      <c r="A7198" s="4">
        <v>246.0</v>
      </c>
      <c r="B7198" s="4" t="s">
        <v>16541</v>
      </c>
      <c r="C7198" s="4"/>
      <c r="D7198" s="4" t="s">
        <v>16996</v>
      </c>
      <c r="E7198" s="4" t="s">
        <v>16997</v>
      </c>
      <c r="F7198" s="4" t="s">
        <v>16998</v>
      </c>
      <c r="G7198" s="5" t="str">
        <f>IFERROR(__xludf.DUMMYFUNCTION("GOOGLETRANSLATE(D7198,""it"",""es"")"),"solamente")</f>
        <v>solamente</v>
      </c>
    </row>
    <row r="7199">
      <c r="A7199" s="4">
        <v>247.0</v>
      </c>
      <c r="B7199" s="4" t="s">
        <v>16541</v>
      </c>
      <c r="C7199" s="4"/>
      <c r="D7199" s="4" t="s">
        <v>16999</v>
      </c>
      <c r="E7199" s="4" t="s">
        <v>17000</v>
      </c>
      <c r="F7199" s="4" t="s">
        <v>17001</v>
      </c>
      <c r="G7199" s="5" t="str">
        <f>IFERROR(__xludf.DUMMYFUNCTION("GOOGLETRANSLATE(D7199,""it"",""es"")"),"unidad")</f>
        <v>unidad</v>
      </c>
      <c r="H7199" s="4" t="s">
        <v>8899</v>
      </c>
      <c r="I7199" s="4" t="s">
        <v>8892</v>
      </c>
      <c r="J7199" s="4" t="s">
        <v>13885</v>
      </c>
      <c r="K7199" s="4" t="s">
        <v>17002</v>
      </c>
      <c r="L7199" s="4" t="s">
        <v>17003</v>
      </c>
      <c r="M7199" s="4" t="s">
        <v>13885</v>
      </c>
      <c r="N7199" s="4" t="s">
        <v>13885</v>
      </c>
      <c r="O7199" s="4" t="s">
        <v>8895</v>
      </c>
      <c r="P7199" s="4" t="s">
        <v>8892</v>
      </c>
      <c r="Q7199" s="4" t="s">
        <v>8896</v>
      </c>
    </row>
    <row r="7200">
      <c r="A7200" s="4">
        <v>248.0</v>
      </c>
      <c r="B7200" s="4" t="s">
        <v>16541</v>
      </c>
      <c r="C7200" s="4"/>
      <c r="D7200" s="4" t="s">
        <v>17004</v>
      </c>
      <c r="E7200" s="4" t="s">
        <v>4639</v>
      </c>
      <c r="F7200" s="4" t="s">
        <v>4640</v>
      </c>
      <c r="G7200" s="5" t="str">
        <f>IFERROR(__xludf.DUMMYFUNCTION("GOOGLETRANSLATE(D7200,""it"",""es"")"),"unido")</f>
        <v>unido</v>
      </c>
    </row>
    <row r="7201">
      <c r="A7201" s="4">
        <v>249.0</v>
      </c>
      <c r="B7201" s="4" t="s">
        <v>16541</v>
      </c>
      <c r="C7201" s="4"/>
      <c r="D7201" s="4" t="s">
        <v>17005</v>
      </c>
      <c r="E7201" s="4" t="s">
        <v>17006</v>
      </c>
      <c r="F7201" s="4" t="s">
        <v>17007</v>
      </c>
      <c r="G7201" s="5" t="str">
        <f>IFERROR(__xludf.DUMMYFUNCTION("GOOGLETRANSLATE(D7201,""it"",""es"")"),"Utah")</f>
        <v>Utah</v>
      </c>
    </row>
    <row r="7202">
      <c r="A7202" s="4">
        <v>250.0</v>
      </c>
      <c r="B7202" s="4" t="s">
        <v>16541</v>
      </c>
      <c r="C7202" s="4"/>
      <c r="D7202" s="4" t="s">
        <v>17005</v>
      </c>
      <c r="E7202" s="4" t="s">
        <v>17008</v>
      </c>
      <c r="F7202" s="4" t="s">
        <v>17009</v>
      </c>
      <c r="G7202" s="5" t="str">
        <f>IFERROR(__xludf.DUMMYFUNCTION("GOOGLETRANSLATE(D7202,""it"",""es"")"),"Utah")</f>
        <v>Utah</v>
      </c>
    </row>
    <row r="7203">
      <c r="A7203" s="4">
        <v>251.0</v>
      </c>
      <c r="B7203" s="4" t="s">
        <v>16541</v>
      </c>
      <c r="C7203" s="4"/>
      <c r="D7203" s="4" t="s">
        <v>17010</v>
      </c>
      <c r="E7203" s="4" t="s">
        <v>17011</v>
      </c>
      <c r="F7203" s="4" t="s">
        <v>17012</v>
      </c>
      <c r="G7203" s="5" t="str">
        <f>IFERROR(__xludf.DUMMYFUNCTION("GOOGLETRANSLATE(D7203,""it"",""es"")"),"utilidad")</f>
        <v>utilidad</v>
      </c>
      <c r="H7203" s="4" t="s">
        <v>17013</v>
      </c>
      <c r="I7203" s="4" t="s">
        <v>17014</v>
      </c>
    </row>
    <row r="7204">
      <c r="A7204" s="4">
        <v>252.0</v>
      </c>
      <c r="B7204" s="4" t="s">
        <v>16541</v>
      </c>
      <c r="C7204" s="4"/>
      <c r="D7204" s="4" t="s">
        <v>17015</v>
      </c>
      <c r="E7204" s="4" t="s">
        <v>17016</v>
      </c>
      <c r="F7204" s="4" t="s">
        <v>17017</v>
      </c>
      <c r="G7204" s="5" t="str">
        <f>IFERROR(__xludf.DUMMYFUNCTION("GOOGLETRANSLATE(D7204,""it"",""es"")"),"Wuhan")</f>
        <v>Wuhan</v>
      </c>
    </row>
    <row r="7205">
      <c r="A7205" s="4">
        <v>1.0</v>
      </c>
      <c r="B7205" s="4" t="s">
        <v>17018</v>
      </c>
      <c r="C7205" s="4"/>
      <c r="D7205" s="4" t="s">
        <v>5777</v>
      </c>
      <c r="E7205" s="4" t="s">
        <v>504</v>
      </c>
      <c r="F7205" s="4" t="s">
        <v>505</v>
      </c>
      <c r="G7205" s="5" t="str">
        <f>IFERROR(__xludf.DUMMYFUNCTION("GOOGLETRANSLATE(D7205,""it"",""es"")"),"Ay")</f>
        <v>Ay</v>
      </c>
    </row>
    <row r="7206">
      <c r="A7206" s="4">
        <v>2.0</v>
      </c>
      <c r="B7206" s="4" t="s">
        <v>17018</v>
      </c>
      <c r="C7206" s="4"/>
      <c r="D7206" s="4" t="s">
        <v>17019</v>
      </c>
      <c r="E7206" s="4" t="s">
        <v>11782</v>
      </c>
      <c r="F7206" s="4" t="s">
        <v>11781</v>
      </c>
      <c r="G7206" s="5" t="str">
        <f>IFERROR(__xludf.DUMMYFUNCTION("GOOGLETRANSLATE(D7206,""it"",""es"")"),"Ahia")</f>
        <v>Ahia</v>
      </c>
    </row>
    <row r="7207">
      <c r="A7207" s="4">
        <v>3.0</v>
      </c>
      <c r="B7207" s="4" t="s">
        <v>17018</v>
      </c>
      <c r="C7207" s="4"/>
      <c r="D7207" s="4" t="s">
        <v>503</v>
      </c>
      <c r="E7207" s="4" t="s">
        <v>504</v>
      </c>
      <c r="F7207" s="4" t="s">
        <v>505</v>
      </c>
      <c r="G7207" s="5" t="str">
        <f>IFERROR(__xludf.DUMMYFUNCTION("GOOGLETRANSLATE(D7207,""it"",""es"")"),"hacia")</f>
        <v>hacia</v>
      </c>
    </row>
    <row r="7208">
      <c r="A7208" s="4">
        <v>4.0</v>
      </c>
      <c r="B7208" s="4" t="s">
        <v>17018</v>
      </c>
      <c r="C7208" s="4"/>
      <c r="D7208" s="4" t="s">
        <v>16542</v>
      </c>
      <c r="E7208" s="4" t="s">
        <v>11782</v>
      </c>
      <c r="F7208" s="4" t="s">
        <v>11781</v>
      </c>
      <c r="G7208" s="5" t="str">
        <f>IFERROR(__xludf.DUMMYFUNCTION("GOOGLETRANSLATE(D7208,""it"",""es"")"),"AIA")</f>
        <v>AIA</v>
      </c>
      <c r="H7208" s="4" t="s">
        <v>16543</v>
      </c>
      <c r="I7208" s="4" t="s">
        <v>16544</v>
      </c>
      <c r="J7208" s="4" t="s">
        <v>16545</v>
      </c>
      <c r="K7208" s="6" t="s">
        <v>16546</v>
      </c>
      <c r="L7208" s="4" t="s">
        <v>16547</v>
      </c>
    </row>
    <row r="7209">
      <c r="A7209" s="4">
        <v>5.0</v>
      </c>
      <c r="B7209" s="4" t="s">
        <v>17018</v>
      </c>
      <c r="C7209" s="4"/>
      <c r="D7209" s="4" t="s">
        <v>16548</v>
      </c>
      <c r="E7209" s="4" t="s">
        <v>16549</v>
      </c>
      <c r="F7209" s="4" t="s">
        <v>16550</v>
      </c>
      <c r="G7209" s="5" t="str">
        <f>IFERROR(__xludf.DUMMYFUNCTION("GOOGLETRANSLATE(D7209,""it"",""es"")"),"ayuda")</f>
        <v>ayuda</v>
      </c>
    </row>
    <row r="7210">
      <c r="A7210" s="4">
        <v>6.0</v>
      </c>
      <c r="B7210" s="4" t="s">
        <v>17018</v>
      </c>
      <c r="C7210" s="4"/>
      <c r="D7210" s="4" t="s">
        <v>506</v>
      </c>
      <c r="E7210" s="4" t="s">
        <v>507</v>
      </c>
      <c r="F7210" s="4" t="s">
        <v>506</v>
      </c>
      <c r="G7210" s="5" t="str">
        <f>IFERROR(__xludf.DUMMYFUNCTION("GOOGLETRANSLATE(D7210,""it"",""es"")"),"hacia")</f>
        <v>hacia</v>
      </c>
    </row>
    <row r="7211">
      <c r="A7211" s="4">
        <v>7.0</v>
      </c>
      <c r="B7211" s="4" t="s">
        <v>17018</v>
      </c>
      <c r="C7211" s="4"/>
      <c r="D7211" s="4" t="s">
        <v>508</v>
      </c>
      <c r="E7211" s="4" t="s">
        <v>509</v>
      </c>
      <c r="F7211" s="4" t="s">
        <v>508</v>
      </c>
      <c r="G7211" s="5" t="str">
        <f>IFERROR(__xludf.DUMMYFUNCTION("GOOGLETRANSLATE(D7211,""it"",""es"")"),"ala")</f>
        <v>ala</v>
      </c>
      <c r="H7211" s="4" t="s">
        <v>510</v>
      </c>
      <c r="I7211" s="4" t="s">
        <v>510</v>
      </c>
    </row>
    <row r="7212">
      <c r="A7212" s="4">
        <v>8.0</v>
      </c>
      <c r="B7212" s="4" t="s">
        <v>17018</v>
      </c>
      <c r="C7212" s="4"/>
      <c r="D7212" s="4" t="s">
        <v>16551</v>
      </c>
      <c r="E7212" s="4" t="s">
        <v>14067</v>
      </c>
      <c r="F7212" s="4" t="s">
        <v>14068</v>
      </c>
      <c r="G7212" s="5" t="str">
        <f>IFERROR(__xludf.DUMMYFUNCTION("GOOGLETRANSLATE(D7212,""it"",""es"")"),"ala")</f>
        <v>ala</v>
      </c>
    </row>
    <row r="7213">
      <c r="A7213" s="4">
        <v>9.0</v>
      </c>
      <c r="B7213" s="4" t="s">
        <v>17018</v>
      </c>
      <c r="C7213" s="4"/>
      <c r="D7213" s="4" t="s">
        <v>16552</v>
      </c>
      <c r="E7213" s="4" t="s">
        <v>507</v>
      </c>
      <c r="F7213" s="4" t="s">
        <v>506</v>
      </c>
      <c r="G7213" s="5" t="str">
        <f>IFERROR(__xludf.DUMMYFUNCTION("GOOGLETRANSLATE(D7213,""it"",""es"")"),"a")</f>
        <v>a</v>
      </c>
    </row>
    <row r="7214">
      <c r="A7214" s="4">
        <v>10.0</v>
      </c>
      <c r="B7214" s="4" t="s">
        <v>17018</v>
      </c>
      <c r="C7214" s="4"/>
      <c r="D7214" s="4" t="s">
        <v>9271</v>
      </c>
      <c r="E7214" s="4" t="s">
        <v>16553</v>
      </c>
      <c r="F7214" s="4" t="s">
        <v>9271</v>
      </c>
      <c r="G7214" s="5" t="str">
        <f>IFERROR(__xludf.DUMMYFUNCTION("GOOGLETRANSLATE(D7214,""it"",""es"")"),"Alula")</f>
        <v>Alula</v>
      </c>
    </row>
    <row r="7215">
      <c r="A7215" s="4">
        <v>11.0</v>
      </c>
      <c r="B7215" s="4" t="s">
        <v>17018</v>
      </c>
      <c r="C7215" s="4"/>
      <c r="D7215" s="4" t="s">
        <v>16554</v>
      </c>
      <c r="E7215" s="4" t="s">
        <v>14076</v>
      </c>
      <c r="F7215" s="4" t="s">
        <v>5793</v>
      </c>
      <c r="G7215" s="5" t="str">
        <f>IFERROR(__xludf.DUMMYFUNCTION("GOOGLETRANSLATE(D7215,""it"",""es"")"),"Alì")</f>
        <v>Alì</v>
      </c>
    </row>
    <row r="7216">
      <c r="A7216" s="4">
        <v>12.0</v>
      </c>
      <c r="B7216" s="4" t="s">
        <v>17018</v>
      </c>
      <c r="C7216" s="4"/>
      <c r="D7216" s="4" t="s">
        <v>16555</v>
      </c>
      <c r="E7216" s="4" t="s">
        <v>1780</v>
      </c>
      <c r="F7216" s="4" t="s">
        <v>1781</v>
      </c>
      <c r="G7216" s="5" t="str">
        <f>IFERROR(__xludf.DUMMYFUNCTION("GOOGLETRANSLATE(D7216,""it"",""es"")"),"hamaca")</f>
        <v>hamaca</v>
      </c>
      <c r="H7216" s="4" t="s">
        <v>1784</v>
      </c>
      <c r="I7216" s="4" t="s">
        <v>1785</v>
      </c>
    </row>
    <row r="7217">
      <c r="A7217" s="4">
        <v>13.0</v>
      </c>
      <c r="B7217" s="4" t="s">
        <v>17018</v>
      </c>
      <c r="C7217" s="4"/>
      <c r="D7217" s="4" t="s">
        <v>16556</v>
      </c>
      <c r="E7217" s="4" t="s">
        <v>16557</v>
      </c>
      <c r="F7217" s="4" t="s">
        <v>16556</v>
      </c>
      <c r="G7217" s="5" t="str">
        <f>IFERROR(__xludf.DUMMYFUNCTION("GOOGLETRANSLATE(D7217,""it"",""es"")"),"amanita")</f>
        <v>amanita</v>
      </c>
      <c r="H7217" s="4" t="s">
        <v>16558</v>
      </c>
      <c r="I7217" s="4" t="s">
        <v>16559</v>
      </c>
    </row>
    <row r="7218">
      <c r="A7218" s="4">
        <v>14.0</v>
      </c>
      <c r="B7218" s="4" t="s">
        <v>17018</v>
      </c>
      <c r="C7218" s="4"/>
      <c r="D7218" s="4" t="s">
        <v>16560</v>
      </c>
      <c r="E7218" s="4" t="s">
        <v>16561</v>
      </c>
      <c r="F7218" s="4" t="s">
        <v>16560</v>
      </c>
      <c r="G7218" s="5" t="str">
        <f>IFERROR(__xludf.DUMMYFUNCTION("GOOGLETRANSLATE(D7218,""it"",""es"")"),"amanina")</f>
        <v>amanina</v>
      </c>
    </row>
    <row r="7219">
      <c r="A7219" s="4">
        <v>15.0</v>
      </c>
      <c r="B7219" s="4" t="s">
        <v>17018</v>
      </c>
      <c r="C7219" s="4"/>
      <c r="D7219" s="4" t="s">
        <v>16562</v>
      </c>
      <c r="E7219" s="4" t="s">
        <v>16563</v>
      </c>
      <c r="F7219" s="4" t="s">
        <v>16562</v>
      </c>
      <c r="G7219" s="5" t="str">
        <f>IFERROR(__xludf.DUMMYFUNCTION("GOOGLETRANSLATE(D7219,""it"",""es"")"),"amado")</f>
        <v>amado</v>
      </c>
    </row>
    <row r="7220">
      <c r="A7220" s="4">
        <v>16.0</v>
      </c>
      <c r="B7220" s="4" t="s">
        <v>17018</v>
      </c>
      <c r="C7220" s="4"/>
      <c r="D7220" s="4" t="s">
        <v>16564</v>
      </c>
      <c r="E7220" s="4" t="s">
        <v>16565</v>
      </c>
      <c r="F7220" s="4" t="s">
        <v>16566</v>
      </c>
      <c r="G7220" s="5" t="str">
        <f>IFERROR(__xludf.DUMMYFUNCTION("GOOGLETRANSLATE(D7220,""it"",""es"")"),"amigo")</f>
        <v>amigo</v>
      </c>
      <c r="H7220" s="4" t="s">
        <v>16567</v>
      </c>
    </row>
    <row r="7221">
      <c r="A7221" s="4">
        <v>17.0</v>
      </c>
      <c r="B7221" s="4" t="s">
        <v>17018</v>
      </c>
      <c r="C7221" s="4"/>
      <c r="D7221" s="4" t="s">
        <v>3547</v>
      </c>
      <c r="E7221" s="4" t="s">
        <v>4810</v>
      </c>
      <c r="F7221" s="4" t="s">
        <v>3547</v>
      </c>
      <c r="G7221" s="5" t="str">
        <f>IFERROR(__xludf.DUMMYFUNCTION("GOOGLETRANSLATE(D7221,""it"",""es"")"),"piña")</f>
        <v>piña</v>
      </c>
      <c r="H7221" s="4" t="s">
        <v>3546</v>
      </c>
      <c r="I7221" s="4" t="s">
        <v>3547</v>
      </c>
      <c r="J7221" s="4" t="s">
        <v>3546</v>
      </c>
      <c r="K7221" s="4" t="s">
        <v>8943</v>
      </c>
      <c r="L7221" s="4" t="s">
        <v>8944</v>
      </c>
    </row>
    <row r="7222">
      <c r="A7222" s="4">
        <v>18.0</v>
      </c>
      <c r="B7222" s="4" t="s">
        <v>17018</v>
      </c>
      <c r="C7222" s="4"/>
      <c r="D7222" s="4" t="s">
        <v>652</v>
      </c>
      <c r="E7222" s="4" t="s">
        <v>653</v>
      </c>
      <c r="F7222" s="4" t="s">
        <v>652</v>
      </c>
      <c r="G7222" s="5" t="str">
        <f>IFERROR(__xludf.DUMMYFUNCTION("GOOGLETRANSLATE(D7222,""it"",""es"")"),"alma")</f>
        <v>alma</v>
      </c>
      <c r="H7222" s="4" t="s">
        <v>1845</v>
      </c>
      <c r="I7222" s="4" t="s">
        <v>1846</v>
      </c>
      <c r="J7222" s="4" t="s">
        <v>1847</v>
      </c>
      <c r="K7222" s="4" t="s">
        <v>1848</v>
      </c>
      <c r="L7222" s="4" t="s">
        <v>1849</v>
      </c>
      <c r="M7222" s="4" t="s">
        <v>1850</v>
      </c>
      <c r="N7222" s="4" t="s">
        <v>1850</v>
      </c>
      <c r="O7222" s="4" t="s">
        <v>13967</v>
      </c>
      <c r="P7222" s="4" t="s">
        <v>9365</v>
      </c>
      <c r="Q7222" s="4" t="s">
        <v>9366</v>
      </c>
      <c r="R7222" s="4" t="s">
        <v>9367</v>
      </c>
      <c r="S7222" s="4" t="s">
        <v>9368</v>
      </c>
      <c r="T7222" s="4" t="s">
        <v>9369</v>
      </c>
      <c r="U7222" s="4" t="s">
        <v>1850</v>
      </c>
      <c r="V7222" s="4" t="s">
        <v>1214</v>
      </c>
    </row>
    <row r="7223">
      <c r="A7223" s="4">
        <v>19.0</v>
      </c>
      <c r="B7223" s="4" t="s">
        <v>17018</v>
      </c>
      <c r="C7223" s="4"/>
      <c r="D7223" s="4" t="s">
        <v>16568</v>
      </c>
      <c r="E7223" s="4" t="s">
        <v>16569</v>
      </c>
      <c r="F7223" s="4" t="s">
        <v>16570</v>
      </c>
      <c r="G7223" s="5" t="str">
        <f>IFERROR(__xludf.DUMMYFUNCTION("GOOGLETRANSLATE(D7223,""it"",""es"")"),"animalidad")</f>
        <v>animalidad</v>
      </c>
      <c r="H7223" s="4" t="s">
        <v>16571</v>
      </c>
      <c r="I7223" s="4" t="s">
        <v>16572</v>
      </c>
    </row>
    <row r="7224">
      <c r="A7224" s="4">
        <v>20.0</v>
      </c>
      <c r="B7224" s="4" t="s">
        <v>17018</v>
      </c>
      <c r="C7224" s="4"/>
      <c r="D7224" s="4" t="s">
        <v>16573</v>
      </c>
      <c r="E7224" s="4" t="s">
        <v>16574</v>
      </c>
      <c r="F7224" s="4" t="s">
        <v>16573</v>
      </c>
      <c r="G7224" s="5" t="str">
        <f>IFERROR(__xludf.DUMMYFUNCTION("GOOGLETRANSLATE(D7224,""it"",""es"")"),"animal")</f>
        <v>animal</v>
      </c>
    </row>
    <row r="7225">
      <c r="A7225" s="4">
        <v>21.0</v>
      </c>
      <c r="B7225" s="4" t="s">
        <v>17018</v>
      </c>
      <c r="C7225" s="4"/>
      <c r="D7225" s="4" t="s">
        <v>16575</v>
      </c>
      <c r="E7225" s="4" t="s">
        <v>16576</v>
      </c>
      <c r="F7225" s="4" t="s">
        <v>16575</v>
      </c>
      <c r="G7225" s="5" t="str">
        <f>IFERROR(__xludf.DUMMYFUNCTION("GOOGLETRANSLATE(D7225,""it"",""es"")"),"apula")</f>
        <v>apula</v>
      </c>
    </row>
    <row r="7226">
      <c r="A7226" s="4">
        <v>22.0</v>
      </c>
      <c r="B7226" s="4" t="s">
        <v>17018</v>
      </c>
      <c r="C7226" s="4"/>
      <c r="D7226" s="4" t="s">
        <v>16577</v>
      </c>
      <c r="E7226" s="4" t="s">
        <v>16578</v>
      </c>
      <c r="F7226" s="4" t="s">
        <v>16577</v>
      </c>
      <c r="G7226" s="5" t="str">
        <f>IFERROR(__xludf.DUMMYFUNCTION("GOOGLETRANSLATE(D7226,""it"",""es"")"),"Atine")</f>
        <v>Atine</v>
      </c>
    </row>
    <row r="7227">
      <c r="A7227" s="4">
        <v>23.0</v>
      </c>
      <c r="B7227" s="4" t="s">
        <v>17018</v>
      </c>
      <c r="C7227" s="4"/>
      <c r="D7227" s="4" t="s">
        <v>960</v>
      </c>
      <c r="E7227" s="4" t="s">
        <v>961</v>
      </c>
      <c r="F7227" s="4" t="s">
        <v>962</v>
      </c>
      <c r="G7227" s="5" t="str">
        <f>IFERROR(__xludf.DUMMYFUNCTION("GOOGLETRANSLATE(D7227,""it"",""es"")"),"California")</f>
        <v>California</v>
      </c>
    </row>
    <row r="7228">
      <c r="A7228" s="4">
        <v>24.0</v>
      </c>
      <c r="B7228" s="4" t="s">
        <v>17018</v>
      </c>
      <c r="C7228" s="4"/>
      <c r="D7228" s="4" t="s">
        <v>16579</v>
      </c>
      <c r="E7228" s="4" t="s">
        <v>961</v>
      </c>
      <c r="F7228" s="4" t="s">
        <v>962</v>
      </c>
      <c r="G7228" s="5" t="str">
        <f>IFERROR(__xludf.DUMMYFUNCTION("GOOGLETRANSLATE(D7228,""it"",""es"")"),"caza")</f>
        <v>caza</v>
      </c>
    </row>
    <row r="7229">
      <c r="A7229" s="4">
        <v>25.0</v>
      </c>
      <c r="B7229" s="4" t="s">
        <v>17018</v>
      </c>
      <c r="C7229" s="4"/>
      <c r="D7229" s="4" t="s">
        <v>11793</v>
      </c>
      <c r="E7229" s="4" t="s">
        <v>11794</v>
      </c>
      <c r="F7229" s="4" t="s">
        <v>9073</v>
      </c>
      <c r="G7229" s="5" t="str">
        <f>IFERROR(__xludf.DUMMYFUNCTION("GOOGLETRANSLATE(D7229,""it"",""es"")"),"caca")</f>
        <v>caca</v>
      </c>
    </row>
    <row r="7230">
      <c r="A7230" s="4">
        <v>26.0</v>
      </c>
      <c r="B7230" s="4" t="s">
        <v>17018</v>
      </c>
      <c r="C7230" s="4"/>
      <c r="D7230" s="4" t="s">
        <v>16580</v>
      </c>
      <c r="E7230" s="4" t="s">
        <v>16581</v>
      </c>
      <c r="F7230" s="4" t="s">
        <v>16582</v>
      </c>
      <c r="G7230" s="5" t="str">
        <f>IFERROR(__xludf.DUMMYFUNCTION("GOOGLETRANSLATE(D7230,""it"",""es"")"),"hacer cotizar")</f>
        <v>hacer cotizar</v>
      </c>
      <c r="H7230" s="4" t="s">
        <v>16583</v>
      </c>
      <c r="I7230" s="4" t="s">
        <v>16584</v>
      </c>
      <c r="J7230" s="4" t="s">
        <v>6265</v>
      </c>
      <c r="K7230" s="4" t="s">
        <v>16585</v>
      </c>
      <c r="L7230" s="4" t="s">
        <v>8769</v>
      </c>
      <c r="M7230" s="4" t="s">
        <v>16586</v>
      </c>
      <c r="N7230" s="4" t="s">
        <v>16587</v>
      </c>
      <c r="O7230" s="4" t="s">
        <v>16588</v>
      </c>
      <c r="P7230" s="4" t="s">
        <v>15461</v>
      </c>
      <c r="Q7230" s="4" t="s">
        <v>13683</v>
      </c>
      <c r="R7230" s="4" t="s">
        <v>8769</v>
      </c>
      <c r="S7230" s="4" t="s">
        <v>15462</v>
      </c>
      <c r="T7230" s="4" t="s">
        <v>6996</v>
      </c>
      <c r="U7230" s="4" t="s">
        <v>15463</v>
      </c>
    </row>
    <row r="7231">
      <c r="A7231" s="4">
        <v>27.0</v>
      </c>
      <c r="B7231" s="4" t="s">
        <v>17018</v>
      </c>
      <c r="C7231" s="4"/>
      <c r="D7231" s="4" t="s">
        <v>16589</v>
      </c>
      <c r="E7231" s="4" t="s">
        <v>1296</v>
      </c>
      <c r="F7231" s="4" t="s">
        <v>1297</v>
      </c>
      <c r="G7231" s="5" t="str">
        <f>IFERROR(__xludf.DUMMYFUNCTION("GOOGLETRANSLATE(D7231,""it"",""es"")"),"caquis")</f>
        <v>caquis</v>
      </c>
      <c r="H7231" s="4" t="s">
        <v>1299</v>
      </c>
      <c r="I7231" s="4" t="s">
        <v>1299</v>
      </c>
      <c r="J7231" s="4" t="s">
        <v>1300</v>
      </c>
      <c r="K7231" s="4" t="s">
        <v>6396</v>
      </c>
      <c r="L7231" s="4" t="s">
        <v>1297</v>
      </c>
      <c r="M7231" s="4" t="s">
        <v>6397</v>
      </c>
    </row>
    <row r="7232">
      <c r="A7232" s="4">
        <v>28.0</v>
      </c>
      <c r="B7232" s="4" t="s">
        <v>17018</v>
      </c>
      <c r="C7232" s="4"/>
      <c r="D7232" s="4" t="s">
        <v>976</v>
      </c>
      <c r="E7232" s="4" t="s">
        <v>977</v>
      </c>
      <c r="F7232" s="4" t="s">
        <v>978</v>
      </c>
      <c r="G7232" s="5" t="str">
        <f>IFERROR(__xludf.DUMMYFUNCTION("GOOGLETRANSLATE(D7232,""it"",""es"")"),"calla")</f>
        <v>calla</v>
      </c>
      <c r="H7232" s="4" t="s">
        <v>11828</v>
      </c>
      <c r="I7232" s="4" t="s">
        <v>11829</v>
      </c>
      <c r="J7232" s="4" t="s">
        <v>11830</v>
      </c>
      <c r="K7232" s="4" t="s">
        <v>313</v>
      </c>
      <c r="L7232" s="4" t="s">
        <v>11831</v>
      </c>
      <c r="M7232" s="4" t="s">
        <v>11390</v>
      </c>
      <c r="N7232" s="4" t="s">
        <v>16590</v>
      </c>
    </row>
    <row r="7233">
      <c r="A7233" s="4">
        <v>29.0</v>
      </c>
      <c r="B7233" s="4" t="s">
        <v>17018</v>
      </c>
      <c r="C7233" s="4"/>
      <c r="D7233" s="4" t="s">
        <v>16591</v>
      </c>
      <c r="E7233" s="4" t="s">
        <v>16592</v>
      </c>
      <c r="F7233" s="4" t="s">
        <v>16593</v>
      </c>
      <c r="G7233" s="5" t="str">
        <f>IFERROR(__xludf.DUMMYFUNCTION("GOOGLETRANSLATE(D7233,""it"",""es"")"),"imán")</f>
        <v>imán</v>
      </c>
      <c r="H7233" s="4" t="s">
        <v>1904</v>
      </c>
    </row>
    <row r="7234">
      <c r="A7234" s="4">
        <v>30.0</v>
      </c>
      <c r="B7234" s="4" t="s">
        <v>17018</v>
      </c>
      <c r="C7234" s="4"/>
      <c r="D7234" s="4" t="s">
        <v>16594</v>
      </c>
      <c r="E7234" s="4" t="s">
        <v>16592</v>
      </c>
      <c r="F7234" s="4" t="s">
        <v>16593</v>
      </c>
      <c r="G7234" s="5" t="str">
        <f>IFERROR(__xludf.DUMMYFUNCTION("GOOGLETRANSLATE(D7234,""it"",""es"")"),"imán")</f>
        <v>imán</v>
      </c>
      <c r="H7234" s="4" t="s">
        <v>16595</v>
      </c>
      <c r="I7234" s="4" t="s">
        <v>16596</v>
      </c>
      <c r="J7234" s="4" t="s">
        <v>16597</v>
      </c>
      <c r="K7234" s="4" t="s">
        <v>16595</v>
      </c>
      <c r="L7234" s="4" t="s">
        <v>16598</v>
      </c>
      <c r="M7234" s="4" t="s">
        <v>16599</v>
      </c>
      <c r="N7234" s="4" t="s">
        <v>16597</v>
      </c>
      <c r="O7234" s="4" t="s">
        <v>16599</v>
      </c>
      <c r="P7234" s="4" t="s">
        <v>16597</v>
      </c>
      <c r="Q7234" s="4" t="s">
        <v>16595</v>
      </c>
    </row>
    <row r="7235">
      <c r="A7235" s="4">
        <v>31.0</v>
      </c>
      <c r="B7235" s="4" t="s">
        <v>17018</v>
      </c>
      <c r="C7235" s="4"/>
      <c r="D7235" s="4" t="s">
        <v>16600</v>
      </c>
      <c r="E7235" s="4" t="s">
        <v>16601</v>
      </c>
      <c r="F7235" s="4" t="s">
        <v>16602</v>
      </c>
      <c r="G7235" s="5" t="str">
        <f>IFERROR(__xludf.DUMMYFUNCTION("GOOGLETRANSLATE(D7235,""it"",""es"")"),"otoño")</f>
        <v>otoño</v>
      </c>
      <c r="H7235" s="4" t="s">
        <v>8705</v>
      </c>
      <c r="I7235" s="4" t="s">
        <v>9239</v>
      </c>
      <c r="J7235" s="4" t="s">
        <v>9240</v>
      </c>
      <c r="K7235" s="4" t="s">
        <v>4502</v>
      </c>
      <c r="L7235" s="4" t="s">
        <v>9241</v>
      </c>
      <c r="M7235" s="4" t="s">
        <v>9242</v>
      </c>
      <c r="N7235" s="4" t="s">
        <v>9243</v>
      </c>
      <c r="O7235" s="4" t="s">
        <v>9244</v>
      </c>
    </row>
    <row r="7236">
      <c r="A7236" s="4">
        <v>32.0</v>
      </c>
      <c r="B7236" s="4" t="s">
        <v>17018</v>
      </c>
      <c r="C7236" s="4"/>
      <c r="D7236" s="4" t="s">
        <v>16603</v>
      </c>
      <c r="E7236" s="4" t="s">
        <v>16604</v>
      </c>
      <c r="F7236" s="4" t="s">
        <v>16605</v>
      </c>
      <c r="G7236" s="5" t="str">
        <f>IFERROR(__xludf.DUMMYFUNCTION("GOOGLETRANSLATE(D7236,""it"",""es"")"),"Camita")</f>
        <v>Camita</v>
      </c>
    </row>
    <row r="7237">
      <c r="A7237" s="4">
        <v>33.0</v>
      </c>
      <c r="B7237" s="4" t="s">
        <v>17018</v>
      </c>
      <c r="C7237" s="4"/>
      <c r="D7237" s="4" t="s">
        <v>16606</v>
      </c>
      <c r="E7237" s="4" t="s">
        <v>16607</v>
      </c>
      <c r="F7237" s="4" t="s">
        <v>16608</v>
      </c>
      <c r="G7237" s="5" t="str">
        <f>IFERROR(__xludf.DUMMYFUNCTION("GOOGLETRANSLATE(D7237,""it"",""es"")"),"Camití")</f>
        <v>Camití</v>
      </c>
    </row>
    <row r="7238">
      <c r="A7238" s="4">
        <v>34.0</v>
      </c>
      <c r="B7238" s="4" t="s">
        <v>17018</v>
      </c>
      <c r="C7238" s="4"/>
      <c r="D7238" s="4" t="s">
        <v>16609</v>
      </c>
      <c r="E7238" s="4" t="s">
        <v>16610</v>
      </c>
      <c r="F7238" s="4" t="s">
        <v>16611</v>
      </c>
      <c r="G7238" s="5" t="str">
        <f>IFERROR(__xludf.DUMMYFUNCTION("GOOGLETRANSLATE(D7238,""it"",""es"")"),"Camuna")</f>
        <v>Camuna</v>
      </c>
    </row>
    <row r="7239">
      <c r="A7239" s="4">
        <v>35.0</v>
      </c>
      <c r="B7239" s="4" t="s">
        <v>17018</v>
      </c>
      <c r="C7239" s="4"/>
      <c r="D7239" s="4" t="s">
        <v>16612</v>
      </c>
      <c r="E7239" s="4" t="s">
        <v>16613</v>
      </c>
      <c r="F7239" s="4" t="s">
        <v>16614</v>
      </c>
      <c r="G7239" s="5" t="str">
        <f>IFERROR(__xludf.DUMMYFUNCTION("GOOGLETRANSLATE(D7239,""it"",""es"")"),"Camuni")</f>
        <v>Camuni</v>
      </c>
    </row>
    <row r="7240">
      <c r="A7240" s="4">
        <v>36.0</v>
      </c>
      <c r="B7240" s="4" t="s">
        <v>17018</v>
      </c>
      <c r="C7240" s="4"/>
      <c r="D7240" s="4" t="s">
        <v>1120</v>
      </c>
      <c r="E7240" s="4" t="s">
        <v>1121</v>
      </c>
      <c r="F7240" s="4" t="s">
        <v>1122</v>
      </c>
      <c r="G7240" s="5" t="str">
        <f>IFERROR(__xludf.DUMMYFUNCTION("GOOGLETRANSLATE(D7240,""it"",""es"")"),"pueden")</f>
        <v>pueden</v>
      </c>
    </row>
    <row r="7241">
      <c r="A7241" s="4">
        <v>37.0</v>
      </c>
      <c r="B7241" s="4" t="s">
        <v>17018</v>
      </c>
      <c r="C7241" s="4"/>
      <c r="D7241" s="4" t="s">
        <v>1123</v>
      </c>
      <c r="E7241" s="4" t="s">
        <v>1124</v>
      </c>
      <c r="F7241" s="4" t="s">
        <v>1125</v>
      </c>
      <c r="G7241" s="5" t="str">
        <f>IFERROR(__xludf.DUMMYFUNCTION("GOOGLETRANSLATE(D7241,""it"",""es"")"),"Césped")</f>
        <v>Césped</v>
      </c>
    </row>
    <row r="7242">
      <c r="A7242" s="4">
        <v>38.0</v>
      </c>
      <c r="B7242" s="4" t="s">
        <v>17018</v>
      </c>
      <c r="C7242" s="4"/>
      <c r="D7242" s="4" t="s">
        <v>16615</v>
      </c>
      <c r="E7242" s="4" t="s">
        <v>16616</v>
      </c>
      <c r="F7242" s="4" t="s">
        <v>16617</v>
      </c>
      <c r="G7242" s="5" t="str">
        <f>IFERROR(__xludf.DUMMYFUNCTION("GOOGLETRANSLATE(D7242,""it"",""es"")"),"cáñamo")</f>
        <v>cáñamo</v>
      </c>
      <c r="H7242" s="4" t="s">
        <v>16618</v>
      </c>
      <c r="I7242" s="4" t="s">
        <v>16619</v>
      </c>
      <c r="J7242" s="4" t="s">
        <v>16620</v>
      </c>
      <c r="K7242" s="4" t="s">
        <v>16621</v>
      </c>
      <c r="L7242" s="4" t="s">
        <v>16622</v>
      </c>
      <c r="M7242" s="4" t="s">
        <v>16623</v>
      </c>
    </row>
    <row r="7243">
      <c r="A7243" s="4">
        <v>39.0</v>
      </c>
      <c r="B7243" s="4" t="s">
        <v>17018</v>
      </c>
      <c r="C7243" s="4"/>
      <c r="D7243" s="4" t="s">
        <v>1231</v>
      </c>
      <c r="E7243" s="4" t="s">
        <v>1232</v>
      </c>
      <c r="F7243" s="4" t="s">
        <v>1233</v>
      </c>
      <c r="G7243" s="5" t="str">
        <f>IFERROR(__xludf.DUMMYFUNCTION("GOOGLETRANSLATE(D7243,""it"",""es"")"),"capaz")</f>
        <v>capaz</v>
      </c>
    </row>
    <row r="7244">
      <c r="A7244" s="4">
        <v>40.0</v>
      </c>
      <c r="B7244" s="4" t="s">
        <v>17018</v>
      </c>
      <c r="C7244" s="4"/>
      <c r="D7244" s="4" t="s">
        <v>11892</v>
      </c>
      <c r="E7244" s="4" t="s">
        <v>1292</v>
      </c>
      <c r="F7244" s="4" t="s">
        <v>1293</v>
      </c>
      <c r="G7244" s="5" t="str">
        <f>IFERROR(__xludf.DUMMYFUNCTION("GOOGLETRANSLATE(D7244,""it"",""es"")"),"suceder")</f>
        <v>suceder</v>
      </c>
    </row>
    <row r="7245">
      <c r="A7245" s="4">
        <v>41.0</v>
      </c>
      <c r="B7245" s="4" t="s">
        <v>17018</v>
      </c>
      <c r="C7245" s="4"/>
      <c r="D7245" s="4" t="s">
        <v>16624</v>
      </c>
      <c r="E7245" s="4" t="s">
        <v>1358</v>
      </c>
      <c r="F7245" s="4" t="s">
        <v>1359</v>
      </c>
      <c r="G7245" s="5" t="str">
        <f>IFERROR(__xludf.DUMMYFUNCTION("GOOGLETRANSLATE(D7245,""it"",""es"")"),"hogar")</f>
        <v>hogar</v>
      </c>
      <c r="H7245" s="4" t="s">
        <v>3573</v>
      </c>
      <c r="I7245" s="4" t="s">
        <v>2125</v>
      </c>
      <c r="J7245" s="4" t="s">
        <v>3574</v>
      </c>
      <c r="K7245" s="4" t="s">
        <v>3575</v>
      </c>
      <c r="L7245" s="4" t="s">
        <v>3576</v>
      </c>
      <c r="M7245" s="4" t="s">
        <v>3577</v>
      </c>
      <c r="N7245" s="4" t="s">
        <v>2130</v>
      </c>
      <c r="O7245" s="4" t="s">
        <v>16625</v>
      </c>
      <c r="P7245" s="4" t="s">
        <v>16626</v>
      </c>
      <c r="Q7245" s="4" t="s">
        <v>9219</v>
      </c>
      <c r="R7245" s="4" t="s">
        <v>13695</v>
      </c>
      <c r="S7245" s="4" t="s">
        <v>16627</v>
      </c>
      <c r="T7245" s="4" t="s">
        <v>16628</v>
      </c>
      <c r="U7245" s="4" t="s">
        <v>16629</v>
      </c>
      <c r="V7245" s="4" t="s">
        <v>2128</v>
      </c>
      <c r="W7245" s="4" t="s">
        <v>2129</v>
      </c>
      <c r="X7245" s="4" t="s">
        <v>2130</v>
      </c>
      <c r="Y7245" s="4" t="s">
        <v>2125</v>
      </c>
      <c r="Z7245" s="4" t="s">
        <v>2131</v>
      </c>
      <c r="AA7245" s="4" t="s">
        <v>2125</v>
      </c>
      <c r="AB7245" s="4" t="s">
        <v>13653</v>
      </c>
      <c r="AC7245" s="4" t="s">
        <v>13654</v>
      </c>
      <c r="AD7245" s="4" t="s">
        <v>13648</v>
      </c>
      <c r="AE7245" s="4" t="s">
        <v>13655</v>
      </c>
      <c r="AF7245" s="4" t="s">
        <v>2130</v>
      </c>
      <c r="AG7245" s="4" t="s">
        <v>13656</v>
      </c>
    </row>
    <row r="7246">
      <c r="A7246" s="4">
        <v>42.0</v>
      </c>
      <c r="B7246" s="4" t="s">
        <v>17018</v>
      </c>
      <c r="C7246" s="4"/>
      <c r="D7246" s="4" t="s">
        <v>16630</v>
      </c>
      <c r="E7246" s="4" t="s">
        <v>16631</v>
      </c>
      <c r="F7246" s="4" t="s">
        <v>16632</v>
      </c>
      <c r="G7246" s="5" t="str">
        <f>IFERROR(__xludf.DUMMYFUNCTION("GOOGLETRANSLATE(D7246,""it"",""es"")"),"casa")</f>
        <v>casa</v>
      </c>
      <c r="H7246" s="4" t="s">
        <v>2130</v>
      </c>
      <c r="I7246" s="4" t="s">
        <v>9239</v>
      </c>
      <c r="J7246" s="4" t="s">
        <v>16633</v>
      </c>
      <c r="K7246" s="4" t="s">
        <v>16634</v>
      </c>
      <c r="L7246" s="4" t="s">
        <v>16635</v>
      </c>
    </row>
    <row r="7247">
      <c r="A7247" s="4">
        <v>43.0</v>
      </c>
      <c r="B7247" s="4" t="s">
        <v>17018</v>
      </c>
      <c r="C7247" s="4"/>
      <c r="D7247" s="4" t="s">
        <v>16636</v>
      </c>
      <c r="E7247" s="4" t="s">
        <v>16637</v>
      </c>
      <c r="F7247" s="4" t="s">
        <v>16638</v>
      </c>
      <c r="G7247" s="5" t="str">
        <f>IFERROR(__xludf.DUMMYFUNCTION("GOOGLETRANSLATE(D7247,""it"",""es"")"),"Casini")</f>
        <v>Casini</v>
      </c>
    </row>
    <row r="7248">
      <c r="A7248" s="4">
        <v>44.0</v>
      </c>
      <c r="B7248" s="4" t="s">
        <v>17018</v>
      </c>
      <c r="C7248" s="4"/>
      <c r="D7248" s="4" t="s">
        <v>16639</v>
      </c>
      <c r="E7248" s="4" t="s">
        <v>16640</v>
      </c>
      <c r="F7248" s="4" t="s">
        <v>16641</v>
      </c>
      <c r="G7248" s="5" t="str">
        <f>IFERROR(__xludf.DUMMYFUNCTION("GOOGLETRANSLATE(D7248,""it"",""es"")"),"Catai")</f>
        <v>Catai</v>
      </c>
    </row>
    <row r="7249">
      <c r="A7249" s="4">
        <v>45.0</v>
      </c>
      <c r="B7249" s="4" t="s">
        <v>17018</v>
      </c>
      <c r="C7249" s="4"/>
      <c r="D7249" s="4" t="s">
        <v>1340</v>
      </c>
      <c r="E7249" s="4" t="s">
        <v>1341</v>
      </c>
      <c r="F7249" s="4" t="s">
        <v>1342</v>
      </c>
      <c r="G7249" s="5" t="str">
        <f>IFERROR(__xludf.DUMMYFUNCTION("GOOGLETRANSLATE(D7249,""it"",""es"")"),"catalán")</f>
        <v>catalán</v>
      </c>
    </row>
    <row r="7250">
      <c r="A7250" s="4">
        <v>46.0</v>
      </c>
      <c r="B7250" s="4" t="s">
        <v>17018</v>
      </c>
      <c r="C7250" s="4"/>
      <c r="D7250" s="4" t="s">
        <v>16642</v>
      </c>
      <c r="E7250" s="4" t="s">
        <v>16643</v>
      </c>
      <c r="F7250" s="4" t="s">
        <v>16644</v>
      </c>
      <c r="G7250" s="5" t="str">
        <f>IFERROR(__xludf.DUMMYFUNCTION("GOOGLETRANSLATE(D7250,""it"",""es"")"),"catalanidad")</f>
        <v>catalanidad</v>
      </c>
    </row>
    <row r="7251">
      <c r="A7251" s="4">
        <v>47.0</v>
      </c>
      <c r="B7251" s="4" t="s">
        <v>17018</v>
      </c>
      <c r="C7251" s="4"/>
      <c r="D7251" s="4" t="s">
        <v>16645</v>
      </c>
      <c r="E7251" s="4" t="s">
        <v>12452</v>
      </c>
      <c r="F7251" s="4" t="s">
        <v>12451</v>
      </c>
      <c r="G7251" s="5" t="str">
        <f>IFERROR(__xludf.DUMMYFUNCTION("GOOGLETRANSLATE(D7251,""it"",""es"")"),"montón")</f>
        <v>montón</v>
      </c>
    </row>
    <row r="7252">
      <c r="A7252" s="4">
        <v>48.0</v>
      </c>
      <c r="B7252" s="4" t="s">
        <v>17018</v>
      </c>
      <c r="C7252" s="4"/>
      <c r="D7252" s="4" t="s">
        <v>16646</v>
      </c>
      <c r="E7252" s="4" t="s">
        <v>16647</v>
      </c>
      <c r="F7252" s="4" t="s">
        <v>16648</v>
      </c>
      <c r="G7252" s="5" t="str">
        <f>IFERROR(__xludf.DUMMYFUNCTION("GOOGLETRANSLATE(D7252,""it"",""es"")"),"catiline")</f>
        <v>catiline</v>
      </c>
    </row>
    <row r="7253">
      <c r="A7253" s="4">
        <v>49.0</v>
      </c>
      <c r="B7253" s="4" t="s">
        <v>17018</v>
      </c>
      <c r="C7253" s="4"/>
      <c r="D7253" s="4" t="s">
        <v>12469</v>
      </c>
      <c r="E7253" s="4" t="s">
        <v>2013</v>
      </c>
      <c r="F7253" s="4" t="s">
        <v>2014</v>
      </c>
      <c r="G7253" s="5" t="str">
        <f>IFERROR(__xludf.DUMMYFUNCTION("GOOGLETRANSLATE(D7253,""it"",""es"")"),"quién")</f>
        <v>quién</v>
      </c>
    </row>
    <row r="7254">
      <c r="A7254" s="4">
        <v>50.0</v>
      </c>
      <c r="B7254" s="4" t="s">
        <v>17018</v>
      </c>
      <c r="C7254" s="4"/>
      <c r="D7254" s="4" t="s">
        <v>16649</v>
      </c>
      <c r="E7254" s="4" t="s">
        <v>3855</v>
      </c>
      <c r="F7254" s="4" t="s">
        <v>3856</v>
      </c>
      <c r="G7254" s="5" t="str">
        <f>IFERROR(__xludf.DUMMYFUNCTION("GOOGLETRANSLATE(D7254,""it"",""es"")"),"química")</f>
        <v>química</v>
      </c>
      <c r="H7254" s="4" t="s">
        <v>3857</v>
      </c>
      <c r="I7254" s="4" t="s">
        <v>3858</v>
      </c>
    </row>
    <row r="7255">
      <c r="A7255" s="4">
        <v>51.0</v>
      </c>
      <c r="B7255" s="4" t="s">
        <v>17018</v>
      </c>
      <c r="C7255" s="4"/>
      <c r="D7255" s="4" t="s">
        <v>12054</v>
      </c>
      <c r="E7255" s="4" t="s">
        <v>3819</v>
      </c>
      <c r="F7255" s="4" t="s">
        <v>3820</v>
      </c>
      <c r="G7255" s="5" t="str">
        <f>IFERROR(__xludf.DUMMYFUNCTION("GOOGLETRANSLATE(D7255,""it"",""es"")"),"China")</f>
        <v>China</v>
      </c>
      <c r="H7255" s="4" t="s">
        <v>9239</v>
      </c>
      <c r="I7255" s="4" t="s">
        <v>9240</v>
      </c>
      <c r="J7255" s="4" t="s">
        <v>4502</v>
      </c>
      <c r="K7255" s="4" t="s">
        <v>9241</v>
      </c>
      <c r="L7255" s="4" t="s">
        <v>9242</v>
      </c>
      <c r="M7255" s="4" t="s">
        <v>9243</v>
      </c>
      <c r="N7255" s="4" t="s">
        <v>9244</v>
      </c>
      <c r="O7255" s="4" t="s">
        <v>10638</v>
      </c>
      <c r="P7255" s="4" t="s">
        <v>10639</v>
      </c>
      <c r="Q7255" s="4" t="s">
        <v>515</v>
      </c>
      <c r="R7255" s="4" t="s">
        <v>3821</v>
      </c>
      <c r="S7255" s="4" t="s">
        <v>16650</v>
      </c>
      <c r="T7255" s="4" t="s">
        <v>3821</v>
      </c>
      <c r="U7255" s="4" t="s">
        <v>3822</v>
      </c>
      <c r="V7255" s="4" t="s">
        <v>3823</v>
      </c>
      <c r="W7255" s="4" t="s">
        <v>3824</v>
      </c>
    </row>
    <row r="7256">
      <c r="A7256" s="4">
        <v>52.0</v>
      </c>
      <c r="B7256" s="4" t="s">
        <v>17018</v>
      </c>
      <c r="C7256" s="4"/>
      <c r="D7256" s="4" t="s">
        <v>16651</v>
      </c>
      <c r="E7256" s="4" t="s">
        <v>16652</v>
      </c>
      <c r="F7256" s="4" t="s">
        <v>6478</v>
      </c>
      <c r="G7256" s="5" t="str">
        <f>IFERROR(__xludf.DUMMYFUNCTION("GOOGLETRANSLATE(D7256,""it"",""es"")"),"A quien haces")</f>
        <v>A quien haces</v>
      </c>
    </row>
    <row r="7257">
      <c r="A7257" s="4">
        <v>53.0</v>
      </c>
      <c r="B7257" s="4" t="s">
        <v>17018</v>
      </c>
      <c r="C7257" s="4"/>
      <c r="D7257" s="4" t="s">
        <v>6068</v>
      </c>
      <c r="E7257" s="4" t="s">
        <v>4020</v>
      </c>
      <c r="F7257" s="4" t="s">
        <v>4019</v>
      </c>
      <c r="G7257" s="5" t="str">
        <f>IFERROR(__xludf.DUMMYFUNCTION("GOOGLETRANSLATE(D7257,""it"",""es"")"),"Ciudad")</f>
        <v>Ciudad</v>
      </c>
    </row>
    <row r="7258">
      <c r="A7258" s="4">
        <v>54.0</v>
      </c>
      <c r="B7258" s="4" t="s">
        <v>17018</v>
      </c>
      <c r="C7258" s="4"/>
      <c r="D7258" s="4" t="s">
        <v>1580</v>
      </c>
      <c r="E7258" s="4" t="s">
        <v>1581</v>
      </c>
      <c r="F7258" s="4" t="s">
        <v>1582</v>
      </c>
      <c r="G7258" s="5" t="str">
        <f>IFERROR(__xludf.DUMMYFUNCTION("GOOGLETRANSLATE(D7258,""it"",""es"")"),"cupia")</f>
        <v>cupia</v>
      </c>
    </row>
    <row r="7259">
      <c r="A7259" s="4">
        <v>55.0</v>
      </c>
      <c r="B7259" s="4" t="s">
        <v>17018</v>
      </c>
      <c r="C7259" s="4"/>
      <c r="D7259" s="4" t="s">
        <v>16655</v>
      </c>
      <c r="E7259" s="4" t="s">
        <v>9115</v>
      </c>
      <c r="F7259" s="4" t="s">
        <v>9114</v>
      </c>
      <c r="G7259" s="5" t="str">
        <f>IFERROR(__xludf.DUMMYFUNCTION("GOOGLETRANSLATE(D7259,""it"",""es"")"),"cuco")</f>
        <v>cuco</v>
      </c>
      <c r="H7259" s="4" t="s">
        <v>9118</v>
      </c>
    </row>
    <row r="7260">
      <c r="A7260" s="4">
        <v>56.0</v>
      </c>
      <c r="B7260" s="4" t="s">
        <v>17018</v>
      </c>
      <c r="C7260" s="4"/>
      <c r="D7260" s="4" t="s">
        <v>16656</v>
      </c>
      <c r="E7260" s="4" t="s">
        <v>12219</v>
      </c>
      <c r="F7260" s="4" t="s">
        <v>468</v>
      </c>
      <c r="G7260" s="5" t="str">
        <f>IFERROR(__xludf.DUMMYFUNCTION("GOOGLETRANSLATE(D7260,""it"",""es"")"),"cual")</f>
        <v>cual</v>
      </c>
    </row>
    <row r="7261">
      <c r="A7261" s="4">
        <v>57.0</v>
      </c>
      <c r="B7261" s="4" t="s">
        <v>17018</v>
      </c>
      <c r="C7261" s="4"/>
      <c r="D7261" s="4" t="s">
        <v>16657</v>
      </c>
      <c r="E7261" s="4" t="s">
        <v>16658</v>
      </c>
      <c r="F7261" s="4" t="s">
        <v>16659</v>
      </c>
      <c r="G7261" s="5" t="str">
        <f>IFERROR(__xludf.DUMMYFUNCTION("GOOGLETRANSLATE(D7261,""it"",""es"")"),"culachi")</f>
        <v>culachi</v>
      </c>
    </row>
    <row r="7262">
      <c r="A7262" s="4">
        <v>58.0</v>
      </c>
      <c r="B7262" s="4" t="s">
        <v>17018</v>
      </c>
      <c r="C7262" s="4"/>
      <c r="D7262" s="4" t="s">
        <v>16660</v>
      </c>
      <c r="E7262" s="4" t="s">
        <v>15066</v>
      </c>
      <c r="F7262" s="4" t="s">
        <v>10135</v>
      </c>
      <c r="G7262" s="5" t="str">
        <f>IFERROR(__xludf.DUMMYFUNCTION("GOOGLETRANSLATE(D7262,""it"",""es"")"),"cuna")</f>
        <v>cuna</v>
      </c>
    </row>
    <row r="7263">
      <c r="A7263" s="4">
        <v>59.0</v>
      </c>
      <c r="B7263" s="4" t="s">
        <v>17018</v>
      </c>
      <c r="C7263" s="4"/>
      <c r="D7263" s="4" t="s">
        <v>16661</v>
      </c>
      <c r="E7263" s="4" t="s">
        <v>2151</v>
      </c>
      <c r="F7263" s="4" t="s">
        <v>2150</v>
      </c>
      <c r="G7263" s="5" t="str">
        <f>IFERROR(__xludf.DUMMYFUNCTION("GOOGLETRANSLATE(D7263,""it"",""es"")"),"la")</f>
        <v>la</v>
      </c>
    </row>
    <row r="7264">
      <c r="A7264" s="4">
        <v>60.0</v>
      </c>
      <c r="B7264" s="4" t="s">
        <v>17018</v>
      </c>
      <c r="C7264" s="4"/>
      <c r="D7264" s="4" t="s">
        <v>16662</v>
      </c>
      <c r="E7264" s="4" t="s">
        <v>16663</v>
      </c>
      <c r="F7264" s="4" t="s">
        <v>16664</v>
      </c>
      <c r="G7264" s="5" t="str">
        <f>IFERROR(__xludf.DUMMYFUNCTION("GOOGLETRANSLATE(D7264,""it"",""es"")"),"gna")</f>
        <v>gna</v>
      </c>
    </row>
    <row r="7265">
      <c r="A7265" s="4">
        <v>61.0</v>
      </c>
      <c r="B7265" s="4" t="s">
        <v>17018</v>
      </c>
      <c r="C7265" s="4"/>
      <c r="D7265" s="4" t="s">
        <v>3067</v>
      </c>
      <c r="E7265" s="4" t="s">
        <v>3065</v>
      </c>
      <c r="F7265" s="4" t="s">
        <v>3066</v>
      </c>
      <c r="G7265" s="5" t="str">
        <f>IFERROR(__xludf.DUMMYFUNCTION("GOOGLETRANSLATE(D7265,""it"",""es"")"),"ñu")</f>
        <v>ñu</v>
      </c>
      <c r="H7265" s="4" t="s">
        <v>3067</v>
      </c>
      <c r="I7265" s="4" t="s">
        <v>3068</v>
      </c>
    </row>
    <row r="7266">
      <c r="A7266" s="4">
        <v>62.0</v>
      </c>
      <c r="B7266" s="4" t="s">
        <v>17018</v>
      </c>
      <c r="C7266" s="4"/>
      <c r="D7266" s="4" t="s">
        <v>16665</v>
      </c>
      <c r="E7266" s="4" t="s">
        <v>504</v>
      </c>
      <c r="F7266" s="4" t="s">
        <v>505</v>
      </c>
      <c r="G7266" s="5" t="str">
        <f>IFERROR(__xludf.DUMMYFUNCTION("GOOGLETRANSLATE(D7266,""it"",""es"")"),"tú tienes")</f>
        <v>tú tienes</v>
      </c>
    </row>
    <row r="7267">
      <c r="A7267" s="4">
        <v>63.0</v>
      </c>
      <c r="B7267" s="4" t="s">
        <v>17018</v>
      </c>
      <c r="C7267" s="4"/>
      <c r="D7267" s="4" t="s">
        <v>16666</v>
      </c>
      <c r="E7267" s="4" t="s">
        <v>16667</v>
      </c>
      <c r="F7267" s="4" t="s">
        <v>16668</v>
      </c>
      <c r="G7267" s="5" t="str">
        <f>IFERROR(__xludf.DUMMYFUNCTION("GOOGLETRANSLATE(D7267,""it"",""es"")"),"Huchi")</f>
        <v>Huchi</v>
      </c>
    </row>
    <row r="7268">
      <c r="A7268" s="4">
        <v>64.0</v>
      </c>
      <c r="B7268" s="4" t="s">
        <v>17018</v>
      </c>
      <c r="C7268" s="4"/>
      <c r="D7268" s="4" t="s">
        <v>9592</v>
      </c>
      <c r="E7268" s="4" t="s">
        <v>11562</v>
      </c>
      <c r="F7268" s="4" t="s">
        <v>11561</v>
      </c>
      <c r="G7268" s="5" t="str">
        <f>IFERROR(__xludf.DUMMYFUNCTION("GOOGLETRANSLATE(D7268,""it"",""es"")"),"hutu")</f>
        <v>hutu</v>
      </c>
    </row>
    <row r="7269">
      <c r="A7269" s="4">
        <v>65.0</v>
      </c>
      <c r="B7269" s="4" t="s">
        <v>17018</v>
      </c>
      <c r="C7269" s="4"/>
      <c r="D7269" s="4" t="s">
        <v>6341</v>
      </c>
      <c r="E7269" s="4" t="s">
        <v>9010</v>
      </c>
      <c r="F7269" s="4" t="s">
        <v>6341</v>
      </c>
      <c r="G7269" s="5" t="str">
        <f>IFERROR(__xludf.DUMMYFUNCTION("GOOGLETRANSLATE(D7269,""it"",""es"")"),"la")</f>
        <v>la</v>
      </c>
    </row>
    <row r="7270">
      <c r="A7270" s="4">
        <v>66.0</v>
      </c>
      <c r="B7270" s="4" t="s">
        <v>17018</v>
      </c>
      <c r="C7270" s="4"/>
      <c r="D7270" s="4" t="s">
        <v>8350</v>
      </c>
      <c r="E7270" s="4" t="s">
        <v>16669</v>
      </c>
      <c r="F7270" s="4" t="s">
        <v>8350</v>
      </c>
      <c r="G7270" s="5" t="str">
        <f>IFERROR(__xludf.DUMMYFUNCTION("GOOGLETRANSLATE(D7270,""it"",""es"")"),"Ili")</f>
        <v>Ili</v>
      </c>
    </row>
    <row r="7271">
      <c r="A7271" s="4">
        <v>67.0</v>
      </c>
      <c r="B7271" s="4" t="s">
        <v>17018</v>
      </c>
      <c r="C7271" s="4"/>
      <c r="D7271" s="4" t="s">
        <v>310</v>
      </c>
      <c r="E7271" s="4" t="s">
        <v>309</v>
      </c>
      <c r="F7271" s="4" t="s">
        <v>310</v>
      </c>
      <c r="G7271" s="5" t="str">
        <f>IFERROR(__xludf.DUMMYFUNCTION("GOOGLETRANSLATE(D7271,""it"",""es"")"),"imán")</f>
        <v>imán</v>
      </c>
      <c r="H7271" s="4" t="s">
        <v>310</v>
      </c>
      <c r="I7271" s="4" t="s">
        <v>1900</v>
      </c>
    </row>
    <row r="7272">
      <c r="A7272" s="4">
        <v>68.0</v>
      </c>
      <c r="B7272" s="4" t="s">
        <v>17018</v>
      </c>
      <c r="C7272" s="4"/>
      <c r="D7272" s="4" t="s">
        <v>9681</v>
      </c>
      <c r="E7272" s="4" t="s">
        <v>9682</v>
      </c>
      <c r="F7272" s="4" t="s">
        <v>9681</v>
      </c>
      <c r="G7272" s="5" t="str">
        <f>IFERROR(__xludf.DUMMYFUNCTION("GOOGLETRANSLATE(D7272,""it"",""es"")"),"imi")</f>
        <v>imi</v>
      </c>
    </row>
    <row r="7273">
      <c r="A7273" s="4">
        <v>69.0</v>
      </c>
      <c r="B7273" s="4" t="s">
        <v>17018</v>
      </c>
      <c r="C7273" s="4"/>
      <c r="D7273" s="4" t="s">
        <v>1907</v>
      </c>
      <c r="E7273" s="4" t="s">
        <v>1906</v>
      </c>
      <c r="F7273" s="4" t="s">
        <v>1907</v>
      </c>
      <c r="G7273" s="5" t="str">
        <f>IFERROR(__xludf.DUMMYFUNCTION("GOOGLETRANSLATE(D7273,""it"",""es"")"),"imita")</f>
        <v>imita</v>
      </c>
    </row>
    <row r="7274">
      <c r="A7274" s="4">
        <v>70.0</v>
      </c>
      <c r="B7274" s="4" t="s">
        <v>17018</v>
      </c>
      <c r="C7274" s="4"/>
      <c r="D7274" s="4" t="s">
        <v>16670</v>
      </c>
      <c r="E7274" s="4" t="s">
        <v>16671</v>
      </c>
      <c r="F7274" s="4" t="s">
        <v>16670</v>
      </c>
      <c r="G7274" s="5" t="str">
        <f>IFERROR(__xludf.DUMMYFUNCTION("GOOGLETRANSLATE(D7274,""it"",""es"")"),"Los mitos")</f>
        <v>Los mitos</v>
      </c>
    </row>
    <row r="7275">
      <c r="A7275" s="4">
        <v>71.0</v>
      </c>
      <c r="B7275" s="4" t="s">
        <v>17018</v>
      </c>
      <c r="C7275" s="4"/>
      <c r="D7275" s="4" t="s">
        <v>4824</v>
      </c>
      <c r="E7275" s="4" t="s">
        <v>9699</v>
      </c>
      <c r="F7275" s="4" t="s">
        <v>4824</v>
      </c>
      <c r="G7275" s="5" t="str">
        <f>IFERROR(__xludf.DUMMYFUNCTION("GOOGLETRANSLATE(D7275,""it"",""es"")"),"en")</f>
        <v>en</v>
      </c>
    </row>
    <row r="7276">
      <c r="A7276" s="4">
        <v>72.0</v>
      </c>
      <c r="B7276" s="4" t="s">
        <v>17018</v>
      </c>
      <c r="C7276" s="4"/>
      <c r="D7276" s="4" t="s">
        <v>16672</v>
      </c>
      <c r="E7276" s="4" t="s">
        <v>16673</v>
      </c>
      <c r="F7276" s="4" t="s">
        <v>16674</v>
      </c>
      <c r="G7276" s="5" t="str">
        <f>IFERROR(__xludf.DUMMYFUNCTION("GOOGLETRANSLATE(D7276,""it"",""es"")"),"incertito")</f>
        <v>incertito</v>
      </c>
    </row>
    <row r="7277">
      <c r="A7277" s="4">
        <v>73.0</v>
      </c>
      <c r="B7277" s="4" t="s">
        <v>17018</v>
      </c>
      <c r="C7277" s="4"/>
      <c r="D7277" s="4" t="s">
        <v>16675</v>
      </c>
      <c r="E7277" s="4" t="s">
        <v>16676</v>
      </c>
      <c r="F7277" s="4" t="s">
        <v>16677</v>
      </c>
      <c r="G7277" s="5" t="str">
        <f>IFERROR(__xludf.DUMMYFUNCTION("GOOGLETRANSLATE(D7277,""it"",""es"")"),"inanidad")</f>
        <v>inanidad</v>
      </c>
      <c r="H7277" s="4" t="s">
        <v>16678</v>
      </c>
    </row>
    <row r="7278">
      <c r="A7278" s="4">
        <v>74.0</v>
      </c>
      <c r="B7278" s="4" t="s">
        <v>17018</v>
      </c>
      <c r="C7278" s="4"/>
      <c r="D7278" s="4" t="s">
        <v>16679</v>
      </c>
      <c r="E7278" s="4" t="s">
        <v>16680</v>
      </c>
      <c r="F7278" s="4" t="s">
        <v>16681</v>
      </c>
      <c r="G7278" s="5" t="str">
        <f>IFERROR(__xludf.DUMMYFUNCTION("GOOGLETRANSLATE(D7278,""it"",""es"")"),"no realizado")</f>
        <v>no realizado</v>
      </c>
    </row>
    <row r="7279">
      <c r="A7279" s="4">
        <v>75.0</v>
      </c>
      <c r="B7279" s="4" t="s">
        <v>17018</v>
      </c>
      <c r="C7279" s="4"/>
      <c r="D7279" s="4" t="s">
        <v>16682</v>
      </c>
      <c r="E7279" s="4" t="s">
        <v>16683</v>
      </c>
      <c r="F7279" s="4" t="s">
        <v>16684</v>
      </c>
      <c r="G7279" s="5" t="str">
        <f>IFERROR(__xludf.DUMMYFUNCTION("GOOGLETRANSLATE(D7279,""it"",""es"")"),"inhumanidad")</f>
        <v>inhumanidad</v>
      </c>
      <c r="H7279" s="4" t="s">
        <v>16685</v>
      </c>
      <c r="I7279" s="4" t="s">
        <v>16686</v>
      </c>
      <c r="J7279" s="4" t="s">
        <v>16687</v>
      </c>
      <c r="K7279" s="4" t="s">
        <v>16686</v>
      </c>
      <c r="L7279" s="4" t="s">
        <v>16688</v>
      </c>
      <c r="M7279" s="4" t="s">
        <v>16689</v>
      </c>
      <c r="N7279" s="4" t="s">
        <v>16690</v>
      </c>
      <c r="O7279" s="4" t="s">
        <v>16691</v>
      </c>
    </row>
    <row r="7280">
      <c r="A7280" s="4">
        <v>76.0</v>
      </c>
      <c r="B7280" s="4" t="s">
        <v>17018</v>
      </c>
      <c r="C7280" s="4"/>
      <c r="D7280" s="4" t="s">
        <v>16692</v>
      </c>
      <c r="E7280" s="4" t="s">
        <v>16693</v>
      </c>
      <c r="F7280" s="4" t="s">
        <v>16694</v>
      </c>
      <c r="G7280" s="5" t="str">
        <f>IFERROR(__xludf.DUMMYFUNCTION("GOOGLETRANSLATE(D7280,""it"",""es"")"),"inutilidad")</f>
        <v>inutilidad</v>
      </c>
      <c r="H7280" s="4" t="s">
        <v>16678</v>
      </c>
    </row>
    <row r="7281">
      <c r="A7281" s="4">
        <v>77.0</v>
      </c>
      <c r="B7281" s="4" t="s">
        <v>17018</v>
      </c>
      <c r="C7281" s="4"/>
      <c r="D7281" s="4" t="s">
        <v>16695</v>
      </c>
      <c r="E7281" s="4" t="s">
        <v>16696</v>
      </c>
      <c r="F7281" s="4" t="s">
        <v>16695</v>
      </c>
      <c r="G7281" s="5" t="str">
        <f>IFERROR(__xludf.DUMMYFUNCTION("GOOGLETRANSLATE(D7281,""it"",""es"")"),"Itala")</f>
        <v>Itala</v>
      </c>
    </row>
    <row r="7282">
      <c r="A7282" s="4">
        <v>78.0</v>
      </c>
      <c r="B7282" s="4" t="s">
        <v>17018</v>
      </c>
      <c r="C7282" s="4"/>
      <c r="D7282" s="4" t="s">
        <v>968</v>
      </c>
      <c r="E7282" s="4" t="s">
        <v>967</v>
      </c>
      <c r="F7282" s="4" t="s">
        <v>968</v>
      </c>
      <c r="G7282" s="5" t="str">
        <f>IFERROR(__xludf.DUMMYFUNCTION("GOOGLETRANSLATE(D7282,""it"",""es"")"),"kayac")</f>
        <v>kayac</v>
      </c>
      <c r="H7282" s="4" t="s">
        <v>968</v>
      </c>
    </row>
    <row r="7283">
      <c r="A7283" s="4">
        <v>79.0</v>
      </c>
      <c r="B7283" s="4" t="s">
        <v>17018</v>
      </c>
      <c r="C7283" s="4"/>
      <c r="D7283" s="4" t="s">
        <v>16697</v>
      </c>
      <c r="E7283" s="4" t="s">
        <v>1121</v>
      </c>
      <c r="F7283" s="4" t="s">
        <v>1122</v>
      </c>
      <c r="G7283" s="5" t="str">
        <f>IFERROR(__xludf.DUMMYFUNCTION("GOOGLETRANSLATE(D7283,""it"",""es"")"),"kan")</f>
        <v>kan</v>
      </c>
    </row>
    <row r="7284">
      <c r="A7284" s="4">
        <v>80.0</v>
      </c>
      <c r="B7284" s="4" t="s">
        <v>17018</v>
      </c>
      <c r="C7284" s="4"/>
      <c r="D7284" s="4" t="s">
        <v>16698</v>
      </c>
      <c r="E7284" s="4" t="s">
        <v>16699</v>
      </c>
      <c r="F7284" s="4" t="s">
        <v>16700</v>
      </c>
      <c r="G7284" s="5" t="str">
        <f>IFERROR(__xludf.DUMMYFUNCTION("GOOGLETRANSLATE(D7284,""it"",""es"")"),"khanati")</f>
        <v>khanati</v>
      </c>
    </row>
    <row r="7285">
      <c r="A7285" s="4">
        <v>81.0</v>
      </c>
      <c r="B7285" s="4" t="s">
        <v>17018</v>
      </c>
      <c r="C7285" s="4"/>
      <c r="D7285" s="4" t="s">
        <v>6513</v>
      </c>
      <c r="E7285" s="4" t="s">
        <v>8401</v>
      </c>
      <c r="F7285" s="4" t="s">
        <v>6513</v>
      </c>
      <c r="G7285" s="5" t="str">
        <f>IFERROR(__xludf.DUMMYFUNCTION("GOOGLETRANSLATE(D7285,""it"",""es"")"),"Kilim")</f>
        <v>Kilim</v>
      </c>
    </row>
    <row r="7286">
      <c r="A7286" s="4">
        <v>82.0</v>
      </c>
      <c r="B7286" s="4" t="s">
        <v>17018</v>
      </c>
      <c r="C7286" s="4"/>
      <c r="D7286" s="4" t="s">
        <v>8425</v>
      </c>
      <c r="E7286" s="4" t="s">
        <v>12483</v>
      </c>
      <c r="F7286" s="4" t="s">
        <v>8425</v>
      </c>
      <c r="G7286" s="5" t="str">
        <f>IFERROR(__xludf.DUMMYFUNCTION("GOOGLETRANSLATE(D7286,""it"",""es"")"),"kulak")</f>
        <v>kulak</v>
      </c>
    </row>
    <row r="7287">
      <c r="A7287" s="4">
        <v>83.0</v>
      </c>
      <c r="B7287" s="4" t="s">
        <v>17018</v>
      </c>
      <c r="C7287" s="4"/>
      <c r="D7287" s="4" t="s">
        <v>16701</v>
      </c>
      <c r="E7287" s="4" t="s">
        <v>16702</v>
      </c>
      <c r="F7287" s="4" t="s">
        <v>16701</v>
      </c>
      <c r="G7287" s="5" t="str">
        <f>IFERROR(__xludf.DUMMYFUNCTION("GOOGLETRANSLATE(D7287,""it"",""es"")"),"kulán")</f>
        <v>kulán</v>
      </c>
    </row>
    <row r="7288">
      <c r="A7288" s="4">
        <v>84.0</v>
      </c>
      <c r="B7288" s="4" t="s">
        <v>17018</v>
      </c>
      <c r="C7288" s="4"/>
      <c r="D7288" s="4" t="s">
        <v>2015</v>
      </c>
      <c r="E7288" s="4" t="s">
        <v>2016</v>
      </c>
      <c r="F7288" s="4" t="s">
        <v>2015</v>
      </c>
      <c r="G7288" s="5" t="str">
        <f>IFERROR(__xludf.DUMMYFUNCTION("GOOGLETRANSLATE(D7288,""it"",""es"")"),"allá")</f>
        <v>allá</v>
      </c>
      <c r="H7288" s="4" t="s">
        <v>2015</v>
      </c>
      <c r="I7288" s="4" t="s">
        <v>2017</v>
      </c>
    </row>
    <row r="7289">
      <c r="A7289" s="4">
        <v>85.0</v>
      </c>
      <c r="B7289" s="4" t="s">
        <v>17018</v>
      </c>
      <c r="C7289" s="4"/>
      <c r="D7289" s="4" t="s">
        <v>16703</v>
      </c>
      <c r="E7289" s="4" t="s">
        <v>15069</v>
      </c>
      <c r="F7289" s="4" t="s">
        <v>6531</v>
      </c>
      <c r="G7289" s="5" t="str">
        <f>IFERROR(__xludf.DUMMYFUNCTION("GOOGLETRANSLATE(D7289,""it"",""es"")"),"Lachi")</f>
        <v>Lachi</v>
      </c>
    </row>
    <row r="7290">
      <c r="A7290" s="4">
        <v>86.0</v>
      </c>
      <c r="B7290" s="4" t="s">
        <v>17018</v>
      </c>
      <c r="C7290" s="4"/>
      <c r="D7290" s="4" t="s">
        <v>16704</v>
      </c>
      <c r="E7290" s="4" t="s">
        <v>16705</v>
      </c>
      <c r="F7290" s="4" t="s">
        <v>16706</v>
      </c>
      <c r="G7290" s="5" t="str">
        <f>IFERROR(__xludf.DUMMYFUNCTION("GOOGLETRANSLATE(D7290,""it"",""es"")"),"brecha")</f>
        <v>brecha</v>
      </c>
      <c r="H7290" s="4" t="s">
        <v>16704</v>
      </c>
      <c r="I7290" s="4" t="s">
        <v>16707</v>
      </c>
    </row>
    <row r="7291">
      <c r="A7291" s="4">
        <v>87.0</v>
      </c>
      <c r="B7291" s="4" t="s">
        <v>17018</v>
      </c>
      <c r="C7291" s="4"/>
      <c r="D7291" s="4" t="s">
        <v>10244</v>
      </c>
      <c r="E7291" s="4" t="s">
        <v>12499</v>
      </c>
      <c r="F7291" s="4" t="s">
        <v>10244</v>
      </c>
      <c r="G7291" s="5" t="str">
        <f>IFERROR(__xludf.DUMMYFUNCTION("GOOGLETRANSLATE(D7291,""it"",""es"")"),"lama")</f>
        <v>lama</v>
      </c>
      <c r="H7291" s="4" t="s">
        <v>2099</v>
      </c>
      <c r="I7291" s="4" t="s">
        <v>16708</v>
      </c>
      <c r="J7291" s="4" t="s">
        <v>16709</v>
      </c>
      <c r="K7291" s="4" t="s">
        <v>10259</v>
      </c>
      <c r="L7291" s="4" t="s">
        <v>16710</v>
      </c>
      <c r="M7291" s="4" t="s">
        <v>10259</v>
      </c>
      <c r="N7291" s="4" t="s">
        <v>4235</v>
      </c>
      <c r="O7291" s="4" t="s">
        <v>16711</v>
      </c>
      <c r="P7291" s="4" t="s">
        <v>16712</v>
      </c>
      <c r="Q7291" s="4" t="s">
        <v>16713</v>
      </c>
      <c r="R7291" s="4" t="s">
        <v>16714</v>
      </c>
      <c r="S7291" s="4" t="s">
        <v>16715</v>
      </c>
      <c r="T7291" s="4" t="s">
        <v>10244</v>
      </c>
    </row>
    <row r="7292">
      <c r="A7292" s="4">
        <v>88.0</v>
      </c>
      <c r="B7292" s="4" t="s">
        <v>17018</v>
      </c>
      <c r="C7292" s="4"/>
      <c r="D7292" s="4" t="s">
        <v>10255</v>
      </c>
      <c r="E7292" s="4" t="s">
        <v>16716</v>
      </c>
      <c r="F7292" s="4" t="s">
        <v>10255</v>
      </c>
      <c r="G7292" s="5" t="str">
        <f>IFERROR(__xludf.DUMMYFUNCTION("GOOGLETRANSLATE(D7292,""it"",""es"")"),"lana")</f>
        <v>lana</v>
      </c>
      <c r="H7292" s="4" t="s">
        <v>2109</v>
      </c>
      <c r="I7292" s="4" t="s">
        <v>2111</v>
      </c>
      <c r="J7292" s="4" t="s">
        <v>2112</v>
      </c>
    </row>
    <row r="7293">
      <c r="A7293" s="4">
        <v>89.0</v>
      </c>
      <c r="B7293" s="4" t="s">
        <v>17018</v>
      </c>
      <c r="C7293" s="4"/>
      <c r="D7293" s="4" t="s">
        <v>15927</v>
      </c>
      <c r="E7293" s="4" t="s">
        <v>15928</v>
      </c>
      <c r="F7293" s="4" t="s">
        <v>15927</v>
      </c>
      <c r="G7293" s="5" t="str">
        <f>IFERROR(__xludf.DUMMYFUNCTION("GOOGLETRANSLATE(D7293,""it"",""es"")"),"lata")</f>
        <v>lata</v>
      </c>
    </row>
    <row r="7294">
      <c r="A7294" s="4">
        <v>90.0</v>
      </c>
      <c r="B7294" s="4" t="s">
        <v>17018</v>
      </c>
      <c r="C7294" s="4"/>
      <c r="D7294" s="4" t="s">
        <v>12535</v>
      </c>
      <c r="E7294" s="4" t="s">
        <v>12534</v>
      </c>
      <c r="F7294" s="4" t="s">
        <v>12535</v>
      </c>
      <c r="G7294" s="5" t="str">
        <f>IFERROR(__xludf.DUMMYFUNCTION("GOOGLETRANSLATE(D7294,""it"",""es"")"),"lado")</f>
        <v>lado</v>
      </c>
    </row>
    <row r="7295">
      <c r="A7295" s="4">
        <v>91.0</v>
      </c>
      <c r="B7295" s="4" t="s">
        <v>17018</v>
      </c>
      <c r="C7295" s="4"/>
      <c r="D7295" s="4" t="s">
        <v>10275</v>
      </c>
      <c r="E7295" s="4" t="s">
        <v>16717</v>
      </c>
      <c r="F7295" s="4" t="s">
        <v>10275</v>
      </c>
      <c r="G7295" s="5" t="str">
        <f>IFERROR(__xludf.DUMMYFUNCTION("GOOGLETRANSLATE(D7295,""it"",""es"")"),"latín")</f>
        <v>latín</v>
      </c>
    </row>
    <row r="7296">
      <c r="A7296" s="4">
        <v>92.0</v>
      </c>
      <c r="B7296" s="4" t="s">
        <v>17018</v>
      </c>
      <c r="C7296" s="4"/>
      <c r="D7296" s="4" t="s">
        <v>16718</v>
      </c>
      <c r="E7296" s="4" t="s">
        <v>16719</v>
      </c>
      <c r="F7296" s="4" t="s">
        <v>16720</v>
      </c>
      <c r="G7296" s="5" t="str">
        <f>IFERROR(__xludf.DUMMYFUNCTION("GOOGLETRANSLATE(D7296,""it"",""es"")"),"latín")</f>
        <v>latín</v>
      </c>
    </row>
    <row r="7297">
      <c r="A7297" s="4">
        <v>93.0</v>
      </c>
      <c r="B7297" s="4" t="s">
        <v>17018</v>
      </c>
      <c r="C7297" s="4"/>
      <c r="D7297" s="4" t="s">
        <v>2037</v>
      </c>
      <c r="E7297" s="4" t="s">
        <v>2038</v>
      </c>
      <c r="F7297" s="4" t="s">
        <v>2037</v>
      </c>
      <c r="G7297" s="5" t="str">
        <f>IFERROR(__xludf.DUMMYFUNCTION("GOOGLETRANSLATE(D7297,""it"",""es"")"),"allá")</f>
        <v>allá</v>
      </c>
    </row>
    <row r="7298">
      <c r="A7298" s="4">
        <v>94.0</v>
      </c>
      <c r="B7298" s="4" t="s">
        <v>17018</v>
      </c>
      <c r="C7298" s="4"/>
      <c r="D7298" s="4" t="s">
        <v>16721</v>
      </c>
      <c r="E7298" s="4" t="s">
        <v>16722</v>
      </c>
      <c r="F7298" s="4" t="s">
        <v>16723</v>
      </c>
      <c r="G7298" s="5" t="str">
        <f>IFERROR(__xludf.DUMMYFUNCTION("GOOGLETRANSLATE(D7298,""it"",""es"")"),"licata")</f>
        <v>licata</v>
      </c>
    </row>
    <row r="7299">
      <c r="A7299" s="4">
        <v>95.0</v>
      </c>
      <c r="B7299" s="4" t="s">
        <v>17018</v>
      </c>
      <c r="C7299" s="4"/>
      <c r="D7299" s="4" t="s">
        <v>10313</v>
      </c>
      <c r="E7299" s="4" t="s">
        <v>12589</v>
      </c>
      <c r="F7299" s="4" t="s">
        <v>10313</v>
      </c>
      <c r="G7299" s="5" t="str">
        <f>IFERROR(__xludf.DUMMYFUNCTION("GOOGLETRANSLATE(D7299,""it"",""es"")"),"expediente")</f>
        <v>expediente</v>
      </c>
      <c r="H7299" s="4" t="s">
        <v>1</v>
      </c>
      <c r="I7299" s="4" t="s">
        <v>10319</v>
      </c>
      <c r="J7299" s="4" t="s">
        <v>10320</v>
      </c>
    </row>
    <row r="7300">
      <c r="A7300" s="4">
        <v>96.0</v>
      </c>
      <c r="B7300" s="4" t="s">
        <v>17018</v>
      </c>
      <c r="C7300" s="4"/>
      <c r="D7300" s="4" t="s">
        <v>16724</v>
      </c>
      <c r="E7300" s="4" t="s">
        <v>16725</v>
      </c>
      <c r="F7300" s="4" t="s">
        <v>16724</v>
      </c>
      <c r="G7300" s="5" t="str">
        <f>IFERROR(__xludf.DUMMYFUNCTION("GOOGLETRANSLATE(D7300,""it"",""es"")"),"lima")</f>
        <v>lima</v>
      </c>
    </row>
    <row r="7301">
      <c r="A7301" s="4">
        <v>97.0</v>
      </c>
      <c r="B7301" s="4" t="s">
        <v>17018</v>
      </c>
      <c r="C7301" s="4"/>
      <c r="D7301" s="4" t="s">
        <v>6629</v>
      </c>
      <c r="E7301" s="4" t="s">
        <v>10326</v>
      </c>
      <c r="F7301" s="4" t="s">
        <v>6629</v>
      </c>
      <c r="G7301" s="5" t="str">
        <f>IFERROR(__xludf.DUMMYFUNCTION("GOOGLETRANSLATE(D7301,""it"",""es"")"),"limitar")</f>
        <v>limitar</v>
      </c>
    </row>
    <row r="7302">
      <c r="A7302" s="4">
        <v>98.0</v>
      </c>
      <c r="B7302" s="4" t="s">
        <v>17018</v>
      </c>
      <c r="C7302" s="4"/>
      <c r="D7302" s="4" t="s">
        <v>16726</v>
      </c>
      <c r="E7302" s="4" t="s">
        <v>16727</v>
      </c>
      <c r="F7302" s="4" t="s">
        <v>16726</v>
      </c>
      <c r="G7302" s="5" t="str">
        <f>IFERROR(__xludf.DUMMYFUNCTION("GOOGLETRANSLATE(D7302,""it"",""es"")"),"limitado")</f>
        <v>limitado</v>
      </c>
    </row>
    <row r="7303">
      <c r="A7303" s="4">
        <v>99.0</v>
      </c>
      <c r="B7303" s="4" t="s">
        <v>17018</v>
      </c>
      <c r="C7303" s="4"/>
      <c r="D7303" s="4" t="s">
        <v>16728</v>
      </c>
      <c r="E7303" s="4" t="s">
        <v>16729</v>
      </c>
      <c r="F7303" s="4" t="s">
        <v>16728</v>
      </c>
      <c r="G7303" s="5" t="str">
        <f>IFERROR(__xludf.DUMMYFUNCTION("GOOGLETRANSLATE(D7303,""it"",""es"")"),"limitado")</f>
        <v>limitado</v>
      </c>
    </row>
    <row r="7304">
      <c r="A7304" s="4">
        <v>100.0</v>
      </c>
      <c r="B7304" s="4" t="s">
        <v>17018</v>
      </c>
      <c r="C7304" s="4"/>
      <c r="D7304" s="4" t="s">
        <v>16730</v>
      </c>
      <c r="E7304" s="4" t="s">
        <v>16731</v>
      </c>
      <c r="F7304" s="4" t="s">
        <v>16730</v>
      </c>
      <c r="G7304" s="5" t="str">
        <f>IFERROR(__xludf.DUMMYFUNCTION("GOOGLETRANSLATE(D7304,""it"",""es"")"),"Lina")</f>
        <v>Lina</v>
      </c>
    </row>
    <row r="7305">
      <c r="A7305" s="4">
        <v>101.0</v>
      </c>
      <c r="B7305" s="4" t="s">
        <v>17018</v>
      </c>
      <c r="C7305" s="4"/>
      <c r="D7305" s="4" t="s">
        <v>16732</v>
      </c>
      <c r="E7305" s="4" t="s">
        <v>16733</v>
      </c>
      <c r="F7305" s="4" t="s">
        <v>10387</v>
      </c>
      <c r="G7305" s="5" t="str">
        <f>IFERROR(__xludf.DUMMYFUNCTION("GOOGLETRANSLATE(D7305,""it"",""es"")"),"Luca")</f>
        <v>Luca</v>
      </c>
    </row>
    <row r="7306">
      <c r="A7306" s="4">
        <v>102.0</v>
      </c>
      <c r="B7306" s="4" t="s">
        <v>17018</v>
      </c>
      <c r="C7306" s="4"/>
      <c r="D7306" s="4" t="s">
        <v>16734</v>
      </c>
      <c r="E7306" s="4" t="s">
        <v>16735</v>
      </c>
      <c r="F7306" s="4" t="s">
        <v>16736</v>
      </c>
      <c r="G7306" s="5" t="str">
        <f>IFERROR(__xludf.DUMMYFUNCTION("GOOGLETRANSLATE(D7306,""it"",""es"")"),"él")</f>
        <v>él</v>
      </c>
    </row>
    <row r="7307">
      <c r="A7307" s="4">
        <v>103.0</v>
      </c>
      <c r="B7307" s="4" t="s">
        <v>17018</v>
      </c>
      <c r="C7307" s="4"/>
      <c r="D7307" s="4" t="s">
        <v>16737</v>
      </c>
      <c r="E7307" s="4" t="s">
        <v>16738</v>
      </c>
      <c r="F7307" s="4" t="s">
        <v>16739</v>
      </c>
      <c r="G7307" s="5" t="str">
        <f>IFERROR(__xludf.DUMMYFUNCTION("GOOGLETRANSLATE(D7307,""it"",""es"")"),"caracol")</f>
        <v>caracol</v>
      </c>
      <c r="H7307" s="4" t="s">
        <v>16740</v>
      </c>
      <c r="I7307" s="4" t="s">
        <v>16741</v>
      </c>
      <c r="J7307" s="4" t="s">
        <v>2170</v>
      </c>
      <c r="K7307" s="4" t="s">
        <v>16742</v>
      </c>
      <c r="L7307" s="4" t="s">
        <v>16743</v>
      </c>
      <c r="M7307" s="4" t="s">
        <v>16744</v>
      </c>
      <c r="N7307" s="4" t="s">
        <v>16745</v>
      </c>
      <c r="O7307" s="4" t="s">
        <v>16746</v>
      </c>
      <c r="P7307" s="4" t="s">
        <v>16747</v>
      </c>
    </row>
    <row r="7308">
      <c r="A7308" s="4">
        <v>104.0</v>
      </c>
      <c r="B7308" s="4" t="s">
        <v>17018</v>
      </c>
      <c r="C7308" s="4"/>
      <c r="D7308" s="4" t="s">
        <v>2249</v>
      </c>
      <c r="E7308" s="4" t="s">
        <v>2248</v>
      </c>
      <c r="F7308" s="4" t="s">
        <v>2249</v>
      </c>
      <c r="G7308" s="5" t="str">
        <f>IFERROR(__xludf.DUMMYFUNCTION("GOOGLETRANSLATE(D7308,""it"",""es"")"),"luna")</f>
        <v>luna</v>
      </c>
      <c r="H7308" s="4" t="s">
        <v>16748</v>
      </c>
      <c r="I7308" s="4" t="s">
        <v>16749</v>
      </c>
      <c r="J7308" s="4" t="s">
        <v>16748</v>
      </c>
      <c r="K7308" s="4" t="s">
        <v>2212</v>
      </c>
      <c r="L7308" s="4" t="s">
        <v>2214</v>
      </c>
      <c r="M7308" s="4" t="s">
        <v>2212</v>
      </c>
      <c r="N7308" s="4" t="s">
        <v>2215</v>
      </c>
      <c r="O7308" s="4" t="s">
        <v>2216</v>
      </c>
    </row>
    <row r="7309">
      <c r="A7309" s="4">
        <v>105.0</v>
      </c>
      <c r="B7309" s="4" t="s">
        <v>17018</v>
      </c>
      <c r="C7309" s="4"/>
      <c r="D7309" s="4" t="s">
        <v>16750</v>
      </c>
      <c r="E7309" s="4" t="s">
        <v>16751</v>
      </c>
      <c r="F7309" s="4" t="s">
        <v>16750</v>
      </c>
      <c r="G7309" s="5" t="str">
        <f>IFERROR(__xludf.DUMMYFUNCTION("GOOGLETRANSLATE(D7309,""it"",""es"")"),"lunino")</f>
        <v>lunino</v>
      </c>
    </row>
    <row r="7310">
      <c r="A7310" s="4">
        <v>106.0</v>
      </c>
      <c r="B7310" s="4" t="s">
        <v>17018</v>
      </c>
      <c r="C7310" s="4"/>
      <c r="D7310" s="4" t="s">
        <v>12666</v>
      </c>
      <c r="E7310" s="4" t="s">
        <v>2016</v>
      </c>
      <c r="F7310" s="4" t="s">
        <v>2015</v>
      </c>
      <c r="G7310" s="5" t="str">
        <f>IFERROR(__xludf.DUMMYFUNCTION("GOOGLETRANSLATE(D7310,""it"",""es"")"),"allá")</f>
        <v>allá</v>
      </c>
    </row>
    <row r="7311">
      <c r="A7311" s="4">
        <v>107.0</v>
      </c>
      <c r="B7311" s="4" t="s">
        <v>17018</v>
      </c>
      <c r="C7311" s="4"/>
      <c r="D7311" s="4" t="s">
        <v>16752</v>
      </c>
      <c r="E7311" s="4" t="s">
        <v>2038</v>
      </c>
      <c r="F7311" s="4" t="s">
        <v>2037</v>
      </c>
      <c r="G7311" s="5" t="str">
        <f>IFERROR(__xludf.DUMMYFUNCTION("GOOGLETRANSLATE(D7311,""it"",""es"")"),"allá")</f>
        <v>allá</v>
      </c>
    </row>
    <row r="7312">
      <c r="A7312" s="4">
        <v>108.0</v>
      </c>
      <c r="B7312" s="4" t="s">
        <v>17018</v>
      </c>
      <c r="C7312" s="4"/>
      <c r="D7312" s="4" t="s">
        <v>2278</v>
      </c>
      <c r="E7312" s="4" t="s">
        <v>2279</v>
      </c>
      <c r="F7312" s="4" t="s">
        <v>2278</v>
      </c>
      <c r="G7312" s="5" t="str">
        <f>IFERROR(__xludf.DUMMYFUNCTION("GOOGLETRANSLATE(D7312,""it"",""es"")"),"pero")</f>
        <v>pero</v>
      </c>
      <c r="H7312" s="4" t="s">
        <v>10470</v>
      </c>
      <c r="I7312" s="4" t="s">
        <v>10471</v>
      </c>
    </row>
    <row r="7313">
      <c r="A7313" s="4">
        <v>109.0</v>
      </c>
      <c r="B7313" s="4" t="s">
        <v>17018</v>
      </c>
      <c r="C7313" s="4"/>
      <c r="D7313" s="4" t="s">
        <v>16753</v>
      </c>
      <c r="E7313" s="4" t="s">
        <v>2279</v>
      </c>
      <c r="F7313" s="4" t="s">
        <v>2278</v>
      </c>
      <c r="G7313" s="5" t="str">
        <f>IFERROR(__xludf.DUMMYFUNCTION("GOOGLETRANSLATE(D7313,""it"",""es"")"),"mah")</f>
        <v>mah</v>
      </c>
    </row>
    <row r="7314">
      <c r="A7314" s="4">
        <v>110.0</v>
      </c>
      <c r="B7314" s="4" t="s">
        <v>17018</v>
      </c>
      <c r="C7314" s="4"/>
      <c r="D7314" s="4" t="s">
        <v>2312</v>
      </c>
      <c r="E7314" s="4" t="s">
        <v>332</v>
      </c>
      <c r="F7314" s="4" t="s">
        <v>333</v>
      </c>
      <c r="G7314" s="5" t="str">
        <f>IFERROR(__xludf.DUMMYFUNCTION("GOOGLETRANSLATE(D7314,""it"",""es"")"),"nunca")</f>
        <v>nunca</v>
      </c>
      <c r="H7314" s="4" t="s">
        <v>16754</v>
      </c>
      <c r="I7314" s="4" t="s">
        <v>16755</v>
      </c>
      <c r="J7314" s="4" t="s">
        <v>16756</v>
      </c>
      <c r="K7314" s="4" t="s">
        <v>16757</v>
      </c>
    </row>
    <row r="7315">
      <c r="A7315" s="4">
        <v>111.0</v>
      </c>
      <c r="B7315" s="4" t="s">
        <v>17018</v>
      </c>
      <c r="C7315" s="4"/>
      <c r="D7315" s="4" t="s">
        <v>16758</v>
      </c>
      <c r="E7315" s="4" t="s">
        <v>16759</v>
      </c>
      <c r="F7315" s="4" t="s">
        <v>16760</v>
      </c>
      <c r="G7315" s="5" t="str">
        <f>IFERROR(__xludf.DUMMYFUNCTION("GOOGLETRANSLATE(D7315,""it"",""es"")"),"cerdo")</f>
        <v>cerdo</v>
      </c>
    </row>
    <row r="7316">
      <c r="A7316" s="4">
        <v>112.0</v>
      </c>
      <c r="B7316" s="4" t="s">
        <v>17018</v>
      </c>
      <c r="C7316" s="4"/>
      <c r="D7316" s="4" t="s">
        <v>2463</v>
      </c>
      <c r="E7316" s="4" t="s">
        <v>2462</v>
      </c>
      <c r="F7316" s="4" t="s">
        <v>2463</v>
      </c>
      <c r="G7316" s="5" t="str">
        <f>IFERROR(__xludf.DUMMYFUNCTION("GOOGLETRANSLATE(D7316,""it"",""es"")"),"maki")</f>
        <v>maki</v>
      </c>
    </row>
    <row r="7317">
      <c r="A7317" s="4">
        <v>113.0</v>
      </c>
      <c r="B7317" s="4" t="s">
        <v>17018</v>
      </c>
      <c r="C7317" s="4"/>
      <c r="D7317" s="4" t="s">
        <v>2351</v>
      </c>
      <c r="E7317" s="4" t="s">
        <v>2352</v>
      </c>
      <c r="F7317" s="4" t="s">
        <v>2351</v>
      </c>
      <c r="G7317" s="5" t="str">
        <f>IFERROR(__xludf.DUMMYFUNCTION("GOOGLETRANSLATE(D7317,""it"",""es"")"),"malo")</f>
        <v>malo</v>
      </c>
      <c r="H7317" s="4" t="s">
        <v>10522</v>
      </c>
    </row>
    <row r="7318">
      <c r="A7318" s="4">
        <v>114.0</v>
      </c>
      <c r="B7318" s="4" t="s">
        <v>17018</v>
      </c>
      <c r="C7318" s="4"/>
      <c r="D7318" s="4" t="s">
        <v>16761</v>
      </c>
      <c r="E7318" s="4" t="s">
        <v>16762</v>
      </c>
      <c r="F7318" s="4" t="s">
        <v>16761</v>
      </c>
      <c r="G7318" s="5" t="str">
        <f>IFERROR(__xludf.DUMMYFUNCTION("GOOGLETRANSLATE(D7318,""it"",""es"")"),"paciente")</f>
        <v>paciente</v>
      </c>
    </row>
    <row r="7319">
      <c r="A7319" s="4">
        <v>115.0</v>
      </c>
      <c r="B7319" s="4" t="s">
        <v>17018</v>
      </c>
      <c r="C7319" s="4"/>
      <c r="D7319" s="4" t="s">
        <v>16763</v>
      </c>
      <c r="E7319" s="4" t="s">
        <v>16764</v>
      </c>
      <c r="F7319" s="4" t="s">
        <v>16763</v>
      </c>
      <c r="G7319" s="5" t="str">
        <f>IFERROR(__xludf.DUMMYFUNCTION("GOOGLETRANSLATE(D7319,""it"",""es"")"),"resolver")</f>
        <v>resolver</v>
      </c>
      <c r="H7319" s="4" t="s">
        <v>12239</v>
      </c>
      <c r="I7319" s="4" t="s">
        <v>7005</v>
      </c>
      <c r="J7319" s="4" t="s">
        <v>16765</v>
      </c>
      <c r="K7319" s="4" t="s">
        <v>16766</v>
      </c>
      <c r="L7319" s="4" t="s">
        <v>16765</v>
      </c>
      <c r="M7319" s="4" t="s">
        <v>16767</v>
      </c>
    </row>
    <row r="7320">
      <c r="A7320" s="4">
        <v>116.0</v>
      </c>
      <c r="B7320" s="4" t="s">
        <v>17018</v>
      </c>
      <c r="C7320" s="4"/>
      <c r="D7320" s="4" t="s">
        <v>16768</v>
      </c>
      <c r="E7320" s="4" t="s">
        <v>16769</v>
      </c>
      <c r="F7320" s="4" t="s">
        <v>16770</v>
      </c>
      <c r="G7320" s="5" t="str">
        <f>IFERROR(__xludf.DUMMYFUNCTION("GOOGLETRANSLATE(D7320,""it"",""es"")"),"manga")</f>
        <v>manga</v>
      </c>
      <c r="H7320" s="4" t="s">
        <v>9126</v>
      </c>
      <c r="I7320" s="4" t="s">
        <v>6625</v>
      </c>
    </row>
    <row r="7321">
      <c r="A7321" s="4">
        <v>117.0</v>
      </c>
      <c r="B7321" s="4" t="s">
        <v>17018</v>
      </c>
      <c r="C7321" s="4"/>
      <c r="D7321" s="4" t="s">
        <v>16771</v>
      </c>
      <c r="E7321" s="4" t="s">
        <v>16772</v>
      </c>
      <c r="F7321" s="4" t="s">
        <v>16771</v>
      </c>
      <c r="G7321" s="5" t="str">
        <f>IFERROR(__xludf.DUMMYFUNCTION("GOOGLETRANSLATE(D7321,""it"",""es"")"),"mano")</f>
        <v>mano</v>
      </c>
    </row>
    <row r="7322">
      <c r="A7322" s="4">
        <v>118.0</v>
      </c>
      <c r="B7322" s="4" t="s">
        <v>17018</v>
      </c>
      <c r="C7322" s="4"/>
      <c r="D7322" s="4" t="s">
        <v>16773</v>
      </c>
      <c r="E7322" s="4" t="s">
        <v>12817</v>
      </c>
      <c r="F7322" s="4" t="s">
        <v>12818</v>
      </c>
      <c r="G7322" s="5" t="str">
        <f>IFERROR(__xludf.DUMMYFUNCTION("GOOGLETRANSLATE(D7322,""it"",""es"")"),"manitu")</f>
        <v>manitu</v>
      </c>
    </row>
    <row r="7323">
      <c r="A7323" s="4">
        <v>119.0</v>
      </c>
      <c r="B7323" s="4" t="s">
        <v>17018</v>
      </c>
      <c r="C7323" s="4"/>
      <c r="D7323" s="4" t="s">
        <v>16774</v>
      </c>
      <c r="E7323" s="4" t="s">
        <v>16775</v>
      </c>
      <c r="F7323" s="4" t="s">
        <v>16776</v>
      </c>
      <c r="G7323" s="5" t="str">
        <f>IFERROR(__xludf.DUMMYFUNCTION("GOOGLETRANSLATE(D7323,""it"",""es"")"),"fabricante")</f>
        <v>fabricante</v>
      </c>
    </row>
    <row r="7324">
      <c r="A7324" s="4">
        <v>120.0</v>
      </c>
      <c r="B7324" s="4" t="s">
        <v>17018</v>
      </c>
      <c r="C7324" s="4"/>
      <c r="D7324" s="4" t="s">
        <v>16777</v>
      </c>
      <c r="E7324" s="4" t="s">
        <v>16778</v>
      </c>
      <c r="F7324" s="4" t="s">
        <v>16779</v>
      </c>
      <c r="G7324" s="5" t="str">
        <f>IFERROR(__xludf.DUMMYFUNCTION("GOOGLETRANSLATE(D7324,""it"",""es"")"),"Manuchi")</f>
        <v>Manuchi</v>
      </c>
    </row>
    <row r="7325">
      <c r="A7325" s="4">
        <v>121.0</v>
      </c>
      <c r="B7325" s="4" t="s">
        <v>17018</v>
      </c>
      <c r="C7325" s="4"/>
      <c r="D7325" s="4" t="s">
        <v>16780</v>
      </c>
      <c r="E7325" s="4" t="s">
        <v>16781</v>
      </c>
      <c r="F7325" s="4" t="s">
        <v>16782</v>
      </c>
      <c r="G7325" s="5" t="str">
        <f>IFERROR(__xludf.DUMMYFUNCTION("GOOGLETRANSLATE(D7325,""it"",""es"")"),"Matachi")</f>
        <v>Matachi</v>
      </c>
    </row>
    <row r="7326">
      <c r="A7326" s="4">
        <v>122.0</v>
      </c>
      <c r="B7326" s="4" t="s">
        <v>17018</v>
      </c>
      <c r="C7326" s="4"/>
      <c r="D7326" s="4" t="s">
        <v>16783</v>
      </c>
      <c r="E7326" s="4" t="s">
        <v>16784</v>
      </c>
      <c r="F7326" s="4" t="s">
        <v>16783</v>
      </c>
      <c r="G7326" s="5" t="str">
        <f>IFERROR(__xludf.DUMMYFUNCTION("GOOGLETRANSLATE(D7326,""it"",""es"")"),"lápiz")</f>
        <v>lápiz</v>
      </c>
      <c r="H7326" s="4" t="s">
        <v>2118</v>
      </c>
    </row>
    <row r="7327">
      <c r="A7327" s="4">
        <v>123.0</v>
      </c>
      <c r="B7327" s="4" t="s">
        <v>17018</v>
      </c>
      <c r="C7327" s="4"/>
      <c r="D7327" s="4" t="s">
        <v>16785</v>
      </c>
      <c r="E7327" s="4" t="s">
        <v>16786</v>
      </c>
      <c r="F7327" s="4" t="s">
        <v>16787</v>
      </c>
      <c r="G7327" s="5" t="str">
        <f>IFERROR(__xludf.DUMMYFUNCTION("GOOGLETRANSLATE(D7327,""it"",""es"")"),"reunión")</f>
        <v>reunión</v>
      </c>
      <c r="H7327" s="4" t="s">
        <v>16785</v>
      </c>
      <c r="I7327" s="4" t="s">
        <v>16788</v>
      </c>
      <c r="J7327" s="4" t="s">
        <v>16785</v>
      </c>
      <c r="K7327" s="4" t="s">
        <v>16789</v>
      </c>
    </row>
    <row r="7328">
      <c r="A7328" s="4">
        <v>124.0</v>
      </c>
      <c r="B7328" s="4" t="s">
        <v>17018</v>
      </c>
      <c r="C7328" s="4"/>
      <c r="D7328" s="4" t="s">
        <v>342</v>
      </c>
      <c r="E7328" s="4" t="s">
        <v>341</v>
      </c>
      <c r="F7328" s="4" t="s">
        <v>342</v>
      </c>
      <c r="G7328" s="5" t="str">
        <f>IFERROR(__xludf.DUMMYFUNCTION("GOOGLETRANSLATE(D7328,""it"",""es"")"),"yo")</f>
        <v>yo</v>
      </c>
      <c r="H7328" s="4" t="s">
        <v>342</v>
      </c>
      <c r="I7328" s="4" t="s">
        <v>6823</v>
      </c>
      <c r="J7328" s="4" t="s">
        <v>6824</v>
      </c>
    </row>
    <row r="7329">
      <c r="A7329" s="4">
        <v>125.0</v>
      </c>
      <c r="B7329" s="4" t="s">
        <v>17018</v>
      </c>
      <c r="C7329" s="4"/>
      <c r="D7329" s="4" t="s">
        <v>2599</v>
      </c>
      <c r="E7329" s="4" t="s">
        <v>2600</v>
      </c>
      <c r="F7329" s="4" t="s">
        <v>2601</v>
      </c>
      <c r="G7329" s="5" t="str">
        <f>IFERROR(__xludf.DUMMYFUNCTION("GOOGLETRANSLATE(D7329,""it"",""es"")"),"no")</f>
        <v>no</v>
      </c>
      <c r="H7329" s="4" t="s">
        <v>2599</v>
      </c>
      <c r="I7329" s="4" t="s">
        <v>2613</v>
      </c>
    </row>
    <row r="7330">
      <c r="A7330" s="4">
        <v>126.0</v>
      </c>
      <c r="B7330" s="4" t="s">
        <v>17018</v>
      </c>
      <c r="C7330" s="4"/>
      <c r="D7330" s="4" t="s">
        <v>2686</v>
      </c>
      <c r="E7330" s="4" t="s">
        <v>2685</v>
      </c>
      <c r="F7330" s="4" t="s">
        <v>2686</v>
      </c>
      <c r="G7330" s="5" t="str">
        <f>IFERROR(__xludf.DUMMYFUNCTION("GOOGLETRANSLATE(D7330,""it"",""es"")"),"miles")</f>
        <v>miles</v>
      </c>
    </row>
    <row r="7331">
      <c r="A7331" s="4">
        <v>127.0</v>
      </c>
      <c r="B7331" s="4" t="s">
        <v>17018</v>
      </c>
      <c r="C7331" s="4"/>
      <c r="D7331" s="4" t="s">
        <v>16790</v>
      </c>
      <c r="E7331" s="4" t="s">
        <v>16791</v>
      </c>
      <c r="F7331" s="4" t="s">
        <v>16790</v>
      </c>
      <c r="G7331" s="5" t="str">
        <f>IFERROR(__xludf.DUMMYFUNCTION("GOOGLETRANSLATE(D7331,""it"",""es"")"),"militar")</f>
        <v>militar</v>
      </c>
    </row>
    <row r="7332">
      <c r="A7332" s="4">
        <v>128.0</v>
      </c>
      <c r="B7332" s="4" t="s">
        <v>17018</v>
      </c>
      <c r="C7332" s="4"/>
      <c r="D7332" s="4" t="s">
        <v>2637</v>
      </c>
      <c r="E7332" s="4" t="s">
        <v>2638</v>
      </c>
      <c r="F7332" s="4" t="s">
        <v>2637</v>
      </c>
      <c r="G7332" s="5" t="str">
        <f>IFERROR(__xludf.DUMMYFUNCTION("GOOGLETRANSLATE(D7332,""it"",""es"")"),"Milita")</f>
        <v>Milita</v>
      </c>
    </row>
    <row r="7333">
      <c r="A7333" s="4">
        <v>129.0</v>
      </c>
      <c r="B7333" s="4" t="s">
        <v>17018</v>
      </c>
      <c r="C7333" s="4"/>
      <c r="D7333" s="4" t="s">
        <v>16792</v>
      </c>
      <c r="E7333" s="4" t="s">
        <v>16793</v>
      </c>
      <c r="F7333" s="4" t="s">
        <v>16792</v>
      </c>
      <c r="G7333" s="5" t="str">
        <f>IFERROR(__xludf.DUMMYFUNCTION("GOOGLETRANSLATE(D7333,""it"",""es"")"),"mimi")</f>
        <v>mimi</v>
      </c>
    </row>
    <row r="7334">
      <c r="A7334" s="4">
        <v>130.0</v>
      </c>
      <c r="B7334" s="4" t="s">
        <v>17018</v>
      </c>
      <c r="C7334" s="4"/>
      <c r="D7334" s="4" t="s">
        <v>2695</v>
      </c>
      <c r="E7334" s="4" t="s">
        <v>2696</v>
      </c>
      <c r="F7334" s="4" t="s">
        <v>2695</v>
      </c>
      <c r="G7334" s="5" t="str">
        <f>IFERROR(__xludf.DUMMYFUNCTION("GOOGLETRANSLATE(D7334,""it"",""es"")"),"compañero")</f>
        <v>compañero</v>
      </c>
      <c r="H7334" s="4" t="s">
        <v>648</v>
      </c>
      <c r="I7334" s="4" t="s">
        <v>2697</v>
      </c>
      <c r="J7334" s="4" t="s">
        <v>2698</v>
      </c>
    </row>
    <row r="7335">
      <c r="A7335" s="4">
        <v>131.0</v>
      </c>
      <c r="B7335" s="4" t="s">
        <v>17018</v>
      </c>
      <c r="C7335" s="4"/>
      <c r="D7335" s="4" t="s">
        <v>6851</v>
      </c>
      <c r="E7335" s="4" t="s">
        <v>12907</v>
      </c>
      <c r="F7335" s="4" t="s">
        <v>6851</v>
      </c>
      <c r="G7335" s="5" t="str">
        <f>IFERROR(__xludf.DUMMYFUNCTION("GOOGLETRANSLATE(D7335,""it"",""es"")"),"mini")</f>
        <v>mini</v>
      </c>
      <c r="H7335" s="4" t="s">
        <v>6851</v>
      </c>
    </row>
    <row r="7336">
      <c r="A7336" s="4">
        <v>132.0</v>
      </c>
      <c r="B7336" s="4" t="s">
        <v>17018</v>
      </c>
      <c r="C7336" s="4"/>
      <c r="D7336" s="4" t="s">
        <v>16794</v>
      </c>
      <c r="E7336" s="4" t="s">
        <v>16795</v>
      </c>
      <c r="F7336" s="4" t="s">
        <v>16796</v>
      </c>
      <c r="G7336" s="5" t="str">
        <f>IFERROR(__xludf.DUMMYFUNCTION("GOOGLETRANSLATE(D7336,""it"",""es"")"),"mítico")</f>
        <v>mítico</v>
      </c>
    </row>
    <row r="7337">
      <c r="A7337" s="4">
        <v>133.0</v>
      </c>
      <c r="B7337" s="4" t="s">
        <v>17018</v>
      </c>
      <c r="C7337" s="4"/>
      <c r="D7337" s="4" t="s">
        <v>367</v>
      </c>
      <c r="E7337" s="4" t="s">
        <v>366</v>
      </c>
      <c r="F7337" s="4" t="s">
        <v>367</v>
      </c>
      <c r="G7337" s="5" t="str">
        <f>IFERROR(__xludf.DUMMYFUNCTION("GOOGLETRANSLATE(D7337,""it"",""es"")"),"musa")</f>
        <v>musa</v>
      </c>
      <c r="H7337" s="4" t="s">
        <v>342</v>
      </c>
    </row>
    <row r="7338">
      <c r="A7338" s="4">
        <v>134.0</v>
      </c>
      <c r="B7338" s="4" t="s">
        <v>17018</v>
      </c>
      <c r="C7338" s="4"/>
      <c r="D7338" s="4" t="s">
        <v>16797</v>
      </c>
      <c r="E7338" s="4" t="s">
        <v>10591</v>
      </c>
      <c r="F7338" s="4" t="s">
        <v>10590</v>
      </c>
      <c r="G7338" s="5" t="str">
        <f>IFERROR(__xludf.DUMMYFUNCTION("GOOGLETRANSLATE(D7338,""it"",""es"")"),"mucho")</f>
        <v>mucho</v>
      </c>
    </row>
    <row r="7339">
      <c r="A7339" s="4">
        <v>135.0</v>
      </c>
      <c r="B7339" s="4" t="s">
        <v>17018</v>
      </c>
      <c r="C7339" s="4"/>
      <c r="D7339" s="4" t="s">
        <v>2850</v>
      </c>
      <c r="E7339" s="4" t="s">
        <v>2849</v>
      </c>
      <c r="F7339" s="4" t="s">
        <v>2850</v>
      </c>
      <c r="G7339" s="5" t="str">
        <f>IFERROR(__xludf.DUMMYFUNCTION("GOOGLETRANSLATE(D7339,""it"",""es"")"),"mojado")</f>
        <v>mojado</v>
      </c>
      <c r="H7339" s="4" t="s">
        <v>16437</v>
      </c>
      <c r="I7339" s="4" t="s">
        <v>2543</v>
      </c>
      <c r="J7339" s="4" t="s">
        <v>16798</v>
      </c>
      <c r="K7339" s="4" t="s">
        <v>16799</v>
      </c>
      <c r="L7339" s="4" t="s">
        <v>12986</v>
      </c>
      <c r="M7339" s="4" t="s">
        <v>16800</v>
      </c>
      <c r="N7339" s="4" t="s">
        <v>16801</v>
      </c>
    </row>
    <row r="7340">
      <c r="A7340" s="4">
        <v>136.0</v>
      </c>
      <c r="B7340" s="4" t="s">
        <v>17018</v>
      </c>
      <c r="C7340" s="4"/>
      <c r="D7340" s="4" t="s">
        <v>2779</v>
      </c>
      <c r="E7340" s="4" t="s">
        <v>2778</v>
      </c>
      <c r="F7340" s="4" t="s">
        <v>2779</v>
      </c>
      <c r="G7340" s="5" t="str">
        <f>IFERROR(__xludf.DUMMYFUNCTION("GOOGLETRANSLATE(D7340,""it"",""es"")"),"silencio")</f>
        <v>silencio</v>
      </c>
    </row>
    <row r="7341">
      <c r="A7341" s="4">
        <v>137.0</v>
      </c>
      <c r="B7341" s="4" t="s">
        <v>17018</v>
      </c>
      <c r="C7341" s="4"/>
      <c r="D7341" s="4" t="s">
        <v>16802</v>
      </c>
      <c r="E7341" s="4" t="s">
        <v>16803</v>
      </c>
      <c r="F7341" s="4" t="s">
        <v>16804</v>
      </c>
      <c r="G7341" s="5" t="str">
        <f>IFERROR(__xludf.DUMMYFUNCTION("GOOGLETRANSLATE(D7341,""it"",""es"")"),"nace")</f>
        <v>nace</v>
      </c>
    </row>
    <row r="7342">
      <c r="A7342" s="4">
        <v>138.0</v>
      </c>
      <c r="B7342" s="4" t="s">
        <v>17018</v>
      </c>
      <c r="C7342" s="4"/>
      <c r="D7342" s="4" t="s">
        <v>2923</v>
      </c>
      <c r="E7342" s="4" t="s">
        <v>2924</v>
      </c>
      <c r="F7342" s="4" t="s">
        <v>2923</v>
      </c>
      <c r="G7342" s="5" t="str">
        <f>IFERROR(__xludf.DUMMYFUNCTION("GOOGLETRANSLATE(D7342,""it"",""es"")"),"enano")</f>
        <v>enano</v>
      </c>
    </row>
    <row r="7343">
      <c r="A7343" s="4">
        <v>139.0</v>
      </c>
      <c r="B7343" s="4" t="s">
        <v>17018</v>
      </c>
      <c r="C7343" s="4"/>
      <c r="D7343" s="4" t="s">
        <v>2935</v>
      </c>
      <c r="E7343" s="4" t="s">
        <v>2936</v>
      </c>
      <c r="F7343" s="4" t="s">
        <v>2935</v>
      </c>
      <c r="G7343" s="5" t="str">
        <f>IFERROR(__xludf.DUMMYFUNCTION("GOOGLETRANSLATE(D7343,""it"",""es"")"),"nacido")</f>
        <v>nacido</v>
      </c>
    </row>
    <row r="7344">
      <c r="A7344" s="4">
        <v>140.0</v>
      </c>
      <c r="B7344" s="4" t="s">
        <v>17018</v>
      </c>
      <c r="C7344" s="4"/>
      <c r="D7344" s="4" t="s">
        <v>16805</v>
      </c>
      <c r="E7344" s="4" t="s">
        <v>16806</v>
      </c>
      <c r="F7344" s="4" t="s">
        <v>16807</v>
      </c>
      <c r="G7344" s="5" t="str">
        <f>IFERROR(__xludf.DUMMYFUNCTION("GOOGLETRANSLATE(D7344,""it"",""es"")"),"nacido")</f>
        <v>nacido</v>
      </c>
      <c r="H7344" s="4" t="s">
        <v>16808</v>
      </c>
      <c r="I7344" s="4" t="s">
        <v>16809</v>
      </c>
      <c r="J7344" s="4" t="s">
        <v>16810</v>
      </c>
      <c r="K7344" s="4" t="s">
        <v>16811</v>
      </c>
      <c r="L7344" s="4" t="s">
        <v>16812</v>
      </c>
    </row>
    <row r="7345">
      <c r="A7345" s="4">
        <v>141.0</v>
      </c>
      <c r="B7345" s="4" t="s">
        <v>17018</v>
      </c>
      <c r="C7345" s="4"/>
      <c r="D7345" s="4" t="s">
        <v>6960</v>
      </c>
      <c r="E7345" s="4" t="s">
        <v>16813</v>
      </c>
      <c r="F7345" s="4" t="s">
        <v>6960</v>
      </c>
      <c r="G7345" s="5" t="str">
        <f>IFERROR(__xludf.DUMMYFUNCTION("GOOGLETRANSLATE(D7345,""it"",""es"")"),"nacido")</f>
        <v>nacido</v>
      </c>
    </row>
    <row r="7346">
      <c r="A7346" s="4">
        <v>142.0</v>
      </c>
      <c r="B7346" s="4" t="s">
        <v>17018</v>
      </c>
      <c r="C7346" s="4"/>
      <c r="D7346" s="4" t="s">
        <v>389</v>
      </c>
      <c r="E7346" s="4" t="s">
        <v>388</v>
      </c>
      <c r="F7346" s="4" t="s">
        <v>389</v>
      </c>
      <c r="G7346" s="5" t="str">
        <f>IFERROR(__xludf.DUMMYFUNCTION("GOOGLETRANSLATE(D7346,""it"",""es"")"),"NI")</f>
        <v>NI</v>
      </c>
    </row>
    <row r="7347">
      <c r="A7347" s="4">
        <v>143.0</v>
      </c>
      <c r="B7347" s="4" t="s">
        <v>17018</v>
      </c>
      <c r="C7347" s="4"/>
      <c r="D7347" s="4" t="s">
        <v>10759</v>
      </c>
      <c r="E7347" s="4" t="s">
        <v>10760</v>
      </c>
      <c r="F7347" s="4" t="s">
        <v>10759</v>
      </c>
      <c r="G7347" s="5" t="str">
        <f>IFERROR(__xludf.DUMMYFUNCTION("GOOGLETRANSLATE(D7347,""it"",""es"")"),"nimi")</f>
        <v>nimi</v>
      </c>
    </row>
    <row r="7348">
      <c r="A7348" s="4">
        <v>144.0</v>
      </c>
      <c r="B7348" s="4" t="s">
        <v>17018</v>
      </c>
      <c r="C7348" s="4"/>
      <c r="D7348" s="4" t="s">
        <v>2972</v>
      </c>
      <c r="E7348" s="4" t="s">
        <v>3018</v>
      </c>
      <c r="F7348" s="4" t="s">
        <v>2972</v>
      </c>
      <c r="G7348" s="5" t="str">
        <f>IFERROR(__xludf.DUMMYFUNCTION("GOOGLETRANSLATE(D7348,""it"",""es"")"),"liendre")</f>
        <v>liendre</v>
      </c>
    </row>
    <row r="7349">
      <c r="A7349" s="4">
        <v>145.0</v>
      </c>
      <c r="B7349" s="4" t="s">
        <v>17018</v>
      </c>
      <c r="C7349" s="4"/>
      <c r="D7349" s="4" t="s">
        <v>3037</v>
      </c>
      <c r="E7349" s="4" t="s">
        <v>3038</v>
      </c>
      <c r="F7349" s="4" t="s">
        <v>3039</v>
      </c>
      <c r="G7349" s="5" t="str">
        <f>IFERROR(__xludf.DUMMYFUNCTION("GOOGLETRANSLATE(D7349,""it"",""es"")"),"nuca")</f>
        <v>nuca</v>
      </c>
      <c r="H7349" s="4" t="s">
        <v>3040</v>
      </c>
      <c r="I7349" s="4" t="s">
        <v>3041</v>
      </c>
      <c r="J7349" s="4" t="s">
        <v>3042</v>
      </c>
    </row>
    <row r="7350">
      <c r="A7350" s="4">
        <v>146.0</v>
      </c>
      <c r="B7350" s="4" t="s">
        <v>17018</v>
      </c>
      <c r="C7350" s="4"/>
      <c r="D7350" s="4" t="s">
        <v>7032</v>
      </c>
      <c r="E7350" s="4" t="s">
        <v>13102</v>
      </c>
      <c r="F7350" s="4" t="s">
        <v>7032</v>
      </c>
      <c r="G7350" s="5" t="str">
        <f>IFERROR(__xludf.DUMMYFUNCTION("GOOGLETRANSLATE(D7350,""it"",""es"")"),"monja")</f>
        <v>monja</v>
      </c>
    </row>
    <row r="7351">
      <c r="A7351" s="4">
        <v>147.0</v>
      </c>
      <c r="B7351" s="4" t="s">
        <v>17018</v>
      </c>
      <c r="C7351" s="4"/>
      <c r="D7351" s="4" t="s">
        <v>16814</v>
      </c>
      <c r="E7351" s="4" t="s">
        <v>16815</v>
      </c>
      <c r="F7351" s="4" t="s">
        <v>16814</v>
      </c>
      <c r="G7351" s="5" t="str">
        <f>IFERROR(__xludf.DUMMYFUNCTION("GOOGLETRANSLATE(D7351,""it"",""es"")"),"nuti")</f>
        <v>nuti</v>
      </c>
    </row>
    <row r="7352">
      <c r="A7352" s="4">
        <v>148.0</v>
      </c>
      <c r="B7352" s="4" t="s">
        <v>17018</v>
      </c>
      <c r="C7352" s="4"/>
      <c r="D7352" s="4" t="s">
        <v>16816</v>
      </c>
      <c r="E7352" s="4" t="s">
        <v>388</v>
      </c>
      <c r="F7352" s="4" t="s">
        <v>389</v>
      </c>
      <c r="G7352" s="5" t="str">
        <f>IFERROR(__xludf.DUMMYFUNCTION("GOOGLETRANSLATE(D7352,""it"",""es"")"),"n.")</f>
        <v>n.</v>
      </c>
    </row>
    <row r="7353">
      <c r="A7353" s="4">
        <v>149.0</v>
      </c>
      <c r="B7353" s="4" t="s">
        <v>17018</v>
      </c>
      <c r="C7353" s="4"/>
      <c r="D7353" s="4" t="s">
        <v>16817</v>
      </c>
      <c r="E7353" s="4" t="s">
        <v>229</v>
      </c>
      <c r="F7353" s="4" t="s">
        <v>230</v>
      </c>
      <c r="G7353" s="5" t="str">
        <f>IFERROR(__xludf.DUMMYFUNCTION("GOOGLETRANSLATE(D7353,""it"",""es"")"),"pags")</f>
        <v>pags</v>
      </c>
      <c r="H7353" s="4" t="s">
        <v>16818</v>
      </c>
      <c r="I7353" s="4" t="s">
        <v>16819</v>
      </c>
      <c r="J7353" s="4" t="s">
        <v>16820</v>
      </c>
    </row>
    <row r="7354">
      <c r="A7354" s="4">
        <v>150.0</v>
      </c>
      <c r="B7354" s="4" t="s">
        <v>17018</v>
      </c>
      <c r="C7354" s="4"/>
      <c r="D7354" s="4" t="s">
        <v>13144</v>
      </c>
      <c r="E7354" s="4" t="s">
        <v>13145</v>
      </c>
      <c r="F7354" s="4" t="s">
        <v>11055</v>
      </c>
      <c r="G7354" s="5" t="str">
        <f>IFERROR(__xludf.DUMMYFUNCTION("GOOGLETRANSLATE(D7354,""it"",""es"")"),"paca")</f>
        <v>paca</v>
      </c>
      <c r="H7354" s="4" t="s">
        <v>13144</v>
      </c>
      <c r="I7354" s="4" t="s">
        <v>13146</v>
      </c>
    </row>
    <row r="7355">
      <c r="A7355" s="4">
        <v>151.0</v>
      </c>
      <c r="B7355" s="4" t="s">
        <v>17018</v>
      </c>
      <c r="C7355" s="4"/>
      <c r="D7355" s="4" t="s">
        <v>16821</v>
      </c>
      <c r="E7355" s="4" t="s">
        <v>16822</v>
      </c>
      <c r="F7355" s="4" t="s">
        <v>16823</v>
      </c>
      <c r="G7355" s="5" t="str">
        <f>IFERROR(__xludf.DUMMYFUNCTION("GOOGLETRANSLATE(D7355,""it"",""es"")"),"calma")</f>
        <v>calma</v>
      </c>
    </row>
    <row r="7356">
      <c r="A7356" s="4">
        <v>152.0</v>
      </c>
      <c r="B7356" s="4" t="s">
        <v>17018</v>
      </c>
      <c r="C7356" s="4"/>
      <c r="D7356" s="4" t="s">
        <v>16824</v>
      </c>
      <c r="E7356" s="4" t="s">
        <v>16825</v>
      </c>
      <c r="F7356" s="4" t="s">
        <v>16826</v>
      </c>
      <c r="G7356" s="5" t="str">
        <f>IFERROR(__xludf.DUMMYFUNCTION("GOOGLETRANSLATE(D7356,""it"",""es"")"),"calma")</f>
        <v>calma</v>
      </c>
    </row>
    <row r="7357">
      <c r="A7357" s="4">
        <v>153.0</v>
      </c>
      <c r="B7357" s="4" t="s">
        <v>17018</v>
      </c>
      <c r="C7357" s="4"/>
      <c r="D7357" s="4" t="s">
        <v>16827</v>
      </c>
      <c r="E7357" s="4" t="s">
        <v>13171</v>
      </c>
      <c r="F7357" s="4" t="s">
        <v>7051</v>
      </c>
      <c r="G7357" s="5" t="str">
        <f>IFERROR(__xludf.DUMMYFUNCTION("GOOGLETRANSLATE(D7357,""it"",""es"")"),"paquistaní")</f>
        <v>paquistaní</v>
      </c>
    </row>
    <row r="7358">
      <c r="A7358" s="4">
        <v>154.0</v>
      </c>
      <c r="B7358" s="4" t="s">
        <v>17018</v>
      </c>
      <c r="C7358" s="4"/>
      <c r="D7358" s="4" t="s">
        <v>3173</v>
      </c>
      <c r="E7358" s="4" t="s">
        <v>3174</v>
      </c>
      <c r="F7358" s="4" t="s">
        <v>3173</v>
      </c>
      <c r="G7358" s="5" t="str">
        <f>IFERROR(__xludf.DUMMYFUNCTION("GOOGLETRANSLATE(D7358,""it"",""es"")"),"retablo")</f>
        <v>retablo</v>
      </c>
      <c r="H7358" s="4" t="s">
        <v>16828</v>
      </c>
      <c r="I7358" s="4" t="s">
        <v>16829</v>
      </c>
      <c r="J7358" s="4" t="s">
        <v>13178</v>
      </c>
      <c r="K7358" s="4" t="s">
        <v>3175</v>
      </c>
    </row>
    <row r="7359">
      <c r="A7359" s="4">
        <v>155.0</v>
      </c>
      <c r="B7359" s="4" t="s">
        <v>17018</v>
      </c>
      <c r="C7359" s="4"/>
      <c r="D7359" s="4" t="s">
        <v>16830</v>
      </c>
      <c r="E7359" s="4" t="s">
        <v>16831</v>
      </c>
      <c r="F7359" s="4" t="s">
        <v>16830</v>
      </c>
      <c r="G7359" s="5" t="str">
        <f>IFERROR(__xludf.DUMMYFUNCTION("GOOGLETRANSLATE(D7359,""it"",""es"")"),"palmado")</f>
        <v>palmado</v>
      </c>
      <c r="H7359" s="4" t="s">
        <v>3175</v>
      </c>
      <c r="I7359" s="4" t="s">
        <v>16832</v>
      </c>
      <c r="J7359" s="4" t="s">
        <v>16833</v>
      </c>
    </row>
    <row r="7360">
      <c r="A7360" s="4">
        <v>156.0</v>
      </c>
      <c r="B7360" s="4" t="s">
        <v>17018</v>
      </c>
      <c r="C7360" s="4"/>
      <c r="D7360" s="4" t="s">
        <v>3183</v>
      </c>
      <c r="E7360" s="4" t="s">
        <v>3182</v>
      </c>
      <c r="F7360" s="4" t="s">
        <v>3183</v>
      </c>
      <c r="G7360" s="5" t="str">
        <f>IFERROR(__xludf.DUMMYFUNCTION("GOOGLETRANSLATE(D7360,""it"",""es"")"),"paladar")</f>
        <v>paladar</v>
      </c>
    </row>
    <row r="7361">
      <c r="A7361" s="4">
        <v>157.0</v>
      </c>
      <c r="B7361" s="4" t="s">
        <v>17018</v>
      </c>
      <c r="C7361" s="4"/>
      <c r="D7361" s="4" t="s">
        <v>3184</v>
      </c>
      <c r="E7361" s="4" t="s">
        <v>3185</v>
      </c>
      <c r="F7361" s="4" t="s">
        <v>3184</v>
      </c>
      <c r="G7361" s="5" t="str">
        <f>IFERROR(__xludf.DUMMYFUNCTION("GOOGLETRANSLATE(D7361,""it"",""es"")"),"polos")</f>
        <v>polos</v>
      </c>
    </row>
    <row r="7362">
      <c r="A7362" s="4">
        <v>158.0</v>
      </c>
      <c r="B7362" s="4" t="s">
        <v>17018</v>
      </c>
      <c r="C7362" s="4"/>
      <c r="D7362" s="4" t="s">
        <v>7069</v>
      </c>
      <c r="E7362" s="4" t="s">
        <v>13195</v>
      </c>
      <c r="F7362" s="4" t="s">
        <v>7069</v>
      </c>
      <c r="G7362" s="5" t="str">
        <f>IFERROR(__xludf.DUMMYFUNCTION("GOOGLETRANSLATE(D7362,""it"",""es"")"),"Sartén")</f>
        <v>Sartén</v>
      </c>
      <c r="H7362" s="4" t="s">
        <v>7072</v>
      </c>
      <c r="I7362" s="4" t="s">
        <v>7073</v>
      </c>
    </row>
    <row r="7363">
      <c r="A7363" s="4">
        <v>159.0</v>
      </c>
      <c r="B7363" s="4" t="s">
        <v>17018</v>
      </c>
      <c r="C7363" s="4"/>
      <c r="D7363" s="4" t="s">
        <v>3265</v>
      </c>
      <c r="E7363" s="4" t="s">
        <v>3264</v>
      </c>
      <c r="F7363" s="4" t="s">
        <v>3265</v>
      </c>
      <c r="G7363" s="5" t="str">
        <f>IFERROR(__xludf.DUMMYFUNCTION("GOOGLETRANSLATE(D7363,""it"",""es"")"),"Panamá")</f>
        <v>Panamá</v>
      </c>
      <c r="H7363" s="4" t="s">
        <v>3268</v>
      </c>
      <c r="I7363" s="4" t="s">
        <v>3272</v>
      </c>
    </row>
    <row r="7364">
      <c r="A7364" s="4">
        <v>160.0</v>
      </c>
      <c r="B7364" s="4" t="s">
        <v>17018</v>
      </c>
      <c r="C7364" s="4"/>
      <c r="D7364" s="4" t="s">
        <v>16834</v>
      </c>
      <c r="E7364" s="4" t="s">
        <v>16835</v>
      </c>
      <c r="F7364" s="4" t="s">
        <v>16834</v>
      </c>
      <c r="G7364" s="5" t="str">
        <f>IFERROR(__xludf.DUMMYFUNCTION("GOOGLETRANSLATE(D7364,""it"",""es"")"),"panata")</f>
        <v>panata</v>
      </c>
    </row>
    <row r="7365">
      <c r="A7365" s="4">
        <v>161.0</v>
      </c>
      <c r="B7365" s="4" t="s">
        <v>17018</v>
      </c>
      <c r="C7365" s="4"/>
      <c r="D7365" s="4" t="s">
        <v>16836</v>
      </c>
      <c r="E7365" s="4" t="s">
        <v>16837</v>
      </c>
      <c r="F7365" s="4" t="s">
        <v>16838</v>
      </c>
      <c r="G7365" s="5" t="str">
        <f>IFERROR(__xludf.DUMMYFUNCTION("GOOGLETRANSLATE(D7365,""it"",""es"")"),"pánico")</f>
        <v>pánico</v>
      </c>
    </row>
    <row r="7366">
      <c r="A7366" s="4">
        <v>162.0</v>
      </c>
      <c r="B7366" s="4" t="s">
        <v>17018</v>
      </c>
      <c r="C7366" s="4"/>
      <c r="D7366" s="4" t="s">
        <v>3292</v>
      </c>
      <c r="E7366" s="4" t="s">
        <v>3293</v>
      </c>
      <c r="F7366" s="4" t="s">
        <v>3292</v>
      </c>
      <c r="G7366" s="5" t="str">
        <f>IFERROR(__xludf.DUMMYFUNCTION("GOOGLETRANSLATE(D7366,""it"",""es"")"),"Papa")</f>
        <v>Papa</v>
      </c>
      <c r="H7366" s="4" t="s">
        <v>3302</v>
      </c>
      <c r="I7366" s="4" t="s">
        <v>3303</v>
      </c>
      <c r="J7366" s="4" t="s">
        <v>3304</v>
      </c>
      <c r="K7366" s="4" t="s">
        <v>3305</v>
      </c>
      <c r="L7366" s="4" t="s">
        <v>3306</v>
      </c>
      <c r="M7366" s="4" t="s">
        <v>3307</v>
      </c>
      <c r="N7366" s="4" t="s">
        <v>3308</v>
      </c>
    </row>
    <row r="7367">
      <c r="A7367" s="4">
        <v>163.0</v>
      </c>
      <c r="B7367" s="4" t="s">
        <v>17018</v>
      </c>
      <c r="C7367" s="4"/>
      <c r="D7367" s="4" t="s">
        <v>16839</v>
      </c>
      <c r="E7367" s="4" t="s">
        <v>16840</v>
      </c>
      <c r="F7367" s="4" t="s">
        <v>16839</v>
      </c>
      <c r="G7367" s="5" t="str">
        <f>IFERROR(__xludf.DUMMYFUNCTION("GOOGLETRANSLATE(D7367,""it"",""es"")"),"papal")</f>
        <v>papal</v>
      </c>
      <c r="H7367" s="4" t="s">
        <v>12478</v>
      </c>
    </row>
    <row r="7368">
      <c r="A7368" s="4">
        <v>164.0</v>
      </c>
      <c r="B7368" s="4" t="s">
        <v>17018</v>
      </c>
      <c r="C7368" s="4"/>
      <c r="D7368" s="4" t="s">
        <v>16841</v>
      </c>
      <c r="E7368" s="4" t="s">
        <v>16842</v>
      </c>
      <c r="F7368" s="4" t="s">
        <v>16841</v>
      </c>
      <c r="G7368" s="5" t="str">
        <f>IFERROR(__xludf.DUMMYFUNCTION("GOOGLETRANSLATE(D7368,""it"",""es"")"),"pápula")</f>
        <v>pápula</v>
      </c>
      <c r="H7368" s="4" t="s">
        <v>16843</v>
      </c>
    </row>
    <row r="7369">
      <c r="A7369" s="4">
        <v>165.0</v>
      </c>
      <c r="B7369" s="4" t="s">
        <v>17018</v>
      </c>
      <c r="C7369" s="4"/>
      <c r="D7369" s="4" t="s">
        <v>16844</v>
      </c>
      <c r="E7369" s="4" t="s">
        <v>3293</v>
      </c>
      <c r="F7369" s="4" t="s">
        <v>3292</v>
      </c>
      <c r="G7369" s="5" t="str">
        <f>IFERROR(__xludf.DUMMYFUNCTION("GOOGLETRANSLATE(D7369,""it"",""es"")"),"Papa")</f>
        <v>Papa</v>
      </c>
      <c r="H7369" s="4" t="s">
        <v>3294</v>
      </c>
      <c r="I7369" s="4" t="s">
        <v>3295</v>
      </c>
      <c r="J7369" s="4" t="s">
        <v>3296</v>
      </c>
      <c r="K7369" s="4" t="s">
        <v>3147</v>
      </c>
      <c r="L7369" s="4" t="s">
        <v>3292</v>
      </c>
      <c r="M7369" s="4" t="s">
        <v>3297</v>
      </c>
      <c r="N7369" s="4" t="s">
        <v>3298</v>
      </c>
    </row>
    <row r="7370">
      <c r="A7370" s="4">
        <v>166.0</v>
      </c>
      <c r="B7370" s="4" t="s">
        <v>17018</v>
      </c>
      <c r="C7370" s="4"/>
      <c r="D7370" s="4" t="s">
        <v>10941</v>
      </c>
      <c r="E7370" s="4" t="s">
        <v>16845</v>
      </c>
      <c r="F7370" s="4" t="s">
        <v>10941</v>
      </c>
      <c r="G7370" s="5" t="str">
        <f>IFERROR(__xludf.DUMMYFUNCTION("GOOGLETRANSLATE(D7370,""it"",""es"")"),"pata")</f>
        <v>pata</v>
      </c>
      <c r="H7370" s="4" t="s">
        <v>16846</v>
      </c>
      <c r="I7370" s="4" t="s">
        <v>16847</v>
      </c>
      <c r="J7370" s="4" t="s">
        <v>16848</v>
      </c>
    </row>
    <row r="7371">
      <c r="A7371" s="4">
        <v>167.0</v>
      </c>
      <c r="B7371" s="4" t="s">
        <v>17018</v>
      </c>
      <c r="C7371" s="4"/>
      <c r="D7371" s="4" t="s">
        <v>16846</v>
      </c>
      <c r="E7371" s="4" t="s">
        <v>16849</v>
      </c>
      <c r="F7371" s="4" t="s">
        <v>16846</v>
      </c>
      <c r="G7371" s="5" t="str">
        <f>IFERROR(__xludf.DUMMYFUNCTION("GOOGLETRANSLATE(D7371,""it"",""es"")"),"patas")</f>
        <v>patas</v>
      </c>
    </row>
    <row r="7372">
      <c r="A7372" s="4">
        <v>168.0</v>
      </c>
      <c r="B7372" s="4" t="s">
        <v>17018</v>
      </c>
      <c r="C7372" s="4"/>
      <c r="D7372" s="4" t="s">
        <v>3430</v>
      </c>
      <c r="E7372" s="4" t="s">
        <v>3431</v>
      </c>
      <c r="F7372" s="4" t="s">
        <v>3430</v>
      </c>
      <c r="G7372" s="5" t="str">
        <f>IFERROR(__xludf.DUMMYFUNCTION("GOOGLETRANSLATE(D7372,""it"",""es"")"),"papa")</f>
        <v>papa</v>
      </c>
      <c r="H7372" s="4" t="s">
        <v>3436</v>
      </c>
      <c r="I7372" s="4" t="s">
        <v>3437</v>
      </c>
      <c r="J7372" s="4" t="s">
        <v>3438</v>
      </c>
      <c r="K7372" s="4" t="s">
        <v>3439</v>
      </c>
      <c r="L7372" s="4" t="s">
        <v>3440</v>
      </c>
      <c r="M7372" s="4" t="s">
        <v>3441</v>
      </c>
    </row>
    <row r="7373">
      <c r="A7373" s="4">
        <v>169.0</v>
      </c>
      <c r="B7373" s="4" t="s">
        <v>17018</v>
      </c>
      <c r="C7373" s="4"/>
      <c r="D7373" s="4" t="s">
        <v>16850</v>
      </c>
      <c r="E7373" s="4" t="s">
        <v>16851</v>
      </c>
      <c r="F7373" s="4" t="s">
        <v>16852</v>
      </c>
      <c r="G7373" s="5" t="str">
        <f>IFERROR(__xludf.DUMMYFUNCTION("GOOGLETRANSLATE(D7373,""it"",""es"")"),"papa")</f>
        <v>papa</v>
      </c>
    </row>
    <row r="7374">
      <c r="A7374" s="4">
        <v>170.0</v>
      </c>
      <c r="B7374" s="4" t="s">
        <v>17018</v>
      </c>
      <c r="C7374" s="4"/>
      <c r="D7374" s="4" t="s">
        <v>16853</v>
      </c>
      <c r="E7374" s="4" t="s">
        <v>16854</v>
      </c>
      <c r="F7374" s="4" t="s">
        <v>16853</v>
      </c>
      <c r="G7374" s="5" t="str">
        <f>IFERROR(__xludf.DUMMYFUNCTION("GOOGLETRANSLATE(D7374,""it"",""es"")"),"papas fritas")</f>
        <v>papas fritas</v>
      </c>
    </row>
    <row r="7375">
      <c r="A7375" s="4">
        <v>171.0</v>
      </c>
      <c r="B7375" s="4" t="s">
        <v>17018</v>
      </c>
      <c r="C7375" s="4"/>
      <c r="D7375" s="4" t="s">
        <v>13260</v>
      </c>
      <c r="E7375" s="4" t="s">
        <v>16855</v>
      </c>
      <c r="F7375" s="4" t="s">
        <v>13260</v>
      </c>
      <c r="G7375" s="5" t="str">
        <f>IFERROR(__xludf.DUMMYFUNCTION("GOOGLETRANSLATE(D7375,""it"",""es"")"),"pátina")</f>
        <v>pátina</v>
      </c>
      <c r="H7375" s="4" t="s">
        <v>13260</v>
      </c>
    </row>
    <row r="7376">
      <c r="A7376" s="4">
        <v>172.0</v>
      </c>
      <c r="B7376" s="4" t="s">
        <v>17018</v>
      </c>
      <c r="C7376" s="4"/>
      <c r="D7376" s="4" t="s">
        <v>16856</v>
      </c>
      <c r="E7376" s="4" t="s">
        <v>16857</v>
      </c>
      <c r="F7376" s="4" t="s">
        <v>7259</v>
      </c>
      <c r="G7376" s="5" t="str">
        <f>IFERROR(__xludf.DUMMYFUNCTION("GOOGLETRANSLATE(D7376,""it"",""es"")"),"ordenador personal")</f>
        <v>ordenador personal</v>
      </c>
    </row>
    <row r="7377">
      <c r="A7377" s="4">
        <v>173.0</v>
      </c>
      <c r="B7377" s="4" t="s">
        <v>17018</v>
      </c>
      <c r="C7377" s="4"/>
      <c r="D7377" s="4" t="s">
        <v>16858</v>
      </c>
      <c r="E7377" s="4" t="s">
        <v>229</v>
      </c>
      <c r="F7377" s="4" t="s">
        <v>230</v>
      </c>
      <c r="G7377" s="5" t="str">
        <f>IFERROR(__xludf.DUMMYFUNCTION("GOOGLETRANSLATE(D7377,""it"",""es"")"),"fi")</f>
        <v>fi</v>
      </c>
    </row>
    <row r="7378">
      <c r="A7378" s="4">
        <v>174.0</v>
      </c>
      <c r="B7378" s="4" t="s">
        <v>17018</v>
      </c>
      <c r="C7378" s="4"/>
      <c r="D7378" s="4" t="s">
        <v>230</v>
      </c>
      <c r="E7378" s="4" t="s">
        <v>229</v>
      </c>
      <c r="F7378" s="4" t="s">
        <v>230</v>
      </c>
      <c r="G7378" s="5" t="str">
        <f>IFERROR(__xludf.DUMMYFUNCTION("GOOGLETRANSLATE(D7378,""it"",""es"")"),"Pi")</f>
        <v>Pi</v>
      </c>
      <c r="H7378" s="4" t="s">
        <v>16859</v>
      </c>
    </row>
    <row r="7379">
      <c r="A7379" s="4">
        <v>175.0</v>
      </c>
      <c r="B7379" s="4" t="s">
        <v>17018</v>
      </c>
      <c r="C7379" s="4"/>
      <c r="D7379" s="4" t="s">
        <v>7199</v>
      </c>
      <c r="E7379" s="4" t="s">
        <v>13337</v>
      </c>
      <c r="F7379" s="4" t="s">
        <v>7199</v>
      </c>
      <c r="G7379" s="5" t="str">
        <f>IFERROR(__xludf.DUMMYFUNCTION("GOOGLETRANSLATE(D7379,""it"",""es"")"),"PIB")</f>
        <v>PIB</v>
      </c>
      <c r="H7379" s="4" t="s">
        <v>16860</v>
      </c>
      <c r="I7379" s="4" t="s">
        <v>16861</v>
      </c>
    </row>
    <row r="7380">
      <c r="A7380" s="4">
        <v>176.0</v>
      </c>
      <c r="B7380" s="4" t="s">
        <v>17018</v>
      </c>
      <c r="C7380" s="4"/>
      <c r="D7380" s="4" t="s">
        <v>3519</v>
      </c>
      <c r="E7380" s="4" t="s">
        <v>3520</v>
      </c>
      <c r="F7380" s="4" t="s">
        <v>3519</v>
      </c>
      <c r="G7380" s="5" t="str">
        <f>IFERROR(__xludf.DUMMYFUNCTION("GOOGLETRANSLATE(D7380,""it"",""es"")"),"pila")</f>
        <v>pila</v>
      </c>
      <c r="H7380" s="4" t="s">
        <v>13341</v>
      </c>
      <c r="I7380" s="4" t="s">
        <v>13342</v>
      </c>
      <c r="J7380" s="4" t="s">
        <v>16862</v>
      </c>
      <c r="K7380" s="4" t="s">
        <v>16863</v>
      </c>
      <c r="L7380" s="4" t="s">
        <v>483</v>
      </c>
      <c r="M7380" s="4" t="s">
        <v>484</v>
      </c>
      <c r="N7380" s="4" t="s">
        <v>2824</v>
      </c>
      <c r="O7380" s="4" t="s">
        <v>2825</v>
      </c>
      <c r="P7380" s="4" t="s">
        <v>2826</v>
      </c>
      <c r="Q7380" s="4" t="s">
        <v>1734</v>
      </c>
    </row>
    <row r="7381">
      <c r="A7381" s="4">
        <v>177.0</v>
      </c>
      <c r="B7381" s="4" t="s">
        <v>17018</v>
      </c>
      <c r="C7381" s="4"/>
      <c r="D7381" s="4" t="s">
        <v>13357</v>
      </c>
      <c r="E7381" s="4" t="s">
        <v>13358</v>
      </c>
      <c r="F7381" s="4" t="s">
        <v>13357</v>
      </c>
      <c r="G7381" s="5" t="str">
        <f>IFERROR(__xludf.DUMMYFUNCTION("GOOGLETRANSLATE(D7381,""it"",""es"")"),"Pina")</f>
        <v>Pina</v>
      </c>
    </row>
    <row r="7382">
      <c r="A7382" s="4">
        <v>178.0</v>
      </c>
      <c r="B7382" s="4" t="s">
        <v>17018</v>
      </c>
      <c r="C7382" s="4"/>
      <c r="D7382" s="4" t="s">
        <v>3553</v>
      </c>
      <c r="E7382" s="4" t="s">
        <v>3554</v>
      </c>
      <c r="F7382" s="4" t="s">
        <v>3553</v>
      </c>
      <c r="G7382" s="5" t="str">
        <f>IFERROR(__xludf.DUMMYFUNCTION("GOOGLETRANSLATE(D7382,""it"",""es"")"),"tubo")</f>
        <v>tubo</v>
      </c>
      <c r="H7382" s="4" t="s">
        <v>3555</v>
      </c>
      <c r="I7382" s="4" t="s">
        <v>3556</v>
      </c>
      <c r="J7382" s="4" t="s">
        <v>16864</v>
      </c>
    </row>
    <row r="7383">
      <c r="A7383" s="4">
        <v>179.0</v>
      </c>
      <c r="B7383" s="4" t="s">
        <v>17018</v>
      </c>
      <c r="C7383" s="4"/>
      <c r="D7383" s="4" t="s">
        <v>16865</v>
      </c>
      <c r="E7383" s="4" t="s">
        <v>16866</v>
      </c>
      <c r="F7383" s="4" t="s">
        <v>16865</v>
      </c>
      <c r="G7383" s="5" t="str">
        <f>IFERROR(__xludf.DUMMYFUNCTION("GOOGLETRANSLATE(D7383,""it"",""es"")"),"padrastro")</f>
        <v>padrastro</v>
      </c>
      <c r="H7383" s="4" t="s">
        <v>16867</v>
      </c>
      <c r="I7383" s="4" t="s">
        <v>16868</v>
      </c>
    </row>
    <row r="7384">
      <c r="A7384" s="4">
        <v>180.0</v>
      </c>
      <c r="B7384" s="4" t="s">
        <v>17018</v>
      </c>
      <c r="C7384" s="4"/>
      <c r="D7384" s="4" t="s">
        <v>257</v>
      </c>
      <c r="E7384" s="4" t="s">
        <v>256</v>
      </c>
      <c r="F7384" s="4" t="s">
        <v>257</v>
      </c>
      <c r="G7384" s="5" t="str">
        <f>IFERROR(__xludf.DUMMYFUNCTION("GOOGLETRANSLATE(D7384,""it"",""es"")"),"Pisa")</f>
        <v>Pisa</v>
      </c>
      <c r="H7384" s="4" t="s">
        <v>16859</v>
      </c>
    </row>
    <row r="7385">
      <c r="A7385" s="4">
        <v>181.0</v>
      </c>
      <c r="B7385" s="4" t="s">
        <v>17018</v>
      </c>
      <c r="C7385" s="4"/>
      <c r="D7385" s="4" t="s">
        <v>16869</v>
      </c>
      <c r="E7385" s="4" t="s">
        <v>16870</v>
      </c>
      <c r="F7385" s="4" t="s">
        <v>16869</v>
      </c>
      <c r="G7385" s="5" t="str">
        <f>IFERROR(__xludf.DUMMYFUNCTION("GOOGLETRANSLATE(D7385,""it"",""es"")"),"pitimi")</f>
        <v>pitimi</v>
      </c>
    </row>
    <row r="7386">
      <c r="A7386" s="4">
        <v>182.0</v>
      </c>
      <c r="B7386" s="4" t="s">
        <v>17018</v>
      </c>
      <c r="C7386" s="4"/>
      <c r="D7386" s="4" t="s">
        <v>16871</v>
      </c>
      <c r="E7386" s="4" t="s">
        <v>3615</v>
      </c>
      <c r="F7386" s="4" t="s">
        <v>3616</v>
      </c>
      <c r="G7386" s="5" t="str">
        <f>IFERROR(__xludf.DUMMYFUNCTION("GOOGLETRANSLATE(D7386,""it"",""es"")"),"limpio")</f>
        <v>limpio</v>
      </c>
    </row>
    <row r="7387">
      <c r="A7387" s="4">
        <v>183.0</v>
      </c>
      <c r="B7387" s="4" t="s">
        <v>17018</v>
      </c>
      <c r="C7387" s="4"/>
      <c r="D7387" s="4" t="s">
        <v>16872</v>
      </c>
      <c r="E7387" s="4" t="s">
        <v>11041</v>
      </c>
      <c r="F7387" s="4" t="s">
        <v>11040</v>
      </c>
      <c r="G7387" s="5" t="str">
        <f>IFERROR(__xludf.DUMMYFUNCTION("GOOGLETRANSLATE(D7387,""it"",""es"")"),"pupu")</f>
        <v>pupu</v>
      </c>
    </row>
    <row r="7388">
      <c r="A7388" s="4">
        <v>184.0</v>
      </c>
      <c r="B7388" s="4" t="s">
        <v>17018</v>
      </c>
      <c r="C7388" s="4"/>
      <c r="D7388" s="4" t="s">
        <v>3766</v>
      </c>
      <c r="E7388" s="4" t="s">
        <v>3767</v>
      </c>
      <c r="F7388" s="4" t="s">
        <v>3766</v>
      </c>
      <c r="G7388" s="5" t="str">
        <f>IFERROR(__xludf.DUMMYFUNCTION("GOOGLETRANSLATE(D7388,""it"",""es"")"),"pus")</f>
        <v>pus</v>
      </c>
      <c r="H7388" s="4" t="s">
        <v>3766</v>
      </c>
      <c r="I7388" s="4" t="s">
        <v>3768</v>
      </c>
      <c r="J7388" s="4" t="s">
        <v>3769</v>
      </c>
      <c r="K7388" s="4" t="s">
        <v>3770</v>
      </c>
      <c r="L7388" s="4" t="s">
        <v>3771</v>
      </c>
      <c r="M7388" s="4" t="s">
        <v>3772</v>
      </c>
    </row>
    <row r="7389">
      <c r="A7389" s="4">
        <v>185.0</v>
      </c>
      <c r="B7389" s="4" t="s">
        <v>17018</v>
      </c>
      <c r="C7389" s="4"/>
      <c r="D7389" s="4" t="s">
        <v>9176</v>
      </c>
      <c r="E7389" s="4" t="s">
        <v>1581</v>
      </c>
      <c r="F7389" s="4" t="s">
        <v>1582</v>
      </c>
      <c r="G7389" s="5" t="str">
        <f>IFERROR(__xludf.DUMMYFUNCTION("GOOGLETRANSLATE(D7389,""it"",""es"")"),"Q")</f>
        <v>Q</v>
      </c>
    </row>
    <row r="7390">
      <c r="A7390" s="4">
        <v>186.0</v>
      </c>
      <c r="B7390" s="4" t="s">
        <v>17018</v>
      </c>
      <c r="C7390" s="4"/>
      <c r="D7390" s="4" t="s">
        <v>3861</v>
      </c>
      <c r="E7390" s="4" t="s">
        <v>3862</v>
      </c>
      <c r="F7390" s="4" t="s">
        <v>3861</v>
      </c>
      <c r="G7390" s="5" t="str">
        <f>IFERROR(__xludf.DUMMYFUNCTION("GOOGLETRANSLATE(D7390,""it"",""es"")"),"saber")</f>
        <v>saber</v>
      </c>
    </row>
    <row r="7391">
      <c r="A7391" s="4">
        <v>187.0</v>
      </c>
      <c r="B7391" s="4" t="s">
        <v>17018</v>
      </c>
      <c r="C7391" s="4"/>
      <c r="D7391" s="4" t="s">
        <v>3890</v>
      </c>
      <c r="E7391" s="4" t="s">
        <v>3891</v>
      </c>
      <c r="F7391" s="4" t="s">
        <v>3890</v>
      </c>
      <c r="G7391" s="5" t="str">
        <f>IFERROR(__xludf.DUMMYFUNCTION("GOOGLETRANSLATE(D7391,""it"",""es"")"),"habitación")</f>
        <v>habitación</v>
      </c>
      <c r="H7391" s="4" t="s">
        <v>16873</v>
      </c>
      <c r="I7391" s="4" t="s">
        <v>16874</v>
      </c>
      <c r="J7391" s="4" t="s">
        <v>16875</v>
      </c>
      <c r="K7391" s="4" t="s">
        <v>11094</v>
      </c>
      <c r="L7391" s="4" t="s">
        <v>16876</v>
      </c>
      <c r="M7391" s="4" t="s">
        <v>11094</v>
      </c>
      <c r="N7391" s="4" t="s">
        <v>3893</v>
      </c>
      <c r="O7391" s="4" t="s">
        <v>3894</v>
      </c>
      <c r="P7391" s="4" t="s">
        <v>3895</v>
      </c>
      <c r="Q7391" s="4" t="s">
        <v>3896</v>
      </c>
      <c r="R7391" s="4" t="s">
        <v>3897</v>
      </c>
      <c r="S7391" s="4" t="s">
        <v>3898</v>
      </c>
      <c r="T7391" s="4" t="s">
        <v>11404</v>
      </c>
    </row>
    <row r="7392">
      <c r="A7392" s="4">
        <v>188.0</v>
      </c>
      <c r="B7392" s="4" t="s">
        <v>17018</v>
      </c>
      <c r="C7392" s="4"/>
      <c r="D7392" s="4" t="s">
        <v>16877</v>
      </c>
      <c r="E7392" s="4" t="s">
        <v>16878</v>
      </c>
      <c r="F7392" s="4" t="s">
        <v>16877</v>
      </c>
      <c r="G7392" s="5" t="str">
        <f>IFERROR(__xludf.DUMMYFUNCTION("GOOGLETRANSLATE(D7392,""it"",""es"")"),"salado")</f>
        <v>salado</v>
      </c>
    </row>
    <row r="7393">
      <c r="A7393" s="4">
        <v>189.0</v>
      </c>
      <c r="B7393" s="4" t="s">
        <v>17018</v>
      </c>
      <c r="C7393" s="4"/>
      <c r="D7393" s="4" t="s">
        <v>16879</v>
      </c>
      <c r="E7393" s="4" t="s">
        <v>16880</v>
      </c>
      <c r="F7393" s="4" t="s">
        <v>16881</v>
      </c>
      <c r="G7393" s="5" t="str">
        <f>IFERROR(__xludf.DUMMYFUNCTION("GOOGLETRANSLATE(D7393,""it"",""es"")"),"salinidad")</f>
        <v>salinidad</v>
      </c>
      <c r="H7393" s="4" t="s">
        <v>16882</v>
      </c>
      <c r="I7393" s="4" t="s">
        <v>16001</v>
      </c>
      <c r="J7393" s="4" t="s">
        <v>3887</v>
      </c>
      <c r="K7393" s="4" t="s">
        <v>16000</v>
      </c>
      <c r="L7393" s="4" t="s">
        <v>16001</v>
      </c>
    </row>
    <row r="7394">
      <c r="A7394" s="4">
        <v>190.0</v>
      </c>
      <c r="B7394" s="4" t="s">
        <v>17018</v>
      </c>
      <c r="C7394" s="4"/>
      <c r="D7394" s="4" t="s">
        <v>16883</v>
      </c>
      <c r="E7394" s="4" t="s">
        <v>16884</v>
      </c>
      <c r="F7394" s="4" t="s">
        <v>16883</v>
      </c>
      <c r="G7394" s="5" t="str">
        <f>IFERROR(__xludf.DUMMYFUNCTION("GOOGLETRANSLATE(D7394,""it"",""es"")"),"subida")</f>
        <v>subida</v>
      </c>
      <c r="H7394" s="4" t="s">
        <v>16885</v>
      </c>
      <c r="I7394" s="4" t="s">
        <v>16886</v>
      </c>
      <c r="J7394" s="4" t="s">
        <v>16887</v>
      </c>
      <c r="K7394" s="4" t="s">
        <v>16888</v>
      </c>
      <c r="L7394" s="4" t="s">
        <v>16889</v>
      </c>
      <c r="M7394" s="4" t="s">
        <v>16890</v>
      </c>
      <c r="N7394" s="4" t="s">
        <v>16891</v>
      </c>
      <c r="O7394" s="4" t="s">
        <v>16892</v>
      </c>
      <c r="P7394" s="4" t="s">
        <v>16886</v>
      </c>
      <c r="Q7394" s="4" t="s">
        <v>16893</v>
      </c>
      <c r="R7394" s="4" t="s">
        <v>16885</v>
      </c>
      <c r="S7394" s="4" t="s">
        <v>16894</v>
      </c>
      <c r="T7394" s="4" t="s">
        <v>16889</v>
      </c>
      <c r="U7394" s="4" t="s">
        <v>16895</v>
      </c>
    </row>
    <row r="7395">
      <c r="A7395" s="4">
        <v>191.0</v>
      </c>
      <c r="B7395" s="4" t="s">
        <v>17018</v>
      </c>
      <c r="C7395" s="4"/>
      <c r="D7395" s="4" t="s">
        <v>16896</v>
      </c>
      <c r="E7395" s="4" t="s">
        <v>16897</v>
      </c>
      <c r="F7395" s="4" t="s">
        <v>7387</v>
      </c>
      <c r="G7395" s="5" t="str">
        <f>IFERROR(__xludf.DUMMYFUNCTION("GOOGLETRANSLATE(D7395,""it"",""es"")"),"sales")</f>
        <v>sales</v>
      </c>
    </row>
    <row r="7396">
      <c r="A7396" s="4">
        <v>192.0</v>
      </c>
      <c r="B7396" s="4" t="s">
        <v>17018</v>
      </c>
      <c r="C7396" s="4"/>
      <c r="D7396" s="4" t="s">
        <v>3937</v>
      </c>
      <c r="E7396" s="4" t="s">
        <v>3938</v>
      </c>
      <c r="F7396" s="4" t="s">
        <v>3937</v>
      </c>
      <c r="G7396" s="5" t="str">
        <f>IFERROR(__xludf.DUMMYFUNCTION("GOOGLETRANSLATE(D7396,""it"",""es"")"),"San")</f>
        <v>San</v>
      </c>
    </row>
    <row r="7397">
      <c r="A7397" s="4">
        <v>193.0</v>
      </c>
      <c r="B7397" s="4" t="s">
        <v>17018</v>
      </c>
      <c r="C7397" s="4"/>
      <c r="D7397" s="4" t="s">
        <v>16898</v>
      </c>
      <c r="E7397" s="4" t="s">
        <v>16899</v>
      </c>
      <c r="F7397" s="4" t="s">
        <v>16898</v>
      </c>
      <c r="G7397" s="5" t="str">
        <f>IFERROR(__xludf.DUMMYFUNCTION("GOOGLETRANSLATE(D7397,""it"",""es"")"),"sanción")</f>
        <v>sanción</v>
      </c>
    </row>
    <row r="7398">
      <c r="A7398" s="4">
        <v>194.0</v>
      </c>
      <c r="B7398" s="4" t="s">
        <v>17018</v>
      </c>
      <c r="C7398" s="4"/>
      <c r="D7398" s="4" t="s">
        <v>16900</v>
      </c>
      <c r="E7398" s="4" t="s">
        <v>16901</v>
      </c>
      <c r="F7398" s="4" t="s">
        <v>16900</v>
      </c>
      <c r="G7398" s="5" t="str">
        <f>IFERROR(__xludf.DUMMYFUNCTION("GOOGLETRANSLATE(D7398,""it"",""es"")"),"recurso")</f>
        <v>recurso</v>
      </c>
    </row>
    <row r="7399">
      <c r="A7399" s="4">
        <v>195.0</v>
      </c>
      <c r="B7399" s="4" t="s">
        <v>17018</v>
      </c>
      <c r="C7399" s="4"/>
      <c r="D7399" s="4" t="s">
        <v>16902</v>
      </c>
      <c r="E7399" s="4" t="s">
        <v>16903</v>
      </c>
      <c r="F7399" s="4" t="s">
        <v>16904</v>
      </c>
      <c r="G7399" s="5" t="str">
        <f>IFERROR(__xludf.DUMMYFUNCTION("GOOGLETRANSLATE(D7399,""it"",""es"")"),"Cuidado de la salud")</f>
        <v>Cuidado de la salud</v>
      </c>
      <c r="H7399" s="4" t="s">
        <v>16905</v>
      </c>
      <c r="I7399" s="4" t="s">
        <v>16906</v>
      </c>
    </row>
    <row r="7400">
      <c r="A7400" s="4">
        <v>196.0</v>
      </c>
      <c r="B7400" s="4" t="s">
        <v>17018</v>
      </c>
      <c r="C7400" s="4"/>
      <c r="D7400" s="4" t="s">
        <v>11123</v>
      </c>
      <c r="E7400" s="4" t="s">
        <v>13599</v>
      </c>
      <c r="F7400" s="4" t="s">
        <v>11123</v>
      </c>
      <c r="G7400" s="5" t="str">
        <f>IFERROR(__xludf.DUMMYFUNCTION("GOOGLETRANSLATE(D7400,""it"",""es"")"),"safa")</f>
        <v>safa</v>
      </c>
    </row>
    <row r="7401">
      <c r="A7401" s="4">
        <v>197.0</v>
      </c>
      <c r="B7401" s="4" t="s">
        <v>17018</v>
      </c>
      <c r="C7401" s="4"/>
      <c r="D7401" s="4" t="s">
        <v>16907</v>
      </c>
      <c r="E7401" s="4" t="s">
        <v>16908</v>
      </c>
      <c r="F7401" s="4" t="s">
        <v>16907</v>
      </c>
      <c r="G7401" s="5" t="str">
        <f>IFERROR(__xludf.DUMMYFUNCTION("GOOGLETRANSLATE(D7401,""it"",""es"")"),"Satán")</f>
        <v>Satán</v>
      </c>
      <c r="H7401" s="4" t="s">
        <v>16909</v>
      </c>
      <c r="I7401" s="4" t="s">
        <v>16910</v>
      </c>
      <c r="J7401" s="4" t="s">
        <v>16911</v>
      </c>
      <c r="K7401" s="4" t="s">
        <v>16912</v>
      </c>
      <c r="L7401" s="4" t="s">
        <v>16913</v>
      </c>
      <c r="M7401" s="4" t="s">
        <v>16914</v>
      </c>
      <c r="N7401" s="4" t="s">
        <v>16915</v>
      </c>
    </row>
    <row r="7402">
      <c r="A7402" s="4">
        <v>198.0</v>
      </c>
      <c r="B7402" s="4" t="s">
        <v>17018</v>
      </c>
      <c r="C7402" s="4"/>
      <c r="D7402" s="4" t="s">
        <v>16916</v>
      </c>
      <c r="E7402" s="4" t="s">
        <v>16917</v>
      </c>
      <c r="F7402" s="4" t="s">
        <v>16918</v>
      </c>
      <c r="G7402" s="5" t="str">
        <f>IFERROR(__xludf.DUMMYFUNCTION("GOOGLETRANSLATE(D7402,""it"",""es"")"),"satánico")</f>
        <v>satánico</v>
      </c>
    </row>
    <row r="7403">
      <c r="A7403" s="4">
        <v>199.0</v>
      </c>
      <c r="B7403" s="4" t="s">
        <v>17018</v>
      </c>
      <c r="C7403" s="4"/>
      <c r="D7403" s="4" t="s">
        <v>16919</v>
      </c>
      <c r="E7403" s="4" t="s">
        <v>277</v>
      </c>
      <c r="F7403" s="4" t="s">
        <v>278</v>
      </c>
      <c r="G7403" s="5" t="str">
        <f>IFERROR(__xludf.DUMMYFUNCTION("GOOGLETRANSLATE(D7403,""it"",""es"")"),"esquí")</f>
        <v>esquí</v>
      </c>
      <c r="H7403" s="4" t="s">
        <v>16920</v>
      </c>
      <c r="I7403" s="4" t="s">
        <v>16921</v>
      </c>
    </row>
    <row r="7404">
      <c r="A7404" s="4">
        <v>200.0</v>
      </c>
      <c r="B7404" s="4" t="s">
        <v>17018</v>
      </c>
      <c r="C7404" s="4"/>
      <c r="D7404" s="4" t="s">
        <v>16922</v>
      </c>
      <c r="E7404" s="4" t="s">
        <v>16923</v>
      </c>
      <c r="F7404" s="4" t="s">
        <v>16924</v>
      </c>
      <c r="G7404" s="5" t="str">
        <f>IFERROR(__xludf.DUMMYFUNCTION("GOOGLETRANSLATE(D7404,""it"",""es"")"),"chamánico")</f>
        <v>chamánico</v>
      </c>
    </row>
    <row r="7405">
      <c r="A7405" s="4">
        <v>201.0</v>
      </c>
      <c r="B7405" s="4" t="s">
        <v>17018</v>
      </c>
      <c r="C7405" s="4"/>
      <c r="D7405" s="4" t="s">
        <v>16925</v>
      </c>
      <c r="E7405" s="4" t="s">
        <v>16926</v>
      </c>
      <c r="F7405" s="4" t="s">
        <v>16927</v>
      </c>
      <c r="G7405" s="5" t="str">
        <f>IFERROR(__xludf.DUMMYFUNCTION("GOOGLETRANSLATE(D7405,""it"",""es"")"),"ciática")</f>
        <v>ciática</v>
      </c>
      <c r="H7405" s="4" t="s">
        <v>16925</v>
      </c>
    </row>
    <row r="7406">
      <c r="A7406" s="4">
        <v>202.0</v>
      </c>
      <c r="B7406" s="4" t="s">
        <v>17018</v>
      </c>
      <c r="C7406" s="4"/>
      <c r="D7406" s="4" t="s">
        <v>16928</v>
      </c>
      <c r="E7406" s="4" t="s">
        <v>16929</v>
      </c>
      <c r="F7406" s="4" t="s">
        <v>16930</v>
      </c>
      <c r="G7406" s="5" t="str">
        <f>IFERROR(__xludf.DUMMYFUNCTION("GOOGLETRANSLATE(D7406,""it"",""es"")"),"Chiíta")</f>
        <v>Chiíta</v>
      </c>
      <c r="H7406" s="4" t="s">
        <v>16931</v>
      </c>
      <c r="I7406" s="4" t="s">
        <v>16932</v>
      </c>
      <c r="J7406" s="4" t="s">
        <v>16933</v>
      </c>
      <c r="K7406" s="4" t="s">
        <v>16934</v>
      </c>
      <c r="L7406" s="4" t="s">
        <v>16935</v>
      </c>
    </row>
    <row r="7407">
      <c r="A7407" s="4">
        <v>203.0</v>
      </c>
      <c r="B7407" s="4" t="s">
        <v>17018</v>
      </c>
      <c r="C7407" s="4"/>
      <c r="D7407" s="4" t="s">
        <v>16936</v>
      </c>
      <c r="E7407" s="4" t="s">
        <v>16937</v>
      </c>
      <c r="F7407" s="4" t="s">
        <v>7510</v>
      </c>
      <c r="G7407" s="5" t="str">
        <f>IFERROR(__xludf.DUMMYFUNCTION("GOOGLETRANSLATE(D7407,""it"",""es"")"),"Chiíta")</f>
        <v>Chiíta</v>
      </c>
    </row>
    <row r="7408">
      <c r="A7408" s="4">
        <v>204.0</v>
      </c>
      <c r="B7408" s="4" t="s">
        <v>17018</v>
      </c>
      <c r="C7408" s="4"/>
      <c r="D7408" s="4" t="s">
        <v>16938</v>
      </c>
      <c r="E7408" s="4" t="s">
        <v>12047</v>
      </c>
      <c r="F7408" s="4" t="s">
        <v>7490</v>
      </c>
      <c r="G7408" s="5" t="str">
        <f>IFERROR(__xludf.DUMMYFUNCTION("GOOGLETRANSLATE(D7408,""it"",""es"")"),"esquemas")</f>
        <v>esquemas</v>
      </c>
    </row>
    <row r="7409">
      <c r="A7409" s="4">
        <v>205.0</v>
      </c>
      <c r="B7409" s="4" t="s">
        <v>17018</v>
      </c>
      <c r="C7409" s="4"/>
      <c r="D7409" s="4" t="s">
        <v>16939</v>
      </c>
      <c r="E7409" s="4" t="s">
        <v>16940</v>
      </c>
      <c r="F7409" s="4" t="s">
        <v>16941</v>
      </c>
      <c r="G7409" s="5" t="str">
        <f>IFERROR(__xludf.DUMMYFUNCTION("GOOGLETRANSLATE(D7409,""it"",""es"")"),"arruinado")</f>
        <v>arruinado</v>
      </c>
    </row>
    <row r="7410">
      <c r="A7410" s="4">
        <v>206.0</v>
      </c>
      <c r="B7410" s="4" t="s">
        <v>17018</v>
      </c>
      <c r="C7410" s="4"/>
      <c r="D7410" s="4" t="s">
        <v>16942</v>
      </c>
      <c r="E7410" s="4" t="s">
        <v>4671</v>
      </c>
      <c r="F7410" s="4" t="s">
        <v>4672</v>
      </c>
      <c r="G7410" s="5" t="str">
        <f>IFERROR(__xludf.DUMMYFUNCTION("GOOGLETRANSLATE(D7410,""it"",""es"")"),"ciencia escolar")</f>
        <v>ciencia escolar</v>
      </c>
      <c r="H7410" s="4" t="s">
        <v>4673</v>
      </c>
      <c r="I7410" s="4" t="s">
        <v>4674</v>
      </c>
    </row>
    <row r="7411">
      <c r="A7411" s="4">
        <v>207.0</v>
      </c>
      <c r="B7411" s="4" t="s">
        <v>17018</v>
      </c>
      <c r="C7411" s="4"/>
      <c r="D7411" s="4" t="s">
        <v>401</v>
      </c>
      <c r="E7411" s="4" t="s">
        <v>400</v>
      </c>
      <c r="F7411" s="4" t="s">
        <v>401</v>
      </c>
      <c r="G7411" s="5" t="str">
        <f>IFERROR(__xludf.DUMMYFUNCTION("GOOGLETRANSLATE(D7411,""it"",""es"")"),"sí")</f>
        <v>sí</v>
      </c>
      <c r="H7411" s="4" t="s">
        <v>422</v>
      </c>
      <c r="I7411" s="4" t="s">
        <v>3975</v>
      </c>
      <c r="J7411" s="4" t="s">
        <v>401</v>
      </c>
    </row>
    <row r="7412">
      <c r="A7412" s="4">
        <v>208.0</v>
      </c>
      <c r="B7412" s="4" t="s">
        <v>17018</v>
      </c>
      <c r="C7412" s="4"/>
      <c r="D7412" s="4" t="s">
        <v>16943</v>
      </c>
      <c r="E7412" s="4" t="s">
        <v>16944</v>
      </c>
      <c r="F7412" s="4" t="s">
        <v>5554</v>
      </c>
      <c r="G7412" s="5" t="str">
        <f>IFERROR(__xludf.DUMMYFUNCTION("GOOGLETRANSLATE(D7412,""it"",""es"")"),"sica")</f>
        <v>sica</v>
      </c>
    </row>
    <row r="7413">
      <c r="A7413" s="4">
        <v>209.0</v>
      </c>
      <c r="B7413" s="4" t="s">
        <v>17018</v>
      </c>
      <c r="C7413" s="4"/>
      <c r="D7413" s="4" t="s">
        <v>3992</v>
      </c>
      <c r="E7413" s="4" t="s">
        <v>3991</v>
      </c>
      <c r="F7413" s="4" t="s">
        <v>3992</v>
      </c>
      <c r="G7413" s="5" t="str">
        <f>IFERROR(__xludf.DUMMYFUNCTION("GOOGLETRANSLATE(D7413,""it"",""es"")"),"simula")</f>
        <v>simula</v>
      </c>
    </row>
    <row r="7414">
      <c r="A7414" s="4">
        <v>210.0</v>
      </c>
      <c r="B7414" s="4" t="s">
        <v>17018</v>
      </c>
      <c r="C7414" s="4"/>
      <c r="D7414" s="4" t="s">
        <v>16945</v>
      </c>
      <c r="E7414" s="4" t="s">
        <v>16946</v>
      </c>
      <c r="F7414" s="4" t="s">
        <v>16945</v>
      </c>
      <c r="G7414" s="5" t="str">
        <f>IFERROR(__xludf.DUMMYFUNCTION("GOOGLETRANSLATE(D7414,""it"",""es"")"),"simuli")</f>
        <v>simuli</v>
      </c>
    </row>
    <row r="7415">
      <c r="A7415" s="4">
        <v>211.0</v>
      </c>
      <c r="B7415" s="4" t="s">
        <v>17018</v>
      </c>
      <c r="C7415" s="4"/>
      <c r="D7415" s="4" t="s">
        <v>404</v>
      </c>
      <c r="E7415" s="4" t="s">
        <v>403</v>
      </c>
      <c r="F7415" s="4" t="s">
        <v>404</v>
      </c>
      <c r="G7415" s="5" t="str">
        <f>IFERROR(__xludf.DUMMYFUNCTION("GOOGLETRANSLATE(D7415,""it"",""es"")"),"asi que")</f>
        <v>asi que</v>
      </c>
    </row>
    <row r="7416">
      <c r="A7416" s="4">
        <v>212.0</v>
      </c>
      <c r="B7416" s="4" t="s">
        <v>17018</v>
      </c>
      <c r="C7416" s="4"/>
      <c r="D7416" s="4" t="s">
        <v>11192</v>
      </c>
      <c r="E7416" s="4" t="s">
        <v>16947</v>
      </c>
      <c r="F7416" s="4" t="s">
        <v>11192</v>
      </c>
      <c r="G7416" s="5" t="str">
        <f>IFERROR(__xludf.DUMMYFUNCTION("GOOGLETRANSLATE(D7416,""it"",""es"")"),"sipa")</f>
        <v>sipa</v>
      </c>
    </row>
    <row r="7417">
      <c r="A7417" s="4">
        <v>213.0</v>
      </c>
      <c r="B7417" s="4" t="s">
        <v>17018</v>
      </c>
      <c r="C7417" s="4"/>
      <c r="D7417" s="4" t="s">
        <v>16948</v>
      </c>
      <c r="E7417" s="4" t="s">
        <v>16949</v>
      </c>
      <c r="F7417" s="4" t="s">
        <v>16948</v>
      </c>
      <c r="G7417" s="5" t="str">
        <f>IFERROR(__xludf.DUMMYFUNCTION("GOOGLETRANSLATE(D7417,""it"",""es"")"),"situula")</f>
        <v>situula</v>
      </c>
    </row>
    <row r="7418">
      <c r="A7418" s="4">
        <v>214.0</v>
      </c>
      <c r="B7418" s="4" t="s">
        <v>17018</v>
      </c>
      <c r="C7418" s="4"/>
      <c r="D7418" s="4" t="s">
        <v>8717</v>
      </c>
      <c r="E7418" s="4" t="s">
        <v>8716</v>
      </c>
      <c r="F7418" s="4" t="s">
        <v>8717</v>
      </c>
      <c r="G7418" s="5" t="str">
        <f>IFERROR(__xludf.DUMMYFUNCTION("GOOGLETRANSLATE(D7418,""it"",""es"")"),"en")</f>
        <v>en</v>
      </c>
      <c r="H7418" s="4" t="s">
        <v>7041</v>
      </c>
      <c r="I7418" s="4" t="s">
        <v>16950</v>
      </c>
      <c r="J7418" s="4" t="s">
        <v>16951</v>
      </c>
      <c r="K7418" s="4" t="s">
        <v>16952</v>
      </c>
    </row>
    <row r="7419">
      <c r="A7419" s="4">
        <v>215.0</v>
      </c>
      <c r="B7419" s="4" t="s">
        <v>17018</v>
      </c>
      <c r="C7419" s="4"/>
      <c r="D7419" s="4" t="s">
        <v>16953</v>
      </c>
      <c r="E7419" s="4" t="s">
        <v>16954</v>
      </c>
      <c r="F7419" s="4" t="s">
        <v>16955</v>
      </c>
      <c r="G7419" s="5" t="str">
        <f>IFERROR(__xludf.DUMMYFUNCTION("GOOGLETRANSLATE(D7419,""it"",""es"")"),"sobre quien")</f>
        <v>sobre quien</v>
      </c>
    </row>
    <row r="7420">
      <c r="A7420" s="4">
        <v>216.0</v>
      </c>
      <c r="B7420" s="4" t="s">
        <v>17018</v>
      </c>
      <c r="C7420" s="4"/>
      <c r="D7420" s="4" t="s">
        <v>16956</v>
      </c>
      <c r="E7420" s="4" t="s">
        <v>16957</v>
      </c>
      <c r="F7420" s="4" t="s">
        <v>16956</v>
      </c>
      <c r="G7420" s="5" t="str">
        <f>IFERROR(__xludf.DUMMYFUNCTION("GOOGLETRANSLATE(D7420,""it"",""es"")"),"ciruela")</f>
        <v>ciruela</v>
      </c>
      <c r="H7420" s="4" t="s">
        <v>8951</v>
      </c>
    </row>
    <row r="7421">
      <c r="A7421" s="4">
        <v>217.0</v>
      </c>
      <c r="B7421" s="4" t="s">
        <v>17018</v>
      </c>
      <c r="C7421" s="4"/>
      <c r="D7421" s="4" t="s">
        <v>16958</v>
      </c>
      <c r="E7421" s="4" t="s">
        <v>400</v>
      </c>
      <c r="F7421" s="4" t="s">
        <v>401</v>
      </c>
      <c r="G7421" s="5" t="str">
        <f>IFERROR(__xludf.DUMMYFUNCTION("GOOGLETRANSLATE(D7421,""it"",""es"")"),"Sí")</f>
        <v>Sí</v>
      </c>
    </row>
    <row r="7422">
      <c r="A7422" s="4">
        <v>218.0</v>
      </c>
      <c r="B7422" s="4" t="s">
        <v>17018</v>
      </c>
      <c r="C7422" s="4"/>
      <c r="D7422" s="4" t="s">
        <v>16959</v>
      </c>
      <c r="E7422" s="4" t="s">
        <v>421</v>
      </c>
      <c r="F7422" s="4" t="s">
        <v>422</v>
      </c>
      <c r="G7422" s="5" t="str">
        <f>IFERROR(__xludf.DUMMYFUNCTION("GOOGLETRANSLATE(D7422,""it"",""es"")"),"T")</f>
        <v>T</v>
      </c>
      <c r="H7422" s="4" t="s">
        <v>16960</v>
      </c>
      <c r="I7422" s="4" t="s">
        <v>16961</v>
      </c>
      <c r="J7422" s="4" t="s">
        <v>16962</v>
      </c>
      <c r="K7422" s="4" t="s">
        <v>16959</v>
      </c>
    </row>
    <row r="7423">
      <c r="A7423" s="4">
        <v>219.0</v>
      </c>
      <c r="B7423" s="4" t="s">
        <v>17018</v>
      </c>
      <c r="C7423" s="4"/>
      <c r="D7423" s="4" t="s">
        <v>16963</v>
      </c>
      <c r="E7423" s="4" t="s">
        <v>16964</v>
      </c>
      <c r="F7423" s="4" t="s">
        <v>16965</v>
      </c>
      <c r="G7423" s="5" t="str">
        <f>IFERROR(__xludf.DUMMYFUNCTION("GOOGLETRANSLATE(D7423,""it"",""es"")"),"mesa")</f>
        <v>mesa</v>
      </c>
    </row>
    <row r="7424">
      <c r="A7424" s="4">
        <v>220.0</v>
      </c>
      <c r="B7424" s="4" t="s">
        <v>17018</v>
      </c>
      <c r="C7424" s="4"/>
      <c r="D7424" s="4" t="s">
        <v>16966</v>
      </c>
      <c r="E7424" s="4" t="s">
        <v>16967</v>
      </c>
      <c r="F7424" s="4" t="s">
        <v>16966</v>
      </c>
      <c r="G7424" s="5" t="str">
        <f>IFERROR(__xludf.DUMMYFUNCTION("GOOGLETRANSLATE(D7424,""it"",""es"")"),"alguno")</f>
        <v>alguno</v>
      </c>
    </row>
    <row r="7425">
      <c r="A7425" s="4">
        <v>221.0</v>
      </c>
      <c r="B7425" s="4" t="s">
        <v>17018</v>
      </c>
      <c r="C7425" s="4"/>
      <c r="D7425" s="4" t="s">
        <v>13786</v>
      </c>
      <c r="E7425" s="4" t="s">
        <v>13787</v>
      </c>
      <c r="F7425" s="4" t="s">
        <v>13786</v>
      </c>
      <c r="G7425" s="5" t="str">
        <f>IFERROR(__xludf.DUMMYFUNCTION("GOOGLETRANSLATE(D7425,""it"",""es"")"),"guarida")</f>
        <v>guarida</v>
      </c>
      <c r="H7425" s="4" t="s">
        <v>11802</v>
      </c>
      <c r="I7425" s="4" t="s">
        <v>11799</v>
      </c>
      <c r="J7425" s="4" t="s">
        <v>11803</v>
      </c>
      <c r="K7425" s="4" t="s">
        <v>13088</v>
      </c>
      <c r="L7425" s="4" t="s">
        <v>11803</v>
      </c>
    </row>
    <row r="7426">
      <c r="A7426" s="4">
        <v>222.0</v>
      </c>
      <c r="B7426" s="4" t="s">
        <v>17018</v>
      </c>
      <c r="C7426" s="4"/>
      <c r="D7426" s="4" t="s">
        <v>16968</v>
      </c>
      <c r="E7426" s="4" t="s">
        <v>16969</v>
      </c>
      <c r="F7426" s="4" t="s">
        <v>16970</v>
      </c>
      <c r="G7426" s="5" t="str">
        <f>IFERROR(__xludf.DUMMYFUNCTION("GOOGLETRANSLATE(D7426,""it"",""es"")"),"tanque")</f>
        <v>tanque</v>
      </c>
    </row>
    <row r="7427">
      <c r="A7427" s="4">
        <v>223.0</v>
      </c>
      <c r="B7427" s="4" t="s">
        <v>17018</v>
      </c>
      <c r="C7427" s="4"/>
      <c r="D7427" s="4" t="s">
        <v>16971</v>
      </c>
      <c r="E7427" s="4" t="s">
        <v>16972</v>
      </c>
      <c r="F7427" s="4" t="s">
        <v>16971</v>
      </c>
      <c r="G7427" s="5" t="str">
        <f>IFERROR(__xludf.DUMMYFUNCTION("GOOGLETRANSLATE(D7427,""it"",""es"")"),"toca en")</f>
        <v>toca en</v>
      </c>
    </row>
    <row r="7428">
      <c r="A7428" s="4">
        <v>224.0</v>
      </c>
      <c r="B7428" s="4" t="s">
        <v>17018</v>
      </c>
      <c r="C7428" s="4"/>
      <c r="D7428" s="4" t="s">
        <v>16973</v>
      </c>
      <c r="E7428" s="4" t="s">
        <v>16974</v>
      </c>
      <c r="F7428" s="4" t="s">
        <v>16975</v>
      </c>
      <c r="G7428" s="5" t="str">
        <f>IFERROR(__xludf.DUMMYFUNCTION("GOOGLETRANSLATE(D7428,""it"",""es"")"),"tapinidad")</f>
        <v>tapinidad</v>
      </c>
    </row>
    <row r="7429">
      <c r="A7429" s="4">
        <v>225.0</v>
      </c>
      <c r="B7429" s="4" t="s">
        <v>17018</v>
      </c>
      <c r="C7429" s="4"/>
      <c r="D7429" s="4" t="s">
        <v>13820</v>
      </c>
      <c r="E7429" s="4" t="s">
        <v>13821</v>
      </c>
      <c r="F7429" s="4" t="s">
        <v>13820</v>
      </c>
      <c r="G7429" s="5" t="str">
        <f>IFERROR(__xludf.DUMMYFUNCTION("GOOGLETRANSLATE(D7429,""it"",""es"")"),"niñera")</f>
        <v>niñera</v>
      </c>
    </row>
    <row r="7430">
      <c r="A7430" s="4">
        <v>226.0</v>
      </c>
      <c r="B7430" s="4" t="s">
        <v>17018</v>
      </c>
      <c r="C7430" s="4"/>
      <c r="D7430" s="4" t="s">
        <v>16437</v>
      </c>
      <c r="E7430" s="4" t="s">
        <v>4382</v>
      </c>
      <c r="F7430" s="4" t="s">
        <v>4381</v>
      </c>
      <c r="G7430" s="5" t="str">
        <f>IFERROR(__xludf.DUMMYFUNCTION("GOOGLETRANSLATE(D7430,""it"",""es"")"),"equipo")</f>
        <v>equipo</v>
      </c>
      <c r="H7430" s="4" t="s">
        <v>16976</v>
      </c>
      <c r="I7430" s="4" t="s">
        <v>16977</v>
      </c>
    </row>
    <row r="7431">
      <c r="A7431" s="4">
        <v>227.0</v>
      </c>
      <c r="B7431" s="4" t="s">
        <v>17018</v>
      </c>
      <c r="C7431" s="4"/>
      <c r="D7431" s="4" t="s">
        <v>422</v>
      </c>
      <c r="E7431" s="4" t="s">
        <v>421</v>
      </c>
      <c r="F7431" s="4" t="s">
        <v>422</v>
      </c>
      <c r="G7431" s="5" t="str">
        <f>IFERROR(__xludf.DUMMYFUNCTION("GOOGLETRANSLATE(D7431,""it"",""es"")"),"tú")</f>
        <v>tú</v>
      </c>
    </row>
    <row r="7432">
      <c r="A7432" s="4">
        <v>228.0</v>
      </c>
      <c r="B7432" s="4" t="s">
        <v>17018</v>
      </c>
      <c r="C7432" s="4"/>
      <c r="D7432" s="4" t="s">
        <v>4379</v>
      </c>
      <c r="E7432" s="4" t="s">
        <v>4380</v>
      </c>
      <c r="F7432" s="4" t="s">
        <v>438</v>
      </c>
      <c r="G7432" s="5" t="str">
        <f>IFERROR(__xludf.DUMMYFUNCTION("GOOGLETRANSLATE(D7432,""it"",""es"")"),"tic")</f>
        <v>tic</v>
      </c>
      <c r="H7432" s="4" t="s">
        <v>7837</v>
      </c>
      <c r="I7432" s="4" t="s">
        <v>7838</v>
      </c>
      <c r="J7432" s="4" t="s">
        <v>4379</v>
      </c>
    </row>
    <row r="7433">
      <c r="A7433" s="4">
        <v>229.0</v>
      </c>
      <c r="B7433" s="4" t="s">
        <v>17018</v>
      </c>
      <c r="C7433" s="4"/>
      <c r="D7433" s="4" t="s">
        <v>5606</v>
      </c>
      <c r="E7433" s="4" t="s">
        <v>5605</v>
      </c>
      <c r="F7433" s="4" t="s">
        <v>5606</v>
      </c>
      <c r="G7433" s="5" t="str">
        <f>IFERROR(__xludf.DUMMYFUNCTION("GOOGLETRANSLATE(D7433,""it"",""es"")"),"tiempo")</f>
        <v>tiempo</v>
      </c>
    </row>
    <row r="7434">
      <c r="A7434" s="4">
        <v>230.0</v>
      </c>
      <c r="B7434" s="4" t="s">
        <v>17018</v>
      </c>
      <c r="C7434" s="4"/>
      <c r="D7434" s="4" t="s">
        <v>5587</v>
      </c>
      <c r="E7434" s="4" t="s">
        <v>5586</v>
      </c>
      <c r="F7434" s="4" t="s">
        <v>5587</v>
      </c>
      <c r="G7434" s="5" t="str">
        <f>IFERROR(__xludf.DUMMYFUNCTION("GOOGLETRANSLATE(D7434,""it"",""es"")"),"Tina")</f>
        <v>Tina</v>
      </c>
    </row>
    <row r="7435">
      <c r="A7435" s="4">
        <v>231.0</v>
      </c>
      <c r="B7435" s="4" t="s">
        <v>17018</v>
      </c>
      <c r="C7435" s="4"/>
      <c r="D7435" s="4" t="s">
        <v>16978</v>
      </c>
      <c r="E7435" s="4" t="s">
        <v>4594</v>
      </c>
      <c r="F7435" s="4" t="s">
        <v>4595</v>
      </c>
      <c r="G7435" s="5" t="str">
        <f>IFERROR(__xludf.DUMMYFUNCTION("GOOGLETRANSLATE(D7435,""it"",""es"")"),"típico")</f>
        <v>típico</v>
      </c>
    </row>
    <row r="7436">
      <c r="A7436" s="4">
        <v>232.0</v>
      </c>
      <c r="B7436" s="4" t="s">
        <v>17018</v>
      </c>
      <c r="C7436" s="4"/>
      <c r="D7436" s="4" t="s">
        <v>16979</v>
      </c>
      <c r="E7436" s="4" t="s">
        <v>16980</v>
      </c>
      <c r="F7436" s="4" t="s">
        <v>16981</v>
      </c>
      <c r="G7436" s="5" t="str">
        <f>IFERROR(__xludf.DUMMYFUNCTION("GOOGLETRANSLATE(D7436,""it"",""es"")"),"titánico")</f>
        <v>titánico</v>
      </c>
    </row>
    <row r="7437">
      <c r="A7437" s="4">
        <v>233.0</v>
      </c>
      <c r="B7437" s="4" t="s">
        <v>17018</v>
      </c>
      <c r="C7437" s="4"/>
      <c r="D7437" s="4" t="s">
        <v>4555</v>
      </c>
      <c r="E7437" s="4" t="s">
        <v>4556</v>
      </c>
      <c r="F7437" s="4" t="s">
        <v>4555</v>
      </c>
      <c r="G7437" s="5" t="str">
        <f>IFERROR(__xludf.DUMMYFUNCTION("GOOGLETRANSLATE(D7437,""it"",""es"")"),"tú")</f>
        <v>tú</v>
      </c>
    </row>
    <row r="7438">
      <c r="A7438" s="4">
        <v>234.0</v>
      </c>
      <c r="B7438" s="4" t="s">
        <v>17018</v>
      </c>
      <c r="C7438" s="4"/>
      <c r="D7438" s="4" t="s">
        <v>4611</v>
      </c>
      <c r="E7438" s="4" t="s">
        <v>4608</v>
      </c>
      <c r="F7438" s="4" t="s">
        <v>4609</v>
      </c>
      <c r="G7438" s="5" t="str">
        <f>IFERROR(__xludf.DUMMYFUNCTION("GOOGLETRANSLATE(D7438,""it"",""es"")"),"sayo")</f>
        <v>sayo</v>
      </c>
      <c r="H7438" s="4" t="s">
        <v>4610</v>
      </c>
      <c r="I7438" s="4" t="s">
        <v>4611</v>
      </c>
      <c r="J7438" s="4" t="s">
        <v>4612</v>
      </c>
    </row>
    <row r="7439">
      <c r="A7439" s="4">
        <v>235.0</v>
      </c>
      <c r="B7439" s="4" t="s">
        <v>17018</v>
      </c>
      <c r="C7439" s="4"/>
      <c r="D7439" s="4" t="s">
        <v>4575</v>
      </c>
      <c r="E7439" s="4" t="s">
        <v>4576</v>
      </c>
      <c r="F7439" s="4" t="s">
        <v>4575</v>
      </c>
      <c r="G7439" s="5" t="str">
        <f>IFERROR(__xludf.DUMMYFUNCTION("GOOGLETRANSLATE(D7439,""it"",""es"")"),"traje")</f>
        <v>traje</v>
      </c>
    </row>
    <row r="7440">
      <c r="A7440" s="4">
        <v>236.0</v>
      </c>
      <c r="B7440" s="4" t="s">
        <v>17018</v>
      </c>
      <c r="C7440" s="4"/>
      <c r="D7440" s="4" t="s">
        <v>16982</v>
      </c>
      <c r="E7440" s="4" t="s">
        <v>4578</v>
      </c>
      <c r="F7440" s="4" t="s">
        <v>4579</v>
      </c>
      <c r="G7440" s="5" t="str">
        <f>IFERROR(__xludf.DUMMYFUNCTION("GOOGLETRANSLATE(D7440,""it"",""es"")"),"tutú")</f>
        <v>tutú</v>
      </c>
      <c r="H7440" s="4" t="s">
        <v>4580</v>
      </c>
      <c r="I7440" s="4" t="s">
        <v>4579</v>
      </c>
    </row>
    <row r="7441">
      <c r="A7441" s="4">
        <v>237.0</v>
      </c>
      <c r="B7441" s="4" t="s">
        <v>17018</v>
      </c>
      <c r="C7441" s="4"/>
      <c r="D7441" s="4" t="s">
        <v>16983</v>
      </c>
      <c r="E7441" s="4" t="s">
        <v>16984</v>
      </c>
      <c r="F7441" s="4" t="s">
        <v>16983</v>
      </c>
      <c r="G7441" s="5" t="str">
        <f>IFERROR(__xludf.DUMMYFUNCTION("GOOGLETRANSLATE(D7441,""it"",""es"")"),"humano")</f>
        <v>humano</v>
      </c>
    </row>
    <row r="7442">
      <c r="A7442" s="4">
        <v>238.0</v>
      </c>
      <c r="B7442" s="4" t="s">
        <v>17018</v>
      </c>
      <c r="C7442" s="4"/>
      <c r="D7442" s="4" t="s">
        <v>16985</v>
      </c>
      <c r="E7442" s="4" t="s">
        <v>16986</v>
      </c>
      <c r="F7442" s="4" t="s">
        <v>16987</v>
      </c>
      <c r="G7442" s="5" t="str">
        <f>IFERROR(__xludf.DUMMYFUNCTION("GOOGLETRANSLATE(D7442,""it"",""es"")"),"humanidad")</f>
        <v>humanidad</v>
      </c>
      <c r="H7442" s="4" t="s">
        <v>2953</v>
      </c>
      <c r="I7442" s="4" t="s">
        <v>6749</v>
      </c>
      <c r="J7442" s="4" t="s">
        <v>6750</v>
      </c>
      <c r="K7442" s="4" t="s">
        <v>6751</v>
      </c>
      <c r="L7442" s="4" t="s">
        <v>6752</v>
      </c>
      <c r="M7442" s="4" t="s">
        <v>6753</v>
      </c>
      <c r="N7442" s="4" t="s">
        <v>6754</v>
      </c>
      <c r="O7442" s="4" t="s">
        <v>1856</v>
      </c>
      <c r="P7442" s="4" t="s">
        <v>6750</v>
      </c>
    </row>
    <row r="7443">
      <c r="A7443" s="4">
        <v>239.0</v>
      </c>
      <c r="B7443" s="4" t="s">
        <v>17018</v>
      </c>
      <c r="C7443" s="4"/>
      <c r="D7443" s="4" t="s">
        <v>16988</v>
      </c>
      <c r="E7443" s="4" t="s">
        <v>16989</v>
      </c>
      <c r="F7443" s="4" t="s">
        <v>16990</v>
      </c>
      <c r="G7443" s="5" t="str">
        <f>IFERROR(__xludf.DUMMYFUNCTION("GOOGLETRANSLATE(D7443,""it"",""es"")"),"humildad")</f>
        <v>humildad</v>
      </c>
    </row>
    <row r="7444">
      <c r="A7444" s="4">
        <v>240.0</v>
      </c>
      <c r="B7444" s="4" t="s">
        <v>17018</v>
      </c>
      <c r="C7444" s="4"/>
      <c r="D7444" s="4" t="s">
        <v>1860</v>
      </c>
      <c r="E7444" s="4" t="s">
        <v>1859</v>
      </c>
      <c r="F7444" s="4" t="s">
        <v>1860</v>
      </c>
      <c r="G7444" s="5" t="str">
        <f>IFERROR(__xludf.DUMMYFUNCTION("GOOGLETRANSLATE(D7444,""it"",""es"")"),"a")</f>
        <v>a</v>
      </c>
    </row>
    <row r="7445">
      <c r="A7445" s="4">
        <v>241.0</v>
      </c>
      <c r="B7445" s="4" t="s">
        <v>17018</v>
      </c>
      <c r="C7445" s="4"/>
      <c r="D7445" s="4" t="s">
        <v>16991</v>
      </c>
      <c r="E7445" s="4" t="s">
        <v>1859</v>
      </c>
      <c r="F7445" s="4" t="s">
        <v>1860</v>
      </c>
      <c r="G7445" s="5" t="str">
        <f>IFERROR(__xludf.DUMMYFUNCTION("GOOGLETRANSLATE(D7445,""it"",""es"")"),"a")</f>
        <v>a</v>
      </c>
    </row>
    <row r="7446">
      <c r="A7446" s="4">
        <v>242.0</v>
      </c>
      <c r="B7446" s="4" t="s">
        <v>17018</v>
      </c>
      <c r="C7446" s="4"/>
      <c r="D7446" s="4" t="s">
        <v>1864</v>
      </c>
      <c r="E7446" s="4" t="s">
        <v>1863</v>
      </c>
      <c r="F7446" s="4" t="s">
        <v>1864</v>
      </c>
      <c r="G7446" s="5" t="str">
        <f>IFERROR(__xludf.DUMMYFUNCTION("GOOGLETRANSLATE(D7446,""it"",""es"")"),"a")</f>
        <v>a</v>
      </c>
    </row>
    <row r="7447">
      <c r="A7447" s="4">
        <v>243.0</v>
      </c>
      <c r="B7447" s="4" t="s">
        <v>17018</v>
      </c>
      <c r="C7447" s="4"/>
      <c r="D7447" s="4" t="s">
        <v>16992</v>
      </c>
      <c r="E7447" s="4" t="s">
        <v>16993</v>
      </c>
      <c r="F7447" s="4" t="s">
        <v>16994</v>
      </c>
      <c r="G7447" s="5" t="str">
        <f>IFERROR(__xludf.DUMMYFUNCTION("GOOGLETRANSLATE(D7447,""it"",""es"")"),"unanimidad")</f>
        <v>unanimidad</v>
      </c>
      <c r="H7447" s="4" t="s">
        <v>16995</v>
      </c>
    </row>
    <row r="7448">
      <c r="A7448" s="4">
        <v>244.0</v>
      </c>
      <c r="B7448" s="4" t="s">
        <v>17018</v>
      </c>
      <c r="C7448" s="4"/>
      <c r="D7448" s="4" t="s">
        <v>4640</v>
      </c>
      <c r="E7448" s="4" t="s">
        <v>4639</v>
      </c>
      <c r="F7448" s="4" t="s">
        <v>4640</v>
      </c>
      <c r="G7448" s="5" t="str">
        <f>IFERROR(__xludf.DUMMYFUNCTION("GOOGLETRANSLATE(D7448,""it"",""es"")"),"UNI")</f>
        <v>UNI</v>
      </c>
    </row>
    <row r="7449">
      <c r="A7449" s="4">
        <v>245.0</v>
      </c>
      <c r="B7449" s="4" t="s">
        <v>17018</v>
      </c>
      <c r="C7449" s="4"/>
      <c r="D7449" s="4" t="s">
        <v>16996</v>
      </c>
      <c r="E7449" s="4" t="s">
        <v>16997</v>
      </c>
      <c r="F7449" s="4" t="s">
        <v>16998</v>
      </c>
      <c r="G7449" s="5" t="str">
        <f>IFERROR(__xludf.DUMMYFUNCTION("GOOGLETRANSLATE(D7449,""it"",""es"")"),"solamente")</f>
        <v>solamente</v>
      </c>
    </row>
    <row r="7450">
      <c r="A7450" s="4">
        <v>246.0</v>
      </c>
      <c r="B7450" s="4" t="s">
        <v>17018</v>
      </c>
      <c r="C7450" s="4"/>
      <c r="D7450" s="4" t="s">
        <v>16999</v>
      </c>
      <c r="E7450" s="4" t="s">
        <v>17000</v>
      </c>
      <c r="F7450" s="4" t="s">
        <v>17001</v>
      </c>
      <c r="G7450" s="5" t="str">
        <f>IFERROR(__xludf.DUMMYFUNCTION("GOOGLETRANSLATE(D7450,""it"",""es"")"),"unidad")</f>
        <v>unidad</v>
      </c>
      <c r="H7450" s="4" t="s">
        <v>8899</v>
      </c>
      <c r="I7450" s="4" t="s">
        <v>8892</v>
      </c>
      <c r="J7450" s="4" t="s">
        <v>13885</v>
      </c>
      <c r="K7450" s="4" t="s">
        <v>17002</v>
      </c>
      <c r="L7450" s="4" t="s">
        <v>17003</v>
      </c>
      <c r="M7450" s="4" t="s">
        <v>13885</v>
      </c>
      <c r="N7450" s="4" t="s">
        <v>13885</v>
      </c>
      <c r="O7450" s="4" t="s">
        <v>8895</v>
      </c>
      <c r="P7450" s="4" t="s">
        <v>8892</v>
      </c>
      <c r="Q7450" s="4" t="s">
        <v>8896</v>
      </c>
    </row>
    <row r="7451">
      <c r="A7451" s="4">
        <v>247.0</v>
      </c>
      <c r="B7451" s="4" t="s">
        <v>17018</v>
      </c>
      <c r="C7451" s="4"/>
      <c r="D7451" s="4" t="s">
        <v>17004</v>
      </c>
      <c r="E7451" s="4" t="s">
        <v>4639</v>
      </c>
      <c r="F7451" s="4" t="s">
        <v>4640</v>
      </c>
      <c r="G7451" s="5" t="str">
        <f>IFERROR(__xludf.DUMMYFUNCTION("GOOGLETRANSLATE(D7451,""it"",""es"")"),"unido")</f>
        <v>unido</v>
      </c>
    </row>
    <row r="7452">
      <c r="A7452" s="4">
        <v>248.0</v>
      </c>
      <c r="B7452" s="4" t="s">
        <v>17018</v>
      </c>
      <c r="C7452" s="4"/>
      <c r="D7452" s="4" t="s">
        <v>17005</v>
      </c>
      <c r="E7452" s="4" t="s">
        <v>17006</v>
      </c>
      <c r="F7452" s="4" t="s">
        <v>17007</v>
      </c>
      <c r="G7452" s="5" t="str">
        <f>IFERROR(__xludf.DUMMYFUNCTION("GOOGLETRANSLATE(D7452,""it"",""es"")"),"Utah")</f>
        <v>Utah</v>
      </c>
    </row>
    <row r="7453">
      <c r="A7453" s="4">
        <v>249.0</v>
      </c>
      <c r="B7453" s="4" t="s">
        <v>17018</v>
      </c>
      <c r="C7453" s="4"/>
      <c r="D7453" s="4" t="s">
        <v>17005</v>
      </c>
      <c r="E7453" s="4" t="s">
        <v>17008</v>
      </c>
      <c r="F7453" s="4" t="s">
        <v>17009</v>
      </c>
      <c r="G7453" s="5" t="str">
        <f>IFERROR(__xludf.DUMMYFUNCTION("GOOGLETRANSLATE(D7453,""it"",""es"")"),"Utah")</f>
        <v>Utah</v>
      </c>
    </row>
    <row r="7454">
      <c r="A7454" s="4">
        <v>250.0</v>
      </c>
      <c r="B7454" s="4" t="s">
        <v>17018</v>
      </c>
      <c r="C7454" s="4"/>
      <c r="D7454" s="4" t="s">
        <v>17010</v>
      </c>
      <c r="E7454" s="4" t="s">
        <v>17011</v>
      </c>
      <c r="F7454" s="4" t="s">
        <v>17012</v>
      </c>
      <c r="G7454" s="5" t="str">
        <f>IFERROR(__xludf.DUMMYFUNCTION("GOOGLETRANSLATE(D7454,""it"",""es"")"),"utilidad")</f>
        <v>utilidad</v>
      </c>
      <c r="H7454" s="4" t="s">
        <v>17013</v>
      </c>
      <c r="I7454" s="4" t="s">
        <v>17014</v>
      </c>
    </row>
    <row r="7455">
      <c r="A7455" s="4">
        <v>1.0</v>
      </c>
      <c r="B7455" s="4" t="s">
        <v>17020</v>
      </c>
      <c r="C7455" s="4"/>
      <c r="D7455" s="4" t="s">
        <v>17021</v>
      </c>
      <c r="E7455" s="4" t="s">
        <v>743</v>
      </c>
      <c r="F7455" s="4" t="s">
        <v>744</v>
      </c>
      <c r="G7455" s="4" t="s">
        <v>17022</v>
      </c>
    </row>
    <row r="7456">
      <c r="A7456" s="4">
        <v>1.0</v>
      </c>
      <c r="B7456" s="4" t="s">
        <v>17023</v>
      </c>
      <c r="C7456" s="4"/>
      <c r="D7456" s="4" t="s">
        <v>17024</v>
      </c>
      <c r="E7456" s="4" t="s">
        <v>17025</v>
      </c>
      <c r="F7456" s="4" t="s">
        <v>2011</v>
      </c>
      <c r="G7456" s="5" t="str">
        <f>IFERROR(__xludf.DUMMYFUNCTION("GOOGLETRANSLATE(D7456,""lt"",""es"")"),"ellos")</f>
        <v>ellos</v>
      </c>
    </row>
    <row r="7457">
      <c r="A7457" s="4">
        <v>2.0</v>
      </c>
      <c r="B7457" s="4" t="s">
        <v>17023</v>
      </c>
      <c r="C7457" s="4"/>
      <c r="D7457" s="4" t="s">
        <v>17026</v>
      </c>
      <c r="E7457" s="4" t="s">
        <v>17027</v>
      </c>
      <c r="F7457" s="4" t="s">
        <v>17028</v>
      </c>
      <c r="G7457" s="5" t="str">
        <f>IFERROR(__xludf.DUMMYFUNCTION("GOOGLETRANSLATE(D7457,""lt"",""es"")"),"Él es")</f>
        <v>Él es</v>
      </c>
    </row>
    <row r="7458">
      <c r="A7458" s="4">
        <v>3.0</v>
      </c>
      <c r="B7458" s="4" t="s">
        <v>17023</v>
      </c>
      <c r="C7458" s="4"/>
      <c r="D7458" s="4" t="s">
        <v>4555</v>
      </c>
      <c r="E7458" s="4" t="s">
        <v>17029</v>
      </c>
      <c r="F7458" s="4" t="s">
        <v>4555</v>
      </c>
      <c r="G7458" s="5" t="str">
        <f>IFERROR(__xludf.DUMMYFUNCTION("GOOGLETRANSLATE(D7458,""lt"",""es"")"),"tú")</f>
        <v>tú</v>
      </c>
    </row>
    <row r="7459">
      <c r="A7459" s="4">
        <v>1.0</v>
      </c>
      <c r="B7459" s="4" t="s">
        <v>17030</v>
      </c>
      <c r="C7459" s="4"/>
      <c r="D7459" s="4" t="s">
        <v>17031</v>
      </c>
      <c r="E7459" s="4" t="s">
        <v>6372</v>
      </c>
      <c r="F7459" s="4" t="s">
        <v>2007</v>
      </c>
      <c r="G7459" s="5" t="str">
        <f>IFERROR(__xludf.DUMMYFUNCTION("GOOGLETRANSLATE(D7459,""lt"",""es"")"),"fuera de")</f>
        <v>fuera de</v>
      </c>
      <c r="H7459" s="4" t="s">
        <v>17032</v>
      </c>
    </row>
    <row r="7460">
      <c r="A7460" s="4">
        <v>2.0</v>
      </c>
      <c r="B7460" s="4" t="s">
        <v>17030</v>
      </c>
      <c r="C7460" s="4"/>
      <c r="D7460" s="4" t="s">
        <v>17033</v>
      </c>
      <c r="E7460" s="4" t="s">
        <v>17034</v>
      </c>
      <c r="F7460" s="4" t="s">
        <v>4885</v>
      </c>
      <c r="G7460" s="5" t="str">
        <f>IFERROR(__xludf.DUMMYFUNCTION("GOOGLETRANSLATE(D7460,""lt"",""es"")"),"si")</f>
        <v>si</v>
      </c>
    </row>
    <row r="7461">
      <c r="A7461" s="4">
        <v>3.0</v>
      </c>
      <c r="B7461" s="4" t="s">
        <v>17030</v>
      </c>
      <c r="C7461" s="4"/>
      <c r="D7461" s="4" t="s">
        <v>17035</v>
      </c>
      <c r="E7461" s="4" t="s">
        <v>17036</v>
      </c>
      <c r="F7461" s="4" t="s">
        <v>7997</v>
      </c>
      <c r="G7461" s="5" t="str">
        <f>IFERROR(__xludf.DUMMYFUNCTION("GOOGLETRANSLATE(D7461,""lt"",""es"")"),"ella")</f>
        <v>ella</v>
      </c>
    </row>
    <row r="7462">
      <c r="A7462" s="4">
        <v>4.0</v>
      </c>
      <c r="B7462" s="4" t="s">
        <v>17030</v>
      </c>
      <c r="C7462" s="4"/>
      <c r="D7462" s="4" t="s">
        <v>17037</v>
      </c>
      <c r="E7462" s="4" t="s">
        <v>961</v>
      </c>
      <c r="F7462" s="4" t="s">
        <v>962</v>
      </c>
      <c r="G7462" s="5" t="str">
        <f>IFERROR(__xludf.DUMMYFUNCTION("GOOGLETRANSLATE(D7462,""lt"",""es"")"),"qué")</f>
        <v>qué</v>
      </c>
    </row>
    <row r="7463">
      <c r="A7463" s="4">
        <v>5.0</v>
      </c>
      <c r="B7463" s="4" t="s">
        <v>17030</v>
      </c>
      <c r="C7463" s="4"/>
      <c r="D7463" s="4" t="s">
        <v>1856</v>
      </c>
      <c r="E7463" s="4" t="s">
        <v>4841</v>
      </c>
      <c r="F7463" s="4" t="s">
        <v>1856</v>
      </c>
      <c r="G7463" s="5" t="str">
        <f>IFERROR(__xludf.DUMMYFUNCTION("GOOGLETRANSLATE(D7463,""lt"",""es"")"),"Para mi")</f>
        <v>Para mi</v>
      </c>
    </row>
    <row r="7464">
      <c r="A7464" s="4">
        <v>6.0</v>
      </c>
      <c r="B7464" s="4" t="s">
        <v>17030</v>
      </c>
      <c r="C7464" s="4"/>
      <c r="D7464" s="4" t="s">
        <v>17038</v>
      </c>
      <c r="E7464" s="4" t="s">
        <v>17039</v>
      </c>
      <c r="F7464" s="4" t="s">
        <v>17038</v>
      </c>
      <c r="G7464" s="5" t="str">
        <f>IFERROR(__xludf.DUMMYFUNCTION("GOOGLETRANSLATE(D7464,""lt"",""es"")"),"a nosotros")</f>
        <v>a nosotros</v>
      </c>
    </row>
    <row r="7465">
      <c r="A7465" s="4">
        <v>7.0</v>
      </c>
      <c r="B7465" s="4" t="s">
        <v>17030</v>
      </c>
      <c r="C7465" s="4"/>
      <c r="D7465" s="4" t="s">
        <v>13003</v>
      </c>
      <c r="E7465" s="4" t="s">
        <v>17040</v>
      </c>
      <c r="F7465" s="4" t="s">
        <v>13003</v>
      </c>
      <c r="G7465" s="5" t="str">
        <f>IFERROR(__xludf.DUMMYFUNCTION("GOOGLETRANSLATE(D7465,""lt"",""es"")"),"a nosotros")</f>
        <v>a nosotros</v>
      </c>
    </row>
    <row r="7466">
      <c r="A7466" s="4">
        <v>8.0</v>
      </c>
      <c r="B7466" s="4" t="s">
        <v>17030</v>
      </c>
      <c r="C7466" s="4"/>
      <c r="D7466" s="4" t="s">
        <v>8717</v>
      </c>
      <c r="E7466" s="4" t="s">
        <v>14553</v>
      </c>
      <c r="F7466" s="4" t="s">
        <v>8717</v>
      </c>
      <c r="G7466" s="5" t="str">
        <f>IFERROR(__xludf.DUMMYFUNCTION("GOOGLETRANSLATE(D7466,""lt"",""es"")"),"con")</f>
        <v>con</v>
      </c>
    </row>
    <row r="7467">
      <c r="A7467" s="4">
        <v>1.0</v>
      </c>
      <c r="B7467" s="4" t="s">
        <v>17041</v>
      </c>
      <c r="C7467" s="4"/>
      <c r="D7467" s="4" t="s">
        <v>17042</v>
      </c>
      <c r="E7467" s="4" t="s">
        <v>17043</v>
      </c>
      <c r="F7467" s="4" t="s">
        <v>1776</v>
      </c>
      <c r="G7467" s="4" t="s">
        <v>17044</v>
      </c>
    </row>
    <row r="7468">
      <c r="A7468" s="4">
        <v>2.0</v>
      </c>
      <c r="B7468" s="4" t="s">
        <v>17041</v>
      </c>
      <c r="C7468" s="4"/>
      <c r="D7468" s="4" t="s">
        <v>8038</v>
      </c>
      <c r="E7468" s="4" t="s">
        <v>8039</v>
      </c>
      <c r="F7468" s="4" t="s">
        <v>816</v>
      </c>
      <c r="G7468" s="4" t="s">
        <v>17045</v>
      </c>
    </row>
    <row r="7469">
      <c r="A7469" s="4">
        <v>3.0</v>
      </c>
      <c r="B7469" s="4" t="s">
        <v>17041</v>
      </c>
      <c r="C7469" s="4"/>
      <c r="D7469" s="4" t="s">
        <v>506</v>
      </c>
      <c r="E7469" s="4" t="s">
        <v>17046</v>
      </c>
      <c r="F7469" s="4" t="s">
        <v>506</v>
      </c>
      <c r="G7469" s="5" t="str">
        <f>IFERROR(__xludf.DUMMYFUNCTION("GOOGLETRANSLATE(D7469,""nl"",""es"")"),"ya")</f>
        <v>ya</v>
      </c>
      <c r="H7469" s="4" t="s">
        <v>2950</v>
      </c>
      <c r="I7469" s="4" t="s">
        <v>2951</v>
      </c>
      <c r="J7469" s="4" t="s">
        <v>2952</v>
      </c>
      <c r="K7469" s="4" t="s">
        <v>2953</v>
      </c>
      <c r="L7469" s="4" t="s">
        <v>2954</v>
      </c>
      <c r="M7469" s="4" t="s">
        <v>2955</v>
      </c>
    </row>
    <row r="7470">
      <c r="A7470" s="4">
        <v>4.0</v>
      </c>
      <c r="B7470" s="4" t="s">
        <v>17041</v>
      </c>
      <c r="C7470" s="4"/>
      <c r="D7470" s="4" t="s">
        <v>295</v>
      </c>
      <c r="E7470" s="4" t="s">
        <v>8581</v>
      </c>
      <c r="F7470" s="4" t="s">
        <v>295</v>
      </c>
      <c r="G7470" s="5" t="str">
        <f>IFERROR(__xludf.DUMMYFUNCTION("GOOGLETRANSLATE(D7470,""nl"",""es"")"),"ceniza")</f>
        <v>ceniza</v>
      </c>
      <c r="H7470" s="4" t="s">
        <v>17047</v>
      </c>
      <c r="I7470" s="4" t="s">
        <v>17048</v>
      </c>
      <c r="J7470" s="4" t="s">
        <v>17049</v>
      </c>
      <c r="K7470" s="4" t="s">
        <v>17047</v>
      </c>
      <c r="L7470" s="4" t="s">
        <v>17050</v>
      </c>
      <c r="M7470" s="4" t="s">
        <v>17051</v>
      </c>
      <c r="N7470" s="4" t="s">
        <v>17052</v>
      </c>
      <c r="O7470" s="4" t="s">
        <v>17047</v>
      </c>
      <c r="P7470" s="4" t="s">
        <v>5876</v>
      </c>
    </row>
    <row r="7471">
      <c r="A7471" s="4">
        <v>5.0</v>
      </c>
      <c r="B7471" s="4" t="s">
        <v>17041</v>
      </c>
      <c r="C7471" s="4"/>
      <c r="D7471" s="4" t="s">
        <v>5902</v>
      </c>
      <c r="E7471" s="4" t="s">
        <v>17053</v>
      </c>
      <c r="F7471" s="4" t="s">
        <v>5904</v>
      </c>
      <c r="G7471" s="4" t="s">
        <v>17054</v>
      </c>
      <c r="H7471" s="4" t="s">
        <v>5905</v>
      </c>
    </row>
    <row r="7472">
      <c r="A7472" s="4">
        <v>6.0</v>
      </c>
      <c r="B7472" s="4" t="s">
        <v>17041</v>
      </c>
      <c r="C7472" s="4"/>
      <c r="D7472" s="4" t="s">
        <v>17055</v>
      </c>
      <c r="E7472" s="4" t="s">
        <v>17056</v>
      </c>
      <c r="F7472" s="4" t="s">
        <v>17057</v>
      </c>
      <c r="G7472" s="4" t="s">
        <v>17058</v>
      </c>
    </row>
    <row r="7473">
      <c r="A7473" s="4">
        <v>7.0</v>
      </c>
      <c r="B7473" s="4" t="s">
        <v>17041</v>
      </c>
      <c r="C7473" s="4"/>
      <c r="D7473" s="4" t="s">
        <v>17059</v>
      </c>
      <c r="E7473" s="4" t="s">
        <v>17060</v>
      </c>
      <c r="F7473" s="4" t="s">
        <v>17061</v>
      </c>
      <c r="G7473" s="5" t="str">
        <f>IFERROR(__xludf.DUMMYFUNCTION("GOOGLETRANSLATE(D7473,""nl"",""es"")"),"Ático")</f>
        <v>Ático</v>
      </c>
    </row>
    <row r="7474">
      <c r="A7474" s="4">
        <v>8.0</v>
      </c>
      <c r="B7474" s="4" t="s">
        <v>17041</v>
      </c>
      <c r="C7474" s="4"/>
      <c r="D7474" s="4" t="s">
        <v>11984</v>
      </c>
      <c r="E7474" s="4" t="s">
        <v>8754</v>
      </c>
      <c r="F7474" s="4" t="s">
        <v>6012</v>
      </c>
      <c r="G7474" s="4" t="s">
        <v>17062</v>
      </c>
    </row>
    <row r="7475">
      <c r="A7475" s="4">
        <v>9.0</v>
      </c>
      <c r="B7475" s="4" t="s">
        <v>17041</v>
      </c>
      <c r="C7475" s="4"/>
      <c r="D7475" s="4" t="s">
        <v>6034</v>
      </c>
      <c r="E7475" s="4" t="s">
        <v>4687</v>
      </c>
      <c r="F7475" s="4" t="s">
        <v>287</v>
      </c>
      <c r="G7475" s="5" t="str">
        <f>IFERROR(__xludf.DUMMYFUNCTION("GOOGLETRANSLATE(D7475,""nl"",""es"")"),"elegante")</f>
        <v>elegante</v>
      </c>
    </row>
    <row r="7476">
      <c r="A7476" s="4">
        <v>10.0</v>
      </c>
      <c r="B7476" s="4" t="s">
        <v>17041</v>
      </c>
      <c r="C7476" s="4"/>
      <c r="D7476" s="4" t="s">
        <v>17063</v>
      </c>
      <c r="E7476" s="4" t="s">
        <v>283</v>
      </c>
      <c r="F7476" s="4" t="s">
        <v>284</v>
      </c>
      <c r="G7476" s="5" t="str">
        <f>IFERROR(__xludf.DUMMYFUNCTION("GOOGLETRANSLATE(D7476,""nl"",""es"")"),"Chile")</f>
        <v>Chile</v>
      </c>
      <c r="H7476" s="4" t="s">
        <v>17063</v>
      </c>
      <c r="I7476" s="4" t="s">
        <v>17064</v>
      </c>
      <c r="J7476" s="4" t="s">
        <v>17065</v>
      </c>
      <c r="K7476" s="4" t="s">
        <v>17066</v>
      </c>
      <c r="L7476" s="4" t="s">
        <v>17067</v>
      </c>
      <c r="M7476" s="4" t="s">
        <v>17063</v>
      </c>
      <c r="N7476" s="4" t="s">
        <v>17068</v>
      </c>
      <c r="O7476" s="4" t="s">
        <v>17069</v>
      </c>
      <c r="P7476" s="4" t="s">
        <v>17070</v>
      </c>
    </row>
    <row r="7477">
      <c r="A7477" s="4">
        <v>11.0</v>
      </c>
      <c r="B7477" s="4" t="s">
        <v>17041</v>
      </c>
      <c r="C7477" s="4"/>
      <c r="D7477" s="4" t="s">
        <v>17071</v>
      </c>
      <c r="E7477" s="4" t="s">
        <v>8222</v>
      </c>
      <c r="F7477" s="4" t="s">
        <v>8223</v>
      </c>
      <c r="G7477" s="5" t="str">
        <f>IFERROR(__xludf.DUMMYFUNCTION("GOOGLETRANSLATE(D7477,""nl"",""es"")"),"moneda")</f>
        <v>moneda</v>
      </c>
    </row>
    <row r="7478">
      <c r="A7478" s="4">
        <v>12.0</v>
      </c>
      <c r="B7478" s="4" t="s">
        <v>17041</v>
      </c>
      <c r="C7478" s="4"/>
      <c r="D7478" s="4" t="s">
        <v>1554</v>
      </c>
      <c r="E7478" s="4" t="s">
        <v>1555</v>
      </c>
      <c r="F7478" s="4" t="s">
        <v>1556</v>
      </c>
      <c r="G7478" s="5" t="str">
        <f>IFERROR(__xludf.DUMMYFUNCTION("GOOGLETRANSLATE(D7478,""nl"",""es"")"),"Galleta")</f>
        <v>Galleta</v>
      </c>
    </row>
    <row r="7479">
      <c r="A7479" s="4">
        <v>13.0</v>
      </c>
      <c r="B7479" s="4" t="s">
        <v>17041</v>
      </c>
      <c r="C7479" s="4"/>
      <c r="D7479" s="4" t="s">
        <v>8272</v>
      </c>
      <c r="E7479" s="4" t="s">
        <v>1581</v>
      </c>
      <c r="F7479" s="4" t="s">
        <v>1582</v>
      </c>
      <c r="G7479" s="5" t="str">
        <f>IFERROR(__xludf.DUMMYFUNCTION("GOOGLETRANSLATE(D7479,""nl"",""es"")"),"cupé")</f>
        <v>cupé</v>
      </c>
      <c r="H7479" s="4" t="s">
        <v>8272</v>
      </c>
      <c r="I7479" s="4" t="s">
        <v>8273</v>
      </c>
      <c r="J7479" s="4" t="s">
        <v>8272</v>
      </c>
      <c r="K7479" s="4" t="s">
        <v>8274</v>
      </c>
      <c r="L7479" s="4" t="s">
        <v>8275</v>
      </c>
    </row>
    <row r="7480">
      <c r="A7480" s="4">
        <v>15.0</v>
      </c>
      <c r="B7480" s="4" t="s">
        <v>17041</v>
      </c>
      <c r="C7480" s="4"/>
      <c r="D7480" s="4" t="s">
        <v>17072</v>
      </c>
      <c r="E7480" s="4" t="s">
        <v>17073</v>
      </c>
      <c r="F7480" s="4" t="s">
        <v>17074</v>
      </c>
      <c r="G7480" s="5" t="str">
        <f>IFERROR(__xludf.DUMMYFUNCTION("GOOGLETRANSLATE(D7480,""nl"",""es"")"),"cínico")</f>
        <v>cínico</v>
      </c>
    </row>
    <row r="7481">
      <c r="A7481" s="4">
        <v>16.0</v>
      </c>
      <c r="B7481" s="4" t="s">
        <v>17041</v>
      </c>
      <c r="C7481" s="4"/>
      <c r="D7481" s="4" t="s">
        <v>17075</v>
      </c>
      <c r="E7481" s="4" t="s">
        <v>17076</v>
      </c>
      <c r="F7481" s="4" t="s">
        <v>975</v>
      </c>
      <c r="G7481" s="5" t="str">
        <f>IFERROR(__xludf.DUMMYFUNCTION("GOOGLETRANSLATE(D7481,""nl"",""es"")"),"hiel")</f>
        <v>hiel</v>
      </c>
      <c r="H7481" s="4" t="s">
        <v>17077</v>
      </c>
      <c r="I7481" s="4" t="s">
        <v>17078</v>
      </c>
      <c r="J7481" s="4" t="s">
        <v>17078</v>
      </c>
      <c r="K7481" s="4" t="s">
        <v>6731</v>
      </c>
    </row>
    <row r="7482">
      <c r="A7482" s="4">
        <v>17.0</v>
      </c>
      <c r="B7482" s="4" t="s">
        <v>17041</v>
      </c>
      <c r="C7482" s="4"/>
      <c r="D7482" s="4" t="s">
        <v>17079</v>
      </c>
      <c r="E7482" s="4" t="s">
        <v>17080</v>
      </c>
      <c r="F7482" s="4" t="s">
        <v>11837</v>
      </c>
      <c r="G7482" s="5" t="str">
        <f>IFERROR(__xludf.DUMMYFUNCTION("GOOGLETRANSLATE(D7482,""nl"",""es"")"),"gálico")</f>
        <v>gálico</v>
      </c>
    </row>
    <row r="7483">
      <c r="A7483" s="4">
        <v>18.0</v>
      </c>
      <c r="B7483" s="4" t="s">
        <v>17041</v>
      </c>
      <c r="C7483" s="4"/>
      <c r="D7483" s="4" t="s">
        <v>16065</v>
      </c>
      <c r="E7483" s="4" t="s">
        <v>17081</v>
      </c>
      <c r="F7483" s="4" t="s">
        <v>1336</v>
      </c>
      <c r="G7483" s="5" t="str">
        <f>IFERROR(__xludf.DUMMYFUNCTION("GOOGLETRANSLATE(D7483,""nl"",""es"")"),"gas")</f>
        <v>gas</v>
      </c>
      <c r="H7483" s="4" t="s">
        <v>16065</v>
      </c>
      <c r="I7483" s="4" t="s">
        <v>17082</v>
      </c>
      <c r="J7483" s="4" t="s">
        <v>16065</v>
      </c>
    </row>
    <row r="7484">
      <c r="A7484" s="4">
        <v>19.0</v>
      </c>
      <c r="B7484" s="4" t="s">
        <v>17041</v>
      </c>
      <c r="C7484" s="4"/>
      <c r="D7484" s="4" t="s">
        <v>17083</v>
      </c>
      <c r="E7484" s="4" t="s">
        <v>17084</v>
      </c>
      <c r="F7484" s="4" t="s">
        <v>6401</v>
      </c>
      <c r="G7484" s="5" t="str">
        <f>IFERROR(__xludf.DUMMYFUNCTION("GOOGLETRANSLATE(D7484,""nl"",""es"")"),"rehén")</f>
        <v>rehén</v>
      </c>
    </row>
    <row r="7485">
      <c r="A7485" s="4">
        <v>20.0</v>
      </c>
      <c r="B7485" s="4" t="s">
        <v>17041</v>
      </c>
      <c r="C7485" s="4"/>
      <c r="D7485" s="4" t="s">
        <v>17085</v>
      </c>
      <c r="E7485" s="4" t="s">
        <v>17086</v>
      </c>
      <c r="F7485" s="4" t="s">
        <v>3801</v>
      </c>
      <c r="G7485" s="5" t="str">
        <f>IFERROR(__xludf.DUMMYFUNCTION("GOOGLETRANSLATE(D7485,""nl"",""es"")"),"grito")</f>
        <v>grito</v>
      </c>
    </row>
    <row r="7486">
      <c r="A7486" s="4">
        <v>21.0</v>
      </c>
      <c r="B7486" s="4" t="s">
        <v>17041</v>
      </c>
      <c r="C7486" s="4"/>
      <c r="D7486" s="4" t="s">
        <v>17087</v>
      </c>
      <c r="E7486" s="4" t="s">
        <v>17088</v>
      </c>
      <c r="F7486" s="4" t="s">
        <v>1582</v>
      </c>
      <c r="G7486" s="5" t="str">
        <f>IFERROR(__xludf.DUMMYFUNCTION("GOOGLETRANSLATE(D7486,""nl"",""es"")"),"bueno")</f>
        <v>bueno</v>
      </c>
    </row>
    <row r="7487">
      <c r="A7487" s="4">
        <v>22.0</v>
      </c>
      <c r="B7487" s="4" t="s">
        <v>17041</v>
      </c>
      <c r="C7487" s="4"/>
      <c r="D7487" s="4" t="s">
        <v>17089</v>
      </c>
      <c r="E7487" s="4" t="s">
        <v>17090</v>
      </c>
      <c r="F7487" s="4" t="s">
        <v>468</v>
      </c>
      <c r="G7487" s="5" t="str">
        <f>IFERROR(__xludf.DUMMYFUNCTION("GOOGLETRANSLATE(D7487,""nl"",""es"")"),"bueno")</f>
        <v>bueno</v>
      </c>
    </row>
    <row r="7488">
      <c r="A7488" s="4">
        <v>23.0</v>
      </c>
      <c r="B7488" s="4" t="s">
        <v>17041</v>
      </c>
      <c r="C7488" s="4"/>
      <c r="D7488" s="4" t="s">
        <v>17091</v>
      </c>
      <c r="E7488" s="4" t="s">
        <v>17092</v>
      </c>
      <c r="F7488" s="4" t="s">
        <v>17093</v>
      </c>
      <c r="G7488" s="5" t="str">
        <f>IFERROR(__xludf.DUMMYFUNCTION("GOOGLETRANSLATE(D7488,""nl"",""es"")"),"goelash")</f>
        <v>goelash</v>
      </c>
      <c r="H7488" s="4" t="s">
        <v>17094</v>
      </c>
      <c r="I7488" s="4" t="s">
        <v>17095</v>
      </c>
      <c r="J7488" s="4" t="s">
        <v>17096</v>
      </c>
    </row>
    <row r="7489">
      <c r="A7489" s="4">
        <v>24.0</v>
      </c>
      <c r="B7489" s="4" t="s">
        <v>17041</v>
      </c>
      <c r="C7489" s="4"/>
      <c r="D7489" s="4" t="s">
        <v>17097</v>
      </c>
      <c r="E7489" s="4" t="s">
        <v>17098</v>
      </c>
      <c r="F7489" s="4" t="s">
        <v>1675</v>
      </c>
      <c r="G7489" s="5" t="str">
        <f>IFERROR(__xludf.DUMMYFUNCTION("GOOGLETRANSLATE(D7489,""nl"",""es"")"),"va")</f>
        <v>va</v>
      </c>
    </row>
    <row r="7490">
      <c r="A7490" s="4">
        <v>25.0</v>
      </c>
      <c r="B7490" s="4" t="s">
        <v>17041</v>
      </c>
      <c r="C7490" s="4"/>
      <c r="D7490" s="4" t="s">
        <v>17094</v>
      </c>
      <c r="E7490" s="4" t="s">
        <v>17092</v>
      </c>
      <c r="F7490" s="4" t="s">
        <v>17093</v>
      </c>
      <c r="G7490" s="5" t="str">
        <f>IFERROR(__xludf.DUMMYFUNCTION("GOOGLETRANSLATE(D7490,""nl"",""es"")"),"Estofado húngaro")</f>
        <v>Estofado húngaro</v>
      </c>
      <c r="H7490" s="4" t="s">
        <v>17094</v>
      </c>
      <c r="I7490" s="4" t="s">
        <v>17095</v>
      </c>
      <c r="J7490" s="4" t="s">
        <v>17096</v>
      </c>
    </row>
    <row r="7491">
      <c r="A7491" s="4">
        <v>26.0</v>
      </c>
      <c r="B7491" s="4" t="s">
        <v>17041</v>
      </c>
      <c r="C7491" s="4"/>
      <c r="D7491" s="4" t="s">
        <v>17099</v>
      </c>
      <c r="E7491" s="4" t="s">
        <v>9010</v>
      </c>
      <c r="F7491" s="4" t="s">
        <v>6341</v>
      </c>
      <c r="G7491" s="5" t="str">
        <f>IFERROR(__xludf.DUMMYFUNCTION("GOOGLETRANSLATE(D7491,""nl"",""es"")"),"IEL")</f>
        <v>IEL</v>
      </c>
    </row>
    <row r="7492">
      <c r="A7492" s="4">
        <v>27.0</v>
      </c>
      <c r="B7492" s="4" t="s">
        <v>17041</v>
      </c>
      <c r="C7492" s="4"/>
      <c r="D7492" s="4" t="s">
        <v>17100</v>
      </c>
      <c r="E7492" s="4" t="s">
        <v>6110</v>
      </c>
      <c r="F7492" s="4" t="s">
        <v>6111</v>
      </c>
      <c r="G7492" s="5" t="str">
        <f>IFERROR(__xludf.DUMMYFUNCTION("GOOGLETRANSLATE(D7492,""nl"",""es"")"),"olmo")</f>
        <v>olmo</v>
      </c>
      <c r="H7492" s="4" t="s">
        <v>17101</v>
      </c>
      <c r="I7492" s="4" t="s">
        <v>17102</v>
      </c>
      <c r="J7492" s="4" t="s">
        <v>17101</v>
      </c>
      <c r="K7492" s="4" t="s">
        <v>17103</v>
      </c>
    </row>
    <row r="7493">
      <c r="A7493" s="4">
        <v>28.0</v>
      </c>
      <c r="B7493" s="4" t="s">
        <v>17041</v>
      </c>
      <c r="C7493" s="4"/>
      <c r="D7493" s="4" t="s">
        <v>6328</v>
      </c>
      <c r="E7493" s="4" t="s">
        <v>6327</v>
      </c>
      <c r="F7493" s="4" t="s">
        <v>6328</v>
      </c>
      <c r="G7493" s="5" t="str">
        <f>IFERROR(__xludf.DUMMYFUNCTION("GOOGLETRANSLATE(D7493,""nl"",""es"")"),"yo")</f>
        <v>yo</v>
      </c>
      <c r="H7493" s="4" t="s">
        <v>9161</v>
      </c>
      <c r="I7493" s="4" t="s">
        <v>17104</v>
      </c>
      <c r="J7493" s="4" t="s">
        <v>17105</v>
      </c>
      <c r="K7493" s="4" t="s">
        <v>9160</v>
      </c>
    </row>
    <row r="7494">
      <c r="A7494" s="4">
        <v>29.0</v>
      </c>
      <c r="B7494" s="4" t="s">
        <v>17041</v>
      </c>
      <c r="C7494" s="4"/>
      <c r="D7494" s="4" t="s">
        <v>4824</v>
      </c>
      <c r="E7494" s="4" t="s">
        <v>4823</v>
      </c>
      <c r="F7494" s="4" t="s">
        <v>4824</v>
      </c>
      <c r="G7494" s="5" t="str">
        <f>IFERROR(__xludf.DUMMYFUNCTION("GOOGLETRANSLATE(D7494,""nl"",""es"")"),"en")</f>
        <v>en</v>
      </c>
    </row>
    <row r="7495">
      <c r="A7495" s="4">
        <v>30.0</v>
      </c>
      <c r="B7495" s="4" t="s">
        <v>17041</v>
      </c>
      <c r="C7495" s="4"/>
      <c r="D7495" s="4" t="s">
        <v>4822</v>
      </c>
      <c r="E7495" s="4" t="s">
        <v>4823</v>
      </c>
      <c r="F7495" s="4" t="s">
        <v>4824</v>
      </c>
      <c r="G7495" s="5" t="str">
        <f>IFERROR(__xludf.DUMMYFUNCTION("GOOGLETRANSLATE(D7495,""nl"",""es"")"),"consumo")</f>
        <v>consumo</v>
      </c>
    </row>
    <row r="7496">
      <c r="A7496" s="4">
        <v>31.0</v>
      </c>
      <c r="B7496" s="4" t="s">
        <v>17041</v>
      </c>
      <c r="C7496" s="4"/>
      <c r="D7496" s="4" t="s">
        <v>301</v>
      </c>
      <c r="E7496" s="4" t="s">
        <v>17106</v>
      </c>
      <c r="F7496" s="4" t="s">
        <v>301</v>
      </c>
      <c r="G7496" s="5" t="str">
        <f>IFERROR(__xludf.DUMMYFUNCTION("GOOGLETRANSLATE(D7496,""nl"",""es"")"),"es")</f>
        <v>es</v>
      </c>
      <c r="H7496" s="4" t="s">
        <v>17107</v>
      </c>
      <c r="I7496" s="4" t="s">
        <v>14323</v>
      </c>
    </row>
    <row r="7497">
      <c r="A7497" s="4">
        <v>32.0</v>
      </c>
      <c r="B7497" s="4" t="s">
        <v>17041</v>
      </c>
      <c r="C7497" s="4"/>
      <c r="D7497" s="4" t="s">
        <v>17108</v>
      </c>
      <c r="E7497" s="4" t="s">
        <v>17109</v>
      </c>
      <c r="F7497" s="4" t="s">
        <v>1871</v>
      </c>
      <c r="G7497" s="5" t="str">
        <f>IFERROR(__xludf.DUMMYFUNCTION("GOOGLETRANSLATE(D7497,""nl"",""es"")"),"chaqueta")</f>
        <v>chaqueta</v>
      </c>
      <c r="H7497" s="4" t="s">
        <v>1871</v>
      </c>
      <c r="I7497" s="4" t="s">
        <v>1872</v>
      </c>
    </row>
    <row r="7498">
      <c r="A7498" s="4">
        <v>33.0</v>
      </c>
      <c r="B7498" s="4" t="s">
        <v>17041</v>
      </c>
      <c r="C7498" s="4"/>
      <c r="D7498" s="4" t="s">
        <v>17110</v>
      </c>
      <c r="E7498" s="4" t="s">
        <v>17111</v>
      </c>
      <c r="F7498" s="4" t="s">
        <v>7984</v>
      </c>
      <c r="G7498" s="5" t="str">
        <f>IFERROR(__xludf.DUMMYFUNCTION("GOOGLETRANSLATE(D7498,""nl"",""es"")"),"Jakkie")</f>
        <v>Jakkie</v>
      </c>
    </row>
    <row r="7499">
      <c r="A7499" s="4">
        <v>34.0</v>
      </c>
      <c r="B7499" s="4" t="s">
        <v>17041</v>
      </c>
      <c r="C7499" s="4"/>
      <c r="D7499" s="4" t="s">
        <v>6386</v>
      </c>
      <c r="E7499" s="4" t="s">
        <v>6391</v>
      </c>
      <c r="F7499" s="4" t="s">
        <v>6388</v>
      </c>
      <c r="G7499" s="5" t="str">
        <f>IFERROR(__xludf.DUMMYFUNCTION("GOOGLETRANSLATE(D7499,""nl"",""es"")"),"Ene")</f>
        <v>Ene</v>
      </c>
    </row>
    <row r="7500">
      <c r="A7500" s="4">
        <v>35.0</v>
      </c>
      <c r="B7500" s="4" t="s">
        <v>17041</v>
      </c>
      <c r="C7500" s="4"/>
      <c r="D7500" s="4" t="s">
        <v>17112</v>
      </c>
      <c r="E7500" s="4" t="s">
        <v>17113</v>
      </c>
      <c r="F7500" s="4" t="s">
        <v>7987</v>
      </c>
      <c r="G7500" s="5" t="str">
        <f>IFERROR(__xludf.DUMMYFUNCTION("GOOGLETRANSLATE(D7500,""nl"",""es"")"),"Japonés")</f>
        <v>Japonés</v>
      </c>
    </row>
    <row r="7501">
      <c r="A7501" s="4">
        <v>36.0</v>
      </c>
      <c r="B7501" s="4" t="s">
        <v>17041</v>
      </c>
      <c r="C7501" s="4"/>
      <c r="D7501" s="4" t="s">
        <v>17114</v>
      </c>
      <c r="E7501" s="4" t="s">
        <v>17115</v>
      </c>
      <c r="F7501" s="4" t="s">
        <v>6394</v>
      </c>
      <c r="G7501" s="5" t="str">
        <f>IFERROR(__xludf.DUMMYFUNCTION("GOOGLETRANSLATE(D7501,""nl"",""es"")"),"chaqueta")</f>
        <v>chaqueta</v>
      </c>
      <c r="H7501" s="4" t="s">
        <v>1239</v>
      </c>
      <c r="I7501" s="4" t="s">
        <v>17116</v>
      </c>
      <c r="J7501" s="4" t="s">
        <v>1239</v>
      </c>
      <c r="K7501" s="4" t="s">
        <v>1235</v>
      </c>
      <c r="L7501" s="4" t="s">
        <v>1239</v>
      </c>
      <c r="M7501" s="4" t="s">
        <v>5981</v>
      </c>
      <c r="N7501" s="4" t="s">
        <v>17117</v>
      </c>
    </row>
    <row r="7502">
      <c r="A7502" s="4">
        <v>37.0</v>
      </c>
      <c r="B7502" s="4" t="s">
        <v>17041</v>
      </c>
      <c r="C7502" s="4"/>
      <c r="D7502" s="4" t="s">
        <v>319</v>
      </c>
      <c r="E7502" s="4" t="s">
        <v>8158</v>
      </c>
      <c r="F7502" s="4" t="s">
        <v>319</v>
      </c>
      <c r="G7502" s="5" t="str">
        <f>IFERROR(__xludf.DUMMYFUNCTION("GOOGLETRANSLATE(D7502,""nl"",""es"")"),"caca")</f>
        <v>caca</v>
      </c>
      <c r="H7502" s="4" t="s">
        <v>8769</v>
      </c>
      <c r="I7502" s="4" t="s">
        <v>15451</v>
      </c>
      <c r="J7502" s="4" t="s">
        <v>15454</v>
      </c>
      <c r="K7502" s="4" t="s">
        <v>15455</v>
      </c>
      <c r="L7502" s="4" t="s">
        <v>15456</v>
      </c>
      <c r="M7502" s="4" t="s">
        <v>15457</v>
      </c>
      <c r="N7502" s="4" t="s">
        <v>15458</v>
      </c>
      <c r="O7502" s="4" t="s">
        <v>5952</v>
      </c>
      <c r="P7502" s="4" t="s">
        <v>15459</v>
      </c>
      <c r="Q7502" s="4" t="s">
        <v>15460</v>
      </c>
      <c r="R7502" s="4" t="s">
        <v>15461</v>
      </c>
      <c r="S7502" s="4" t="s">
        <v>13683</v>
      </c>
      <c r="T7502" s="4" t="s">
        <v>8769</v>
      </c>
      <c r="U7502" s="4" t="s">
        <v>15462</v>
      </c>
      <c r="V7502" s="4" t="s">
        <v>6996</v>
      </c>
      <c r="W7502" s="4" t="s">
        <v>15463</v>
      </c>
    </row>
    <row r="7503">
      <c r="A7503" s="4">
        <v>38.0</v>
      </c>
      <c r="B7503" s="4" t="s">
        <v>17041</v>
      </c>
      <c r="C7503" s="4"/>
      <c r="D7503" s="4" t="s">
        <v>17118</v>
      </c>
      <c r="E7503" s="4" t="s">
        <v>8169</v>
      </c>
      <c r="F7503" s="4" t="s">
        <v>1297</v>
      </c>
      <c r="G7503" s="5" t="str">
        <f>IFERROR(__xludf.DUMMYFUNCTION("GOOGLETRANSLATE(D7503,""nl"",""es"")"),"kakkie")</f>
        <v>kakkie</v>
      </c>
    </row>
    <row r="7504">
      <c r="A7504" s="4">
        <v>39.0</v>
      </c>
      <c r="B7504" s="4" t="s">
        <v>17041</v>
      </c>
      <c r="C7504" s="4"/>
      <c r="D7504" s="4" t="s">
        <v>17119</v>
      </c>
      <c r="E7504" s="4" t="s">
        <v>17120</v>
      </c>
      <c r="F7504" s="4" t="s">
        <v>17121</v>
      </c>
      <c r="G7504" s="5" t="str">
        <f>IFERROR(__xludf.DUMMYFUNCTION("GOOGLETRANSLATE(D7504,""nl"",""es"")"),"pakkies")</f>
        <v>pakkies</v>
      </c>
    </row>
    <row r="7505">
      <c r="A7505" s="4">
        <v>40.0</v>
      </c>
      <c r="B7505" s="4" t="s">
        <v>17041</v>
      </c>
      <c r="C7505" s="4"/>
      <c r="D7505" s="4" t="s">
        <v>1039</v>
      </c>
      <c r="E7505" s="4" t="s">
        <v>8098</v>
      </c>
      <c r="F7505" s="4" t="s">
        <v>1039</v>
      </c>
      <c r="G7505" s="5" t="str">
        <f>IFERROR(__xludf.DUMMYFUNCTION("GOOGLETRANSLATE(D7505,""nl"",""es"")"),"peine")</f>
        <v>peine</v>
      </c>
      <c r="H7505" s="4" t="s">
        <v>9600</v>
      </c>
      <c r="I7505" s="4" t="s">
        <v>17122</v>
      </c>
      <c r="J7505" s="4" t="s">
        <v>9600</v>
      </c>
      <c r="K7505" s="4" t="s">
        <v>17123</v>
      </c>
      <c r="L7505" s="4" t="s">
        <v>17124</v>
      </c>
      <c r="M7505" s="4" t="s">
        <v>17125</v>
      </c>
      <c r="N7505" s="4" t="s">
        <v>9600</v>
      </c>
      <c r="O7505" s="4" t="s">
        <v>17126</v>
      </c>
      <c r="P7505" s="4" t="s">
        <v>17125</v>
      </c>
      <c r="Q7505" s="4" t="s">
        <v>1402</v>
      </c>
    </row>
    <row r="7506">
      <c r="A7506" s="4">
        <v>41.0</v>
      </c>
      <c r="B7506" s="4" t="s">
        <v>17041</v>
      </c>
      <c r="C7506" s="4"/>
      <c r="D7506" s="4" t="s">
        <v>1122</v>
      </c>
      <c r="E7506" s="4" t="s">
        <v>5929</v>
      </c>
      <c r="F7506" s="4" t="s">
        <v>1122</v>
      </c>
      <c r="G7506" s="5" t="str">
        <f>IFERROR(__xludf.DUMMYFUNCTION("GOOGLETRANSLATE(D7506,""nl"",""es"")"),"pueden")</f>
        <v>pueden</v>
      </c>
      <c r="H7506" s="4" t="s">
        <v>16385</v>
      </c>
      <c r="I7506" s="4" t="s">
        <v>17127</v>
      </c>
      <c r="J7506" s="4" t="s">
        <v>17128</v>
      </c>
      <c r="K7506" s="4" t="s">
        <v>16385</v>
      </c>
      <c r="L7506" s="4" t="s">
        <v>17129</v>
      </c>
    </row>
    <row r="7507">
      <c r="A7507" s="4">
        <v>42.0</v>
      </c>
      <c r="B7507" s="4" t="s">
        <v>17041</v>
      </c>
      <c r="C7507" s="4"/>
      <c r="D7507" s="4" t="s">
        <v>322</v>
      </c>
      <c r="E7507" s="4" t="s">
        <v>8233</v>
      </c>
      <c r="F7507" s="4" t="s">
        <v>322</v>
      </c>
      <c r="G7507" s="5" t="str">
        <f>IFERROR(__xludf.DUMMYFUNCTION("GOOGLETRANSLATE(D7507,""nl"",""es"")"),"capucha")</f>
        <v>capucha</v>
      </c>
      <c r="H7507" s="4" t="s">
        <v>17130</v>
      </c>
      <c r="I7507" s="4" t="s">
        <v>4268</v>
      </c>
      <c r="J7507" s="4" t="s">
        <v>1208</v>
      </c>
      <c r="K7507" s="4" t="s">
        <v>17131</v>
      </c>
      <c r="L7507" s="4" t="s">
        <v>17132</v>
      </c>
      <c r="M7507" s="4" t="s">
        <v>17133</v>
      </c>
      <c r="N7507" s="4" t="s">
        <v>17134</v>
      </c>
      <c r="O7507" s="4" t="s">
        <v>4804</v>
      </c>
      <c r="P7507" s="4" t="s">
        <v>5977</v>
      </c>
      <c r="Q7507" s="4" t="s">
        <v>17135</v>
      </c>
      <c r="R7507" s="4" t="s">
        <v>17136</v>
      </c>
      <c r="S7507" s="4" t="s">
        <v>17137</v>
      </c>
      <c r="T7507" s="4" t="s">
        <v>5977</v>
      </c>
      <c r="U7507" s="4" t="s">
        <v>5977</v>
      </c>
      <c r="V7507" s="4" t="s">
        <v>17138</v>
      </c>
      <c r="W7507" s="4" t="s">
        <v>5977</v>
      </c>
    </row>
    <row r="7508">
      <c r="A7508" s="4">
        <v>43.0</v>
      </c>
      <c r="B7508" s="4" t="s">
        <v>17041</v>
      </c>
      <c r="C7508" s="4"/>
      <c r="D7508" s="4" t="s">
        <v>1336</v>
      </c>
      <c r="E7508" s="4" t="s">
        <v>8246</v>
      </c>
      <c r="F7508" s="4" t="s">
        <v>1336</v>
      </c>
      <c r="G7508" s="5" t="str">
        <f>IFERROR(__xludf.DUMMYFUNCTION("GOOGLETRANSLATE(D7508,""nl"",""es"")"),"dinero")</f>
        <v>dinero</v>
      </c>
      <c r="H7508" s="4" t="s">
        <v>17139</v>
      </c>
      <c r="I7508" s="4" t="s">
        <v>17140</v>
      </c>
      <c r="J7508" s="4" t="s">
        <v>17141</v>
      </c>
      <c r="K7508" s="4" t="s">
        <v>17142</v>
      </c>
    </row>
    <row r="7509">
      <c r="A7509" s="4">
        <v>44.0</v>
      </c>
      <c r="B7509" s="4" t="s">
        <v>17041</v>
      </c>
      <c r="C7509" s="4"/>
      <c r="D7509" s="4" t="s">
        <v>17143</v>
      </c>
      <c r="E7509" s="4" t="s">
        <v>17144</v>
      </c>
      <c r="F7509" s="4" t="s">
        <v>17145</v>
      </c>
      <c r="G7509" s="5" t="str">
        <f>IFERROR(__xludf.DUMMYFUNCTION("GOOGLETRANSLATE(D7509,""nl"",""es"")"),"kattín")</f>
        <v>kattín</v>
      </c>
    </row>
    <row r="7510">
      <c r="A7510" s="4">
        <v>45.0</v>
      </c>
      <c r="B7510" s="4" t="s">
        <v>17041</v>
      </c>
      <c r="C7510" s="4"/>
      <c r="D7510" s="4" t="s">
        <v>11467</v>
      </c>
      <c r="E7510" s="4" t="s">
        <v>17146</v>
      </c>
      <c r="F7510" s="4" t="s">
        <v>6458</v>
      </c>
      <c r="G7510" s="5" t="str">
        <f>IFERROR(__xludf.DUMMYFUNCTION("GOOGLETRANSLATE(D7510,""nl"",""es"")"),"mantener")</f>
        <v>mantener</v>
      </c>
      <c r="H7510" s="4" t="s">
        <v>3383</v>
      </c>
      <c r="I7510" s="4" t="s">
        <v>4277</v>
      </c>
      <c r="J7510" s="4" t="s">
        <v>6971</v>
      </c>
    </row>
    <row r="7511">
      <c r="A7511" s="4">
        <v>46.0</v>
      </c>
      <c r="B7511" s="4" t="s">
        <v>17041</v>
      </c>
      <c r="C7511" s="4"/>
      <c r="D7511" s="4" t="s">
        <v>4744</v>
      </c>
      <c r="E7511" s="4" t="s">
        <v>6400</v>
      </c>
      <c r="F7511" s="4" t="s">
        <v>6401</v>
      </c>
      <c r="G7511" s="5" t="str">
        <f>IFERROR(__xludf.DUMMYFUNCTION("GOOGLETRANSLATE(D7511,""nl"",""es"")"),"patada")</f>
        <v>patada</v>
      </c>
    </row>
    <row r="7512">
      <c r="A7512" s="4">
        <v>47.0</v>
      </c>
      <c r="B7512" s="4" t="s">
        <v>17041</v>
      </c>
      <c r="C7512" s="4"/>
      <c r="D7512" s="4" t="s">
        <v>17147</v>
      </c>
      <c r="E7512" s="4" t="s">
        <v>17148</v>
      </c>
      <c r="F7512" s="4" t="s">
        <v>6401</v>
      </c>
      <c r="G7512" s="5" t="str">
        <f>IFERROR(__xludf.DUMMYFUNCTION("GOOGLETRANSLATE(D7512,""nl"",""es"")"),"instantánea")</f>
        <v>instantánea</v>
      </c>
    </row>
    <row r="7513">
      <c r="A7513" s="4">
        <v>48.0</v>
      </c>
      <c r="B7513" s="4" t="s">
        <v>17041</v>
      </c>
      <c r="C7513" s="4"/>
      <c r="D7513" s="4" t="s">
        <v>17149</v>
      </c>
      <c r="E7513" s="4" t="s">
        <v>3800</v>
      </c>
      <c r="F7513" s="4" t="s">
        <v>3801</v>
      </c>
      <c r="G7513" s="5" t="str">
        <f>IFERROR(__xludf.DUMMYFUNCTION("GOOGLETRANSLATE(D7513,""nl"",""es"")"),"quilla")</f>
        <v>quilla</v>
      </c>
      <c r="H7513" s="4" t="s">
        <v>17150</v>
      </c>
      <c r="I7513" s="4" t="s">
        <v>17151</v>
      </c>
      <c r="J7513" s="4" t="s">
        <v>17152</v>
      </c>
      <c r="K7513" s="4" t="s">
        <v>17153</v>
      </c>
      <c r="L7513" s="4" t="s">
        <v>17154</v>
      </c>
      <c r="M7513" s="4" t="s">
        <v>3805</v>
      </c>
      <c r="N7513" s="4" t="s">
        <v>4715</v>
      </c>
      <c r="O7513" s="4" t="s">
        <v>17155</v>
      </c>
    </row>
    <row r="7514">
      <c r="A7514" s="4">
        <v>49.0</v>
      </c>
      <c r="B7514" s="4" t="s">
        <v>17041</v>
      </c>
      <c r="C7514" s="4"/>
      <c r="D7514" s="4" t="s">
        <v>17156</v>
      </c>
      <c r="E7514" s="4" t="s">
        <v>3813</v>
      </c>
      <c r="F7514" s="4" t="s">
        <v>3814</v>
      </c>
      <c r="G7514" s="5" t="str">
        <f>IFERROR(__xludf.DUMMYFUNCTION("GOOGLETRANSLATE(D7514,""nl"",""es"")"),"germen")</f>
        <v>germen</v>
      </c>
      <c r="H7514" s="4" t="s">
        <v>9733</v>
      </c>
      <c r="I7514" s="4" t="s">
        <v>1936</v>
      </c>
      <c r="J7514" s="4" t="s">
        <v>17157</v>
      </c>
      <c r="K7514" s="4" t="s">
        <v>14767</v>
      </c>
      <c r="L7514" s="4" t="s">
        <v>17158</v>
      </c>
      <c r="M7514" s="4" t="s">
        <v>1134</v>
      </c>
      <c r="N7514" s="4" t="s">
        <v>11498</v>
      </c>
    </row>
    <row r="7515">
      <c r="A7515" s="4">
        <v>50.0</v>
      </c>
      <c r="B7515" s="4" t="s">
        <v>17041</v>
      </c>
      <c r="C7515" s="4"/>
      <c r="D7515" s="4" t="s">
        <v>17159</v>
      </c>
      <c r="E7515" s="4" t="s">
        <v>17160</v>
      </c>
      <c r="F7515" s="4" t="s">
        <v>6469</v>
      </c>
      <c r="G7515" s="5" t="str">
        <f>IFERROR(__xludf.DUMMYFUNCTION("GOOGLETRANSLATE(D7515,""nl"",""es"")"),"molar")</f>
        <v>molar</v>
      </c>
      <c r="H7515" s="4" t="s">
        <v>17161</v>
      </c>
      <c r="I7515" s="4" t="s">
        <v>6832</v>
      </c>
    </row>
    <row r="7516">
      <c r="A7516" s="4">
        <v>51.0</v>
      </c>
      <c r="B7516" s="4" t="s">
        <v>17041</v>
      </c>
      <c r="C7516" s="4"/>
      <c r="D7516" s="4" t="s">
        <v>3801</v>
      </c>
      <c r="E7516" s="4" t="s">
        <v>6419</v>
      </c>
      <c r="F7516" s="4" t="s">
        <v>3801</v>
      </c>
      <c r="G7516" s="5" t="str">
        <f>IFERROR(__xludf.DUMMYFUNCTION("GOOGLETRANSLATE(D7516,""nl"",""es"")"),"frío")</f>
        <v>frío</v>
      </c>
    </row>
    <row r="7517">
      <c r="A7517" s="4">
        <v>52.0</v>
      </c>
      <c r="B7517" s="4" t="s">
        <v>17041</v>
      </c>
      <c r="C7517" s="4"/>
      <c r="D7517" s="4" t="s">
        <v>3814</v>
      </c>
      <c r="E7517" s="4" t="s">
        <v>6432</v>
      </c>
      <c r="F7517" s="4" t="s">
        <v>3814</v>
      </c>
      <c r="G7517" s="5" t="str">
        <f>IFERROR(__xludf.DUMMYFUNCTION("GOOGLETRANSLATE(D7517,""nl"",""es"")"),"Kim")</f>
        <v>Kim</v>
      </c>
    </row>
    <row r="7518">
      <c r="A7518" s="4">
        <v>53.0</v>
      </c>
      <c r="B7518" s="4" t="s">
        <v>17041</v>
      </c>
      <c r="C7518" s="4"/>
      <c r="D7518" s="4" t="s">
        <v>3817</v>
      </c>
      <c r="E7518" s="4" t="s">
        <v>6436</v>
      </c>
      <c r="F7518" s="4" t="s">
        <v>3817</v>
      </c>
      <c r="G7518" s="5" t="str">
        <f>IFERROR(__xludf.DUMMYFUNCTION("GOOGLETRANSLATE(D7518,""nl"",""es"")"),"barbilla")</f>
        <v>barbilla</v>
      </c>
      <c r="H7518" s="4" t="s">
        <v>5749</v>
      </c>
      <c r="I7518" s="4" t="s">
        <v>5750</v>
      </c>
    </row>
    <row r="7519">
      <c r="A7519" s="4">
        <v>54.0</v>
      </c>
      <c r="B7519" s="4" t="s">
        <v>17041</v>
      </c>
      <c r="C7519" s="4"/>
      <c r="D7519" s="4" t="s">
        <v>6458</v>
      </c>
      <c r="E7519" s="4" t="s">
        <v>6459</v>
      </c>
      <c r="F7519" s="4" t="s">
        <v>6458</v>
      </c>
      <c r="G7519" s="5" t="str">
        <f>IFERROR(__xludf.DUMMYFUNCTION("GOOGLETRANSLATE(D7519,""nl"",""es"")"),"pollo")</f>
        <v>pollo</v>
      </c>
      <c r="H7519" s="4" t="s">
        <v>14870</v>
      </c>
      <c r="I7519" s="4" t="s">
        <v>14871</v>
      </c>
      <c r="J7519" s="4" t="s">
        <v>14872</v>
      </c>
      <c r="K7519" s="4" t="s">
        <v>3655</v>
      </c>
      <c r="L7519" s="4" t="s">
        <v>9964</v>
      </c>
    </row>
    <row r="7520">
      <c r="A7520" s="4">
        <v>55.0</v>
      </c>
      <c r="B7520" s="4" t="s">
        <v>17041</v>
      </c>
      <c r="C7520" s="4"/>
      <c r="D7520" s="4" t="s">
        <v>17162</v>
      </c>
      <c r="E7520" s="4" t="s">
        <v>1581</v>
      </c>
      <c r="F7520" s="4" t="s">
        <v>1582</v>
      </c>
      <c r="G7520" s="5" t="str">
        <f>IFERROR(__xludf.DUMMYFUNCTION("GOOGLETRANSLATE(D7520,""nl"",""es"")"),"vaca")</f>
        <v>vaca</v>
      </c>
      <c r="H7520" s="4" t="s">
        <v>17163</v>
      </c>
      <c r="I7520" s="4" t="s">
        <v>17164</v>
      </c>
      <c r="J7520" s="4" t="s">
        <v>17164</v>
      </c>
      <c r="K7520" s="4" t="s">
        <v>17164</v>
      </c>
      <c r="L7520" s="4" t="s">
        <v>13837</v>
      </c>
      <c r="M7520" s="4" t="s">
        <v>17165</v>
      </c>
    </row>
    <row r="7521">
      <c r="A7521" s="4">
        <v>56.0</v>
      </c>
      <c r="B7521" s="4" t="s">
        <v>17041</v>
      </c>
      <c r="C7521" s="4"/>
      <c r="D7521" s="4" t="s">
        <v>17166</v>
      </c>
      <c r="E7521" s="4" t="s">
        <v>1587</v>
      </c>
      <c r="F7521" s="4" t="s">
        <v>1588</v>
      </c>
      <c r="G7521" s="5" t="str">
        <f>IFERROR(__xludf.DUMMYFUNCTION("GOOGLETRANSLATE(D7521,""nl"",""es"")"),"pastel")</f>
        <v>pastel</v>
      </c>
      <c r="H7521" s="4" t="s">
        <v>17167</v>
      </c>
      <c r="I7521" s="4" t="s">
        <v>17168</v>
      </c>
      <c r="J7521" s="4" t="s">
        <v>7154</v>
      </c>
      <c r="K7521" s="4" t="s">
        <v>10889</v>
      </c>
      <c r="L7521" s="4" t="s">
        <v>1554</v>
      </c>
      <c r="M7521" s="4" t="s">
        <v>6087</v>
      </c>
      <c r="N7521" s="4" t="s">
        <v>6088</v>
      </c>
    </row>
    <row r="7522">
      <c r="A7522" s="4">
        <v>57.0</v>
      </c>
      <c r="B7522" s="4" t="s">
        <v>17041</v>
      </c>
      <c r="C7522" s="4"/>
      <c r="D7522" s="4" t="s">
        <v>17169</v>
      </c>
      <c r="E7522" s="4" t="s">
        <v>17170</v>
      </c>
      <c r="F7522" s="4" t="s">
        <v>17171</v>
      </c>
      <c r="G7522" s="5" t="str">
        <f>IFERROR(__xludf.DUMMYFUNCTION("GOOGLETRANSLATE(D7522,""nl"",""es"")"),"cuco")</f>
        <v>cuco</v>
      </c>
      <c r="H7522" s="4" t="s">
        <v>9118</v>
      </c>
    </row>
    <row r="7523">
      <c r="A7523" s="4">
        <v>58.0</v>
      </c>
      <c r="B7523" s="4" t="s">
        <v>17041</v>
      </c>
      <c r="C7523" s="4"/>
      <c r="D7523" s="4" t="s">
        <v>17172</v>
      </c>
      <c r="E7523" s="4" t="s">
        <v>1600</v>
      </c>
      <c r="F7523" s="4" t="s">
        <v>1601</v>
      </c>
      <c r="G7523" s="5" t="str">
        <f>IFERROR(__xludf.DUMMYFUNCTION("GOOGLETRANSLATE(D7523,""nl"",""es"")"),"Frío")</f>
        <v>Frío</v>
      </c>
    </row>
    <row r="7524">
      <c r="A7524" s="4">
        <v>59.0</v>
      </c>
      <c r="B7524" s="4" t="s">
        <v>17041</v>
      </c>
      <c r="C7524" s="4"/>
      <c r="D7524" s="4" t="s">
        <v>17173</v>
      </c>
      <c r="E7524" s="4" t="s">
        <v>1479</v>
      </c>
      <c r="F7524" s="4" t="s">
        <v>1480</v>
      </c>
      <c r="G7524" s="5" t="str">
        <f>IFERROR(__xludf.DUMMYFUNCTION("GOOGLETRANSLATE(D7524,""nl"",""es"")"),"culi")</f>
        <v>culi</v>
      </c>
      <c r="H7524" s="4" t="s">
        <v>10117</v>
      </c>
      <c r="I7524" s="4" t="s">
        <v>10118</v>
      </c>
      <c r="J7524" s="4" t="s">
        <v>6128</v>
      </c>
      <c r="K7524" s="4" t="s">
        <v>15904</v>
      </c>
      <c r="L7524" s="4" t="s">
        <v>15905</v>
      </c>
      <c r="M7524" s="4" t="s">
        <v>15906</v>
      </c>
    </row>
    <row r="7525">
      <c r="A7525" s="4">
        <v>60.0</v>
      </c>
      <c r="B7525" s="4" t="s">
        <v>17041</v>
      </c>
      <c r="C7525" s="4"/>
      <c r="D7525" s="4" t="s">
        <v>17174</v>
      </c>
      <c r="E7525" s="4" t="s">
        <v>8222</v>
      </c>
      <c r="F7525" s="4" t="s">
        <v>8223</v>
      </c>
      <c r="G7525" s="5" t="str">
        <f>IFERROR(__xludf.DUMMYFUNCTION("GOOGLETRANSLATE(D7525,""nl"",""es"")"),"koen")</f>
        <v>koen</v>
      </c>
    </row>
    <row r="7526">
      <c r="A7526" s="4">
        <v>61.0</v>
      </c>
      <c r="B7526" s="4" t="s">
        <v>17041</v>
      </c>
      <c r="C7526" s="4"/>
      <c r="D7526" s="4" t="s">
        <v>6518</v>
      </c>
      <c r="E7526" s="4" t="s">
        <v>8444</v>
      </c>
      <c r="F7526" s="4" t="s">
        <v>4831</v>
      </c>
      <c r="G7526" s="5" t="str">
        <f>IFERROR(__xludf.DUMMYFUNCTION("GOOGLETRANSLATE(D7526,""nl"",""es"")"),"sonreír")</f>
        <v>sonreír</v>
      </c>
      <c r="H7526" s="4" t="s">
        <v>17175</v>
      </c>
      <c r="I7526" s="4" t="s">
        <v>17176</v>
      </c>
      <c r="J7526" s="4" t="s">
        <v>17177</v>
      </c>
      <c r="K7526" s="4" t="s">
        <v>17178</v>
      </c>
      <c r="L7526" s="4" t="s">
        <v>10986</v>
      </c>
      <c r="M7526" s="4" t="s">
        <v>17179</v>
      </c>
    </row>
    <row r="7527">
      <c r="A7527" s="4">
        <v>62.0</v>
      </c>
      <c r="B7527" s="4" t="s">
        <v>17041</v>
      </c>
      <c r="C7527" s="4"/>
      <c r="D7527" s="4" t="s">
        <v>17180</v>
      </c>
      <c r="E7527" s="4" t="s">
        <v>17181</v>
      </c>
      <c r="F7527" s="4" t="s">
        <v>17182</v>
      </c>
      <c r="G7527" s="5" t="str">
        <f>IFERROR(__xludf.DUMMYFUNCTION("GOOGLETRANSLATE(D7527,""nl"",""es"")"),"Óxido nitroso")</f>
        <v>Óxido nitroso</v>
      </c>
      <c r="H7527" s="4" t="s">
        <v>17183</v>
      </c>
      <c r="I7527" s="4" t="s">
        <v>17184</v>
      </c>
    </row>
    <row r="7528">
      <c r="A7528" s="4">
        <v>63.0</v>
      </c>
      <c r="B7528" s="4" t="s">
        <v>17041</v>
      </c>
      <c r="C7528" s="4"/>
      <c r="D7528" s="4" t="s">
        <v>16381</v>
      </c>
      <c r="E7528" s="4" t="s">
        <v>8444</v>
      </c>
      <c r="F7528" s="4" t="s">
        <v>4831</v>
      </c>
      <c r="G7528" s="5" t="str">
        <f>IFERROR(__xludf.DUMMYFUNCTION("GOOGLETRANSLATE(D7528,""nl"",""es"")"),"retraso")</f>
        <v>retraso</v>
      </c>
    </row>
    <row r="7529">
      <c r="A7529" s="4">
        <v>64.0</v>
      </c>
      <c r="B7529" s="4" t="s">
        <v>17041</v>
      </c>
      <c r="C7529" s="4"/>
      <c r="D7529" s="4" t="s">
        <v>4831</v>
      </c>
      <c r="E7529" s="4" t="s">
        <v>8443</v>
      </c>
      <c r="F7529" s="4" t="s">
        <v>4831</v>
      </c>
      <c r="G7529" s="5" t="str">
        <f>IFERROR(__xludf.DUMMYFUNCTION("GOOGLETRANSLATE(D7529,""nl"",""es"")"),"barniz")</f>
        <v>barniz</v>
      </c>
      <c r="H7529" s="4" t="s">
        <v>17185</v>
      </c>
      <c r="I7529" s="4" t="s">
        <v>17186</v>
      </c>
      <c r="J7529" s="4" t="s">
        <v>12527</v>
      </c>
      <c r="K7529" s="4" t="s">
        <v>6514</v>
      </c>
      <c r="L7529" s="4" t="s">
        <v>12528</v>
      </c>
      <c r="M7529" s="4" t="s">
        <v>10273</v>
      </c>
    </row>
    <row r="7530">
      <c r="A7530" s="4">
        <v>65.0</v>
      </c>
      <c r="B7530" s="4" t="s">
        <v>17041</v>
      </c>
      <c r="C7530" s="4"/>
      <c r="D7530" s="4" t="s">
        <v>4836</v>
      </c>
      <c r="E7530" s="4" t="s">
        <v>17187</v>
      </c>
      <c r="F7530" s="4" t="s">
        <v>4836</v>
      </c>
      <c r="G7530" s="5" t="str">
        <f>IFERROR(__xludf.DUMMYFUNCTION("GOOGLETRANSLATE(D7530,""nl"",""es"")"),"cordero")</f>
        <v>cordero</v>
      </c>
      <c r="H7530" s="4" t="s">
        <v>4678</v>
      </c>
      <c r="I7530" s="4" t="s">
        <v>4678</v>
      </c>
    </row>
    <row r="7531">
      <c r="A7531" s="4">
        <v>66.0</v>
      </c>
      <c r="B7531" s="4" t="s">
        <v>17041</v>
      </c>
      <c r="C7531" s="4"/>
      <c r="D7531" s="4" t="s">
        <v>4724</v>
      </c>
      <c r="E7531" s="4" t="s">
        <v>17188</v>
      </c>
      <c r="F7531" s="4" t="s">
        <v>4724</v>
      </c>
      <c r="G7531" s="5" t="str">
        <f>IFERROR(__xludf.DUMMYFUNCTION("GOOGLETRANSLATE(D7531,""nl"",""es"")"),"parche")</f>
        <v>parche</v>
      </c>
      <c r="H7531" s="4" t="s">
        <v>17189</v>
      </c>
      <c r="I7531" s="4" t="s">
        <v>12137</v>
      </c>
      <c r="J7531" s="4" t="s">
        <v>17190</v>
      </c>
      <c r="K7531" s="4" t="s">
        <v>17191</v>
      </c>
      <c r="L7531" s="4" t="s">
        <v>17192</v>
      </c>
    </row>
    <row r="7532">
      <c r="A7532" s="4">
        <v>67.0</v>
      </c>
      <c r="B7532" s="4" t="s">
        <v>17041</v>
      </c>
      <c r="C7532" s="4"/>
      <c r="D7532" s="4" t="s">
        <v>7940</v>
      </c>
      <c r="E7532" s="4" t="s">
        <v>12537</v>
      </c>
      <c r="F7532" s="4" t="s">
        <v>12538</v>
      </c>
      <c r="G7532" s="5" t="str">
        <f>IFERROR(__xludf.DUMMYFUNCTION("GOOGLETRANSLATE(D7532,""nl"",""es"")"),"arrendar")</f>
        <v>arrendar</v>
      </c>
    </row>
    <row r="7533">
      <c r="A7533" s="4">
        <v>68.0</v>
      </c>
      <c r="B7533" s="4" t="s">
        <v>17041</v>
      </c>
      <c r="C7533" s="4"/>
      <c r="D7533" s="4" t="s">
        <v>17193</v>
      </c>
      <c r="E7533" s="4" t="s">
        <v>17194</v>
      </c>
      <c r="F7533" s="4" t="s">
        <v>6600</v>
      </c>
      <c r="G7533" s="5" t="str">
        <f>IFERROR(__xludf.DUMMYFUNCTION("GOOGLETRANSLATE(D7533,""nl"",""es"")"),"Mentir")</f>
        <v>Mentir</v>
      </c>
    </row>
    <row r="7534">
      <c r="A7534" s="4">
        <v>69.0</v>
      </c>
      <c r="B7534" s="4" t="s">
        <v>17041</v>
      </c>
      <c r="C7534" s="4"/>
      <c r="D7534" s="4" t="s">
        <v>17195</v>
      </c>
      <c r="E7534" s="4" t="s">
        <v>12605</v>
      </c>
      <c r="F7534" s="4" t="s">
        <v>6650</v>
      </c>
      <c r="G7534" s="5" t="str">
        <f>IFERROR(__xludf.DUMMYFUNCTION("GOOGLETRANSLATE(D7534,""nl"",""es"")"),"caminado")</f>
        <v>caminado</v>
      </c>
    </row>
    <row r="7535">
      <c r="A7535" s="4">
        <v>70.0</v>
      </c>
      <c r="B7535" s="4" t="s">
        <v>17041</v>
      </c>
      <c r="C7535" s="4"/>
      <c r="D7535" s="4" t="s">
        <v>17196</v>
      </c>
      <c r="E7535" s="4" t="s">
        <v>12537</v>
      </c>
      <c r="F7535" s="4" t="s">
        <v>12538</v>
      </c>
      <c r="G7535" s="5" t="str">
        <f>IFERROR(__xludf.DUMMYFUNCTION("GOOGLETRANSLATE(D7535,""nl"",""es"")"),"ingle")</f>
        <v>ingle</v>
      </c>
      <c r="H7535" s="4" t="s">
        <v>17197</v>
      </c>
      <c r="I7535" s="4" t="s">
        <v>17198</v>
      </c>
    </row>
    <row r="7536">
      <c r="A7536" s="4">
        <v>71.0</v>
      </c>
      <c r="B7536" s="4" t="s">
        <v>17041</v>
      </c>
      <c r="C7536" s="4"/>
      <c r="D7536" s="4" t="s">
        <v>17199</v>
      </c>
      <c r="E7536" s="4" t="s">
        <v>17200</v>
      </c>
      <c r="F7536" s="4" t="s">
        <v>6600</v>
      </c>
      <c r="G7536" s="5" t="str">
        <f>IFERROR(__xludf.DUMMYFUNCTION("GOOGLETRANSLATE(D7536,""nl"",""es"")"),"mintiendo")</f>
        <v>mintiendo</v>
      </c>
    </row>
    <row r="7537">
      <c r="A7537" s="4">
        <v>72.0</v>
      </c>
      <c r="B7537" s="4" t="s">
        <v>17041</v>
      </c>
      <c r="C7537" s="4"/>
      <c r="D7537" s="4" t="s">
        <v>6600</v>
      </c>
      <c r="E7537" s="4" t="s">
        <v>6599</v>
      </c>
      <c r="F7537" s="4" t="s">
        <v>6600</v>
      </c>
      <c r="G7537" s="5" t="str">
        <f>IFERROR(__xludf.DUMMYFUNCTION("GOOGLETRANSLATE(D7537,""nl"",""es"")"),"lamer")</f>
        <v>lamer</v>
      </c>
      <c r="H7537" s="4" t="s">
        <v>6467</v>
      </c>
      <c r="I7537" s="4" t="s">
        <v>6470</v>
      </c>
      <c r="J7537" s="4" t="s">
        <v>6471</v>
      </c>
      <c r="K7537" s="4" t="s">
        <v>6566</v>
      </c>
      <c r="L7537" s="4" t="s">
        <v>4724</v>
      </c>
      <c r="M7537" s="4" t="s">
        <v>16384</v>
      </c>
      <c r="N7537" s="4" t="s">
        <v>17201</v>
      </c>
      <c r="O7537" s="4" t="s">
        <v>16386</v>
      </c>
      <c r="P7537" s="4" t="s">
        <v>10042</v>
      </c>
      <c r="Q7537" s="4" t="s">
        <v>17202</v>
      </c>
      <c r="R7537" s="4" t="s">
        <v>17203</v>
      </c>
      <c r="S7537" s="4" t="s">
        <v>17204</v>
      </c>
      <c r="T7537" s="4" t="s">
        <v>7759</v>
      </c>
      <c r="U7537" s="4" t="s">
        <v>2806</v>
      </c>
      <c r="V7537" s="4" t="s">
        <v>2804</v>
      </c>
    </row>
    <row r="7538">
      <c r="A7538" s="4">
        <v>73.0</v>
      </c>
      <c r="B7538" s="4" t="s">
        <v>17041</v>
      </c>
      <c r="C7538" s="4"/>
      <c r="D7538" s="4" t="s">
        <v>17205</v>
      </c>
      <c r="E7538" s="4" t="s">
        <v>17206</v>
      </c>
      <c r="F7538" s="4" t="s">
        <v>17207</v>
      </c>
      <c r="G7538" s="5" t="str">
        <f>IFERROR(__xludf.DUMMYFUNCTION("GOOGLETRANSLATE(D7538,""nl"",""es"")"),"Lima")</f>
        <v>Lima</v>
      </c>
      <c r="H7538" s="4" t="s">
        <v>2166</v>
      </c>
    </row>
    <row r="7539">
      <c r="A7539" s="4">
        <v>74.0</v>
      </c>
      <c r="B7539" s="4" t="s">
        <v>17041</v>
      </c>
      <c r="C7539" s="4"/>
      <c r="D7539" s="4" t="s">
        <v>17208</v>
      </c>
      <c r="E7539" s="4" t="s">
        <v>5281</v>
      </c>
      <c r="F7539" s="4" t="s">
        <v>5282</v>
      </c>
      <c r="G7539" s="5" t="str">
        <f>IFERROR(__xludf.DUMMYFUNCTION("GOOGLETRANSLATE(D7539,""nl"",""es"")"),"línea")</f>
        <v>línea</v>
      </c>
      <c r="H7539" s="4" t="s">
        <v>1681</v>
      </c>
      <c r="I7539" s="4" t="s">
        <v>17209</v>
      </c>
    </row>
    <row r="7540">
      <c r="A7540" s="4">
        <v>75.0</v>
      </c>
      <c r="B7540" s="4" t="s">
        <v>17041</v>
      </c>
      <c r="C7540" s="4"/>
      <c r="D7540" s="4" t="s">
        <v>6650</v>
      </c>
      <c r="E7540" s="4" t="s">
        <v>6651</v>
      </c>
      <c r="F7540" s="4" t="s">
        <v>6650</v>
      </c>
      <c r="G7540" s="5" t="str">
        <f>IFERROR(__xludf.DUMMYFUNCTION("GOOGLETRANSLATE(D7540,""nl"",""es"")"),"labio")</f>
        <v>labio</v>
      </c>
      <c r="H7540" s="4" t="s">
        <v>6650</v>
      </c>
    </row>
    <row r="7541">
      <c r="A7541" s="4">
        <v>76.0</v>
      </c>
      <c r="B7541" s="4" t="s">
        <v>17041</v>
      </c>
      <c r="C7541" s="4"/>
      <c r="D7541" s="4" t="s">
        <v>17210</v>
      </c>
      <c r="E7541" s="4" t="s">
        <v>12658</v>
      </c>
      <c r="F7541" s="4" t="s">
        <v>12659</v>
      </c>
      <c r="G7541" s="5" t="str">
        <f>IFERROR(__xludf.DUMMYFUNCTION("GOOGLETRANSLATE(D7541,""nl"",""es"")"),"círculo")</f>
        <v>círculo</v>
      </c>
      <c r="H7541" s="4" t="s">
        <v>12657</v>
      </c>
      <c r="I7541" s="4" t="s">
        <v>12660</v>
      </c>
    </row>
    <row r="7542">
      <c r="A7542" s="4">
        <v>77.0</v>
      </c>
      <c r="B7542" s="4" t="s">
        <v>17041</v>
      </c>
      <c r="C7542" s="4"/>
      <c r="D7542" s="4" t="s">
        <v>17211</v>
      </c>
      <c r="E7542" s="4" t="s">
        <v>14439</v>
      </c>
      <c r="F7542" s="4" t="s">
        <v>14440</v>
      </c>
      <c r="G7542" s="5" t="str">
        <f>IFERROR(__xludf.DUMMYFUNCTION("GOOGLETRANSLATE(D7542,""nl"",""es"")"),"bocina")</f>
        <v>bocina</v>
      </c>
    </row>
    <row r="7543">
      <c r="A7543" s="4">
        <v>78.0</v>
      </c>
      <c r="B7543" s="4" t="s">
        <v>17041</v>
      </c>
      <c r="C7543" s="4"/>
      <c r="D7543" s="4" t="s">
        <v>17212</v>
      </c>
      <c r="E7543" s="4" t="s">
        <v>17213</v>
      </c>
      <c r="F7543" s="4" t="s">
        <v>17214</v>
      </c>
      <c r="G7543" s="5" t="str">
        <f>IFERROR(__xludf.DUMMYFUNCTION("GOOGLETRANSLATE(D7543,""nl"",""es"")"),"Cañón")</f>
        <v>Cañón</v>
      </c>
    </row>
    <row r="7544">
      <c r="A7544" s="4">
        <v>79.0</v>
      </c>
      <c r="B7544" s="4" t="s">
        <v>17041</v>
      </c>
      <c r="C7544" s="4"/>
      <c r="D7544" s="4" t="s">
        <v>6669</v>
      </c>
      <c r="E7544" s="4" t="s">
        <v>12633</v>
      </c>
      <c r="F7544" s="4" t="s">
        <v>6671</v>
      </c>
      <c r="G7544" s="5" t="str">
        <f>IFERROR(__xludf.DUMMYFUNCTION("GOOGLETRANSLATE(D7544,""nl"",""es"")"),"ajo")</f>
        <v>ajo</v>
      </c>
    </row>
    <row r="7545">
      <c r="A7545" s="4">
        <v>80.0</v>
      </c>
      <c r="B7545" s="4" t="s">
        <v>17041</v>
      </c>
      <c r="C7545" s="4"/>
      <c r="D7545" s="4" t="s">
        <v>2299</v>
      </c>
      <c r="E7545" s="4" t="s">
        <v>15136</v>
      </c>
      <c r="F7545" s="4" t="s">
        <v>2301</v>
      </c>
      <c r="G7545" s="5" t="str">
        <f>IFERROR(__xludf.DUMMYFUNCTION("GOOGLETRANSLATE(D7545,""nl"",""es"")"),"permitió")</f>
        <v>permitió</v>
      </c>
    </row>
    <row r="7546">
      <c r="A7546" s="4">
        <v>81.0</v>
      </c>
      <c r="B7546" s="4" t="s">
        <v>17041</v>
      </c>
      <c r="C7546" s="4"/>
      <c r="D7546" s="4" t="s">
        <v>2301</v>
      </c>
      <c r="E7546" s="4" t="s">
        <v>8524</v>
      </c>
      <c r="F7546" s="4" t="s">
        <v>2301</v>
      </c>
      <c r="G7546" s="5" t="str">
        <f>IFERROR(__xludf.DUMMYFUNCTION("GOOGLETRANSLATE(D7546,""nl"",""es"")"),"astuto")</f>
        <v>astuto</v>
      </c>
    </row>
    <row r="7547">
      <c r="A7547" s="4">
        <v>82.0</v>
      </c>
      <c r="B7547" s="4" t="s">
        <v>17041</v>
      </c>
      <c r="C7547" s="4"/>
      <c r="D7547" s="4" t="s">
        <v>17215</v>
      </c>
      <c r="E7547" s="4" t="s">
        <v>17216</v>
      </c>
      <c r="F7547" s="4" t="s">
        <v>2463</v>
      </c>
      <c r="G7547" s="5" t="str">
        <f>IFERROR(__xludf.DUMMYFUNCTION("GOOGLETRANSLATE(D7547,""nl"",""es"")"),"makkie")</f>
        <v>makkie</v>
      </c>
      <c r="H7547" s="4" t="s">
        <v>17217</v>
      </c>
      <c r="I7547" s="4" t="s">
        <v>17218</v>
      </c>
      <c r="J7547" s="4" t="s">
        <v>17219</v>
      </c>
      <c r="K7547" s="4" t="s">
        <v>10926</v>
      </c>
      <c r="L7547" s="4" t="s">
        <v>17220</v>
      </c>
      <c r="M7547" s="4" t="s">
        <v>17221</v>
      </c>
      <c r="N7547" s="4" t="s">
        <v>17222</v>
      </c>
      <c r="O7547" s="4" t="s">
        <v>17223</v>
      </c>
      <c r="P7547" s="4" t="s">
        <v>17224</v>
      </c>
    </row>
    <row r="7548">
      <c r="A7548" s="4">
        <v>83.0</v>
      </c>
      <c r="B7548" s="4" t="s">
        <v>17041</v>
      </c>
      <c r="C7548" s="4"/>
      <c r="D7548" s="4" t="s">
        <v>2322</v>
      </c>
      <c r="E7548" s="4" t="s">
        <v>13032</v>
      </c>
      <c r="F7548" s="4" t="s">
        <v>2322</v>
      </c>
      <c r="G7548" s="5" t="str">
        <f>IFERROR(__xludf.DUMMYFUNCTION("GOOGLETRANSLATE(D7548,""nl"",""es"")"),"moho")</f>
        <v>moho</v>
      </c>
      <c r="H7548" s="4" t="s">
        <v>17225</v>
      </c>
      <c r="I7548" s="4" t="s">
        <v>17226</v>
      </c>
      <c r="J7548" s="4" t="s">
        <v>3413</v>
      </c>
    </row>
    <row r="7549">
      <c r="A7549" s="4">
        <v>84.0</v>
      </c>
      <c r="B7549" s="4" t="s">
        <v>17041</v>
      </c>
      <c r="C7549" s="4"/>
      <c r="D7549" s="4" t="s">
        <v>6701</v>
      </c>
      <c r="E7549" s="4" t="s">
        <v>8528</v>
      </c>
      <c r="F7549" s="4" t="s">
        <v>6701</v>
      </c>
      <c r="G7549" s="5" t="str">
        <f>IFERROR(__xludf.DUMMYFUNCTION("GOOGLETRANSLATE(D7549,""nl"",""es"")"),"mamá")</f>
        <v>mamá</v>
      </c>
      <c r="H7549" s="4" t="s">
        <v>2383</v>
      </c>
      <c r="I7549" s="4" t="s">
        <v>2384</v>
      </c>
      <c r="J7549" s="4" t="s">
        <v>8941</v>
      </c>
      <c r="K7549" s="4" t="s">
        <v>8942</v>
      </c>
    </row>
    <row r="7550">
      <c r="A7550" s="4">
        <v>85.0</v>
      </c>
      <c r="B7550" s="4" t="s">
        <v>17041</v>
      </c>
      <c r="C7550" s="4"/>
      <c r="D7550" s="4" t="s">
        <v>17227</v>
      </c>
      <c r="E7550" s="4" t="s">
        <v>17228</v>
      </c>
      <c r="F7550" s="4" t="s">
        <v>12789</v>
      </c>
      <c r="G7550" s="5" t="str">
        <f>IFERROR(__xludf.DUMMYFUNCTION("GOOGLETRANSLATE(D7550,""nl"",""es"")"),"mamá")</f>
        <v>mamá</v>
      </c>
      <c r="H7550" s="4" t="s">
        <v>8941</v>
      </c>
      <c r="I7550" s="4" t="s">
        <v>8942</v>
      </c>
    </row>
    <row r="7551">
      <c r="A7551" s="4">
        <v>86.0</v>
      </c>
      <c r="B7551" s="4" t="s">
        <v>17041</v>
      </c>
      <c r="C7551" s="4"/>
      <c r="D7551" s="4" t="s">
        <v>2460</v>
      </c>
      <c r="E7551" s="4" t="s">
        <v>8540</v>
      </c>
      <c r="F7551" s="4" t="s">
        <v>2460</v>
      </c>
      <c r="G7551" s="5" t="str">
        <f>IFERROR(__xludf.DUMMYFUNCTION("GOOGLETRANSLATE(D7551,""nl"",""es"")"),"carpeta")</f>
        <v>carpeta</v>
      </c>
      <c r="H7551" s="4" t="s">
        <v>17229</v>
      </c>
      <c r="I7551" s="4" t="s">
        <v>17230</v>
      </c>
      <c r="J7551" s="4" t="s">
        <v>17231</v>
      </c>
      <c r="K7551" s="4" t="s">
        <v>17232</v>
      </c>
      <c r="L7551" s="4" t="s">
        <v>17233</v>
      </c>
      <c r="M7551" s="4" t="s">
        <v>17234</v>
      </c>
      <c r="N7551" s="4" t="s">
        <v>17235</v>
      </c>
      <c r="O7551" s="4" t="s">
        <v>17236</v>
      </c>
    </row>
    <row r="7552">
      <c r="A7552" s="4">
        <v>87.0</v>
      </c>
      <c r="B7552" s="4" t="s">
        <v>17041</v>
      </c>
      <c r="C7552" s="4"/>
      <c r="D7552" s="4" t="s">
        <v>17237</v>
      </c>
      <c r="E7552" s="4" t="s">
        <v>17238</v>
      </c>
      <c r="F7552" s="4" t="s">
        <v>17239</v>
      </c>
      <c r="G7552" s="5" t="str">
        <f>IFERROR(__xludf.DUMMYFUNCTION("GOOGLETRANSLATE(D7552,""nl"",""es"")"),"Michiel")</f>
        <v>Michiel</v>
      </c>
      <c r="H7552" s="4" t="s">
        <v>17240</v>
      </c>
    </row>
    <row r="7553">
      <c r="A7553" s="4">
        <v>88.0</v>
      </c>
      <c r="B7553" s="4" t="s">
        <v>17041</v>
      </c>
      <c r="C7553" s="4"/>
      <c r="D7553" s="4" t="s">
        <v>12875</v>
      </c>
      <c r="E7553" s="4" t="s">
        <v>341</v>
      </c>
      <c r="F7553" s="4" t="s">
        <v>342</v>
      </c>
      <c r="G7553" s="5" t="str">
        <f>IFERROR(__xludf.DUMMYFUNCTION("GOOGLETRANSLATE(D7553,""nl"",""es"")"),"rocín")</f>
        <v>rocín</v>
      </c>
    </row>
    <row r="7554">
      <c r="A7554" s="4">
        <v>89.0</v>
      </c>
      <c r="B7554" s="4" t="s">
        <v>17041</v>
      </c>
      <c r="C7554" s="4"/>
      <c r="D7554" s="4" t="s">
        <v>17241</v>
      </c>
      <c r="E7554" s="4" t="s">
        <v>17242</v>
      </c>
      <c r="F7554" s="4" t="s">
        <v>17243</v>
      </c>
      <c r="G7554" s="5" t="str">
        <f>IFERROR(__xludf.DUMMYFUNCTION("GOOGLETRANSLATE(D7554,""nl"",""es"")"),"mezcla")</f>
        <v>mezcla</v>
      </c>
    </row>
    <row r="7555">
      <c r="A7555" s="4">
        <v>90.0</v>
      </c>
      <c r="B7555" s="4" t="s">
        <v>17041</v>
      </c>
      <c r="C7555" s="4"/>
      <c r="D7555" s="4" t="s">
        <v>345</v>
      </c>
      <c r="E7555" s="4" t="s">
        <v>6805</v>
      </c>
      <c r="F7555" s="4" t="s">
        <v>345</v>
      </c>
      <c r="G7555" s="5" t="str">
        <f>IFERROR(__xludf.DUMMYFUNCTION("GOOGLETRANSLATE(D7555,""nl"",""es"")"),"mik")</f>
        <v>mik</v>
      </c>
    </row>
    <row r="7556">
      <c r="A7556" s="4">
        <v>91.0</v>
      </c>
      <c r="B7556" s="4" t="s">
        <v>17041</v>
      </c>
      <c r="C7556" s="4"/>
      <c r="D7556" s="4" t="s">
        <v>12884</v>
      </c>
      <c r="E7556" s="4" t="s">
        <v>2623</v>
      </c>
      <c r="F7556" s="4" t="s">
        <v>2622</v>
      </c>
      <c r="G7556" s="5" t="str">
        <f>IFERROR(__xludf.DUMMYFUNCTION("GOOGLETRANSLATE(D7556,""nl"",""es"")"),"molar")</f>
        <v>molar</v>
      </c>
      <c r="H7556" s="4" t="s">
        <v>2624</v>
      </c>
      <c r="I7556" s="4" t="s">
        <v>2625</v>
      </c>
      <c r="J7556" s="4">
        <v>1000.0</v>
      </c>
      <c r="K7556" s="4" t="s">
        <v>2628</v>
      </c>
      <c r="L7556" s="4" t="s">
        <v>2629</v>
      </c>
      <c r="M7556" s="4" t="s">
        <v>2630</v>
      </c>
      <c r="N7556" s="4" t="s">
        <v>2631</v>
      </c>
      <c r="O7556" s="4" t="s">
        <v>2632</v>
      </c>
      <c r="P7556" s="4" t="s">
        <v>2633</v>
      </c>
      <c r="Q7556" s="4" t="s">
        <v>2634</v>
      </c>
    </row>
    <row r="7557">
      <c r="A7557" s="4">
        <v>92.0</v>
      </c>
      <c r="B7557" s="4" t="s">
        <v>17041</v>
      </c>
      <c r="C7557" s="4"/>
      <c r="D7557" s="4" t="s">
        <v>17244</v>
      </c>
      <c r="E7557" s="4" t="s">
        <v>2877</v>
      </c>
      <c r="F7557" s="4" t="s">
        <v>2878</v>
      </c>
      <c r="G7557" s="5" t="str">
        <f>IFERROR(__xludf.DUMMYFUNCTION("GOOGLETRANSLATE(D7557,""nl"",""es"")"),"imitar")</f>
        <v>imitar</v>
      </c>
      <c r="H7557" s="4" t="s">
        <v>2690</v>
      </c>
      <c r="I7557" s="4" t="s">
        <v>2882</v>
      </c>
      <c r="J7557" s="4" t="s">
        <v>2883</v>
      </c>
    </row>
    <row r="7558">
      <c r="A7558" s="4">
        <v>93.0</v>
      </c>
      <c r="B7558" s="4" t="s">
        <v>17041</v>
      </c>
      <c r="C7558" s="4"/>
      <c r="D7558" s="4" t="s">
        <v>6841</v>
      </c>
      <c r="E7558" s="4" t="s">
        <v>6842</v>
      </c>
      <c r="F7558" s="4" t="s">
        <v>6841</v>
      </c>
      <c r="G7558" s="5" t="str">
        <f>IFERROR(__xludf.DUMMYFUNCTION("GOOGLETRANSLATE(D7558,""nl"",""es"")"),"menos")</f>
        <v>menos</v>
      </c>
      <c r="H7558" s="4" t="s">
        <v>17245</v>
      </c>
      <c r="I7558" s="4" t="s">
        <v>572</v>
      </c>
      <c r="J7558" s="4" t="s">
        <v>6936</v>
      </c>
      <c r="K7558" s="4" t="s">
        <v>17246</v>
      </c>
      <c r="L7558" s="4" t="s">
        <v>17247</v>
      </c>
      <c r="M7558" s="4" t="s">
        <v>17248</v>
      </c>
      <c r="N7558" s="4" t="s">
        <v>17249</v>
      </c>
    </row>
    <row r="7559">
      <c r="A7559" s="4">
        <v>94.0</v>
      </c>
      <c r="B7559" s="4" t="s">
        <v>17041</v>
      </c>
      <c r="C7559" s="4"/>
      <c r="D7559" s="4" t="s">
        <v>2711</v>
      </c>
      <c r="E7559" s="4" t="s">
        <v>6860</v>
      </c>
      <c r="F7559" s="4" t="s">
        <v>2711</v>
      </c>
      <c r="G7559" s="5" t="str">
        <f>IFERROR(__xludf.DUMMYFUNCTION("GOOGLETRANSLATE(D7559,""nl"",""es"")"),"masa")</f>
        <v>masa</v>
      </c>
      <c r="H7559" s="4" t="s">
        <v>2715</v>
      </c>
      <c r="I7559" s="4" t="s">
        <v>1744</v>
      </c>
      <c r="J7559" s="4" t="s">
        <v>17250</v>
      </c>
      <c r="K7559" s="4" t="s">
        <v>2715</v>
      </c>
      <c r="L7559" s="4" t="s">
        <v>1743</v>
      </c>
    </row>
    <row r="7560">
      <c r="A7560" s="4">
        <v>95.0</v>
      </c>
      <c r="B7560" s="4" t="s">
        <v>17041</v>
      </c>
      <c r="C7560" s="4"/>
      <c r="D7560" s="4" t="s">
        <v>2709</v>
      </c>
      <c r="E7560" s="4" t="s">
        <v>6860</v>
      </c>
      <c r="F7560" s="4" t="s">
        <v>2711</v>
      </c>
      <c r="G7560" s="5" t="str">
        <f>IFERROR(__xludf.DUMMYFUNCTION("GOOGLETRANSLATE(D7560,""nl"",""es"")"),"señorita")</f>
        <v>señorita</v>
      </c>
      <c r="H7560" s="4" t="s">
        <v>2488</v>
      </c>
      <c r="I7560" s="4" t="s">
        <v>17251</v>
      </c>
    </row>
    <row r="7561">
      <c r="A7561" s="4">
        <v>96.0</v>
      </c>
      <c r="B7561" s="4" t="s">
        <v>17041</v>
      </c>
      <c r="C7561" s="4"/>
      <c r="D7561" s="4" t="s">
        <v>17252</v>
      </c>
      <c r="E7561" s="4" t="s">
        <v>6879</v>
      </c>
      <c r="F7561" s="4" t="s">
        <v>6880</v>
      </c>
      <c r="G7561" s="5" t="str">
        <f>IFERROR(__xludf.DUMMYFUNCTION("GOOGLETRANSLATE(D7561,""nl"",""es"")"),"misión")</f>
        <v>misión</v>
      </c>
      <c r="H7561" s="4" t="s">
        <v>16080</v>
      </c>
      <c r="I7561" s="4" t="s">
        <v>16081</v>
      </c>
      <c r="J7561" s="4" t="s">
        <v>16080</v>
      </c>
      <c r="K7561" s="4" t="s">
        <v>917</v>
      </c>
      <c r="L7561" s="4" t="s">
        <v>16082</v>
      </c>
      <c r="M7561" s="4" t="s">
        <v>16084</v>
      </c>
      <c r="N7561" s="4" t="s">
        <v>16082</v>
      </c>
      <c r="O7561" s="4" t="s">
        <v>16085</v>
      </c>
      <c r="P7561" s="4" t="s">
        <v>16086</v>
      </c>
      <c r="Q7561" s="4" t="s">
        <v>16080</v>
      </c>
      <c r="R7561" s="4" t="s">
        <v>17253</v>
      </c>
    </row>
    <row r="7562">
      <c r="A7562" s="4">
        <v>97.0</v>
      </c>
      <c r="B7562" s="4" t="s">
        <v>17041</v>
      </c>
      <c r="C7562" s="4"/>
      <c r="D7562" s="4" t="s">
        <v>17254</v>
      </c>
      <c r="E7562" s="4" t="s">
        <v>366</v>
      </c>
      <c r="F7562" s="4" t="s">
        <v>367</v>
      </c>
      <c r="G7562" s="5" t="str">
        <f>IFERROR(__xludf.DUMMYFUNCTION("GOOGLETRANSLATE(D7562,""nl"",""es"")"),"cansado")</f>
        <v>cansado</v>
      </c>
      <c r="H7562" s="4" t="s">
        <v>8941</v>
      </c>
      <c r="I7562" s="4" t="s">
        <v>8942</v>
      </c>
    </row>
    <row r="7563">
      <c r="A7563" s="4">
        <v>98.0</v>
      </c>
      <c r="B7563" s="4" t="s">
        <v>17041</v>
      </c>
      <c r="C7563" s="4"/>
      <c r="D7563" s="4" t="s">
        <v>17255</v>
      </c>
      <c r="E7563" s="4" t="s">
        <v>17256</v>
      </c>
      <c r="F7563" s="4" t="s">
        <v>17257</v>
      </c>
      <c r="G7563" s="5" t="str">
        <f>IFERROR(__xludf.DUMMYFUNCTION("GOOGLETRANSLATE(D7563,""nl"",""es"")"),"entrometido")</f>
        <v>entrometido</v>
      </c>
      <c r="H7563" s="4" t="s">
        <v>17258</v>
      </c>
      <c r="I7563" s="4" t="s">
        <v>17259</v>
      </c>
      <c r="J7563" s="4" t="s">
        <v>17260</v>
      </c>
      <c r="K7563" s="4" t="s">
        <v>17261</v>
      </c>
      <c r="L7563" s="4" t="s">
        <v>17262</v>
      </c>
    </row>
    <row r="7564">
      <c r="A7564" s="4">
        <v>99.0</v>
      </c>
      <c r="B7564" s="4" t="s">
        <v>17041</v>
      </c>
      <c r="C7564" s="4"/>
      <c r="D7564" s="4" t="s">
        <v>17263</v>
      </c>
      <c r="E7564" s="4" t="s">
        <v>13002</v>
      </c>
      <c r="F7564" s="4" t="s">
        <v>13003</v>
      </c>
      <c r="G7564" s="5" t="str">
        <f>IFERROR(__xludf.DUMMYFUNCTION("GOOGLETRANSLATE(D7564,""nl"",""es"")"),"musa")</f>
        <v>musa</v>
      </c>
      <c r="H7564" s="4" t="s">
        <v>8941</v>
      </c>
      <c r="I7564" s="4" t="s">
        <v>8942</v>
      </c>
    </row>
    <row r="7565">
      <c r="A7565" s="4">
        <v>100.0</v>
      </c>
      <c r="B7565" s="4" t="s">
        <v>17041</v>
      </c>
      <c r="C7565" s="4"/>
      <c r="D7565" s="4" t="s">
        <v>17264</v>
      </c>
      <c r="E7565" s="4" t="s">
        <v>17265</v>
      </c>
      <c r="F7565" s="4" t="s">
        <v>17266</v>
      </c>
      <c r="G7565" s="5" t="str">
        <f>IFERROR(__xludf.DUMMYFUNCTION("GOOGLETRANSLATE(D7565,""nl"",""es"")"),"mítico")</f>
        <v>mítico</v>
      </c>
    </row>
    <row r="7566">
      <c r="A7566" s="4">
        <v>101.0</v>
      </c>
      <c r="B7566" s="4" t="s">
        <v>17041</v>
      </c>
      <c r="C7566" s="4"/>
      <c r="D7566" s="4" t="s">
        <v>17267</v>
      </c>
      <c r="E7566" s="4" t="s">
        <v>17268</v>
      </c>
      <c r="F7566" s="4" t="s">
        <v>13057</v>
      </c>
      <c r="G7566" s="5" t="str">
        <f>IFERROR(__xludf.DUMMYFUNCTION("GOOGLETRANSLATE(D7566,""nl"",""es"")"),"nakkie")</f>
        <v>nakkie</v>
      </c>
    </row>
    <row r="7567">
      <c r="A7567" s="4">
        <v>102.0</v>
      </c>
      <c r="B7567" s="4" t="s">
        <v>17041</v>
      </c>
      <c r="C7567" s="4"/>
      <c r="D7567" s="4" t="s">
        <v>2928</v>
      </c>
      <c r="E7567" s="4" t="s">
        <v>17269</v>
      </c>
      <c r="F7567" s="4" t="s">
        <v>2928</v>
      </c>
      <c r="G7567" s="5" t="str">
        <f>IFERROR(__xludf.DUMMYFUNCTION("GOOGLETRANSLATE(D7567,""nl"",""es"")"),"taza")</f>
        <v>taza</v>
      </c>
    </row>
    <row r="7568">
      <c r="A7568" s="4">
        <v>103.0</v>
      </c>
      <c r="B7568" s="4" t="s">
        <v>17041</v>
      </c>
      <c r="C7568" s="4"/>
      <c r="D7568" s="4" t="s">
        <v>15275</v>
      </c>
      <c r="E7568" s="4" t="s">
        <v>17270</v>
      </c>
      <c r="F7568" s="4" t="s">
        <v>15275</v>
      </c>
      <c r="G7568" s="5" t="str">
        <f>IFERROR(__xludf.DUMMYFUNCTION("GOOGLETRANSLATE(D7568,""nl"",""es"")"),"Nasi")</f>
        <v>Nasi</v>
      </c>
      <c r="H7568" s="4" t="s">
        <v>15277</v>
      </c>
    </row>
    <row r="7569">
      <c r="A7569" s="4">
        <v>104.0</v>
      </c>
      <c r="B7569" s="4" t="s">
        <v>17041</v>
      </c>
      <c r="C7569" s="4"/>
      <c r="D7569" s="4" t="s">
        <v>8556</v>
      </c>
      <c r="E7569" s="4" t="s">
        <v>8557</v>
      </c>
      <c r="F7569" s="4" t="s">
        <v>8558</v>
      </c>
      <c r="G7569" s="5" t="str">
        <f>IFERROR(__xludf.DUMMYFUNCTION("GOOGLETRANSLATE(D7569,""nl"",""es"")"),"nicho")</f>
        <v>nicho</v>
      </c>
    </row>
    <row r="7570">
      <c r="A7570" s="4">
        <v>105.0</v>
      </c>
      <c r="B7570" s="4" t="s">
        <v>17041</v>
      </c>
      <c r="C7570" s="4"/>
      <c r="D7570" s="4" t="s">
        <v>13089</v>
      </c>
      <c r="E7570" s="4" t="s">
        <v>388</v>
      </c>
      <c r="F7570" s="4" t="s">
        <v>389</v>
      </c>
      <c r="G7570" s="5" t="str">
        <f>IFERROR(__xludf.DUMMYFUNCTION("GOOGLETRANSLATE(D7570,""nl"",""es"")"),"nie")</f>
        <v>nie</v>
      </c>
    </row>
    <row r="7571">
      <c r="A7571" s="4">
        <v>106.0</v>
      </c>
      <c r="B7571" s="4" t="s">
        <v>17041</v>
      </c>
      <c r="C7571" s="4"/>
      <c r="D7571" s="4" t="s">
        <v>13089</v>
      </c>
      <c r="E7571" s="4" t="s">
        <v>17271</v>
      </c>
      <c r="F7571" s="4" t="s">
        <v>389</v>
      </c>
      <c r="G7571" s="5" t="str">
        <f>IFERROR(__xludf.DUMMYFUNCTION("GOOGLETRANSLATE(D7571,""nl"",""es"")"),"nie")</f>
        <v>nie</v>
      </c>
    </row>
    <row r="7572">
      <c r="A7572" s="4">
        <v>107.0</v>
      </c>
      <c r="B7572" s="4" t="s">
        <v>17041</v>
      </c>
      <c r="C7572" s="4"/>
      <c r="D7572" s="4" t="s">
        <v>17272</v>
      </c>
      <c r="E7572" s="4" t="s">
        <v>388</v>
      </c>
      <c r="F7572" s="4" t="s">
        <v>389</v>
      </c>
      <c r="G7572" s="5" t="str">
        <f>IFERROR(__xludf.DUMMYFUNCTION("GOOGLETRANSLATE(D7572,""nl"",""es"")"),"no ")</f>
        <v>no </v>
      </c>
      <c r="H7572" s="4" t="s">
        <v>15585</v>
      </c>
    </row>
    <row r="7573">
      <c r="A7573" s="4">
        <v>108.0</v>
      </c>
      <c r="B7573" s="4" t="s">
        <v>17041</v>
      </c>
      <c r="C7573" s="4"/>
      <c r="D7573" s="4" t="s">
        <v>8564</v>
      </c>
      <c r="E7573" s="4" t="s">
        <v>17273</v>
      </c>
      <c r="F7573" s="4" t="s">
        <v>8564</v>
      </c>
      <c r="G7573" s="5" t="str">
        <f>IFERROR(__xludf.DUMMYFUNCTION("GOOGLETRANSLATE(D7573,""nl"",""es"")"),"nicho")</f>
        <v>nicho</v>
      </c>
      <c r="H7573" s="4" t="s">
        <v>983</v>
      </c>
      <c r="I7573" s="4" t="s">
        <v>8559</v>
      </c>
      <c r="J7573" s="4" t="s">
        <v>8556</v>
      </c>
      <c r="K7573" s="4" t="s">
        <v>7029</v>
      </c>
      <c r="L7573" s="4" t="s">
        <v>8556</v>
      </c>
    </row>
    <row r="7574">
      <c r="A7574" s="4">
        <v>109.0</v>
      </c>
      <c r="B7574" s="4" t="s">
        <v>17041</v>
      </c>
      <c r="C7574" s="4"/>
      <c r="D7574" s="4" t="s">
        <v>17274</v>
      </c>
      <c r="E7574" s="4" t="s">
        <v>13102</v>
      </c>
      <c r="F7574" s="4" t="s">
        <v>7032</v>
      </c>
      <c r="G7574" s="5" t="str">
        <f>IFERROR(__xludf.DUMMYFUNCTION("GOOGLETRANSLATE(D7574,""nl"",""es"")"),"mediodía")</f>
        <v>mediodía</v>
      </c>
      <c r="H7574" s="4" t="s">
        <v>17275</v>
      </c>
      <c r="I7574" s="4" t="s">
        <v>17276</v>
      </c>
      <c r="J7574" s="4" t="s">
        <v>17277</v>
      </c>
      <c r="K7574" s="4" t="s">
        <v>17278</v>
      </c>
      <c r="L7574" s="4" t="s">
        <v>17279</v>
      </c>
      <c r="M7574" s="4" t="s">
        <v>17280</v>
      </c>
    </row>
    <row r="7575">
      <c r="A7575" s="4">
        <v>110.0</v>
      </c>
      <c r="B7575" s="4" t="s">
        <v>17041</v>
      </c>
      <c r="C7575" s="4"/>
      <c r="D7575" s="4" t="s">
        <v>17281</v>
      </c>
      <c r="E7575" s="4" t="s">
        <v>12368</v>
      </c>
      <c r="F7575" s="4" t="s">
        <v>8033</v>
      </c>
      <c r="G7575" s="5" t="str">
        <f>IFERROR(__xludf.DUMMYFUNCTION("GOOGLETRANSLATE(D7575,""nl"",""es"")"),"oek")</f>
        <v>oek</v>
      </c>
    </row>
    <row r="7576">
      <c r="A7576" s="4">
        <v>111.0</v>
      </c>
      <c r="B7576" s="4" t="s">
        <v>17041</v>
      </c>
      <c r="C7576" s="4"/>
      <c r="D7576" s="4" t="s">
        <v>17282</v>
      </c>
      <c r="E7576" s="4" t="s">
        <v>1859</v>
      </c>
      <c r="F7576" s="4" t="s">
        <v>1860</v>
      </c>
      <c r="G7576" s="5" t="str">
        <f>IFERROR(__xludf.DUMMYFUNCTION("GOOGLETRANSLATE(D7576,""nl"",""es"")"),"de todo")</f>
        <v>de todo</v>
      </c>
      <c r="H7576" s="4" t="s">
        <v>17283</v>
      </c>
      <c r="I7576" s="4" t="s">
        <v>17284</v>
      </c>
      <c r="J7576" s="4" t="s">
        <v>3248</v>
      </c>
      <c r="K7576" s="4" t="s">
        <v>17285</v>
      </c>
      <c r="L7576" s="4" t="s">
        <v>3237</v>
      </c>
      <c r="M7576" s="4" t="s">
        <v>3238</v>
      </c>
      <c r="N7576" s="4" t="s">
        <v>3239</v>
      </c>
      <c r="O7576" s="4" t="s">
        <v>3240</v>
      </c>
      <c r="P7576" s="4" t="s">
        <v>3241</v>
      </c>
      <c r="Q7576" s="4" t="s">
        <v>3242</v>
      </c>
      <c r="R7576" s="4" t="s">
        <v>13837</v>
      </c>
      <c r="S7576" s="4" t="s">
        <v>17165</v>
      </c>
      <c r="T7576" s="4" t="s">
        <v>6995</v>
      </c>
      <c r="U7576" s="4" t="s">
        <v>6996</v>
      </c>
      <c r="V7576" s="4" t="s">
        <v>6992</v>
      </c>
      <c r="W7576" s="4" t="s">
        <v>17286</v>
      </c>
      <c r="X7576" s="4" t="s">
        <v>17287</v>
      </c>
      <c r="Y7576" s="4" t="s">
        <v>17288</v>
      </c>
      <c r="Z7576" s="4" t="s">
        <v>17289</v>
      </c>
      <c r="AA7576" s="4" t="s">
        <v>17290</v>
      </c>
      <c r="AB7576" s="4" t="s">
        <v>17291</v>
      </c>
      <c r="AC7576" s="4" t="s">
        <v>17292</v>
      </c>
      <c r="AD7576" s="4" t="s">
        <v>17293</v>
      </c>
      <c r="AE7576" s="4" t="s">
        <v>17294</v>
      </c>
    </row>
    <row r="7577">
      <c r="A7577" s="4">
        <v>112.0</v>
      </c>
      <c r="B7577" s="4" t="s">
        <v>17041</v>
      </c>
      <c r="C7577" s="4"/>
      <c r="D7577" s="4" t="s">
        <v>392</v>
      </c>
      <c r="E7577" s="4" t="s">
        <v>8643</v>
      </c>
      <c r="F7577" s="4" t="s">
        <v>392</v>
      </c>
      <c r="G7577" s="5" t="str">
        <f>IFERROR(__xludf.DUMMYFUNCTION("GOOGLETRANSLATE(D7577,""nl"",""es"")"),"Traje de negocios")</f>
        <v>Traje de negocios</v>
      </c>
      <c r="H7577" s="4" t="s">
        <v>2543</v>
      </c>
      <c r="I7577" s="4" t="s">
        <v>16198</v>
      </c>
      <c r="J7577" s="4" t="s">
        <v>16199</v>
      </c>
      <c r="K7577" s="4" t="s">
        <v>16200</v>
      </c>
      <c r="L7577" s="4" t="s">
        <v>11016</v>
      </c>
      <c r="M7577" s="4" t="s">
        <v>11017</v>
      </c>
      <c r="N7577" s="4" t="s">
        <v>1736</v>
      </c>
      <c r="O7577" s="4" t="s">
        <v>1737</v>
      </c>
      <c r="P7577" s="4" t="s">
        <v>1738</v>
      </c>
      <c r="Q7577" s="4" t="s">
        <v>1739</v>
      </c>
      <c r="R7577" s="4" t="s">
        <v>1740</v>
      </c>
      <c r="S7577" s="4" t="s">
        <v>1741</v>
      </c>
      <c r="T7577" s="4" t="s">
        <v>484</v>
      </c>
      <c r="U7577" s="4" t="s">
        <v>1742</v>
      </c>
      <c r="V7577" s="4" t="s">
        <v>1743</v>
      </c>
      <c r="W7577" s="4" t="s">
        <v>1744</v>
      </c>
      <c r="X7577" s="4" t="s">
        <v>1745</v>
      </c>
      <c r="Y7577" s="4" t="s">
        <v>1746</v>
      </c>
      <c r="Z7577" s="4" t="s">
        <v>1747</v>
      </c>
      <c r="AA7577" s="4" t="s">
        <v>1748</v>
      </c>
      <c r="AB7577" s="4" t="s">
        <v>1749</v>
      </c>
      <c r="AC7577" s="4" t="s">
        <v>1750</v>
      </c>
      <c r="AD7577" s="4" t="s">
        <v>483</v>
      </c>
      <c r="AE7577" s="4" t="s">
        <v>1751</v>
      </c>
      <c r="AF7577" s="4" t="s">
        <v>1752</v>
      </c>
      <c r="AG7577" s="4" t="s">
        <v>1753</v>
      </c>
      <c r="AH7577" s="4" t="s">
        <v>1754</v>
      </c>
      <c r="AI7577" s="4" t="s">
        <v>1755</v>
      </c>
      <c r="AJ7577" s="4" t="s">
        <v>1756</v>
      </c>
      <c r="AK7577" s="4" t="s">
        <v>1757</v>
      </c>
      <c r="AL7577" s="4" t="s">
        <v>482</v>
      </c>
      <c r="AM7577" s="4" t="s">
        <v>1758</v>
      </c>
      <c r="AN7577" s="4" t="s">
        <v>780</v>
      </c>
    </row>
    <row r="7578">
      <c r="A7578" s="4">
        <v>113.0</v>
      </c>
      <c r="B7578" s="4" t="s">
        <v>17041</v>
      </c>
      <c r="C7578" s="4"/>
      <c r="D7578" s="4" t="s">
        <v>3161</v>
      </c>
      <c r="E7578" s="4" t="s">
        <v>8597</v>
      </c>
      <c r="F7578" s="4" t="s">
        <v>3161</v>
      </c>
      <c r="G7578" s="5" t="str">
        <f>IFERROR(__xludf.DUMMYFUNCTION("GOOGLETRANSLATE(D7578,""nl"",""es"")"),"pista")</f>
        <v>pista</v>
      </c>
      <c r="H7578" s="4" t="s">
        <v>9402</v>
      </c>
      <c r="I7578" s="4" t="s">
        <v>9403</v>
      </c>
      <c r="J7578" s="4" t="s">
        <v>7840</v>
      </c>
      <c r="K7578" s="4" t="s">
        <v>963</v>
      </c>
    </row>
    <row r="7579">
      <c r="A7579" s="4">
        <v>114.0</v>
      </c>
      <c r="B7579" s="4" t="s">
        <v>17041</v>
      </c>
      <c r="C7579" s="4"/>
      <c r="D7579" s="4" t="s">
        <v>7069</v>
      </c>
      <c r="E7579" s="4" t="s">
        <v>17295</v>
      </c>
      <c r="F7579" s="4" t="s">
        <v>7069</v>
      </c>
      <c r="G7579" s="5" t="str">
        <f>IFERROR(__xludf.DUMMYFUNCTION("GOOGLETRANSLATE(D7579,""nl"",""es"")"),"sartén")</f>
        <v>sartén</v>
      </c>
      <c r="H7579" s="4" t="s">
        <v>7069</v>
      </c>
      <c r="I7579" s="4" t="s">
        <v>7071</v>
      </c>
      <c r="J7579" s="4" t="s">
        <v>17296</v>
      </c>
      <c r="K7579" s="4" t="s">
        <v>17297</v>
      </c>
      <c r="L7579" s="4" t="s">
        <v>8082</v>
      </c>
      <c r="M7579" s="4" t="s">
        <v>17296</v>
      </c>
      <c r="N7579" s="4" t="s">
        <v>17298</v>
      </c>
    </row>
    <row r="7580">
      <c r="A7580" s="4">
        <v>115.0</v>
      </c>
      <c r="B7580" s="4" t="s">
        <v>17041</v>
      </c>
      <c r="C7580" s="4"/>
      <c r="D7580" s="4" t="s">
        <v>7088</v>
      </c>
      <c r="E7580" s="4" t="s">
        <v>8676</v>
      </c>
      <c r="F7580" s="4" t="s">
        <v>7088</v>
      </c>
      <c r="G7580" s="5" t="str">
        <f>IFERROR(__xludf.DUMMYFUNCTION("GOOGLETRANSLATE(D7580,""nl"",""es"")"),"papá")</f>
        <v>papá</v>
      </c>
      <c r="H7580" s="4" t="s">
        <v>17299</v>
      </c>
      <c r="I7580" s="4" t="s">
        <v>17300</v>
      </c>
      <c r="J7580" s="4" t="s">
        <v>6897</v>
      </c>
      <c r="K7580" s="4" t="s">
        <v>6895</v>
      </c>
      <c r="L7580" s="4" t="s">
        <v>3294</v>
      </c>
      <c r="M7580" s="4" t="s">
        <v>3295</v>
      </c>
      <c r="N7580" s="4" t="s">
        <v>3296</v>
      </c>
      <c r="O7580" s="4" t="s">
        <v>3147</v>
      </c>
      <c r="P7580" s="4" t="s">
        <v>3292</v>
      </c>
      <c r="Q7580" s="4" t="s">
        <v>3297</v>
      </c>
      <c r="R7580" s="4" t="s">
        <v>3298</v>
      </c>
      <c r="S7580" s="4" t="s">
        <v>3299</v>
      </c>
      <c r="T7580" s="4" t="s">
        <v>3300</v>
      </c>
      <c r="U7580" s="4" t="s">
        <v>3301</v>
      </c>
    </row>
    <row r="7581">
      <c r="A7581" s="4">
        <v>116.0</v>
      </c>
      <c r="B7581" s="4" t="s">
        <v>17041</v>
      </c>
      <c r="C7581" s="4"/>
      <c r="D7581" s="4" t="s">
        <v>17301</v>
      </c>
      <c r="E7581" s="4" t="s">
        <v>8693</v>
      </c>
      <c r="F7581" s="4" t="s">
        <v>7100</v>
      </c>
      <c r="G7581" s="5" t="str">
        <f>IFERROR(__xludf.DUMMYFUNCTION("GOOGLETRANSLATE(D7581,""nl"",""es"")"),"papi")</f>
        <v>papi</v>
      </c>
      <c r="H7581" s="4" t="s">
        <v>3299</v>
      </c>
      <c r="I7581" s="4" t="s">
        <v>3300</v>
      </c>
      <c r="J7581" s="4" t="s">
        <v>3301</v>
      </c>
    </row>
    <row r="7582">
      <c r="A7582" s="4">
        <v>117.0</v>
      </c>
      <c r="B7582" s="4" t="s">
        <v>17041</v>
      </c>
      <c r="C7582" s="4"/>
      <c r="D7582" s="4" t="s">
        <v>3361</v>
      </c>
      <c r="E7582" s="4" t="s">
        <v>10940</v>
      </c>
      <c r="F7582" s="4" t="s">
        <v>3361</v>
      </c>
      <c r="G7582" s="5" t="str">
        <f>IFERROR(__xludf.DUMMYFUNCTION("GOOGLETRANSLATE(D7582,""nl"",""es"")"),"pasar")</f>
        <v>pasar</v>
      </c>
      <c r="H7582" s="4" t="s">
        <v>3366</v>
      </c>
      <c r="I7582" s="4" t="s">
        <v>3367</v>
      </c>
      <c r="J7582" s="4" t="s">
        <v>3368</v>
      </c>
      <c r="K7582" s="4" t="s">
        <v>13236</v>
      </c>
      <c r="L7582" s="4" t="s">
        <v>3365</v>
      </c>
      <c r="M7582" s="4" t="s">
        <v>7107</v>
      </c>
      <c r="N7582" s="4" t="s">
        <v>647</v>
      </c>
      <c r="O7582" s="4" t="s">
        <v>3382</v>
      </c>
      <c r="P7582" s="4" t="s">
        <v>3383</v>
      </c>
    </row>
    <row r="7583">
      <c r="A7583" s="4">
        <v>118.0</v>
      </c>
      <c r="B7583" s="4" t="s">
        <v>17041</v>
      </c>
      <c r="C7583" s="4"/>
      <c r="D7583" s="4" t="s">
        <v>17302</v>
      </c>
      <c r="E7583" s="4" t="s">
        <v>8698</v>
      </c>
      <c r="F7583" s="4" t="s">
        <v>8699</v>
      </c>
      <c r="G7583" s="5" t="str">
        <f>IFERROR(__xludf.DUMMYFUNCTION("GOOGLETRANSLATE(D7583,""nl"",""es"")"),"pasión")</f>
        <v>pasión</v>
      </c>
      <c r="H7583" s="4" t="s">
        <v>572</v>
      </c>
      <c r="I7583" s="4" t="s">
        <v>5679</v>
      </c>
      <c r="J7583" s="4" t="s">
        <v>5679</v>
      </c>
      <c r="K7583" s="4" t="s">
        <v>17303</v>
      </c>
    </row>
    <row r="7584">
      <c r="A7584" s="4">
        <v>119.0</v>
      </c>
      <c r="B7584" s="4" t="s">
        <v>17041</v>
      </c>
      <c r="C7584" s="4"/>
      <c r="D7584" s="4" t="s">
        <v>17304</v>
      </c>
      <c r="E7584" s="4" t="s">
        <v>10942</v>
      </c>
      <c r="F7584" s="4" t="s">
        <v>10941</v>
      </c>
      <c r="G7584" s="5" t="str">
        <f>IFERROR(__xludf.DUMMYFUNCTION("GOOGLETRANSLATE(D7584,""nl"",""es"")"),"patata")</f>
        <v>patata</v>
      </c>
    </row>
    <row r="7585">
      <c r="A7585" s="4">
        <v>120.0</v>
      </c>
      <c r="B7585" s="4" t="s">
        <v>17041</v>
      </c>
      <c r="C7585" s="4"/>
      <c r="D7585" s="4" t="s">
        <v>230</v>
      </c>
      <c r="E7585" s="4" t="s">
        <v>229</v>
      </c>
      <c r="F7585" s="4" t="s">
        <v>230</v>
      </c>
      <c r="G7585" s="5" t="str">
        <f>IFERROR(__xludf.DUMMYFUNCTION("GOOGLETRANSLATE(D7585,""nl"",""es"")"),"Pi")</f>
        <v>Pi</v>
      </c>
      <c r="H7585" s="4" t="s">
        <v>230</v>
      </c>
    </row>
    <row r="7586">
      <c r="A7586" s="4">
        <v>121.0</v>
      </c>
      <c r="B7586" s="4" t="s">
        <v>17041</v>
      </c>
      <c r="C7586" s="4"/>
      <c r="D7586" s="4" t="s">
        <v>17305</v>
      </c>
      <c r="E7586" s="4" t="s">
        <v>3458</v>
      </c>
      <c r="F7586" s="4" t="s">
        <v>266</v>
      </c>
      <c r="G7586" s="5" t="str">
        <f>IFERROR(__xludf.DUMMYFUNCTION("GOOGLETRANSLATE(D7586,""nl"",""es"")"),"cima")</f>
        <v>cima</v>
      </c>
      <c r="H7586" s="4" t="s">
        <v>17306</v>
      </c>
      <c r="I7586" s="4" t="s">
        <v>3466</v>
      </c>
      <c r="J7586" s="4" t="s">
        <v>17307</v>
      </c>
      <c r="K7586" s="4" t="s">
        <v>1400</v>
      </c>
      <c r="L7586" s="4" t="s">
        <v>1401</v>
      </c>
      <c r="M7586" s="4" t="s">
        <v>1402</v>
      </c>
      <c r="N7586" s="4" t="s">
        <v>1403</v>
      </c>
      <c r="O7586" s="4" t="s">
        <v>425</v>
      </c>
      <c r="P7586" s="4" t="s">
        <v>1404</v>
      </c>
      <c r="Q7586" s="4" t="s">
        <v>17308</v>
      </c>
      <c r="R7586" s="4" t="s">
        <v>17309</v>
      </c>
      <c r="S7586" s="4" t="s">
        <v>17310</v>
      </c>
      <c r="T7586" s="4" t="s">
        <v>17311</v>
      </c>
      <c r="U7586" s="4" t="s">
        <v>17308</v>
      </c>
      <c r="V7586" s="4" t="s">
        <v>17309</v>
      </c>
      <c r="W7586" s="4" t="s">
        <v>17310</v>
      </c>
    </row>
    <row r="7587">
      <c r="A7587" s="4">
        <v>122.0</v>
      </c>
      <c r="B7587" s="4" t="s">
        <v>17041</v>
      </c>
      <c r="C7587" s="4"/>
      <c r="D7587" s="4" t="s">
        <v>17312</v>
      </c>
      <c r="E7587" s="4" t="s">
        <v>13337</v>
      </c>
      <c r="F7587" s="4" t="s">
        <v>7199</v>
      </c>
      <c r="G7587" s="5" t="str">
        <f>IFERROR(__xludf.DUMMYFUNCTION("GOOGLETRANSLATE(D7587,""nl"",""es"")"),"piel")</f>
        <v>piel</v>
      </c>
      <c r="H7587" s="4" t="s">
        <v>8638</v>
      </c>
      <c r="I7587" s="4" t="s">
        <v>8640</v>
      </c>
      <c r="J7587" s="4" t="s">
        <v>8641</v>
      </c>
      <c r="K7587" s="4" t="s">
        <v>3596</v>
      </c>
      <c r="L7587" s="4" t="s">
        <v>3497</v>
      </c>
      <c r="M7587" s="4" t="s">
        <v>3597</v>
      </c>
      <c r="N7587" s="4" t="s">
        <v>3598</v>
      </c>
      <c r="O7587" s="4" t="s">
        <v>3599</v>
      </c>
      <c r="P7587" s="4" t="s">
        <v>3600</v>
      </c>
      <c r="Q7587" s="4" t="s">
        <v>3601</v>
      </c>
      <c r="R7587" s="4" t="s">
        <v>3602</v>
      </c>
    </row>
    <row r="7588">
      <c r="A7588" s="4">
        <v>123.0</v>
      </c>
      <c r="B7588" s="4" t="s">
        <v>17041</v>
      </c>
      <c r="C7588" s="4"/>
      <c r="D7588" s="4" t="s">
        <v>17313</v>
      </c>
      <c r="E7588" s="4" t="s">
        <v>4852</v>
      </c>
      <c r="F7588" s="4" t="s">
        <v>4851</v>
      </c>
      <c r="G7588" s="5" t="str">
        <f>IFERROR(__xludf.DUMMYFUNCTION("GOOGLETRANSLATE(D7588,""nl"",""es"")"),"chirrido")</f>
        <v>chirrido</v>
      </c>
    </row>
    <row r="7589">
      <c r="A7589" s="4">
        <v>124.0</v>
      </c>
      <c r="B7589" s="4" t="s">
        <v>17041</v>
      </c>
      <c r="C7589" s="4"/>
      <c r="D7589" s="4" t="s">
        <v>17314</v>
      </c>
      <c r="E7589" s="4" t="s">
        <v>3571</v>
      </c>
      <c r="F7589" s="4" t="s">
        <v>3570</v>
      </c>
      <c r="G7589" s="5" t="str">
        <f>IFERROR(__xludf.DUMMYFUNCTION("GOOGLETRANSLATE(D7589,""nl"",""es"")"),"pipí")</f>
        <v>pipí</v>
      </c>
      <c r="H7589" s="4" t="s">
        <v>7241</v>
      </c>
      <c r="I7589" s="4" t="s">
        <v>7239</v>
      </c>
      <c r="J7589" s="4" t="s">
        <v>7242</v>
      </c>
      <c r="K7589" s="4" t="s">
        <v>7243</v>
      </c>
      <c r="L7589" s="4" t="s">
        <v>7244</v>
      </c>
      <c r="M7589" s="4" t="s">
        <v>7245</v>
      </c>
    </row>
    <row r="7590">
      <c r="A7590" s="4">
        <v>125.0</v>
      </c>
      <c r="B7590" s="4" t="s">
        <v>17041</v>
      </c>
      <c r="C7590" s="4"/>
      <c r="D7590" s="4" t="s">
        <v>266</v>
      </c>
      <c r="E7590" s="4" t="s">
        <v>7162</v>
      </c>
      <c r="F7590" s="4" t="s">
        <v>266</v>
      </c>
      <c r="G7590" s="5" t="str">
        <f>IFERROR(__xludf.DUMMYFUNCTION("GOOGLETRANSLATE(D7590,""nl"",""es"")"),"polla")</f>
        <v>polla</v>
      </c>
      <c r="H7590" s="4" t="s">
        <v>3497</v>
      </c>
      <c r="I7590" s="4" t="s">
        <v>17315</v>
      </c>
      <c r="J7590" s="4" t="s">
        <v>8638</v>
      </c>
      <c r="K7590" s="4" t="s">
        <v>8640</v>
      </c>
      <c r="L7590" s="4" t="s">
        <v>8641</v>
      </c>
      <c r="M7590" s="4" t="s">
        <v>3596</v>
      </c>
      <c r="N7590" s="4" t="s">
        <v>3497</v>
      </c>
      <c r="O7590" s="4" t="s">
        <v>3597</v>
      </c>
      <c r="P7590" s="4" t="s">
        <v>3598</v>
      </c>
      <c r="Q7590" s="4" t="s">
        <v>3599</v>
      </c>
      <c r="R7590" s="4" t="s">
        <v>3600</v>
      </c>
      <c r="S7590" s="4" t="s">
        <v>3601</v>
      </c>
      <c r="T7590" s="4" t="s">
        <v>3602</v>
      </c>
      <c r="U7590" s="4" t="s">
        <v>1856</v>
      </c>
      <c r="V7590" s="4" t="s">
        <v>6742</v>
      </c>
      <c r="W7590" s="4" t="s">
        <v>10974</v>
      </c>
      <c r="X7590" s="4" t="s">
        <v>2509</v>
      </c>
    </row>
    <row r="7591">
      <c r="A7591" s="4">
        <v>126.0</v>
      </c>
      <c r="B7591" s="4" t="s">
        <v>17041</v>
      </c>
      <c r="C7591" s="4"/>
      <c r="D7591" s="4" t="s">
        <v>7199</v>
      </c>
      <c r="E7591" s="4" t="s">
        <v>7198</v>
      </c>
      <c r="F7591" s="4" t="s">
        <v>7199</v>
      </c>
      <c r="G7591" s="5" t="str">
        <f>IFERROR(__xludf.DUMMYFUNCTION("GOOGLETRANSLATE(D7591,""nl"",""es"")"),"píldora")</f>
        <v>píldora</v>
      </c>
      <c r="H7591" s="4" t="s">
        <v>7197</v>
      </c>
      <c r="I7591" s="4" t="s">
        <v>7200</v>
      </c>
      <c r="J7591" s="4" t="s">
        <v>7201</v>
      </c>
      <c r="K7591" s="4" t="s">
        <v>7202</v>
      </c>
      <c r="L7591" s="4" t="s">
        <v>7197</v>
      </c>
      <c r="M7591" s="4" t="s">
        <v>7203</v>
      </c>
      <c r="N7591" s="4" t="s">
        <v>7204</v>
      </c>
      <c r="O7591" s="4" t="s">
        <v>7205</v>
      </c>
      <c r="P7591" s="4" t="s">
        <v>7206</v>
      </c>
      <c r="Q7591" s="4" t="s">
        <v>7207</v>
      </c>
      <c r="R7591" s="4" t="s">
        <v>7208</v>
      </c>
      <c r="S7591" s="4" t="s">
        <v>17316</v>
      </c>
      <c r="T7591" s="4" t="s">
        <v>17317</v>
      </c>
      <c r="U7591" s="4" t="s">
        <v>17318</v>
      </c>
      <c r="V7591" s="4" t="s">
        <v>17319</v>
      </c>
      <c r="W7591" s="4" t="s">
        <v>17320</v>
      </c>
      <c r="X7591" s="4" t="s">
        <v>17321</v>
      </c>
      <c r="Y7591" s="4" t="s">
        <v>17322</v>
      </c>
      <c r="Z7591" s="4" t="s">
        <v>17323</v>
      </c>
      <c r="AA7591" s="4" t="s">
        <v>17324</v>
      </c>
      <c r="AB7591" s="4" t="s">
        <v>17325</v>
      </c>
      <c r="AC7591" s="4" t="s">
        <v>17326</v>
      </c>
    </row>
    <row r="7592">
      <c r="A7592" s="4">
        <v>127.0</v>
      </c>
      <c r="B7592" s="4" t="s">
        <v>17041</v>
      </c>
      <c r="C7592" s="4"/>
      <c r="D7592" s="4" t="s">
        <v>17327</v>
      </c>
      <c r="E7592" s="4" t="s">
        <v>17328</v>
      </c>
      <c r="F7592" s="4" t="s">
        <v>17327</v>
      </c>
      <c r="G7592" s="5" t="str">
        <f>IFERROR(__xludf.DUMMYFUNCTION("GOOGLETRANSLATE(D7592,""nl"",""es"")"),"pimbre")</f>
        <v>pimbre</v>
      </c>
    </row>
    <row r="7593">
      <c r="A7593" s="4">
        <v>128.0</v>
      </c>
      <c r="B7593" s="4" t="s">
        <v>17041</v>
      </c>
      <c r="C7593" s="4"/>
      <c r="D7593" s="4" t="s">
        <v>3170</v>
      </c>
      <c r="E7593" s="4" t="s">
        <v>7156</v>
      </c>
      <c r="F7593" s="4" t="s">
        <v>3170</v>
      </c>
      <c r="G7593" s="5" t="str">
        <f>IFERROR(__xludf.DUMMYFUNCTION("GOOGLETRANSLATE(D7593,""nl"",""es"")"),"alfiler")</f>
        <v>alfiler</v>
      </c>
      <c r="H7593" s="4" t="s">
        <v>17329</v>
      </c>
      <c r="I7593" s="4" t="s">
        <v>17330</v>
      </c>
      <c r="J7593" s="4" t="s">
        <v>17331</v>
      </c>
      <c r="K7593" s="4" t="s">
        <v>3170</v>
      </c>
      <c r="L7593" s="4" t="s">
        <v>3170</v>
      </c>
      <c r="M7593" s="4" t="s">
        <v>2179</v>
      </c>
    </row>
    <row r="7594">
      <c r="A7594" s="4">
        <v>129.0</v>
      </c>
      <c r="B7594" s="4" t="s">
        <v>17041</v>
      </c>
      <c r="C7594" s="4"/>
      <c r="D7594" s="4" t="s">
        <v>4851</v>
      </c>
      <c r="E7594" s="4" t="s">
        <v>7231</v>
      </c>
      <c r="F7594" s="4" t="s">
        <v>4851</v>
      </c>
      <c r="G7594" s="5" t="str">
        <f>IFERROR(__xludf.DUMMYFUNCTION("GOOGLETRANSLATE(D7594,""nl"",""es"")"),"Pepita")</f>
        <v>Pepita</v>
      </c>
    </row>
    <row r="7595">
      <c r="A7595" s="4">
        <v>130.0</v>
      </c>
      <c r="B7595" s="4" t="s">
        <v>17041</v>
      </c>
      <c r="C7595" s="4"/>
      <c r="D7595" s="4" t="s">
        <v>3570</v>
      </c>
      <c r="E7595" s="4" t="s">
        <v>7240</v>
      </c>
      <c r="F7595" s="4" t="s">
        <v>3570</v>
      </c>
      <c r="G7595" s="5" t="str">
        <f>IFERROR(__xludf.DUMMYFUNCTION("GOOGLETRANSLATE(D7595,""nl"",""es"")"),"orinar")</f>
        <v>orinar</v>
      </c>
      <c r="H7595" s="4" t="s">
        <v>7241</v>
      </c>
      <c r="I7595" s="4" t="s">
        <v>7239</v>
      </c>
      <c r="J7595" s="4" t="s">
        <v>7242</v>
      </c>
      <c r="K7595" s="4" t="s">
        <v>7243</v>
      </c>
      <c r="L7595" s="4" t="s">
        <v>7244</v>
      </c>
      <c r="M7595" s="4" t="s">
        <v>7245</v>
      </c>
    </row>
    <row r="7596">
      <c r="A7596" s="4">
        <v>131.0</v>
      </c>
      <c r="B7596" s="4" t="s">
        <v>17041</v>
      </c>
      <c r="C7596" s="4"/>
      <c r="D7596" s="4" t="s">
        <v>17332</v>
      </c>
      <c r="E7596" s="4" t="s">
        <v>8671</v>
      </c>
      <c r="F7596" s="4" t="s">
        <v>7296</v>
      </c>
      <c r="G7596" s="5" t="str">
        <f>IFERROR(__xludf.DUMMYFUNCTION("GOOGLETRANSLATE(D7596,""nl"",""es"")"),"piscina")</f>
        <v>piscina</v>
      </c>
    </row>
    <row r="7597">
      <c r="A7597" s="4">
        <v>132.0</v>
      </c>
      <c r="B7597" s="4" t="s">
        <v>17041</v>
      </c>
      <c r="C7597" s="4"/>
      <c r="D7597" s="4" t="s">
        <v>17333</v>
      </c>
      <c r="E7597" s="4" t="s">
        <v>3702</v>
      </c>
      <c r="F7597" s="4" t="s">
        <v>3703</v>
      </c>
      <c r="G7597" s="5" t="str">
        <f>IFERROR(__xludf.DUMMYFUNCTION("GOOGLETRANSLATE(D7597,""nl"",""es"")"),"chocolate")</f>
        <v>chocolate</v>
      </c>
      <c r="H7597" s="4" t="s">
        <v>3149</v>
      </c>
      <c r="I7597" s="4" t="s">
        <v>3150</v>
      </c>
      <c r="J7597" s="4" t="s">
        <v>3151</v>
      </c>
      <c r="K7597" s="4" t="s">
        <v>17334</v>
      </c>
      <c r="L7597" s="4" t="s">
        <v>17334</v>
      </c>
      <c r="M7597" s="4" t="s">
        <v>17335</v>
      </c>
      <c r="N7597" s="4" t="s">
        <v>3149</v>
      </c>
      <c r="O7597" s="4" t="s">
        <v>6300</v>
      </c>
      <c r="P7597" s="4" t="s">
        <v>17336</v>
      </c>
      <c r="Q7597" s="4" t="s">
        <v>17337</v>
      </c>
      <c r="R7597" s="4" t="s">
        <v>2531</v>
      </c>
      <c r="S7597" s="4" t="s">
        <v>17338</v>
      </c>
      <c r="T7597" s="4" t="s">
        <v>12106</v>
      </c>
      <c r="U7597" s="4" t="s">
        <v>17339</v>
      </c>
      <c r="V7597" s="4" t="s">
        <v>8479</v>
      </c>
      <c r="W7597" s="4" t="s">
        <v>17340</v>
      </c>
      <c r="X7597" s="4" t="s">
        <v>17341</v>
      </c>
      <c r="Y7597" s="4" t="s">
        <v>17342</v>
      </c>
      <c r="Z7597" s="4" t="s">
        <v>17343</v>
      </c>
      <c r="AA7597" s="4" t="s">
        <v>3634</v>
      </c>
      <c r="AB7597" s="4" t="s">
        <v>17344</v>
      </c>
      <c r="AC7597" s="4" t="s">
        <v>17345</v>
      </c>
      <c r="AD7597" s="4" t="s">
        <v>14554</v>
      </c>
      <c r="AE7597" s="4" t="s">
        <v>17346</v>
      </c>
    </row>
    <row r="7598">
      <c r="A7598" s="4">
        <v>133.0</v>
      </c>
      <c r="B7598" s="4" t="s">
        <v>17041</v>
      </c>
      <c r="C7598" s="4"/>
      <c r="D7598" s="4" t="s">
        <v>17347</v>
      </c>
      <c r="E7598" s="4" t="s">
        <v>13440</v>
      </c>
      <c r="F7598" s="4" t="s">
        <v>13441</v>
      </c>
      <c r="G7598" s="5" t="str">
        <f>IFERROR(__xludf.DUMMYFUNCTION("GOOGLETRANSLATE(D7598,""nl"",""es"")"),"caca")</f>
        <v>caca</v>
      </c>
      <c r="H7598" s="4" t="s">
        <v>17348</v>
      </c>
      <c r="I7598" s="4" t="s">
        <v>17349</v>
      </c>
      <c r="J7598" s="4" t="s">
        <v>15454</v>
      </c>
      <c r="K7598" s="4" t="s">
        <v>15455</v>
      </c>
      <c r="L7598" s="4" t="s">
        <v>15456</v>
      </c>
      <c r="M7598" s="4" t="s">
        <v>15457</v>
      </c>
      <c r="N7598" s="4" t="s">
        <v>15458</v>
      </c>
      <c r="O7598" s="4" t="s">
        <v>5952</v>
      </c>
      <c r="P7598" s="4" t="s">
        <v>15459</v>
      </c>
      <c r="Q7598" s="4" t="s">
        <v>15460</v>
      </c>
      <c r="R7598" s="4" t="s">
        <v>15461</v>
      </c>
      <c r="S7598" s="4" t="s">
        <v>13683</v>
      </c>
      <c r="T7598" s="4" t="s">
        <v>8769</v>
      </c>
      <c r="U7598" s="4" t="s">
        <v>15462</v>
      </c>
      <c r="V7598" s="4" t="s">
        <v>6996</v>
      </c>
      <c r="W7598" s="4" t="s">
        <v>15463</v>
      </c>
    </row>
    <row r="7599">
      <c r="A7599" s="4">
        <v>134.0</v>
      </c>
      <c r="B7599" s="4" t="s">
        <v>17041</v>
      </c>
      <c r="C7599" s="4"/>
      <c r="D7599" s="4" t="s">
        <v>7289</v>
      </c>
      <c r="E7599" s="4" t="s">
        <v>3767</v>
      </c>
      <c r="F7599" s="4" t="s">
        <v>3766</v>
      </c>
      <c r="G7599" s="5" t="str">
        <f>IFERROR(__xludf.DUMMYFUNCTION("GOOGLETRANSLATE(D7599,""nl"",""es"")"),"coño")</f>
        <v>coño</v>
      </c>
      <c r="H7599" s="4" t="s">
        <v>2722</v>
      </c>
      <c r="I7599" s="4" t="s">
        <v>2723</v>
      </c>
      <c r="J7599" s="4" t="s">
        <v>2724</v>
      </c>
      <c r="K7599" s="4" t="s">
        <v>2725</v>
      </c>
      <c r="L7599" s="4" t="s">
        <v>2726</v>
      </c>
      <c r="M7599" s="4" t="s">
        <v>2488</v>
      </c>
      <c r="N7599" s="4" t="s">
        <v>17350</v>
      </c>
      <c r="O7599" s="4" t="s">
        <v>3432</v>
      </c>
      <c r="P7599" s="4" t="s">
        <v>2724</v>
      </c>
      <c r="Q7599" s="4" t="s">
        <v>2725</v>
      </c>
      <c r="R7599" s="4" t="s">
        <v>3433</v>
      </c>
      <c r="S7599" s="4" t="s">
        <v>3434</v>
      </c>
      <c r="T7599" s="4" t="s">
        <v>3435</v>
      </c>
      <c r="U7599" s="4" t="s">
        <v>6702</v>
      </c>
      <c r="V7599" s="4" t="s">
        <v>2984</v>
      </c>
      <c r="W7599" s="4" t="s">
        <v>11436</v>
      </c>
      <c r="X7599" s="4" t="s">
        <v>11437</v>
      </c>
      <c r="Y7599" s="4" t="s">
        <v>11435</v>
      </c>
      <c r="Z7599" s="4" t="s">
        <v>5515</v>
      </c>
    </row>
    <row r="7600">
      <c r="A7600" s="4">
        <v>135.0</v>
      </c>
      <c r="B7600" s="4" t="s">
        <v>17041</v>
      </c>
      <c r="C7600" s="4"/>
      <c r="D7600" s="4" t="s">
        <v>398</v>
      </c>
      <c r="E7600" s="4" t="s">
        <v>8702</v>
      </c>
      <c r="F7600" s="4" t="s">
        <v>398</v>
      </c>
      <c r="G7600" s="5" t="str">
        <f>IFERROR(__xludf.DUMMYFUNCTION("GOOGLETRANSLATE(D7600,""nl"",""es"")"),"sam")</f>
        <v>sam</v>
      </c>
    </row>
    <row r="7601">
      <c r="A7601" s="4">
        <v>136.0</v>
      </c>
      <c r="B7601" s="4" t="s">
        <v>17041</v>
      </c>
      <c r="C7601" s="4"/>
      <c r="D7601" s="4" t="s">
        <v>3951</v>
      </c>
      <c r="E7601" s="4" t="s">
        <v>17351</v>
      </c>
      <c r="F7601" s="4" t="s">
        <v>3951</v>
      </c>
      <c r="G7601" s="5" t="str">
        <f>IFERROR(__xludf.DUMMYFUNCTION("GOOGLETRANSLATE(D7601,""nl"",""es"")"),"jugo")</f>
        <v>jugo</v>
      </c>
      <c r="H7601" s="4" t="s">
        <v>4110</v>
      </c>
      <c r="I7601" s="4" t="s">
        <v>3951</v>
      </c>
    </row>
    <row r="7602">
      <c r="A7602" s="4">
        <v>137.0</v>
      </c>
      <c r="B7602" s="4" t="s">
        <v>17041</v>
      </c>
      <c r="C7602" s="4"/>
      <c r="D7602" s="4" t="s">
        <v>7431</v>
      </c>
      <c r="E7602" s="4" t="s">
        <v>8711</v>
      </c>
      <c r="F7602" s="4" t="s">
        <v>7431</v>
      </c>
      <c r="G7602" s="5" t="str">
        <f>IFERROR(__xludf.DUMMYFUNCTION("GOOGLETRANSLATE(D7602,""nl"",""es"")"),"SAS")</f>
        <v>SAS</v>
      </c>
    </row>
    <row r="7603">
      <c r="A7603" s="4">
        <v>138.0</v>
      </c>
      <c r="B7603" s="4" t="s">
        <v>17041</v>
      </c>
      <c r="C7603" s="4"/>
      <c r="D7603" s="4" t="s">
        <v>17352</v>
      </c>
      <c r="E7603" s="4" t="s">
        <v>17353</v>
      </c>
      <c r="F7603" s="4" t="s">
        <v>16271</v>
      </c>
      <c r="G7603" s="5" t="str">
        <f>IFERROR(__xludf.DUMMYFUNCTION("GOOGLETRANSLATE(D7603,""nl"",""es"")"),"Sasiano")</f>
        <v>Sasiano</v>
      </c>
    </row>
    <row r="7604">
      <c r="A7604" s="4">
        <v>139.0</v>
      </c>
      <c r="B7604" s="4" t="s">
        <v>17041</v>
      </c>
      <c r="C7604" s="4"/>
      <c r="D7604" s="4" t="s">
        <v>7538</v>
      </c>
      <c r="E7604" s="4" t="s">
        <v>7537</v>
      </c>
      <c r="F7604" s="4" t="s">
        <v>7538</v>
      </c>
      <c r="G7604" s="5" t="str">
        <f>IFERROR(__xludf.DUMMYFUNCTION("GOOGLETRANSLATE(D7604,""nl"",""es"")"),"ganso")</f>
        <v>ganso</v>
      </c>
      <c r="H7604" s="4" t="s">
        <v>17354</v>
      </c>
    </row>
    <row r="7605">
      <c r="A7605" s="4">
        <v>140.0</v>
      </c>
      <c r="B7605" s="4" t="s">
        <v>17041</v>
      </c>
      <c r="C7605" s="4"/>
      <c r="D7605" s="4" t="s">
        <v>17355</v>
      </c>
      <c r="E7605" s="4" t="s">
        <v>17356</v>
      </c>
      <c r="F7605" s="4" t="s">
        <v>17355</v>
      </c>
      <c r="G7605" s="5" t="str">
        <f>IFERROR(__xludf.DUMMYFUNCTION("GOOGLETRANSLATE(D7605,""nl"",""es"")"),"naranja")</f>
        <v>naranja</v>
      </c>
      <c r="H7605" s="4" t="s">
        <v>17357</v>
      </c>
    </row>
    <row r="7606">
      <c r="A7606" s="4">
        <v>141.0</v>
      </c>
      <c r="B7606" s="4" t="s">
        <v>17041</v>
      </c>
      <c r="C7606" s="4"/>
      <c r="D7606" s="4" t="s">
        <v>17358</v>
      </c>
      <c r="E7606" s="4" t="s">
        <v>17359</v>
      </c>
      <c r="F7606" s="4" t="s">
        <v>17360</v>
      </c>
      <c r="G7606" s="5" t="str">
        <f>IFERROR(__xludf.DUMMYFUNCTION("GOOGLETRANSLATE(D7606,""nl"",""es"")"),"shappie")</f>
        <v>shappie</v>
      </c>
    </row>
    <row r="7607">
      <c r="A7607" s="4">
        <v>142.0</v>
      </c>
      <c r="B7607" s="4" t="s">
        <v>17041</v>
      </c>
      <c r="C7607" s="4"/>
      <c r="D7607" s="4" t="s">
        <v>17361</v>
      </c>
      <c r="E7607" s="4" t="s">
        <v>12094</v>
      </c>
      <c r="F7607" s="4" t="s">
        <v>12095</v>
      </c>
      <c r="G7607" s="5" t="str">
        <f>IFERROR(__xludf.DUMMYFUNCTION("GOOGLETRANSLATE(D7607,""nl"",""es"")"),"sjoe")</f>
        <v>sjoe</v>
      </c>
    </row>
    <row r="7608">
      <c r="A7608" s="4">
        <v>143.0</v>
      </c>
      <c r="B7608" s="4" t="s">
        <v>17041</v>
      </c>
      <c r="C7608" s="4"/>
      <c r="D7608" s="4" t="s">
        <v>17362</v>
      </c>
      <c r="E7608" s="4" t="s">
        <v>17363</v>
      </c>
      <c r="F7608" s="4" t="s">
        <v>7524</v>
      </c>
      <c r="G7608" s="5" t="str">
        <f>IFERROR(__xludf.DUMMYFUNCTION("GOOGLETRANSLATE(D7608,""nl"",""es"")"),"barajar")</f>
        <v>barajar</v>
      </c>
      <c r="H7608" s="4" t="s">
        <v>17364</v>
      </c>
      <c r="I7608" s="4" t="s">
        <v>17365</v>
      </c>
      <c r="J7608" s="4" t="s">
        <v>17366</v>
      </c>
    </row>
    <row r="7609">
      <c r="A7609" s="4">
        <v>144.0</v>
      </c>
      <c r="B7609" s="4" t="s">
        <v>17041</v>
      </c>
      <c r="C7609" s="4"/>
      <c r="D7609" s="4" t="s">
        <v>17367</v>
      </c>
      <c r="E7609" s="4" t="s">
        <v>17368</v>
      </c>
      <c r="F7609" s="4" t="s">
        <v>17369</v>
      </c>
      <c r="G7609" s="5" t="str">
        <f>IFERROR(__xludf.DUMMYFUNCTION("GOOGLETRANSLATE(D7609,""nl"",""es"")"),"Sunita")</f>
        <v>Sunita</v>
      </c>
    </row>
    <row r="7610">
      <c r="A7610" s="4">
        <v>145.0</v>
      </c>
      <c r="B7610" s="4" t="s">
        <v>17041</v>
      </c>
      <c r="C7610" s="4"/>
      <c r="D7610" s="4" t="s">
        <v>17370</v>
      </c>
      <c r="E7610" s="4" t="s">
        <v>8793</v>
      </c>
      <c r="F7610" s="4" t="s">
        <v>8794</v>
      </c>
      <c r="G7610" s="5" t="str">
        <f>IFERROR(__xludf.DUMMYFUNCTION("GOOGLETRANSLATE(D7610,""nl"",""es"")"),"sopa")</f>
        <v>sopa</v>
      </c>
      <c r="H7610" s="4" t="s">
        <v>8792</v>
      </c>
      <c r="I7610" s="4" t="s">
        <v>8792</v>
      </c>
    </row>
    <row r="7611">
      <c r="A7611" s="4">
        <v>146.0</v>
      </c>
      <c r="B7611" s="4" t="s">
        <v>17041</v>
      </c>
      <c r="C7611" s="4"/>
      <c r="D7611" s="4" t="s">
        <v>7657</v>
      </c>
      <c r="E7611" s="4" t="s">
        <v>8795</v>
      </c>
      <c r="F7611" s="4" t="s">
        <v>7657</v>
      </c>
      <c r="G7611" s="5" t="str">
        <f>IFERROR(__xludf.DUMMYFUNCTION("GOOGLETRANSLATE(D7611,""nl"",""es"")"),"Sushi")</f>
        <v>Sushi</v>
      </c>
      <c r="H7611" s="4" t="s">
        <v>7657</v>
      </c>
    </row>
    <row r="7612">
      <c r="A7612" s="4">
        <v>147.0</v>
      </c>
      <c r="B7612" s="4" t="s">
        <v>17041</v>
      </c>
      <c r="C7612" s="4"/>
      <c r="D7612" s="4" t="s">
        <v>4856</v>
      </c>
      <c r="E7612" s="4" t="s">
        <v>8800</v>
      </c>
      <c r="F7612" s="4" t="s">
        <v>4856</v>
      </c>
      <c r="G7612" s="5" t="str">
        <f>IFERROR(__xludf.DUMMYFUNCTION("GOOGLETRANSLATE(D7612,""nl"",""es"")"),"rama")</f>
        <v>rama</v>
      </c>
      <c r="H7612" s="4" t="s">
        <v>2067</v>
      </c>
      <c r="I7612" s="4" t="s">
        <v>2128</v>
      </c>
      <c r="J7612" s="4" t="s">
        <v>11238</v>
      </c>
      <c r="K7612" s="4" t="s">
        <v>11239</v>
      </c>
      <c r="L7612" s="4" t="s">
        <v>11240</v>
      </c>
      <c r="M7612" s="4" t="s">
        <v>11241</v>
      </c>
      <c r="N7612" s="4" t="s">
        <v>11242</v>
      </c>
      <c r="O7612" s="4" t="s">
        <v>11243</v>
      </c>
      <c r="P7612" s="4" t="s">
        <v>9230</v>
      </c>
      <c r="Q7612" s="4" t="s">
        <v>10891</v>
      </c>
      <c r="R7612" s="4" t="s">
        <v>6626</v>
      </c>
      <c r="S7612" s="4" t="s">
        <v>17371</v>
      </c>
      <c r="T7612" s="4" t="s">
        <v>6625</v>
      </c>
      <c r="U7612" s="4" t="s">
        <v>6626</v>
      </c>
      <c r="V7612" s="4" t="s">
        <v>17372</v>
      </c>
      <c r="W7612" s="4" t="s">
        <v>6626</v>
      </c>
      <c r="X7612" s="4" t="s">
        <v>1043</v>
      </c>
      <c r="Y7612" s="4" t="s">
        <v>17373</v>
      </c>
    </row>
    <row r="7613">
      <c r="A7613" s="4">
        <v>148.0</v>
      </c>
      <c r="B7613" s="4" t="s">
        <v>17041</v>
      </c>
      <c r="C7613" s="4"/>
      <c r="D7613" s="4" t="s">
        <v>7735</v>
      </c>
      <c r="E7613" s="4" t="s">
        <v>8838</v>
      </c>
      <c r="F7613" s="4" t="s">
        <v>7735</v>
      </c>
      <c r="G7613" s="5" t="str">
        <f>IFERROR(__xludf.DUMMYFUNCTION("GOOGLETRANSLATE(D7613,""nl"",""es"")"),"domar")</f>
        <v>domar</v>
      </c>
    </row>
    <row r="7614">
      <c r="A7614" s="4">
        <v>149.0</v>
      </c>
      <c r="B7614" s="4" t="s">
        <v>17041</v>
      </c>
      <c r="C7614" s="4"/>
      <c r="D7614" s="4" t="s">
        <v>4321</v>
      </c>
      <c r="E7614" s="4" t="s">
        <v>8861</v>
      </c>
      <c r="F7614" s="4" t="s">
        <v>4321</v>
      </c>
      <c r="G7614" s="5" t="str">
        <f>IFERROR(__xludf.DUMMYFUNCTION("GOOGLETRANSLATE(D7614,""nl"",""es"")"),"tocar")</f>
        <v>tocar</v>
      </c>
      <c r="H7614" s="4" t="s">
        <v>10889</v>
      </c>
    </row>
    <row r="7615">
      <c r="A7615" s="4">
        <v>150.0</v>
      </c>
      <c r="B7615" s="4" t="s">
        <v>17041</v>
      </c>
      <c r="C7615" s="4"/>
      <c r="D7615" s="4" t="s">
        <v>419</v>
      </c>
      <c r="E7615" s="4" t="s">
        <v>13815</v>
      </c>
      <c r="F7615" s="4" t="s">
        <v>419</v>
      </c>
      <c r="G7615" s="5" t="str">
        <f>IFERROR(__xludf.DUMMYFUNCTION("GOOGLETRANSLATE(D7615,""nl"",""es"")"),"bolsa")</f>
        <v>bolsa</v>
      </c>
      <c r="H7615" s="4" t="s">
        <v>3869</v>
      </c>
      <c r="I7615" s="4" t="s">
        <v>3869</v>
      </c>
      <c r="J7615" s="4" t="s">
        <v>3869</v>
      </c>
      <c r="K7615" s="4" t="s">
        <v>13523</v>
      </c>
      <c r="L7615" s="4" t="s">
        <v>13524</v>
      </c>
      <c r="M7615" s="4" t="s">
        <v>13525</v>
      </c>
      <c r="N7615" s="4" t="s">
        <v>17374</v>
      </c>
      <c r="O7615" s="4" t="s">
        <v>17375</v>
      </c>
      <c r="P7615" s="4" t="s">
        <v>17376</v>
      </c>
      <c r="Q7615" s="4" t="s">
        <v>17377</v>
      </c>
      <c r="R7615" s="4" t="s">
        <v>4378</v>
      </c>
      <c r="S7615" s="4" t="s">
        <v>4378</v>
      </c>
      <c r="T7615" s="4" t="s">
        <v>12262</v>
      </c>
      <c r="U7615" s="4" t="s">
        <v>9186</v>
      </c>
      <c r="V7615" s="4" t="s">
        <v>9187</v>
      </c>
      <c r="W7615" s="4" t="s">
        <v>1209</v>
      </c>
    </row>
    <row r="7616">
      <c r="A7616" s="4">
        <v>151.0</v>
      </c>
      <c r="B7616" s="4" t="s">
        <v>17041</v>
      </c>
      <c r="C7616" s="4"/>
      <c r="D7616" s="4" t="s">
        <v>17378</v>
      </c>
      <c r="E7616" s="4" t="s">
        <v>17379</v>
      </c>
      <c r="F7616" s="4" t="s">
        <v>7849</v>
      </c>
      <c r="G7616" s="5" t="str">
        <f>IFERROR(__xludf.DUMMYFUNCTION("GOOGLETRANSLATE(D7616,""nl"",""es"")"),"Tiel")</f>
        <v>Tiel</v>
      </c>
    </row>
    <row r="7617">
      <c r="A7617" s="4">
        <v>152.0</v>
      </c>
      <c r="B7617" s="4" t="s">
        <v>17041</v>
      </c>
      <c r="C7617" s="4"/>
      <c r="D7617" s="4" t="s">
        <v>17380</v>
      </c>
      <c r="E7617" s="4" t="s">
        <v>17381</v>
      </c>
      <c r="F7617" s="4" t="s">
        <v>5944</v>
      </c>
      <c r="G7617" s="5" t="str">
        <f>IFERROR(__xludf.DUMMYFUNCTION("GOOGLETRANSLATE(D7617,""nl"",""es"")"),"diez")</f>
        <v>diez</v>
      </c>
      <c r="H7617" s="4" t="s">
        <v>9193</v>
      </c>
      <c r="I7617" s="4">
        <v>10.0</v>
      </c>
      <c r="J7617" s="4" t="s">
        <v>9194</v>
      </c>
      <c r="K7617" s="4" t="s">
        <v>9195</v>
      </c>
      <c r="L7617" s="4" t="s">
        <v>9196</v>
      </c>
    </row>
    <row r="7618">
      <c r="A7618" s="4">
        <v>153.0</v>
      </c>
      <c r="B7618" s="4" t="s">
        <v>17041</v>
      </c>
      <c r="C7618" s="4"/>
      <c r="D7618" s="4" t="s">
        <v>438</v>
      </c>
      <c r="E7618" s="4" t="s">
        <v>7836</v>
      </c>
      <c r="F7618" s="4" t="s">
        <v>438</v>
      </c>
      <c r="G7618" s="5" t="str">
        <f>IFERROR(__xludf.DUMMYFUNCTION("GOOGLETRANSLATE(D7618,""nl"",""es"")"),"tocar")</f>
        <v>tocar</v>
      </c>
      <c r="H7618" s="4" t="s">
        <v>4321</v>
      </c>
      <c r="I7618" s="4" t="s">
        <v>7753</v>
      </c>
      <c r="J7618" s="4" t="s">
        <v>7759</v>
      </c>
      <c r="K7618" s="4" t="s">
        <v>12239</v>
      </c>
      <c r="L7618" s="4" t="s">
        <v>7005</v>
      </c>
      <c r="M7618" s="4" t="s">
        <v>17382</v>
      </c>
    </row>
    <row r="7619">
      <c r="A7619" s="4">
        <v>154.0</v>
      </c>
      <c r="B7619" s="4" t="s">
        <v>17041</v>
      </c>
      <c r="C7619" s="4"/>
      <c r="D7619" s="4" t="s">
        <v>7849</v>
      </c>
      <c r="E7619" s="4" t="s">
        <v>7850</v>
      </c>
      <c r="F7619" s="4" t="s">
        <v>7849</v>
      </c>
      <c r="G7619" s="5" t="str">
        <f>IFERROR(__xludf.DUMMYFUNCTION("GOOGLETRANSLATE(D7619,""nl"",""es"")"),"leopardo")</f>
        <v>leopardo</v>
      </c>
      <c r="H7619" s="4" t="s">
        <v>1473</v>
      </c>
      <c r="I7619" s="4" t="s">
        <v>1474</v>
      </c>
    </row>
    <row r="7620">
      <c r="A7620" s="4">
        <v>155.0</v>
      </c>
      <c r="B7620" s="4" t="s">
        <v>17041</v>
      </c>
      <c r="C7620" s="4"/>
      <c r="D7620" s="4" t="s">
        <v>4381</v>
      </c>
      <c r="E7620" s="4" t="s">
        <v>7863</v>
      </c>
      <c r="F7620" s="4" t="s">
        <v>4381</v>
      </c>
      <c r="G7620" s="5" t="str">
        <f>IFERROR(__xludf.DUMMYFUNCTION("GOOGLETRANSLATE(D7620,""nl"",""es"")"),"Tim")</f>
        <v>Tim</v>
      </c>
    </row>
    <row r="7621">
      <c r="A7621" s="4">
        <v>156.0</v>
      </c>
      <c r="B7621" s="4" t="s">
        <v>17041</v>
      </c>
      <c r="C7621" s="4"/>
      <c r="D7621" s="4" t="s">
        <v>5944</v>
      </c>
      <c r="E7621" s="4" t="s">
        <v>7866</v>
      </c>
      <c r="F7621" s="4" t="s">
        <v>5944</v>
      </c>
      <c r="G7621" s="5" t="str">
        <f>IFERROR(__xludf.DUMMYFUNCTION("GOOGLETRANSLATE(D7621,""nl"",""es"")"),"estaño")</f>
        <v>estaño</v>
      </c>
      <c r="H7621" s="4" t="s">
        <v>5944</v>
      </c>
      <c r="I7621" s="4" t="s">
        <v>7867</v>
      </c>
      <c r="J7621" s="4" t="s">
        <v>7868</v>
      </c>
      <c r="K7621" s="4" t="s">
        <v>11423</v>
      </c>
    </row>
    <row r="7622">
      <c r="A7622" s="4">
        <v>157.0</v>
      </c>
      <c r="B7622" s="4" t="s">
        <v>17041</v>
      </c>
      <c r="C7622" s="4"/>
      <c r="D7622" s="4" t="s">
        <v>425</v>
      </c>
      <c r="E7622" s="4" t="s">
        <v>7878</v>
      </c>
      <c r="F7622" s="4" t="s">
        <v>425</v>
      </c>
      <c r="G7622" s="5" t="str">
        <f>IFERROR(__xludf.DUMMYFUNCTION("GOOGLETRANSLATE(D7622,""nl"",""es"")"),"propina")</f>
        <v>propina</v>
      </c>
      <c r="H7622" s="4" t="s">
        <v>3705</v>
      </c>
      <c r="I7622" s="4" t="s">
        <v>7879</v>
      </c>
      <c r="J7622" s="4" t="s">
        <v>425</v>
      </c>
      <c r="K7622" s="4" t="s">
        <v>7880</v>
      </c>
      <c r="L7622" s="4" t="s">
        <v>7881</v>
      </c>
      <c r="M7622" s="4" t="s">
        <v>7882</v>
      </c>
      <c r="N7622" s="4" t="s">
        <v>7883</v>
      </c>
      <c r="O7622" s="4" t="s">
        <v>7884</v>
      </c>
    </row>
    <row r="7623">
      <c r="A7623" s="4">
        <v>158.0</v>
      </c>
      <c r="B7623" s="4" t="s">
        <v>17041</v>
      </c>
      <c r="C7623" s="4"/>
      <c r="D7623" s="4" t="s">
        <v>17383</v>
      </c>
      <c r="E7623" s="4" t="s">
        <v>4556</v>
      </c>
      <c r="F7623" s="4" t="s">
        <v>4555</v>
      </c>
      <c r="G7623" s="5" t="str">
        <f>IFERROR(__xludf.DUMMYFUNCTION("GOOGLETRANSLATE(D7623,""nl"",""es"")"),"a")</f>
        <v>a</v>
      </c>
    </row>
    <row r="7624">
      <c r="A7624" s="4">
        <v>159.0</v>
      </c>
      <c r="B7624" s="4" t="s">
        <v>17041</v>
      </c>
      <c r="C7624" s="4"/>
      <c r="D7624" s="4" t="s">
        <v>17384</v>
      </c>
      <c r="E7624" s="4" t="s">
        <v>17385</v>
      </c>
      <c r="F7624" s="4" t="s">
        <v>459</v>
      </c>
      <c r="G7624" s="5" t="str">
        <f>IFERROR(__xludf.DUMMYFUNCTION("GOOGLETRANSLATE(D7624,""nl"",""es"")"),"tucán")</f>
        <v>tucán</v>
      </c>
      <c r="H7624" s="4" t="s">
        <v>4566</v>
      </c>
    </row>
    <row r="7625">
      <c r="A7625" s="4">
        <v>160.0</v>
      </c>
      <c r="B7625" s="4" t="s">
        <v>17041</v>
      </c>
      <c r="C7625" s="4"/>
      <c r="D7625" s="4" t="s">
        <v>17386</v>
      </c>
      <c r="E7625" s="4" t="s">
        <v>13877</v>
      </c>
      <c r="F7625" s="4" t="s">
        <v>7951</v>
      </c>
      <c r="G7625" s="5" t="str">
        <f>IFERROR(__xludf.DUMMYFUNCTION("GOOGLETRANSLATE(D7625,""nl"",""es"")"),"cuando")</f>
        <v>cuando</v>
      </c>
    </row>
    <row r="7626">
      <c r="A7626" s="4">
        <v>161.0</v>
      </c>
      <c r="B7626" s="4" t="s">
        <v>17041</v>
      </c>
      <c r="C7626" s="4"/>
      <c r="D7626" s="4" t="s">
        <v>17387</v>
      </c>
      <c r="E7626" s="4" t="s">
        <v>17388</v>
      </c>
      <c r="F7626" s="4" t="s">
        <v>16447</v>
      </c>
      <c r="G7626" s="5" t="str">
        <f>IFERROR(__xludf.DUMMYFUNCTION("GOOGLETRANSLATE(D7626,""nl"",""es"")"),"típico")</f>
        <v>típico</v>
      </c>
    </row>
    <row r="7627">
      <c r="A7627" s="4">
        <v>162.0</v>
      </c>
      <c r="B7627" s="4" t="s">
        <v>17041</v>
      </c>
      <c r="C7627" s="4"/>
      <c r="D7627" s="4" t="s">
        <v>1871</v>
      </c>
      <c r="E7627" s="4" t="s">
        <v>17109</v>
      </c>
      <c r="F7627" s="4" t="s">
        <v>1871</v>
      </c>
      <c r="G7627" s="5" t="str">
        <f>IFERROR(__xludf.DUMMYFUNCTION("GOOGLETRANSLATE(D7627,""nl"",""es"")"),"yak")</f>
        <v>yak</v>
      </c>
    </row>
    <row r="7628">
      <c r="A7628" s="4">
        <v>163.0</v>
      </c>
      <c r="B7628" s="4" t="s">
        <v>17041</v>
      </c>
      <c r="C7628" s="4"/>
      <c r="D7628" s="4" t="s">
        <v>3056</v>
      </c>
      <c r="E7628" s="4" t="s">
        <v>17389</v>
      </c>
      <c r="F7628" s="4" t="s">
        <v>3056</v>
      </c>
      <c r="G7628" s="5" t="str">
        <f>IFERROR(__xludf.DUMMYFUNCTION("GOOGLETRANSLATE(D7628,""nl"",""es"")"),"batata")</f>
        <v>batata</v>
      </c>
      <c r="H7628" s="4" t="s">
        <v>3056</v>
      </c>
      <c r="I7628" s="4" t="s">
        <v>7986</v>
      </c>
    </row>
    <row r="7629">
      <c r="A7629" s="4">
        <v>1.0</v>
      </c>
      <c r="B7629" s="4" t="s">
        <v>17390</v>
      </c>
      <c r="C7629" s="4"/>
      <c r="D7629" s="4" t="s">
        <v>17042</v>
      </c>
      <c r="E7629" s="4" t="s">
        <v>17043</v>
      </c>
      <c r="F7629" s="4" t="s">
        <v>1776</v>
      </c>
      <c r="G7629" s="5" t="str">
        <f>IFERROR(__xludf.DUMMYFUNCTION("GOOGLETRANSLATE(D7629,""nl"",""es"")"),"Oh")</f>
        <v>Oh</v>
      </c>
    </row>
    <row r="7630">
      <c r="A7630" s="4">
        <v>2.0</v>
      </c>
      <c r="B7630" s="4" t="s">
        <v>17390</v>
      </c>
      <c r="C7630" s="4"/>
      <c r="D7630" s="4" t="s">
        <v>8038</v>
      </c>
      <c r="E7630" s="4" t="s">
        <v>8039</v>
      </c>
      <c r="F7630" s="4" t="s">
        <v>816</v>
      </c>
      <c r="G7630" s="5" t="str">
        <f>IFERROR(__xludf.DUMMYFUNCTION("GOOGLETRANSLATE(D7630,""nl"",""es"")"),"adquisición")</f>
        <v>adquisición</v>
      </c>
    </row>
    <row r="7631">
      <c r="A7631" s="4">
        <v>3.0</v>
      </c>
      <c r="B7631" s="4" t="s">
        <v>17390</v>
      </c>
      <c r="C7631" s="4"/>
      <c r="D7631" s="4" t="s">
        <v>506</v>
      </c>
      <c r="E7631" s="4" t="s">
        <v>17046</v>
      </c>
      <c r="F7631" s="4" t="s">
        <v>506</v>
      </c>
      <c r="G7631" s="5" t="str">
        <f>IFERROR(__xludf.DUMMYFUNCTION("GOOGLETRANSLATE(D7631,""nl"",""es"")"),"ya")</f>
        <v>ya</v>
      </c>
      <c r="H7631" s="4" t="s">
        <v>2950</v>
      </c>
      <c r="I7631" s="4" t="s">
        <v>2951</v>
      </c>
      <c r="J7631" s="4" t="s">
        <v>2952</v>
      </c>
      <c r="K7631" s="4" t="s">
        <v>2953</v>
      </c>
      <c r="L7631" s="4" t="s">
        <v>2954</v>
      </c>
      <c r="M7631" s="4" t="s">
        <v>2955</v>
      </c>
    </row>
    <row r="7632">
      <c r="A7632" s="4">
        <v>4.0</v>
      </c>
      <c r="B7632" s="4" t="s">
        <v>17390</v>
      </c>
      <c r="C7632" s="4"/>
      <c r="D7632" s="4" t="s">
        <v>295</v>
      </c>
      <c r="E7632" s="4" t="s">
        <v>8581</v>
      </c>
      <c r="F7632" s="4" t="s">
        <v>295</v>
      </c>
      <c r="G7632" s="5" t="str">
        <f>IFERROR(__xludf.DUMMYFUNCTION("GOOGLETRANSLATE(D7632,""nl"",""es"")"),"ceniza")</f>
        <v>ceniza</v>
      </c>
      <c r="H7632" s="4" t="s">
        <v>17047</v>
      </c>
      <c r="I7632" s="4" t="s">
        <v>17048</v>
      </c>
      <c r="J7632" s="4" t="s">
        <v>17049</v>
      </c>
      <c r="K7632" s="4" t="s">
        <v>17047</v>
      </c>
      <c r="L7632" s="4" t="s">
        <v>17050</v>
      </c>
      <c r="M7632" s="4" t="s">
        <v>17051</v>
      </c>
      <c r="N7632" s="4" t="s">
        <v>17052</v>
      </c>
      <c r="O7632" s="4" t="s">
        <v>17047</v>
      </c>
      <c r="P7632" s="4" t="s">
        <v>5876</v>
      </c>
    </row>
    <row r="7633">
      <c r="A7633" s="4">
        <v>5.0</v>
      </c>
      <c r="B7633" s="4" t="s">
        <v>17390</v>
      </c>
      <c r="C7633" s="4"/>
      <c r="D7633" s="4" t="s">
        <v>5902</v>
      </c>
      <c r="E7633" s="4" t="s">
        <v>17053</v>
      </c>
      <c r="F7633" s="4" t="s">
        <v>5904</v>
      </c>
      <c r="G7633" s="5" t="str">
        <f>IFERROR(__xludf.DUMMYFUNCTION("GOOGLETRANSLATE(D7633,""nl"",""es"")"),"Asalto")</f>
        <v>Asalto</v>
      </c>
      <c r="H7633" s="4" t="s">
        <v>5905</v>
      </c>
    </row>
    <row r="7634">
      <c r="A7634" s="4">
        <v>6.0</v>
      </c>
      <c r="B7634" s="4" t="s">
        <v>17390</v>
      </c>
      <c r="C7634" s="4"/>
      <c r="D7634" s="4" t="s">
        <v>17055</v>
      </c>
      <c r="E7634" s="4" t="s">
        <v>17056</v>
      </c>
      <c r="F7634" s="4" t="s">
        <v>17057</v>
      </c>
      <c r="G7634" s="5" t="str">
        <f>IFERROR(__xludf.DUMMYFUNCTION("GOOGLETRANSLATE(D7634,""nl"",""es"")"),"assa")</f>
        <v>assa</v>
      </c>
    </row>
    <row r="7635">
      <c r="A7635" s="4">
        <v>7.0</v>
      </c>
      <c r="B7635" s="4" t="s">
        <v>17390</v>
      </c>
      <c r="C7635" s="4"/>
      <c r="D7635" s="4" t="s">
        <v>17059</v>
      </c>
      <c r="E7635" s="4" t="s">
        <v>17060</v>
      </c>
      <c r="F7635" s="4" t="s">
        <v>17061</v>
      </c>
      <c r="G7635" s="5" t="str">
        <f>IFERROR(__xludf.DUMMYFUNCTION("GOOGLETRANSLATE(D7635,""nl"",""es"")"),"Ático")</f>
        <v>Ático</v>
      </c>
    </row>
    <row r="7636">
      <c r="A7636" s="4">
        <v>8.0</v>
      </c>
      <c r="B7636" s="4" t="s">
        <v>17390</v>
      </c>
      <c r="C7636" s="4"/>
      <c r="D7636" s="4" t="s">
        <v>11984</v>
      </c>
      <c r="E7636" s="4" t="s">
        <v>8754</v>
      </c>
      <c r="F7636" s="4" t="s">
        <v>6012</v>
      </c>
      <c r="G7636" s="5" t="str">
        <f>IFERROR(__xludf.DUMMYFUNCTION("GOOGLETRANSLATE(D7636,""nl"",""es"")"),"herraje")</f>
        <v>herraje</v>
      </c>
    </row>
    <row r="7637">
      <c r="A7637" s="4">
        <v>9.0</v>
      </c>
      <c r="B7637" s="4" t="s">
        <v>17390</v>
      </c>
      <c r="C7637" s="4"/>
      <c r="D7637" s="4" t="s">
        <v>6034</v>
      </c>
      <c r="E7637" s="4" t="s">
        <v>4687</v>
      </c>
      <c r="F7637" s="4" t="s">
        <v>287</v>
      </c>
      <c r="G7637" s="5" t="str">
        <f>IFERROR(__xludf.DUMMYFUNCTION("GOOGLETRANSLATE(D7637,""nl"",""es"")"),"elegante")</f>
        <v>elegante</v>
      </c>
    </row>
    <row r="7638">
      <c r="A7638" s="4">
        <v>10.0</v>
      </c>
      <c r="B7638" s="4" t="s">
        <v>17390</v>
      </c>
      <c r="C7638" s="4"/>
      <c r="D7638" s="4" t="s">
        <v>17063</v>
      </c>
      <c r="E7638" s="4" t="s">
        <v>283</v>
      </c>
      <c r="F7638" s="4" t="s">
        <v>284</v>
      </c>
      <c r="G7638" s="5" t="str">
        <f>IFERROR(__xludf.DUMMYFUNCTION("GOOGLETRANSLATE(D7638,""nl"",""es"")"),"Chile")</f>
        <v>Chile</v>
      </c>
      <c r="H7638" s="4" t="s">
        <v>17063</v>
      </c>
      <c r="I7638" s="4" t="s">
        <v>17064</v>
      </c>
      <c r="J7638" s="4" t="s">
        <v>17065</v>
      </c>
      <c r="K7638" s="4" t="s">
        <v>17066</v>
      </c>
      <c r="L7638" s="4" t="s">
        <v>17067</v>
      </c>
      <c r="M7638" s="4" t="s">
        <v>17063</v>
      </c>
      <c r="N7638" s="4" t="s">
        <v>17068</v>
      </c>
      <c r="O7638" s="4" t="s">
        <v>17069</v>
      </c>
      <c r="P7638" s="4" t="s">
        <v>17070</v>
      </c>
    </row>
    <row r="7639">
      <c r="A7639" s="4">
        <v>11.0</v>
      </c>
      <c r="B7639" s="4" t="s">
        <v>17390</v>
      </c>
      <c r="C7639" s="4"/>
      <c r="D7639" s="4" t="s">
        <v>17071</v>
      </c>
      <c r="E7639" s="4" t="s">
        <v>8222</v>
      </c>
      <c r="F7639" s="4" t="s">
        <v>8223</v>
      </c>
      <c r="G7639" s="5" t="str">
        <f>IFERROR(__xludf.DUMMYFUNCTION("GOOGLETRANSLATE(D7639,""nl"",""es"")"),"moneda")</f>
        <v>moneda</v>
      </c>
    </row>
    <row r="7640">
      <c r="A7640" s="4">
        <v>12.0</v>
      </c>
      <c r="B7640" s="4" t="s">
        <v>17390</v>
      </c>
      <c r="C7640" s="4"/>
      <c r="D7640" s="4" t="s">
        <v>1554</v>
      </c>
      <c r="E7640" s="4" t="s">
        <v>1555</v>
      </c>
      <c r="F7640" s="4" t="s">
        <v>1556</v>
      </c>
      <c r="G7640" s="5" t="str">
        <f>IFERROR(__xludf.DUMMYFUNCTION("GOOGLETRANSLATE(D7640,""nl"",""es"")"),"Galleta")</f>
        <v>Galleta</v>
      </c>
    </row>
    <row r="7641">
      <c r="A7641" s="4">
        <v>13.0</v>
      </c>
      <c r="B7641" s="4" t="s">
        <v>17390</v>
      </c>
      <c r="C7641" s="4"/>
      <c r="D7641" s="4" t="s">
        <v>8272</v>
      </c>
      <c r="E7641" s="4" t="s">
        <v>1581</v>
      </c>
      <c r="F7641" s="4" t="s">
        <v>1582</v>
      </c>
      <c r="G7641" s="5" t="str">
        <f>IFERROR(__xludf.DUMMYFUNCTION("GOOGLETRANSLATE(D7641,""nl"",""es"")"),"cupé")</f>
        <v>cupé</v>
      </c>
      <c r="H7641" s="4" t="s">
        <v>8272</v>
      </c>
      <c r="I7641" s="4" t="s">
        <v>8273</v>
      </c>
      <c r="J7641" s="4" t="s">
        <v>8272</v>
      </c>
      <c r="K7641" s="4" t="s">
        <v>8274</v>
      </c>
      <c r="L7641" s="4" t="s">
        <v>8275</v>
      </c>
    </row>
    <row r="7642">
      <c r="A7642" s="4">
        <v>14.0</v>
      </c>
      <c r="B7642" s="4" t="s">
        <v>17390</v>
      </c>
      <c r="C7642" s="4"/>
      <c r="D7642" s="4" t="s">
        <v>8272</v>
      </c>
      <c r="E7642" s="4" t="s">
        <v>324</v>
      </c>
      <c r="F7642" s="4" t="s">
        <v>325</v>
      </c>
      <c r="G7642" s="5" t="str">
        <f>IFERROR(__xludf.DUMMYFUNCTION("GOOGLETRANSLATE(D7642,""nl"",""es"")"),"cupé")</f>
        <v>cupé</v>
      </c>
      <c r="H7642" s="4" t="s">
        <v>8272</v>
      </c>
      <c r="I7642" s="4" t="s">
        <v>8273</v>
      </c>
      <c r="J7642" s="4" t="s">
        <v>8272</v>
      </c>
      <c r="K7642" s="4" t="s">
        <v>8274</v>
      </c>
      <c r="L7642" s="4" t="s">
        <v>8275</v>
      </c>
    </row>
    <row r="7643">
      <c r="A7643" s="4">
        <v>15.0</v>
      </c>
      <c r="B7643" s="4" t="s">
        <v>17390</v>
      </c>
      <c r="C7643" s="4"/>
      <c r="D7643" s="4" t="s">
        <v>17072</v>
      </c>
      <c r="E7643" s="4" t="s">
        <v>17073</v>
      </c>
      <c r="F7643" s="4" t="s">
        <v>17074</v>
      </c>
      <c r="G7643" s="5" t="str">
        <f>IFERROR(__xludf.DUMMYFUNCTION("GOOGLETRANSLATE(D7643,""nl"",""es"")"),"cínico")</f>
        <v>cínico</v>
      </c>
    </row>
    <row r="7644">
      <c r="A7644" s="4">
        <v>16.0</v>
      </c>
      <c r="B7644" s="4" t="s">
        <v>17390</v>
      </c>
      <c r="C7644" s="4"/>
      <c r="D7644" s="4" t="s">
        <v>17075</v>
      </c>
      <c r="E7644" s="4" t="s">
        <v>17076</v>
      </c>
      <c r="F7644" s="4" t="s">
        <v>975</v>
      </c>
      <c r="G7644" s="5" t="str">
        <f>IFERROR(__xludf.DUMMYFUNCTION("GOOGLETRANSLATE(D7644,""nl"",""es"")"),"hiel")</f>
        <v>hiel</v>
      </c>
      <c r="H7644" s="4" t="s">
        <v>17077</v>
      </c>
      <c r="I7644" s="4" t="s">
        <v>17078</v>
      </c>
      <c r="J7644" s="4" t="s">
        <v>17078</v>
      </c>
      <c r="K7644" s="4" t="s">
        <v>6731</v>
      </c>
    </row>
    <row r="7645">
      <c r="A7645" s="4">
        <v>17.0</v>
      </c>
      <c r="B7645" s="4" t="s">
        <v>17390</v>
      </c>
      <c r="C7645" s="4"/>
      <c r="D7645" s="4" t="s">
        <v>17079</v>
      </c>
      <c r="E7645" s="4" t="s">
        <v>17080</v>
      </c>
      <c r="F7645" s="4" t="s">
        <v>11837</v>
      </c>
      <c r="G7645" s="5" t="str">
        <f>IFERROR(__xludf.DUMMYFUNCTION("GOOGLETRANSLATE(D7645,""nl"",""es"")"),"gálico")</f>
        <v>gálico</v>
      </c>
    </row>
    <row r="7646">
      <c r="A7646" s="4">
        <v>18.0</v>
      </c>
      <c r="B7646" s="4" t="s">
        <v>17390</v>
      </c>
      <c r="C7646" s="4"/>
      <c r="D7646" s="4" t="s">
        <v>16065</v>
      </c>
      <c r="E7646" s="4" t="s">
        <v>17081</v>
      </c>
      <c r="F7646" s="4" t="s">
        <v>1336</v>
      </c>
      <c r="G7646" s="5" t="str">
        <f>IFERROR(__xludf.DUMMYFUNCTION("GOOGLETRANSLATE(D7646,""nl"",""es"")"),"gas")</f>
        <v>gas</v>
      </c>
      <c r="H7646" s="4" t="s">
        <v>16065</v>
      </c>
      <c r="I7646" s="4" t="s">
        <v>17082</v>
      </c>
      <c r="J7646" s="4" t="s">
        <v>16065</v>
      </c>
    </row>
    <row r="7647">
      <c r="A7647" s="4">
        <v>19.0</v>
      </c>
      <c r="B7647" s="4" t="s">
        <v>17390</v>
      </c>
      <c r="C7647" s="4"/>
      <c r="D7647" s="4" t="s">
        <v>17083</v>
      </c>
      <c r="E7647" s="4" t="s">
        <v>17084</v>
      </c>
      <c r="F7647" s="4" t="s">
        <v>6401</v>
      </c>
      <c r="G7647" s="5" t="str">
        <f>IFERROR(__xludf.DUMMYFUNCTION("GOOGLETRANSLATE(D7647,""nl"",""es"")"),"rehén")</f>
        <v>rehén</v>
      </c>
    </row>
    <row r="7648">
      <c r="A7648" s="4">
        <v>20.0</v>
      </c>
      <c r="B7648" s="4" t="s">
        <v>17390</v>
      </c>
      <c r="C7648" s="4"/>
      <c r="D7648" s="4" t="s">
        <v>17085</v>
      </c>
      <c r="E7648" s="4" t="s">
        <v>17086</v>
      </c>
      <c r="F7648" s="4" t="s">
        <v>3801</v>
      </c>
      <c r="G7648" s="5" t="str">
        <f>IFERROR(__xludf.DUMMYFUNCTION("GOOGLETRANSLATE(D7648,""nl"",""es"")"),"grito")</f>
        <v>grito</v>
      </c>
    </row>
    <row r="7649">
      <c r="A7649" s="4">
        <v>21.0</v>
      </c>
      <c r="B7649" s="4" t="s">
        <v>17390</v>
      </c>
      <c r="C7649" s="4"/>
      <c r="D7649" s="4" t="s">
        <v>17087</v>
      </c>
      <c r="E7649" s="4" t="s">
        <v>17088</v>
      </c>
      <c r="F7649" s="4" t="s">
        <v>1582</v>
      </c>
      <c r="G7649" s="5" t="str">
        <f>IFERROR(__xludf.DUMMYFUNCTION("GOOGLETRANSLATE(D7649,""nl"",""es"")"),"bueno")</f>
        <v>bueno</v>
      </c>
    </row>
    <row r="7650">
      <c r="A7650" s="4">
        <v>22.0</v>
      </c>
      <c r="B7650" s="4" t="s">
        <v>17390</v>
      </c>
      <c r="C7650" s="4"/>
      <c r="D7650" s="4" t="s">
        <v>17089</v>
      </c>
      <c r="E7650" s="4" t="s">
        <v>17090</v>
      </c>
      <c r="F7650" s="4" t="s">
        <v>468</v>
      </c>
      <c r="G7650" s="5" t="str">
        <f>IFERROR(__xludf.DUMMYFUNCTION("GOOGLETRANSLATE(D7650,""nl"",""es"")"),"bueno")</f>
        <v>bueno</v>
      </c>
    </row>
    <row r="7651">
      <c r="A7651" s="4">
        <v>23.0</v>
      </c>
      <c r="B7651" s="4" t="s">
        <v>17390</v>
      </c>
      <c r="C7651" s="4"/>
      <c r="D7651" s="4" t="s">
        <v>17091</v>
      </c>
      <c r="E7651" s="4" t="s">
        <v>17092</v>
      </c>
      <c r="F7651" s="4" t="s">
        <v>17093</v>
      </c>
      <c r="G7651" s="5" t="str">
        <f>IFERROR(__xludf.DUMMYFUNCTION("GOOGLETRANSLATE(D7651,""nl"",""es"")"),"goelash")</f>
        <v>goelash</v>
      </c>
      <c r="H7651" s="4" t="s">
        <v>17094</v>
      </c>
      <c r="I7651" s="4" t="s">
        <v>17095</v>
      </c>
      <c r="J7651" s="4" t="s">
        <v>17096</v>
      </c>
    </row>
    <row r="7652">
      <c r="A7652" s="4">
        <v>24.0</v>
      </c>
      <c r="B7652" s="4" t="s">
        <v>17390</v>
      </c>
      <c r="C7652" s="4"/>
      <c r="D7652" s="4" t="s">
        <v>17097</v>
      </c>
      <c r="E7652" s="4" t="s">
        <v>17098</v>
      </c>
      <c r="F7652" s="4" t="s">
        <v>1675</v>
      </c>
      <c r="G7652" s="5" t="str">
        <f>IFERROR(__xludf.DUMMYFUNCTION("GOOGLETRANSLATE(D7652,""nl"",""es"")"),"va")</f>
        <v>va</v>
      </c>
    </row>
    <row r="7653">
      <c r="A7653" s="4">
        <v>25.0</v>
      </c>
      <c r="B7653" s="4" t="s">
        <v>17390</v>
      </c>
      <c r="C7653" s="4"/>
      <c r="D7653" s="4" t="s">
        <v>17094</v>
      </c>
      <c r="E7653" s="4" t="s">
        <v>17092</v>
      </c>
      <c r="F7653" s="4" t="s">
        <v>17093</v>
      </c>
      <c r="G7653" s="5" t="str">
        <f>IFERROR(__xludf.DUMMYFUNCTION("GOOGLETRANSLATE(D7653,""nl"",""es"")"),"Estofado húngaro")</f>
        <v>Estofado húngaro</v>
      </c>
      <c r="H7653" s="4" t="s">
        <v>17094</v>
      </c>
      <c r="I7653" s="4" t="s">
        <v>17095</v>
      </c>
      <c r="J7653" s="4" t="s">
        <v>17096</v>
      </c>
    </row>
    <row r="7654">
      <c r="A7654" s="4">
        <v>26.0</v>
      </c>
      <c r="B7654" s="4" t="s">
        <v>17390</v>
      </c>
      <c r="C7654" s="4"/>
      <c r="D7654" s="4" t="s">
        <v>17099</v>
      </c>
      <c r="E7654" s="4" t="s">
        <v>9010</v>
      </c>
      <c r="F7654" s="4" t="s">
        <v>6341</v>
      </c>
      <c r="G7654" s="5" t="str">
        <f>IFERROR(__xludf.DUMMYFUNCTION("GOOGLETRANSLATE(D7654,""nl"",""es"")"),"IEL")</f>
        <v>IEL</v>
      </c>
    </row>
    <row r="7655">
      <c r="A7655" s="4">
        <v>27.0</v>
      </c>
      <c r="B7655" s="4" t="s">
        <v>17390</v>
      </c>
      <c r="C7655" s="4"/>
      <c r="D7655" s="4" t="s">
        <v>17100</v>
      </c>
      <c r="E7655" s="4" t="s">
        <v>6110</v>
      </c>
      <c r="F7655" s="4" t="s">
        <v>6111</v>
      </c>
      <c r="G7655" s="5" t="str">
        <f>IFERROR(__xludf.DUMMYFUNCTION("GOOGLETRANSLATE(D7655,""nl"",""es"")"),"olmo")</f>
        <v>olmo</v>
      </c>
      <c r="H7655" s="4" t="s">
        <v>17101</v>
      </c>
      <c r="I7655" s="4" t="s">
        <v>17102</v>
      </c>
      <c r="J7655" s="4" t="s">
        <v>17101</v>
      </c>
      <c r="K7655" s="4" t="s">
        <v>17103</v>
      </c>
    </row>
    <row r="7656">
      <c r="A7656" s="4">
        <v>28.0</v>
      </c>
      <c r="B7656" s="4" t="s">
        <v>17390</v>
      </c>
      <c r="C7656" s="4"/>
      <c r="D7656" s="4" t="s">
        <v>6328</v>
      </c>
      <c r="E7656" s="4" t="s">
        <v>6327</v>
      </c>
      <c r="F7656" s="4" t="s">
        <v>6328</v>
      </c>
      <c r="G7656" s="5" t="str">
        <f>IFERROR(__xludf.DUMMYFUNCTION("GOOGLETRANSLATE(D7656,""nl"",""es"")"),"yo")</f>
        <v>yo</v>
      </c>
      <c r="H7656" s="4" t="s">
        <v>9161</v>
      </c>
      <c r="I7656" s="4" t="s">
        <v>17104</v>
      </c>
      <c r="J7656" s="4" t="s">
        <v>17105</v>
      </c>
      <c r="K7656" s="4" t="s">
        <v>9160</v>
      </c>
    </row>
    <row r="7657">
      <c r="A7657" s="4">
        <v>29.0</v>
      </c>
      <c r="B7657" s="4" t="s">
        <v>17390</v>
      </c>
      <c r="C7657" s="4"/>
      <c r="D7657" s="4" t="s">
        <v>4824</v>
      </c>
      <c r="E7657" s="4" t="s">
        <v>4823</v>
      </c>
      <c r="F7657" s="4" t="s">
        <v>4824</v>
      </c>
      <c r="G7657" s="5" t="str">
        <f>IFERROR(__xludf.DUMMYFUNCTION("GOOGLETRANSLATE(D7657,""nl"",""es"")"),"en")</f>
        <v>en</v>
      </c>
    </row>
    <row r="7658">
      <c r="A7658" s="4">
        <v>30.0</v>
      </c>
      <c r="B7658" s="4" t="s">
        <v>17390</v>
      </c>
      <c r="C7658" s="4"/>
      <c r="D7658" s="4" t="s">
        <v>4822</v>
      </c>
      <c r="E7658" s="4" t="s">
        <v>4823</v>
      </c>
      <c r="F7658" s="4" t="s">
        <v>4824</v>
      </c>
      <c r="G7658" s="5" t="str">
        <f>IFERROR(__xludf.DUMMYFUNCTION("GOOGLETRANSLATE(D7658,""nl"",""es"")"),"consumo")</f>
        <v>consumo</v>
      </c>
    </row>
    <row r="7659">
      <c r="A7659" s="4">
        <v>31.0</v>
      </c>
      <c r="B7659" s="4" t="s">
        <v>17390</v>
      </c>
      <c r="C7659" s="4"/>
      <c r="D7659" s="4" t="s">
        <v>301</v>
      </c>
      <c r="E7659" s="4" t="s">
        <v>17106</v>
      </c>
      <c r="F7659" s="4" t="s">
        <v>301</v>
      </c>
      <c r="G7659" s="5" t="str">
        <f>IFERROR(__xludf.DUMMYFUNCTION("GOOGLETRANSLATE(D7659,""nl"",""es"")"),"es")</f>
        <v>es</v>
      </c>
      <c r="H7659" s="4" t="s">
        <v>17107</v>
      </c>
      <c r="I7659" s="4" t="s">
        <v>14323</v>
      </c>
    </row>
    <row r="7660">
      <c r="A7660" s="4">
        <v>32.0</v>
      </c>
      <c r="B7660" s="4" t="s">
        <v>17390</v>
      </c>
      <c r="C7660" s="4"/>
      <c r="D7660" s="4" t="s">
        <v>17108</v>
      </c>
      <c r="E7660" s="4" t="s">
        <v>17109</v>
      </c>
      <c r="F7660" s="4" t="s">
        <v>1871</v>
      </c>
      <c r="G7660" s="5" t="str">
        <f>IFERROR(__xludf.DUMMYFUNCTION("GOOGLETRANSLATE(D7660,""nl"",""es"")"),"chaqueta")</f>
        <v>chaqueta</v>
      </c>
      <c r="H7660" s="4" t="s">
        <v>1871</v>
      </c>
      <c r="I7660" s="4" t="s">
        <v>1872</v>
      </c>
    </row>
    <row r="7661">
      <c r="A7661" s="4">
        <v>33.0</v>
      </c>
      <c r="B7661" s="4" t="s">
        <v>17390</v>
      </c>
      <c r="C7661" s="4"/>
      <c r="D7661" s="4" t="s">
        <v>17110</v>
      </c>
      <c r="E7661" s="4" t="s">
        <v>17111</v>
      </c>
      <c r="F7661" s="4" t="s">
        <v>7984</v>
      </c>
      <c r="G7661" s="5" t="str">
        <f>IFERROR(__xludf.DUMMYFUNCTION("GOOGLETRANSLATE(D7661,""nl"",""es"")"),"Jakkie")</f>
        <v>Jakkie</v>
      </c>
    </row>
    <row r="7662">
      <c r="A7662" s="4">
        <v>34.0</v>
      </c>
      <c r="B7662" s="4" t="s">
        <v>17390</v>
      </c>
      <c r="C7662" s="4"/>
      <c r="D7662" s="4" t="s">
        <v>6386</v>
      </c>
      <c r="E7662" s="4" t="s">
        <v>6391</v>
      </c>
      <c r="F7662" s="4" t="s">
        <v>6388</v>
      </c>
      <c r="G7662" s="5" t="str">
        <f>IFERROR(__xludf.DUMMYFUNCTION("GOOGLETRANSLATE(D7662,""nl"",""es"")"),"Ene")</f>
        <v>Ene</v>
      </c>
    </row>
    <row r="7663">
      <c r="A7663" s="4">
        <v>35.0</v>
      </c>
      <c r="B7663" s="4" t="s">
        <v>17390</v>
      </c>
      <c r="C7663" s="4"/>
      <c r="D7663" s="4" t="s">
        <v>17112</v>
      </c>
      <c r="E7663" s="4" t="s">
        <v>17113</v>
      </c>
      <c r="F7663" s="4" t="s">
        <v>7987</v>
      </c>
      <c r="G7663" s="5" t="str">
        <f>IFERROR(__xludf.DUMMYFUNCTION("GOOGLETRANSLATE(D7663,""nl"",""es"")"),"Japonés")</f>
        <v>Japonés</v>
      </c>
    </row>
    <row r="7664">
      <c r="A7664" s="4">
        <v>36.0</v>
      </c>
      <c r="B7664" s="4" t="s">
        <v>17390</v>
      </c>
      <c r="C7664" s="4"/>
      <c r="D7664" s="4" t="s">
        <v>17114</v>
      </c>
      <c r="E7664" s="4" t="s">
        <v>17115</v>
      </c>
      <c r="F7664" s="4" t="s">
        <v>6394</v>
      </c>
      <c r="G7664" s="5" t="str">
        <f>IFERROR(__xludf.DUMMYFUNCTION("GOOGLETRANSLATE(D7664,""nl"",""es"")"),"chaqueta")</f>
        <v>chaqueta</v>
      </c>
      <c r="H7664" s="4" t="s">
        <v>1239</v>
      </c>
      <c r="I7664" s="4" t="s">
        <v>17116</v>
      </c>
      <c r="J7664" s="4" t="s">
        <v>1239</v>
      </c>
      <c r="K7664" s="4" t="s">
        <v>1235</v>
      </c>
      <c r="L7664" s="4" t="s">
        <v>1239</v>
      </c>
      <c r="M7664" s="4" t="s">
        <v>5981</v>
      </c>
      <c r="N7664" s="4" t="s">
        <v>17117</v>
      </c>
    </row>
    <row r="7665">
      <c r="A7665" s="4">
        <v>37.0</v>
      </c>
      <c r="B7665" s="4" t="s">
        <v>17390</v>
      </c>
      <c r="C7665" s="4"/>
      <c r="D7665" s="4" t="s">
        <v>319</v>
      </c>
      <c r="E7665" s="4" t="s">
        <v>8158</v>
      </c>
      <c r="F7665" s="4" t="s">
        <v>319</v>
      </c>
      <c r="G7665" s="5" t="str">
        <f>IFERROR(__xludf.DUMMYFUNCTION("GOOGLETRANSLATE(D7665,""nl"",""es"")"),"caca")</f>
        <v>caca</v>
      </c>
      <c r="H7665" s="4" t="s">
        <v>8769</v>
      </c>
      <c r="I7665" s="4" t="s">
        <v>15451</v>
      </c>
      <c r="J7665" s="4" t="s">
        <v>15454</v>
      </c>
      <c r="K7665" s="4" t="s">
        <v>15455</v>
      </c>
      <c r="L7665" s="4" t="s">
        <v>15456</v>
      </c>
      <c r="M7665" s="4" t="s">
        <v>15457</v>
      </c>
      <c r="N7665" s="4" t="s">
        <v>15458</v>
      </c>
      <c r="O7665" s="4" t="s">
        <v>5952</v>
      </c>
      <c r="P7665" s="4" t="s">
        <v>15459</v>
      </c>
      <c r="Q7665" s="4" t="s">
        <v>15460</v>
      </c>
      <c r="R7665" s="4" t="s">
        <v>15461</v>
      </c>
      <c r="S7665" s="4" t="s">
        <v>13683</v>
      </c>
      <c r="T7665" s="4" t="s">
        <v>8769</v>
      </c>
      <c r="U7665" s="4" t="s">
        <v>15462</v>
      </c>
      <c r="V7665" s="4" t="s">
        <v>6996</v>
      </c>
      <c r="W7665" s="4" t="s">
        <v>15463</v>
      </c>
    </row>
    <row r="7666">
      <c r="A7666" s="4">
        <v>38.0</v>
      </c>
      <c r="B7666" s="4" t="s">
        <v>17390</v>
      </c>
      <c r="C7666" s="4"/>
      <c r="D7666" s="4" t="s">
        <v>17118</v>
      </c>
      <c r="E7666" s="4" t="s">
        <v>8169</v>
      </c>
      <c r="F7666" s="4" t="s">
        <v>1297</v>
      </c>
      <c r="G7666" s="5" t="str">
        <f>IFERROR(__xludf.DUMMYFUNCTION("GOOGLETRANSLATE(D7666,""nl"",""es"")"),"kakkie")</f>
        <v>kakkie</v>
      </c>
    </row>
    <row r="7667">
      <c r="A7667" s="4">
        <v>39.0</v>
      </c>
      <c r="B7667" s="4" t="s">
        <v>17390</v>
      </c>
      <c r="C7667" s="4"/>
      <c r="D7667" s="4" t="s">
        <v>17119</v>
      </c>
      <c r="E7667" s="4" t="s">
        <v>17120</v>
      </c>
      <c r="F7667" s="4" t="s">
        <v>17121</v>
      </c>
      <c r="G7667" s="5" t="str">
        <f>IFERROR(__xludf.DUMMYFUNCTION("GOOGLETRANSLATE(D7667,""nl"",""es"")"),"pakkies")</f>
        <v>pakkies</v>
      </c>
    </row>
    <row r="7668">
      <c r="A7668" s="4">
        <v>40.0</v>
      </c>
      <c r="B7668" s="4" t="s">
        <v>17390</v>
      </c>
      <c r="C7668" s="4"/>
      <c r="D7668" s="4" t="s">
        <v>1039</v>
      </c>
      <c r="E7668" s="4" t="s">
        <v>8098</v>
      </c>
      <c r="F7668" s="4" t="s">
        <v>1039</v>
      </c>
      <c r="G7668" s="5" t="str">
        <f>IFERROR(__xludf.DUMMYFUNCTION("GOOGLETRANSLATE(D7668,""nl"",""es"")"),"peine")</f>
        <v>peine</v>
      </c>
      <c r="H7668" s="4" t="s">
        <v>9600</v>
      </c>
      <c r="I7668" s="4" t="s">
        <v>17122</v>
      </c>
      <c r="J7668" s="4" t="s">
        <v>9600</v>
      </c>
      <c r="K7668" s="4" t="s">
        <v>17123</v>
      </c>
      <c r="L7668" s="4" t="s">
        <v>17124</v>
      </c>
      <c r="M7668" s="4" t="s">
        <v>17125</v>
      </c>
      <c r="N7668" s="4" t="s">
        <v>9600</v>
      </c>
      <c r="O7668" s="4" t="s">
        <v>17126</v>
      </c>
      <c r="P7668" s="4" t="s">
        <v>17125</v>
      </c>
      <c r="Q7668" s="4" t="s">
        <v>1402</v>
      </c>
    </row>
    <row r="7669">
      <c r="A7669" s="4">
        <v>41.0</v>
      </c>
      <c r="B7669" s="4" t="s">
        <v>17390</v>
      </c>
      <c r="C7669" s="4"/>
      <c r="D7669" s="4" t="s">
        <v>1122</v>
      </c>
      <c r="E7669" s="4" t="s">
        <v>5929</v>
      </c>
      <c r="F7669" s="4" t="s">
        <v>1122</v>
      </c>
      <c r="G7669" s="5" t="str">
        <f>IFERROR(__xludf.DUMMYFUNCTION("GOOGLETRANSLATE(D7669,""nl"",""es"")"),"pueden")</f>
        <v>pueden</v>
      </c>
      <c r="H7669" s="4" t="s">
        <v>16385</v>
      </c>
      <c r="I7669" s="4" t="s">
        <v>17127</v>
      </c>
      <c r="J7669" s="4" t="s">
        <v>17128</v>
      </c>
      <c r="K7669" s="4" t="s">
        <v>16385</v>
      </c>
      <c r="L7669" s="4" t="s">
        <v>17129</v>
      </c>
    </row>
    <row r="7670">
      <c r="A7670" s="4">
        <v>42.0</v>
      </c>
      <c r="B7670" s="4" t="s">
        <v>17390</v>
      </c>
      <c r="C7670" s="4"/>
      <c r="D7670" s="4" t="s">
        <v>322</v>
      </c>
      <c r="E7670" s="4" t="s">
        <v>8233</v>
      </c>
      <c r="F7670" s="4" t="s">
        <v>322</v>
      </c>
      <c r="G7670" s="5" t="str">
        <f>IFERROR(__xludf.DUMMYFUNCTION("GOOGLETRANSLATE(D7670,""nl"",""es"")"),"capucha")</f>
        <v>capucha</v>
      </c>
      <c r="H7670" s="4" t="s">
        <v>17130</v>
      </c>
      <c r="I7670" s="4" t="s">
        <v>4268</v>
      </c>
      <c r="J7670" s="4" t="s">
        <v>1208</v>
      </c>
      <c r="K7670" s="4" t="s">
        <v>17131</v>
      </c>
      <c r="L7670" s="4" t="s">
        <v>17132</v>
      </c>
      <c r="M7670" s="4" t="s">
        <v>17133</v>
      </c>
      <c r="N7670" s="4" t="s">
        <v>17134</v>
      </c>
      <c r="O7670" s="4" t="s">
        <v>4804</v>
      </c>
      <c r="P7670" s="4" t="s">
        <v>5977</v>
      </c>
      <c r="Q7670" s="4" t="s">
        <v>17135</v>
      </c>
      <c r="R7670" s="4" t="s">
        <v>17136</v>
      </c>
      <c r="S7670" s="4" t="s">
        <v>17137</v>
      </c>
      <c r="T7670" s="4" t="s">
        <v>5977</v>
      </c>
      <c r="U7670" s="4" t="s">
        <v>5977</v>
      </c>
      <c r="V7670" s="4" t="s">
        <v>17138</v>
      </c>
      <c r="W7670" s="4" t="s">
        <v>5977</v>
      </c>
    </row>
    <row r="7671">
      <c r="A7671" s="4">
        <v>43.0</v>
      </c>
      <c r="B7671" s="4" t="s">
        <v>17390</v>
      </c>
      <c r="C7671" s="4"/>
      <c r="D7671" s="4" t="s">
        <v>1336</v>
      </c>
      <c r="E7671" s="4" t="s">
        <v>8246</v>
      </c>
      <c r="F7671" s="4" t="s">
        <v>1336</v>
      </c>
      <c r="G7671" s="5" t="str">
        <f>IFERROR(__xludf.DUMMYFUNCTION("GOOGLETRANSLATE(D7671,""nl"",""es"")"),"dinero")</f>
        <v>dinero</v>
      </c>
      <c r="H7671" s="4" t="s">
        <v>17139</v>
      </c>
      <c r="I7671" s="4" t="s">
        <v>17140</v>
      </c>
      <c r="J7671" s="4" t="s">
        <v>17141</v>
      </c>
      <c r="K7671" s="4" t="s">
        <v>17142</v>
      </c>
    </row>
    <row r="7672">
      <c r="A7672" s="4">
        <v>44.0</v>
      </c>
      <c r="B7672" s="4" t="s">
        <v>17390</v>
      </c>
      <c r="C7672" s="4"/>
      <c r="D7672" s="4" t="s">
        <v>17143</v>
      </c>
      <c r="E7672" s="4" t="s">
        <v>17144</v>
      </c>
      <c r="F7672" s="4" t="s">
        <v>17145</v>
      </c>
      <c r="G7672" s="5" t="str">
        <f>IFERROR(__xludf.DUMMYFUNCTION("GOOGLETRANSLATE(D7672,""nl"",""es"")"),"kattín")</f>
        <v>kattín</v>
      </c>
    </row>
    <row r="7673">
      <c r="A7673" s="4">
        <v>45.0</v>
      </c>
      <c r="B7673" s="4" t="s">
        <v>17390</v>
      </c>
      <c r="C7673" s="4"/>
      <c r="D7673" s="4" t="s">
        <v>11467</v>
      </c>
      <c r="E7673" s="4" t="s">
        <v>17146</v>
      </c>
      <c r="F7673" s="4" t="s">
        <v>6458</v>
      </c>
      <c r="G7673" s="5" t="str">
        <f>IFERROR(__xludf.DUMMYFUNCTION("GOOGLETRANSLATE(D7673,""nl"",""es"")"),"mantener")</f>
        <v>mantener</v>
      </c>
      <c r="H7673" s="4" t="s">
        <v>3383</v>
      </c>
      <c r="I7673" s="4" t="s">
        <v>4277</v>
      </c>
      <c r="J7673" s="4" t="s">
        <v>6971</v>
      </c>
    </row>
    <row r="7674">
      <c r="A7674" s="4">
        <v>46.0</v>
      </c>
      <c r="B7674" s="4" t="s">
        <v>17390</v>
      </c>
      <c r="C7674" s="4"/>
      <c r="D7674" s="4" t="s">
        <v>4744</v>
      </c>
      <c r="E7674" s="4" t="s">
        <v>6400</v>
      </c>
      <c r="F7674" s="4" t="s">
        <v>6401</v>
      </c>
      <c r="G7674" s="5" t="str">
        <f>IFERROR(__xludf.DUMMYFUNCTION("GOOGLETRANSLATE(D7674,""nl"",""es"")"),"patada")</f>
        <v>patada</v>
      </c>
    </row>
    <row r="7675">
      <c r="A7675" s="4">
        <v>47.0</v>
      </c>
      <c r="B7675" s="4" t="s">
        <v>17390</v>
      </c>
      <c r="C7675" s="4"/>
      <c r="D7675" s="4" t="s">
        <v>17147</v>
      </c>
      <c r="E7675" s="4" t="s">
        <v>17148</v>
      </c>
      <c r="F7675" s="4" t="s">
        <v>6401</v>
      </c>
      <c r="G7675" s="5" t="str">
        <f>IFERROR(__xludf.DUMMYFUNCTION("GOOGLETRANSLATE(D7675,""nl"",""es"")"),"instantánea")</f>
        <v>instantánea</v>
      </c>
    </row>
    <row r="7676">
      <c r="A7676" s="4">
        <v>48.0</v>
      </c>
      <c r="B7676" s="4" t="s">
        <v>17390</v>
      </c>
      <c r="C7676" s="4"/>
      <c r="D7676" s="4" t="s">
        <v>17149</v>
      </c>
      <c r="E7676" s="4" t="s">
        <v>3800</v>
      </c>
      <c r="F7676" s="4" t="s">
        <v>3801</v>
      </c>
      <c r="G7676" s="5" t="str">
        <f>IFERROR(__xludf.DUMMYFUNCTION("GOOGLETRANSLATE(D7676,""nl"",""es"")"),"quilla")</f>
        <v>quilla</v>
      </c>
      <c r="H7676" s="4" t="s">
        <v>17150</v>
      </c>
      <c r="I7676" s="4" t="s">
        <v>17151</v>
      </c>
      <c r="J7676" s="4" t="s">
        <v>17152</v>
      </c>
      <c r="K7676" s="4" t="s">
        <v>17153</v>
      </c>
      <c r="L7676" s="4" t="s">
        <v>17154</v>
      </c>
      <c r="M7676" s="4" t="s">
        <v>3805</v>
      </c>
      <c r="N7676" s="4" t="s">
        <v>4715</v>
      </c>
      <c r="O7676" s="4" t="s">
        <v>17155</v>
      </c>
    </row>
    <row r="7677">
      <c r="A7677" s="4">
        <v>49.0</v>
      </c>
      <c r="B7677" s="4" t="s">
        <v>17390</v>
      </c>
      <c r="C7677" s="4"/>
      <c r="D7677" s="4" t="s">
        <v>17156</v>
      </c>
      <c r="E7677" s="4" t="s">
        <v>3813</v>
      </c>
      <c r="F7677" s="4" t="s">
        <v>3814</v>
      </c>
      <c r="G7677" s="5" t="str">
        <f>IFERROR(__xludf.DUMMYFUNCTION("GOOGLETRANSLATE(D7677,""nl"",""es"")"),"germen")</f>
        <v>germen</v>
      </c>
      <c r="H7677" s="4" t="s">
        <v>9733</v>
      </c>
      <c r="I7677" s="4" t="s">
        <v>1936</v>
      </c>
      <c r="J7677" s="4" t="s">
        <v>17157</v>
      </c>
      <c r="K7677" s="4" t="s">
        <v>14767</v>
      </c>
      <c r="L7677" s="4" t="s">
        <v>17158</v>
      </c>
      <c r="M7677" s="4" t="s">
        <v>1134</v>
      </c>
      <c r="N7677" s="4" t="s">
        <v>11498</v>
      </c>
    </row>
    <row r="7678">
      <c r="A7678" s="4">
        <v>50.0</v>
      </c>
      <c r="B7678" s="4" t="s">
        <v>17390</v>
      </c>
      <c r="C7678" s="4"/>
      <c r="D7678" s="4" t="s">
        <v>17159</v>
      </c>
      <c r="E7678" s="4" t="s">
        <v>17160</v>
      </c>
      <c r="F7678" s="4" t="s">
        <v>6469</v>
      </c>
      <c r="G7678" s="5" t="str">
        <f>IFERROR(__xludf.DUMMYFUNCTION("GOOGLETRANSLATE(D7678,""nl"",""es"")"),"molar")</f>
        <v>molar</v>
      </c>
      <c r="H7678" s="4" t="s">
        <v>17161</v>
      </c>
      <c r="I7678" s="4" t="s">
        <v>6832</v>
      </c>
    </row>
    <row r="7679">
      <c r="A7679" s="4">
        <v>51.0</v>
      </c>
      <c r="B7679" s="4" t="s">
        <v>17390</v>
      </c>
      <c r="C7679" s="4"/>
      <c r="D7679" s="4" t="s">
        <v>3801</v>
      </c>
      <c r="E7679" s="4" t="s">
        <v>6419</v>
      </c>
      <c r="F7679" s="4" t="s">
        <v>3801</v>
      </c>
      <c r="G7679" s="5" t="str">
        <f>IFERROR(__xludf.DUMMYFUNCTION("GOOGLETRANSLATE(D7679,""nl"",""es"")"),"frío")</f>
        <v>frío</v>
      </c>
    </row>
    <row r="7680">
      <c r="A7680" s="4">
        <v>52.0</v>
      </c>
      <c r="B7680" s="4" t="s">
        <v>17390</v>
      </c>
      <c r="C7680" s="4"/>
      <c r="D7680" s="4" t="s">
        <v>3814</v>
      </c>
      <c r="E7680" s="4" t="s">
        <v>6432</v>
      </c>
      <c r="F7680" s="4" t="s">
        <v>3814</v>
      </c>
      <c r="G7680" s="5" t="str">
        <f>IFERROR(__xludf.DUMMYFUNCTION("GOOGLETRANSLATE(D7680,""nl"",""es"")"),"Kim")</f>
        <v>Kim</v>
      </c>
    </row>
    <row r="7681">
      <c r="A7681" s="4">
        <v>53.0</v>
      </c>
      <c r="B7681" s="4" t="s">
        <v>17390</v>
      </c>
      <c r="C7681" s="4"/>
      <c r="D7681" s="4" t="s">
        <v>3817</v>
      </c>
      <c r="E7681" s="4" t="s">
        <v>6436</v>
      </c>
      <c r="F7681" s="4" t="s">
        <v>3817</v>
      </c>
      <c r="G7681" s="5" t="str">
        <f>IFERROR(__xludf.DUMMYFUNCTION("GOOGLETRANSLATE(D7681,""nl"",""es"")"),"barbilla")</f>
        <v>barbilla</v>
      </c>
      <c r="H7681" s="4" t="s">
        <v>5749</v>
      </c>
      <c r="I7681" s="4" t="s">
        <v>5750</v>
      </c>
    </row>
    <row r="7682">
      <c r="A7682" s="4">
        <v>54.0</v>
      </c>
      <c r="B7682" s="4" t="s">
        <v>17390</v>
      </c>
      <c r="C7682" s="4"/>
      <c r="D7682" s="4" t="s">
        <v>6458</v>
      </c>
      <c r="E7682" s="4" t="s">
        <v>6459</v>
      </c>
      <c r="F7682" s="4" t="s">
        <v>6458</v>
      </c>
      <c r="G7682" s="5" t="str">
        <f>IFERROR(__xludf.DUMMYFUNCTION("GOOGLETRANSLATE(D7682,""nl"",""es"")"),"pollo")</f>
        <v>pollo</v>
      </c>
      <c r="H7682" s="4" t="s">
        <v>14870</v>
      </c>
      <c r="I7682" s="4" t="s">
        <v>14871</v>
      </c>
      <c r="J7682" s="4" t="s">
        <v>14872</v>
      </c>
      <c r="K7682" s="4" t="s">
        <v>3655</v>
      </c>
      <c r="L7682" s="4" t="s">
        <v>9964</v>
      </c>
    </row>
    <row r="7683">
      <c r="A7683" s="4">
        <v>55.0</v>
      </c>
      <c r="B7683" s="4" t="s">
        <v>17390</v>
      </c>
      <c r="C7683" s="4"/>
      <c r="D7683" s="4" t="s">
        <v>17162</v>
      </c>
      <c r="E7683" s="4" t="s">
        <v>1581</v>
      </c>
      <c r="F7683" s="4" t="s">
        <v>1582</v>
      </c>
      <c r="G7683" s="5" t="str">
        <f>IFERROR(__xludf.DUMMYFUNCTION("GOOGLETRANSLATE(D7683,""nl"",""es"")"),"vaca")</f>
        <v>vaca</v>
      </c>
      <c r="H7683" s="4" t="s">
        <v>17163</v>
      </c>
      <c r="I7683" s="4" t="s">
        <v>17164</v>
      </c>
      <c r="J7683" s="4" t="s">
        <v>17164</v>
      </c>
      <c r="K7683" s="4" t="s">
        <v>17164</v>
      </c>
      <c r="L7683" s="4" t="s">
        <v>13837</v>
      </c>
      <c r="M7683" s="4" t="s">
        <v>17165</v>
      </c>
    </row>
    <row r="7684">
      <c r="A7684" s="4">
        <v>56.0</v>
      </c>
      <c r="B7684" s="4" t="s">
        <v>17390</v>
      </c>
      <c r="C7684" s="4"/>
      <c r="D7684" s="4" t="s">
        <v>17166</v>
      </c>
      <c r="E7684" s="4" t="s">
        <v>1587</v>
      </c>
      <c r="F7684" s="4" t="s">
        <v>1588</v>
      </c>
      <c r="G7684" s="5" t="str">
        <f>IFERROR(__xludf.DUMMYFUNCTION("GOOGLETRANSLATE(D7684,""nl"",""es"")"),"pastel")</f>
        <v>pastel</v>
      </c>
      <c r="H7684" s="4" t="s">
        <v>17167</v>
      </c>
      <c r="I7684" s="4" t="s">
        <v>17168</v>
      </c>
      <c r="J7684" s="4" t="s">
        <v>7154</v>
      </c>
      <c r="K7684" s="4" t="s">
        <v>10889</v>
      </c>
      <c r="L7684" s="4" t="s">
        <v>1554</v>
      </c>
      <c r="M7684" s="4" t="s">
        <v>6087</v>
      </c>
      <c r="N7684" s="4" t="s">
        <v>6088</v>
      </c>
    </row>
    <row r="7685">
      <c r="A7685" s="4">
        <v>57.0</v>
      </c>
      <c r="B7685" s="4" t="s">
        <v>17390</v>
      </c>
      <c r="C7685" s="4"/>
      <c r="D7685" s="4" t="s">
        <v>17169</v>
      </c>
      <c r="E7685" s="4" t="s">
        <v>17170</v>
      </c>
      <c r="F7685" s="4" t="s">
        <v>17171</v>
      </c>
      <c r="G7685" s="5" t="str">
        <f>IFERROR(__xludf.DUMMYFUNCTION("GOOGLETRANSLATE(D7685,""nl"",""es"")"),"cuco")</f>
        <v>cuco</v>
      </c>
      <c r="H7685" s="4" t="s">
        <v>9118</v>
      </c>
    </row>
    <row r="7686">
      <c r="A7686" s="4">
        <v>58.0</v>
      </c>
      <c r="B7686" s="4" t="s">
        <v>17390</v>
      </c>
      <c r="C7686" s="4"/>
      <c r="D7686" s="4" t="s">
        <v>17172</v>
      </c>
      <c r="E7686" s="4" t="s">
        <v>1600</v>
      </c>
      <c r="F7686" s="4" t="s">
        <v>1601</v>
      </c>
      <c r="G7686" s="5" t="str">
        <f>IFERROR(__xludf.DUMMYFUNCTION("GOOGLETRANSLATE(D7686,""nl"",""es"")"),"Frío")</f>
        <v>Frío</v>
      </c>
    </row>
    <row r="7687">
      <c r="A7687" s="4">
        <v>59.0</v>
      </c>
      <c r="B7687" s="4" t="s">
        <v>17390</v>
      </c>
      <c r="C7687" s="4"/>
      <c r="D7687" s="4" t="s">
        <v>17173</v>
      </c>
      <c r="E7687" s="4" t="s">
        <v>1479</v>
      </c>
      <c r="F7687" s="4" t="s">
        <v>1480</v>
      </c>
      <c r="G7687" s="5" t="str">
        <f>IFERROR(__xludf.DUMMYFUNCTION("GOOGLETRANSLATE(D7687,""nl"",""es"")"),"culi")</f>
        <v>culi</v>
      </c>
      <c r="H7687" s="4" t="s">
        <v>10117</v>
      </c>
      <c r="I7687" s="4" t="s">
        <v>10118</v>
      </c>
      <c r="J7687" s="4" t="s">
        <v>6128</v>
      </c>
      <c r="K7687" s="4" t="s">
        <v>15904</v>
      </c>
      <c r="L7687" s="4" t="s">
        <v>15905</v>
      </c>
      <c r="M7687" s="4" t="s">
        <v>15906</v>
      </c>
    </row>
    <row r="7688">
      <c r="A7688" s="4">
        <v>60.0</v>
      </c>
      <c r="B7688" s="4" t="s">
        <v>17390</v>
      </c>
      <c r="C7688" s="4"/>
      <c r="D7688" s="4" t="s">
        <v>17174</v>
      </c>
      <c r="E7688" s="4" t="s">
        <v>8222</v>
      </c>
      <c r="F7688" s="4" t="s">
        <v>8223</v>
      </c>
      <c r="G7688" s="5" t="str">
        <f>IFERROR(__xludf.DUMMYFUNCTION("GOOGLETRANSLATE(D7688,""nl"",""es"")"),"koen")</f>
        <v>koen</v>
      </c>
    </row>
    <row r="7689">
      <c r="A7689" s="4">
        <v>61.0</v>
      </c>
      <c r="B7689" s="4" t="s">
        <v>17390</v>
      </c>
      <c r="C7689" s="4"/>
      <c r="D7689" s="4" t="s">
        <v>6518</v>
      </c>
      <c r="E7689" s="4" t="s">
        <v>8444</v>
      </c>
      <c r="F7689" s="4" t="s">
        <v>4831</v>
      </c>
      <c r="G7689" s="5" t="str">
        <f>IFERROR(__xludf.DUMMYFUNCTION("GOOGLETRANSLATE(D7689,""nl"",""es"")"),"sonreír")</f>
        <v>sonreír</v>
      </c>
      <c r="H7689" s="4" t="s">
        <v>17175</v>
      </c>
      <c r="I7689" s="4" t="s">
        <v>17176</v>
      </c>
      <c r="J7689" s="4" t="s">
        <v>17177</v>
      </c>
      <c r="K7689" s="4" t="s">
        <v>17178</v>
      </c>
      <c r="L7689" s="4" t="s">
        <v>10986</v>
      </c>
      <c r="M7689" s="4" t="s">
        <v>17179</v>
      </c>
    </row>
    <row r="7690">
      <c r="A7690" s="4">
        <v>62.0</v>
      </c>
      <c r="B7690" s="4" t="s">
        <v>17390</v>
      </c>
      <c r="C7690" s="4"/>
      <c r="D7690" s="4" t="s">
        <v>17180</v>
      </c>
      <c r="E7690" s="4" t="s">
        <v>17181</v>
      </c>
      <c r="F7690" s="4" t="s">
        <v>17182</v>
      </c>
      <c r="G7690" s="5" t="str">
        <f>IFERROR(__xludf.DUMMYFUNCTION("GOOGLETRANSLATE(D7690,""nl"",""es"")"),"Óxido nitroso")</f>
        <v>Óxido nitroso</v>
      </c>
      <c r="H7690" s="4" t="s">
        <v>17183</v>
      </c>
      <c r="I7690" s="4" t="s">
        <v>17184</v>
      </c>
    </row>
    <row r="7691">
      <c r="A7691" s="4">
        <v>63.0</v>
      </c>
      <c r="B7691" s="4" t="s">
        <v>17390</v>
      </c>
      <c r="C7691" s="4"/>
      <c r="D7691" s="4" t="s">
        <v>16381</v>
      </c>
      <c r="E7691" s="4" t="s">
        <v>8444</v>
      </c>
      <c r="F7691" s="4" t="s">
        <v>4831</v>
      </c>
      <c r="G7691" s="5" t="str">
        <f>IFERROR(__xludf.DUMMYFUNCTION("GOOGLETRANSLATE(D7691,""nl"",""es"")"),"retraso")</f>
        <v>retraso</v>
      </c>
    </row>
    <row r="7692">
      <c r="A7692" s="4">
        <v>64.0</v>
      </c>
      <c r="B7692" s="4" t="s">
        <v>17390</v>
      </c>
      <c r="C7692" s="4"/>
      <c r="D7692" s="4" t="s">
        <v>4831</v>
      </c>
      <c r="E7692" s="4" t="s">
        <v>8443</v>
      </c>
      <c r="F7692" s="4" t="s">
        <v>4831</v>
      </c>
      <c r="G7692" s="5" t="str">
        <f>IFERROR(__xludf.DUMMYFUNCTION("GOOGLETRANSLATE(D7692,""nl"",""es"")"),"barniz")</f>
        <v>barniz</v>
      </c>
      <c r="H7692" s="4" t="s">
        <v>17185</v>
      </c>
      <c r="I7692" s="4" t="s">
        <v>17186</v>
      </c>
      <c r="J7692" s="4" t="s">
        <v>12527</v>
      </c>
      <c r="K7692" s="4" t="s">
        <v>6514</v>
      </c>
      <c r="L7692" s="4" t="s">
        <v>12528</v>
      </c>
      <c r="M7692" s="4" t="s">
        <v>10273</v>
      </c>
    </row>
    <row r="7693">
      <c r="A7693" s="4">
        <v>65.0</v>
      </c>
      <c r="B7693" s="4" t="s">
        <v>17390</v>
      </c>
      <c r="C7693" s="4"/>
      <c r="D7693" s="4" t="s">
        <v>4836</v>
      </c>
      <c r="E7693" s="4" t="s">
        <v>17187</v>
      </c>
      <c r="F7693" s="4" t="s">
        <v>4836</v>
      </c>
      <c r="G7693" s="5" t="str">
        <f>IFERROR(__xludf.DUMMYFUNCTION("GOOGLETRANSLATE(D7693,""nl"",""es"")"),"cordero")</f>
        <v>cordero</v>
      </c>
      <c r="H7693" s="4" t="s">
        <v>4678</v>
      </c>
      <c r="I7693" s="4" t="s">
        <v>4678</v>
      </c>
    </row>
    <row r="7694">
      <c r="A7694" s="4">
        <v>66.0</v>
      </c>
      <c r="B7694" s="4" t="s">
        <v>17390</v>
      </c>
      <c r="C7694" s="4"/>
      <c r="D7694" s="4" t="s">
        <v>4724</v>
      </c>
      <c r="E7694" s="4" t="s">
        <v>17188</v>
      </c>
      <c r="F7694" s="4" t="s">
        <v>4724</v>
      </c>
      <c r="G7694" s="5" t="str">
        <f>IFERROR(__xludf.DUMMYFUNCTION("GOOGLETRANSLATE(D7694,""nl"",""es"")"),"parche")</f>
        <v>parche</v>
      </c>
      <c r="H7694" s="4" t="s">
        <v>17189</v>
      </c>
      <c r="I7694" s="4" t="s">
        <v>12137</v>
      </c>
      <c r="J7694" s="4" t="s">
        <v>17190</v>
      </c>
      <c r="K7694" s="4" t="s">
        <v>17191</v>
      </c>
      <c r="L7694" s="4" t="s">
        <v>17192</v>
      </c>
    </row>
    <row r="7695">
      <c r="A7695" s="4">
        <v>67.0</v>
      </c>
      <c r="B7695" s="4" t="s">
        <v>17390</v>
      </c>
      <c r="C7695" s="4"/>
      <c r="D7695" s="4" t="s">
        <v>7940</v>
      </c>
      <c r="E7695" s="4" t="s">
        <v>12537</v>
      </c>
      <c r="F7695" s="4" t="s">
        <v>12538</v>
      </c>
      <c r="G7695" s="5" t="str">
        <f>IFERROR(__xludf.DUMMYFUNCTION("GOOGLETRANSLATE(D7695,""nl"",""es"")"),"arrendar")</f>
        <v>arrendar</v>
      </c>
    </row>
    <row r="7696">
      <c r="A7696" s="4">
        <v>68.0</v>
      </c>
      <c r="B7696" s="4" t="s">
        <v>17390</v>
      </c>
      <c r="C7696" s="4"/>
      <c r="D7696" s="4" t="s">
        <v>17193</v>
      </c>
      <c r="E7696" s="4" t="s">
        <v>17194</v>
      </c>
      <c r="F7696" s="4" t="s">
        <v>6600</v>
      </c>
      <c r="G7696" s="5" t="str">
        <f>IFERROR(__xludf.DUMMYFUNCTION("GOOGLETRANSLATE(D7696,""nl"",""es"")"),"Mentir")</f>
        <v>Mentir</v>
      </c>
    </row>
    <row r="7697">
      <c r="A7697" s="4">
        <v>69.0</v>
      </c>
      <c r="B7697" s="4" t="s">
        <v>17390</v>
      </c>
      <c r="C7697" s="4"/>
      <c r="D7697" s="4" t="s">
        <v>17195</v>
      </c>
      <c r="E7697" s="4" t="s">
        <v>12605</v>
      </c>
      <c r="F7697" s="4" t="s">
        <v>6650</v>
      </c>
      <c r="G7697" s="5" t="str">
        <f>IFERROR(__xludf.DUMMYFUNCTION("GOOGLETRANSLATE(D7697,""nl"",""es"")"),"caminado")</f>
        <v>caminado</v>
      </c>
    </row>
    <row r="7698">
      <c r="A7698" s="4">
        <v>70.0</v>
      </c>
      <c r="B7698" s="4" t="s">
        <v>17390</v>
      </c>
      <c r="C7698" s="4"/>
      <c r="D7698" s="4" t="s">
        <v>17196</v>
      </c>
      <c r="E7698" s="4" t="s">
        <v>12537</v>
      </c>
      <c r="F7698" s="4" t="s">
        <v>12538</v>
      </c>
      <c r="G7698" s="5" t="str">
        <f>IFERROR(__xludf.DUMMYFUNCTION("GOOGLETRANSLATE(D7698,""nl"",""es"")"),"ingle")</f>
        <v>ingle</v>
      </c>
      <c r="H7698" s="4" t="s">
        <v>17197</v>
      </c>
      <c r="I7698" s="4" t="s">
        <v>17198</v>
      </c>
    </row>
    <row r="7699">
      <c r="A7699" s="4">
        <v>71.0</v>
      </c>
      <c r="B7699" s="4" t="s">
        <v>17390</v>
      </c>
      <c r="C7699" s="4"/>
      <c r="D7699" s="4" t="s">
        <v>17199</v>
      </c>
      <c r="E7699" s="4" t="s">
        <v>17200</v>
      </c>
      <c r="F7699" s="4" t="s">
        <v>6600</v>
      </c>
      <c r="G7699" s="5" t="str">
        <f>IFERROR(__xludf.DUMMYFUNCTION("GOOGLETRANSLATE(D7699,""nl"",""es"")"),"mintiendo")</f>
        <v>mintiendo</v>
      </c>
    </row>
    <row r="7700">
      <c r="A7700" s="4">
        <v>72.0</v>
      </c>
      <c r="B7700" s="4" t="s">
        <v>17390</v>
      </c>
      <c r="C7700" s="4"/>
      <c r="D7700" s="4" t="s">
        <v>6600</v>
      </c>
      <c r="E7700" s="4" t="s">
        <v>6599</v>
      </c>
      <c r="F7700" s="4" t="s">
        <v>6600</v>
      </c>
      <c r="G7700" s="5" t="str">
        <f>IFERROR(__xludf.DUMMYFUNCTION("GOOGLETRANSLATE(D7700,""nl"",""es"")"),"lamer")</f>
        <v>lamer</v>
      </c>
      <c r="H7700" s="4" t="s">
        <v>6467</v>
      </c>
      <c r="I7700" s="4" t="s">
        <v>6470</v>
      </c>
      <c r="J7700" s="4" t="s">
        <v>6471</v>
      </c>
      <c r="K7700" s="4" t="s">
        <v>6566</v>
      </c>
      <c r="L7700" s="4" t="s">
        <v>4724</v>
      </c>
      <c r="M7700" s="4" t="s">
        <v>16384</v>
      </c>
      <c r="N7700" s="4" t="s">
        <v>17201</v>
      </c>
      <c r="O7700" s="4" t="s">
        <v>16386</v>
      </c>
      <c r="P7700" s="4" t="s">
        <v>10042</v>
      </c>
      <c r="Q7700" s="4" t="s">
        <v>17202</v>
      </c>
      <c r="R7700" s="4" t="s">
        <v>17203</v>
      </c>
      <c r="S7700" s="4" t="s">
        <v>17204</v>
      </c>
      <c r="T7700" s="4" t="s">
        <v>7759</v>
      </c>
      <c r="U7700" s="4" t="s">
        <v>2806</v>
      </c>
      <c r="V7700" s="4" t="s">
        <v>2804</v>
      </c>
    </row>
    <row r="7701">
      <c r="A7701" s="4">
        <v>73.0</v>
      </c>
      <c r="B7701" s="4" t="s">
        <v>17390</v>
      </c>
      <c r="C7701" s="4"/>
      <c r="D7701" s="4" t="s">
        <v>17205</v>
      </c>
      <c r="E7701" s="4" t="s">
        <v>17206</v>
      </c>
      <c r="F7701" s="4" t="s">
        <v>17207</v>
      </c>
      <c r="G7701" s="5" t="str">
        <f>IFERROR(__xludf.DUMMYFUNCTION("GOOGLETRANSLATE(D7701,""nl"",""es"")"),"Lima")</f>
        <v>Lima</v>
      </c>
      <c r="H7701" s="4" t="s">
        <v>2166</v>
      </c>
    </row>
    <row r="7702">
      <c r="A7702" s="4">
        <v>74.0</v>
      </c>
      <c r="B7702" s="4" t="s">
        <v>17390</v>
      </c>
      <c r="C7702" s="4"/>
      <c r="D7702" s="4" t="s">
        <v>17208</v>
      </c>
      <c r="E7702" s="4" t="s">
        <v>5281</v>
      </c>
      <c r="F7702" s="4" t="s">
        <v>5282</v>
      </c>
      <c r="G7702" s="5" t="str">
        <f>IFERROR(__xludf.DUMMYFUNCTION("GOOGLETRANSLATE(D7702,""nl"",""es"")"),"línea")</f>
        <v>línea</v>
      </c>
      <c r="H7702" s="4" t="s">
        <v>1681</v>
      </c>
      <c r="I7702" s="4" t="s">
        <v>17209</v>
      </c>
    </row>
    <row r="7703">
      <c r="A7703" s="4">
        <v>75.0</v>
      </c>
      <c r="B7703" s="4" t="s">
        <v>17390</v>
      </c>
      <c r="C7703" s="4"/>
      <c r="D7703" s="4" t="s">
        <v>6650</v>
      </c>
      <c r="E7703" s="4" t="s">
        <v>6651</v>
      </c>
      <c r="F7703" s="4" t="s">
        <v>6650</v>
      </c>
      <c r="G7703" s="5" t="str">
        <f>IFERROR(__xludf.DUMMYFUNCTION("GOOGLETRANSLATE(D7703,""nl"",""es"")"),"labio")</f>
        <v>labio</v>
      </c>
      <c r="H7703" s="4" t="s">
        <v>6650</v>
      </c>
    </row>
    <row r="7704">
      <c r="A7704" s="4">
        <v>76.0</v>
      </c>
      <c r="B7704" s="4" t="s">
        <v>17390</v>
      </c>
      <c r="C7704" s="4"/>
      <c r="D7704" s="4" t="s">
        <v>17210</v>
      </c>
      <c r="E7704" s="4" t="s">
        <v>12658</v>
      </c>
      <c r="F7704" s="4" t="s">
        <v>12659</v>
      </c>
      <c r="G7704" s="5" t="str">
        <f>IFERROR(__xludf.DUMMYFUNCTION("GOOGLETRANSLATE(D7704,""nl"",""es"")"),"círculo")</f>
        <v>círculo</v>
      </c>
      <c r="H7704" s="4" t="s">
        <v>12657</v>
      </c>
      <c r="I7704" s="4" t="s">
        <v>12660</v>
      </c>
    </row>
    <row r="7705">
      <c r="A7705" s="4">
        <v>77.0</v>
      </c>
      <c r="B7705" s="4" t="s">
        <v>17390</v>
      </c>
      <c r="C7705" s="4"/>
      <c r="D7705" s="4" t="s">
        <v>17211</v>
      </c>
      <c r="E7705" s="4" t="s">
        <v>14439</v>
      </c>
      <c r="F7705" s="4" t="s">
        <v>14440</v>
      </c>
      <c r="G7705" s="5" t="str">
        <f>IFERROR(__xludf.DUMMYFUNCTION("GOOGLETRANSLATE(D7705,""nl"",""es"")"),"bocina")</f>
        <v>bocina</v>
      </c>
    </row>
    <row r="7706">
      <c r="A7706" s="4">
        <v>78.0</v>
      </c>
      <c r="B7706" s="4" t="s">
        <v>17390</v>
      </c>
      <c r="C7706" s="4"/>
      <c r="D7706" s="4" t="s">
        <v>17212</v>
      </c>
      <c r="E7706" s="4" t="s">
        <v>17213</v>
      </c>
      <c r="F7706" s="4" t="s">
        <v>17214</v>
      </c>
      <c r="G7706" s="5" t="str">
        <f>IFERROR(__xludf.DUMMYFUNCTION("GOOGLETRANSLATE(D7706,""nl"",""es"")"),"Cañón")</f>
        <v>Cañón</v>
      </c>
    </row>
    <row r="7707">
      <c r="A7707" s="4">
        <v>79.0</v>
      </c>
      <c r="B7707" s="4" t="s">
        <v>17390</v>
      </c>
      <c r="C7707" s="4"/>
      <c r="D7707" s="4" t="s">
        <v>6669</v>
      </c>
      <c r="E7707" s="4" t="s">
        <v>12633</v>
      </c>
      <c r="F7707" s="4" t="s">
        <v>6671</v>
      </c>
      <c r="G7707" s="5" t="str">
        <f>IFERROR(__xludf.DUMMYFUNCTION("GOOGLETRANSLATE(D7707,""nl"",""es"")"),"ajo")</f>
        <v>ajo</v>
      </c>
    </row>
    <row r="7708">
      <c r="A7708" s="4">
        <v>80.0</v>
      </c>
      <c r="B7708" s="4" t="s">
        <v>17390</v>
      </c>
      <c r="C7708" s="4"/>
      <c r="D7708" s="4" t="s">
        <v>2299</v>
      </c>
      <c r="E7708" s="4" t="s">
        <v>15136</v>
      </c>
      <c r="F7708" s="4" t="s">
        <v>2301</v>
      </c>
      <c r="G7708" s="5" t="str">
        <f>IFERROR(__xludf.DUMMYFUNCTION("GOOGLETRANSLATE(D7708,""nl"",""es"")"),"permitió")</f>
        <v>permitió</v>
      </c>
    </row>
    <row r="7709">
      <c r="A7709" s="4">
        <v>81.0</v>
      </c>
      <c r="B7709" s="4" t="s">
        <v>17390</v>
      </c>
      <c r="C7709" s="4"/>
      <c r="D7709" s="4" t="s">
        <v>2301</v>
      </c>
      <c r="E7709" s="4" t="s">
        <v>8524</v>
      </c>
      <c r="F7709" s="4" t="s">
        <v>2301</v>
      </c>
      <c r="G7709" s="5" t="str">
        <f>IFERROR(__xludf.DUMMYFUNCTION("GOOGLETRANSLATE(D7709,""nl"",""es"")"),"astuto")</f>
        <v>astuto</v>
      </c>
    </row>
    <row r="7710">
      <c r="A7710" s="4">
        <v>82.0</v>
      </c>
      <c r="B7710" s="4" t="s">
        <v>17390</v>
      </c>
      <c r="C7710" s="4"/>
      <c r="D7710" s="4" t="s">
        <v>17215</v>
      </c>
      <c r="E7710" s="4" t="s">
        <v>17216</v>
      </c>
      <c r="F7710" s="4" t="s">
        <v>2463</v>
      </c>
      <c r="G7710" s="5" t="str">
        <f>IFERROR(__xludf.DUMMYFUNCTION("GOOGLETRANSLATE(D7710,""nl"",""es"")"),"makkie")</f>
        <v>makkie</v>
      </c>
      <c r="H7710" s="4" t="s">
        <v>17217</v>
      </c>
      <c r="I7710" s="4" t="s">
        <v>17218</v>
      </c>
      <c r="J7710" s="4" t="s">
        <v>17219</v>
      </c>
      <c r="K7710" s="4" t="s">
        <v>10926</v>
      </c>
      <c r="L7710" s="4" t="s">
        <v>17220</v>
      </c>
      <c r="M7710" s="4" t="s">
        <v>17221</v>
      </c>
      <c r="N7710" s="4" t="s">
        <v>17222</v>
      </c>
      <c r="O7710" s="4" t="s">
        <v>17223</v>
      </c>
      <c r="P7710" s="4" t="s">
        <v>17224</v>
      </c>
    </row>
    <row r="7711">
      <c r="A7711" s="4">
        <v>83.0</v>
      </c>
      <c r="B7711" s="4" t="s">
        <v>17390</v>
      </c>
      <c r="C7711" s="4"/>
      <c r="D7711" s="4" t="s">
        <v>2322</v>
      </c>
      <c r="E7711" s="4" t="s">
        <v>13032</v>
      </c>
      <c r="F7711" s="4" t="s">
        <v>2322</v>
      </c>
      <c r="G7711" s="5" t="str">
        <f>IFERROR(__xludf.DUMMYFUNCTION("GOOGLETRANSLATE(D7711,""nl"",""es"")"),"moho")</f>
        <v>moho</v>
      </c>
      <c r="H7711" s="4" t="s">
        <v>17225</v>
      </c>
      <c r="I7711" s="4" t="s">
        <v>17226</v>
      </c>
      <c r="J7711" s="4" t="s">
        <v>3413</v>
      </c>
    </row>
    <row r="7712">
      <c r="A7712" s="4">
        <v>84.0</v>
      </c>
      <c r="B7712" s="4" t="s">
        <v>17390</v>
      </c>
      <c r="C7712" s="4"/>
      <c r="D7712" s="4" t="s">
        <v>6701</v>
      </c>
      <c r="E7712" s="4" t="s">
        <v>8528</v>
      </c>
      <c r="F7712" s="4" t="s">
        <v>6701</v>
      </c>
      <c r="G7712" s="5" t="str">
        <f>IFERROR(__xludf.DUMMYFUNCTION("GOOGLETRANSLATE(D7712,""nl"",""es"")"),"mamá")</f>
        <v>mamá</v>
      </c>
      <c r="H7712" s="4" t="s">
        <v>2383</v>
      </c>
      <c r="I7712" s="4" t="s">
        <v>2384</v>
      </c>
      <c r="J7712" s="4" t="s">
        <v>8941</v>
      </c>
      <c r="K7712" s="4" t="s">
        <v>8942</v>
      </c>
    </row>
    <row r="7713">
      <c r="A7713" s="4">
        <v>85.0</v>
      </c>
      <c r="B7713" s="4" t="s">
        <v>17390</v>
      </c>
      <c r="C7713" s="4"/>
      <c r="D7713" s="4" t="s">
        <v>17227</v>
      </c>
      <c r="E7713" s="4" t="s">
        <v>17228</v>
      </c>
      <c r="F7713" s="4" t="s">
        <v>12789</v>
      </c>
      <c r="G7713" s="5" t="str">
        <f>IFERROR(__xludf.DUMMYFUNCTION("GOOGLETRANSLATE(D7713,""nl"",""es"")"),"mamá")</f>
        <v>mamá</v>
      </c>
      <c r="H7713" s="4" t="s">
        <v>8941</v>
      </c>
      <c r="I7713" s="4" t="s">
        <v>8942</v>
      </c>
    </row>
    <row r="7714">
      <c r="A7714" s="4">
        <v>86.0</v>
      </c>
      <c r="B7714" s="4" t="s">
        <v>17390</v>
      </c>
      <c r="C7714" s="4"/>
      <c r="D7714" s="4" t="s">
        <v>2460</v>
      </c>
      <c r="E7714" s="4" t="s">
        <v>8540</v>
      </c>
      <c r="F7714" s="4" t="s">
        <v>2460</v>
      </c>
      <c r="G7714" s="5" t="str">
        <f>IFERROR(__xludf.DUMMYFUNCTION("GOOGLETRANSLATE(D7714,""nl"",""es"")"),"carpeta")</f>
        <v>carpeta</v>
      </c>
      <c r="H7714" s="4" t="s">
        <v>17229</v>
      </c>
      <c r="I7714" s="4" t="s">
        <v>17230</v>
      </c>
      <c r="J7714" s="4" t="s">
        <v>17231</v>
      </c>
      <c r="K7714" s="4" t="s">
        <v>17232</v>
      </c>
      <c r="L7714" s="4" t="s">
        <v>17233</v>
      </c>
      <c r="M7714" s="4" t="s">
        <v>17234</v>
      </c>
      <c r="N7714" s="4" t="s">
        <v>17235</v>
      </c>
      <c r="O7714" s="4" t="s">
        <v>17236</v>
      </c>
    </row>
    <row r="7715">
      <c r="A7715" s="4">
        <v>87.0</v>
      </c>
      <c r="B7715" s="4" t="s">
        <v>17390</v>
      </c>
      <c r="C7715" s="4"/>
      <c r="D7715" s="4" t="s">
        <v>17237</v>
      </c>
      <c r="E7715" s="4" t="s">
        <v>17238</v>
      </c>
      <c r="F7715" s="4" t="s">
        <v>17239</v>
      </c>
      <c r="G7715" s="5" t="str">
        <f>IFERROR(__xludf.DUMMYFUNCTION("GOOGLETRANSLATE(D7715,""nl"",""es"")"),"Michiel")</f>
        <v>Michiel</v>
      </c>
      <c r="H7715" s="4" t="s">
        <v>17240</v>
      </c>
    </row>
    <row r="7716">
      <c r="A7716" s="4">
        <v>88.0</v>
      </c>
      <c r="B7716" s="4" t="s">
        <v>17390</v>
      </c>
      <c r="C7716" s="4"/>
      <c r="D7716" s="4" t="s">
        <v>12875</v>
      </c>
      <c r="E7716" s="4" t="s">
        <v>341</v>
      </c>
      <c r="F7716" s="4" t="s">
        <v>342</v>
      </c>
      <c r="G7716" s="5" t="str">
        <f>IFERROR(__xludf.DUMMYFUNCTION("GOOGLETRANSLATE(D7716,""nl"",""es"")"),"rocín")</f>
        <v>rocín</v>
      </c>
    </row>
    <row r="7717">
      <c r="A7717" s="4">
        <v>89.0</v>
      </c>
      <c r="B7717" s="4" t="s">
        <v>17390</v>
      </c>
      <c r="C7717" s="4"/>
      <c r="D7717" s="4" t="s">
        <v>17241</v>
      </c>
      <c r="E7717" s="4" t="s">
        <v>17242</v>
      </c>
      <c r="F7717" s="4" t="s">
        <v>17243</v>
      </c>
      <c r="G7717" s="5" t="str">
        <f>IFERROR(__xludf.DUMMYFUNCTION("GOOGLETRANSLATE(D7717,""nl"",""es"")"),"mezcla")</f>
        <v>mezcla</v>
      </c>
    </row>
    <row r="7718">
      <c r="A7718" s="4">
        <v>90.0</v>
      </c>
      <c r="B7718" s="4" t="s">
        <v>17390</v>
      </c>
      <c r="C7718" s="4"/>
      <c r="D7718" s="4" t="s">
        <v>345</v>
      </c>
      <c r="E7718" s="4" t="s">
        <v>6805</v>
      </c>
      <c r="F7718" s="4" t="s">
        <v>345</v>
      </c>
      <c r="G7718" s="5" t="str">
        <f>IFERROR(__xludf.DUMMYFUNCTION("GOOGLETRANSLATE(D7718,""nl"",""es"")"),"mik")</f>
        <v>mik</v>
      </c>
    </row>
    <row r="7719">
      <c r="A7719" s="4">
        <v>91.0</v>
      </c>
      <c r="B7719" s="4" t="s">
        <v>17390</v>
      </c>
      <c r="C7719" s="4"/>
      <c r="D7719" s="4" t="s">
        <v>12884</v>
      </c>
      <c r="E7719" s="4" t="s">
        <v>2623</v>
      </c>
      <c r="F7719" s="4" t="s">
        <v>2622</v>
      </c>
      <c r="G7719" s="5" t="str">
        <f>IFERROR(__xludf.DUMMYFUNCTION("GOOGLETRANSLATE(D7719,""nl"",""es"")"),"molar")</f>
        <v>molar</v>
      </c>
      <c r="H7719" s="4" t="s">
        <v>2624</v>
      </c>
      <c r="I7719" s="4" t="s">
        <v>2625</v>
      </c>
      <c r="J7719" s="4">
        <v>1000.0</v>
      </c>
      <c r="K7719" s="4" t="s">
        <v>2628</v>
      </c>
      <c r="L7719" s="4" t="s">
        <v>2629</v>
      </c>
      <c r="M7719" s="4" t="s">
        <v>2630</v>
      </c>
      <c r="N7719" s="4" t="s">
        <v>2631</v>
      </c>
      <c r="O7719" s="4" t="s">
        <v>2632</v>
      </c>
      <c r="P7719" s="4" t="s">
        <v>2633</v>
      </c>
      <c r="Q7719" s="4" t="s">
        <v>2634</v>
      </c>
    </row>
    <row r="7720">
      <c r="A7720" s="4">
        <v>92.0</v>
      </c>
      <c r="B7720" s="4" t="s">
        <v>17390</v>
      </c>
      <c r="C7720" s="4"/>
      <c r="D7720" s="4" t="s">
        <v>17244</v>
      </c>
      <c r="E7720" s="4" t="s">
        <v>2877</v>
      </c>
      <c r="F7720" s="4" t="s">
        <v>2878</v>
      </c>
      <c r="G7720" s="5" t="str">
        <f>IFERROR(__xludf.DUMMYFUNCTION("GOOGLETRANSLATE(D7720,""nl"",""es"")"),"imitar")</f>
        <v>imitar</v>
      </c>
      <c r="H7720" s="4" t="s">
        <v>2690</v>
      </c>
      <c r="I7720" s="4" t="s">
        <v>2882</v>
      </c>
      <c r="J7720" s="4" t="s">
        <v>2883</v>
      </c>
    </row>
    <row r="7721">
      <c r="A7721" s="4">
        <v>93.0</v>
      </c>
      <c r="B7721" s="4" t="s">
        <v>17390</v>
      </c>
      <c r="C7721" s="4"/>
      <c r="D7721" s="4" t="s">
        <v>6841</v>
      </c>
      <c r="E7721" s="4" t="s">
        <v>6842</v>
      </c>
      <c r="F7721" s="4" t="s">
        <v>6841</v>
      </c>
      <c r="G7721" s="5" t="str">
        <f>IFERROR(__xludf.DUMMYFUNCTION("GOOGLETRANSLATE(D7721,""nl"",""es"")"),"menos")</f>
        <v>menos</v>
      </c>
      <c r="H7721" s="4" t="s">
        <v>17245</v>
      </c>
      <c r="I7721" s="4" t="s">
        <v>572</v>
      </c>
      <c r="J7721" s="4" t="s">
        <v>6936</v>
      </c>
      <c r="K7721" s="4" t="s">
        <v>17246</v>
      </c>
      <c r="L7721" s="4" t="s">
        <v>17247</v>
      </c>
      <c r="M7721" s="4" t="s">
        <v>17248</v>
      </c>
      <c r="N7721" s="4" t="s">
        <v>17249</v>
      </c>
    </row>
    <row r="7722">
      <c r="A7722" s="4">
        <v>94.0</v>
      </c>
      <c r="B7722" s="4" t="s">
        <v>17390</v>
      </c>
      <c r="C7722" s="4"/>
      <c r="D7722" s="4" t="s">
        <v>2711</v>
      </c>
      <c r="E7722" s="4" t="s">
        <v>6860</v>
      </c>
      <c r="F7722" s="4" t="s">
        <v>2711</v>
      </c>
      <c r="G7722" s="5" t="str">
        <f>IFERROR(__xludf.DUMMYFUNCTION("GOOGLETRANSLATE(D7722,""nl"",""es"")"),"masa")</f>
        <v>masa</v>
      </c>
      <c r="H7722" s="4" t="s">
        <v>2715</v>
      </c>
      <c r="I7722" s="4" t="s">
        <v>1744</v>
      </c>
      <c r="J7722" s="4" t="s">
        <v>17250</v>
      </c>
      <c r="K7722" s="4" t="s">
        <v>2715</v>
      </c>
      <c r="L7722" s="4" t="s">
        <v>1743</v>
      </c>
    </row>
    <row r="7723">
      <c r="A7723" s="4">
        <v>95.0</v>
      </c>
      <c r="B7723" s="4" t="s">
        <v>17390</v>
      </c>
      <c r="C7723" s="4"/>
      <c r="D7723" s="4" t="s">
        <v>2709</v>
      </c>
      <c r="E7723" s="4" t="s">
        <v>6860</v>
      </c>
      <c r="F7723" s="4" t="s">
        <v>2711</v>
      </c>
      <c r="G7723" s="5" t="str">
        <f>IFERROR(__xludf.DUMMYFUNCTION("GOOGLETRANSLATE(D7723,""nl"",""es"")"),"señorita")</f>
        <v>señorita</v>
      </c>
      <c r="H7723" s="4" t="s">
        <v>2488</v>
      </c>
      <c r="I7723" s="4" t="s">
        <v>17251</v>
      </c>
    </row>
    <row r="7724">
      <c r="A7724" s="4">
        <v>96.0</v>
      </c>
      <c r="B7724" s="4" t="s">
        <v>17390</v>
      </c>
      <c r="C7724" s="4"/>
      <c r="D7724" s="4" t="s">
        <v>17252</v>
      </c>
      <c r="E7724" s="4" t="s">
        <v>6879</v>
      </c>
      <c r="F7724" s="4" t="s">
        <v>6880</v>
      </c>
      <c r="G7724" s="5" t="str">
        <f>IFERROR(__xludf.DUMMYFUNCTION("GOOGLETRANSLATE(D7724,""nl"",""es"")"),"misión")</f>
        <v>misión</v>
      </c>
      <c r="H7724" s="4" t="s">
        <v>16080</v>
      </c>
      <c r="I7724" s="4" t="s">
        <v>16081</v>
      </c>
      <c r="J7724" s="4" t="s">
        <v>16080</v>
      </c>
      <c r="K7724" s="4" t="s">
        <v>917</v>
      </c>
      <c r="L7724" s="4" t="s">
        <v>16082</v>
      </c>
      <c r="M7724" s="4" t="s">
        <v>16084</v>
      </c>
      <c r="N7724" s="4" t="s">
        <v>16082</v>
      </c>
      <c r="O7724" s="4" t="s">
        <v>16085</v>
      </c>
      <c r="P7724" s="4" t="s">
        <v>16086</v>
      </c>
      <c r="Q7724" s="4" t="s">
        <v>16080</v>
      </c>
      <c r="R7724" s="4" t="s">
        <v>17253</v>
      </c>
    </row>
    <row r="7725">
      <c r="A7725" s="4">
        <v>97.0</v>
      </c>
      <c r="B7725" s="4" t="s">
        <v>17390</v>
      </c>
      <c r="C7725" s="4"/>
      <c r="D7725" s="4" t="s">
        <v>17254</v>
      </c>
      <c r="E7725" s="4" t="s">
        <v>366</v>
      </c>
      <c r="F7725" s="4" t="s">
        <v>367</v>
      </c>
      <c r="G7725" s="5" t="str">
        <f>IFERROR(__xludf.DUMMYFUNCTION("GOOGLETRANSLATE(D7725,""nl"",""es"")"),"cansado")</f>
        <v>cansado</v>
      </c>
      <c r="H7725" s="4" t="s">
        <v>8941</v>
      </c>
      <c r="I7725" s="4" t="s">
        <v>8942</v>
      </c>
    </row>
    <row r="7726">
      <c r="A7726" s="4">
        <v>98.0</v>
      </c>
      <c r="B7726" s="4" t="s">
        <v>17390</v>
      </c>
      <c r="C7726" s="4"/>
      <c r="D7726" s="4" t="s">
        <v>17255</v>
      </c>
      <c r="E7726" s="4" t="s">
        <v>17256</v>
      </c>
      <c r="F7726" s="4" t="s">
        <v>17257</v>
      </c>
      <c r="G7726" s="5" t="str">
        <f>IFERROR(__xludf.DUMMYFUNCTION("GOOGLETRANSLATE(D7726,""nl"",""es"")"),"entrometido")</f>
        <v>entrometido</v>
      </c>
      <c r="H7726" s="4" t="s">
        <v>17258</v>
      </c>
      <c r="I7726" s="4" t="s">
        <v>17259</v>
      </c>
      <c r="J7726" s="4" t="s">
        <v>17260</v>
      </c>
      <c r="K7726" s="4" t="s">
        <v>17261</v>
      </c>
      <c r="L7726" s="4" t="s">
        <v>17262</v>
      </c>
    </row>
    <row r="7727">
      <c r="A7727" s="4">
        <v>99.0</v>
      </c>
      <c r="B7727" s="4" t="s">
        <v>17390</v>
      </c>
      <c r="C7727" s="4"/>
      <c r="D7727" s="4" t="s">
        <v>17263</v>
      </c>
      <c r="E7727" s="4" t="s">
        <v>13002</v>
      </c>
      <c r="F7727" s="4" t="s">
        <v>13003</v>
      </c>
      <c r="G7727" s="5" t="str">
        <f>IFERROR(__xludf.DUMMYFUNCTION("GOOGLETRANSLATE(D7727,""nl"",""es"")"),"musa")</f>
        <v>musa</v>
      </c>
      <c r="H7727" s="4" t="s">
        <v>8941</v>
      </c>
      <c r="I7727" s="4" t="s">
        <v>8942</v>
      </c>
    </row>
    <row r="7728">
      <c r="A7728" s="4">
        <v>100.0</v>
      </c>
      <c r="B7728" s="4" t="s">
        <v>17390</v>
      </c>
      <c r="C7728" s="4"/>
      <c r="D7728" s="4" t="s">
        <v>17264</v>
      </c>
      <c r="E7728" s="4" t="s">
        <v>17265</v>
      </c>
      <c r="F7728" s="4" t="s">
        <v>17266</v>
      </c>
      <c r="G7728" s="5" t="str">
        <f>IFERROR(__xludf.DUMMYFUNCTION("GOOGLETRANSLATE(D7728,""nl"",""es"")"),"mítico")</f>
        <v>mítico</v>
      </c>
    </row>
    <row r="7729">
      <c r="A7729" s="4">
        <v>101.0</v>
      </c>
      <c r="B7729" s="4" t="s">
        <v>17390</v>
      </c>
      <c r="C7729" s="4"/>
      <c r="D7729" s="4" t="s">
        <v>17267</v>
      </c>
      <c r="E7729" s="4" t="s">
        <v>17268</v>
      </c>
      <c r="F7729" s="4" t="s">
        <v>13057</v>
      </c>
      <c r="G7729" s="5" t="str">
        <f>IFERROR(__xludf.DUMMYFUNCTION("GOOGLETRANSLATE(D7729,""nl"",""es"")"),"nakkie")</f>
        <v>nakkie</v>
      </c>
    </row>
    <row r="7730">
      <c r="A7730" s="4">
        <v>102.0</v>
      </c>
      <c r="B7730" s="4" t="s">
        <v>17390</v>
      </c>
      <c r="C7730" s="4"/>
      <c r="D7730" s="4" t="s">
        <v>2928</v>
      </c>
      <c r="E7730" s="4" t="s">
        <v>17269</v>
      </c>
      <c r="F7730" s="4" t="s">
        <v>2928</v>
      </c>
      <c r="G7730" s="5" t="str">
        <f>IFERROR(__xludf.DUMMYFUNCTION("GOOGLETRANSLATE(D7730,""nl"",""es"")"),"taza")</f>
        <v>taza</v>
      </c>
    </row>
    <row r="7731">
      <c r="A7731" s="4">
        <v>103.0</v>
      </c>
      <c r="B7731" s="4" t="s">
        <v>17390</v>
      </c>
      <c r="C7731" s="4"/>
      <c r="D7731" s="4" t="s">
        <v>15275</v>
      </c>
      <c r="E7731" s="4" t="s">
        <v>17270</v>
      </c>
      <c r="F7731" s="4" t="s">
        <v>15275</v>
      </c>
      <c r="G7731" s="5" t="str">
        <f>IFERROR(__xludf.DUMMYFUNCTION("GOOGLETRANSLATE(D7731,""nl"",""es"")"),"Nasi")</f>
        <v>Nasi</v>
      </c>
      <c r="H7731" s="4" t="s">
        <v>15277</v>
      </c>
    </row>
    <row r="7732">
      <c r="A7732" s="4">
        <v>104.0</v>
      </c>
      <c r="B7732" s="4" t="s">
        <v>17390</v>
      </c>
      <c r="C7732" s="4"/>
      <c r="D7732" s="4" t="s">
        <v>8556</v>
      </c>
      <c r="E7732" s="4" t="s">
        <v>8557</v>
      </c>
      <c r="F7732" s="4" t="s">
        <v>8558</v>
      </c>
      <c r="G7732" s="5" t="str">
        <f>IFERROR(__xludf.DUMMYFUNCTION("GOOGLETRANSLATE(D7732,""nl"",""es"")"),"nicho")</f>
        <v>nicho</v>
      </c>
    </row>
    <row r="7733">
      <c r="A7733" s="4">
        <v>105.0</v>
      </c>
      <c r="B7733" s="4" t="s">
        <v>17390</v>
      </c>
      <c r="C7733" s="4"/>
      <c r="D7733" s="4" t="s">
        <v>13089</v>
      </c>
      <c r="E7733" s="4" t="s">
        <v>388</v>
      </c>
      <c r="F7733" s="4" t="s">
        <v>389</v>
      </c>
      <c r="G7733" s="5" t="str">
        <f>IFERROR(__xludf.DUMMYFUNCTION("GOOGLETRANSLATE(D7733,""nl"",""es"")"),"nie")</f>
        <v>nie</v>
      </c>
    </row>
    <row r="7734">
      <c r="A7734" s="4">
        <v>106.0</v>
      </c>
      <c r="B7734" s="4" t="s">
        <v>17390</v>
      </c>
      <c r="C7734" s="4"/>
      <c r="D7734" s="4" t="s">
        <v>13089</v>
      </c>
      <c r="E7734" s="4" t="s">
        <v>17271</v>
      </c>
      <c r="F7734" s="4" t="s">
        <v>389</v>
      </c>
      <c r="G7734" s="5" t="str">
        <f>IFERROR(__xludf.DUMMYFUNCTION("GOOGLETRANSLATE(D7734,""nl"",""es"")"),"nie")</f>
        <v>nie</v>
      </c>
    </row>
    <row r="7735">
      <c r="A7735" s="4">
        <v>107.0</v>
      </c>
      <c r="B7735" s="4" t="s">
        <v>17390</v>
      </c>
      <c r="C7735" s="4"/>
      <c r="D7735" s="4" t="s">
        <v>17272</v>
      </c>
      <c r="E7735" s="4" t="s">
        <v>388</v>
      </c>
      <c r="F7735" s="4" t="s">
        <v>389</v>
      </c>
      <c r="G7735" s="5" t="str">
        <f>IFERROR(__xludf.DUMMYFUNCTION("GOOGLETRANSLATE(D7735,""nl"",""es"")"),"no ")</f>
        <v>no </v>
      </c>
      <c r="H7735" s="4" t="s">
        <v>15585</v>
      </c>
    </row>
    <row r="7736">
      <c r="A7736" s="4">
        <v>108.0</v>
      </c>
      <c r="B7736" s="4" t="s">
        <v>17390</v>
      </c>
      <c r="C7736" s="4"/>
      <c r="D7736" s="4" t="s">
        <v>8564</v>
      </c>
      <c r="E7736" s="4" t="s">
        <v>17273</v>
      </c>
      <c r="F7736" s="4" t="s">
        <v>8564</v>
      </c>
      <c r="G7736" s="5" t="str">
        <f>IFERROR(__xludf.DUMMYFUNCTION("GOOGLETRANSLATE(D7736,""nl"",""es"")"),"nicho")</f>
        <v>nicho</v>
      </c>
      <c r="H7736" s="4" t="s">
        <v>983</v>
      </c>
      <c r="I7736" s="4" t="s">
        <v>8559</v>
      </c>
      <c r="J7736" s="4" t="s">
        <v>8556</v>
      </c>
      <c r="K7736" s="4" t="s">
        <v>7029</v>
      </c>
      <c r="L7736" s="4" t="s">
        <v>8556</v>
      </c>
    </row>
    <row r="7737">
      <c r="A7737" s="4">
        <v>109.0</v>
      </c>
      <c r="B7737" s="4" t="s">
        <v>17390</v>
      </c>
      <c r="C7737" s="4"/>
      <c r="D7737" s="4" t="s">
        <v>17274</v>
      </c>
      <c r="E7737" s="4" t="s">
        <v>13102</v>
      </c>
      <c r="F7737" s="4" t="s">
        <v>7032</v>
      </c>
      <c r="G7737" s="5" t="str">
        <f>IFERROR(__xludf.DUMMYFUNCTION("GOOGLETRANSLATE(D7737,""nl"",""es"")"),"mediodía")</f>
        <v>mediodía</v>
      </c>
      <c r="H7737" s="4" t="s">
        <v>17275</v>
      </c>
      <c r="I7737" s="4" t="s">
        <v>17276</v>
      </c>
      <c r="J7737" s="4" t="s">
        <v>17277</v>
      </c>
      <c r="K7737" s="4" t="s">
        <v>17278</v>
      </c>
      <c r="L7737" s="4" t="s">
        <v>17279</v>
      </c>
      <c r="M7737" s="4" t="s">
        <v>17280</v>
      </c>
    </row>
    <row r="7738">
      <c r="A7738" s="4">
        <v>110.0</v>
      </c>
      <c r="B7738" s="4" t="s">
        <v>17390</v>
      </c>
      <c r="C7738" s="4"/>
      <c r="D7738" s="4" t="s">
        <v>17281</v>
      </c>
      <c r="E7738" s="4" t="s">
        <v>12368</v>
      </c>
      <c r="F7738" s="4" t="s">
        <v>8033</v>
      </c>
      <c r="G7738" s="5" t="str">
        <f>IFERROR(__xludf.DUMMYFUNCTION("GOOGLETRANSLATE(D7738,""nl"",""es"")"),"oek")</f>
        <v>oek</v>
      </c>
    </row>
    <row r="7739">
      <c r="A7739" s="4">
        <v>111.0</v>
      </c>
      <c r="B7739" s="4" t="s">
        <v>17390</v>
      </c>
      <c r="C7739" s="4"/>
      <c r="D7739" s="4" t="s">
        <v>17282</v>
      </c>
      <c r="E7739" s="4" t="s">
        <v>1859</v>
      </c>
      <c r="F7739" s="4" t="s">
        <v>1860</v>
      </c>
      <c r="G7739" s="5" t="str">
        <f>IFERROR(__xludf.DUMMYFUNCTION("GOOGLETRANSLATE(D7739,""nl"",""es"")"),"de todo")</f>
        <v>de todo</v>
      </c>
      <c r="H7739" s="4" t="s">
        <v>17283</v>
      </c>
      <c r="I7739" s="4" t="s">
        <v>17284</v>
      </c>
      <c r="J7739" s="4" t="s">
        <v>3248</v>
      </c>
      <c r="K7739" s="4" t="s">
        <v>17285</v>
      </c>
      <c r="L7739" s="4" t="s">
        <v>3237</v>
      </c>
      <c r="M7739" s="4" t="s">
        <v>3238</v>
      </c>
      <c r="N7739" s="4" t="s">
        <v>3239</v>
      </c>
      <c r="O7739" s="4" t="s">
        <v>3240</v>
      </c>
      <c r="P7739" s="4" t="s">
        <v>3241</v>
      </c>
      <c r="Q7739" s="4" t="s">
        <v>3242</v>
      </c>
      <c r="R7739" s="4" t="s">
        <v>13837</v>
      </c>
      <c r="S7739" s="4" t="s">
        <v>17165</v>
      </c>
      <c r="T7739" s="4" t="s">
        <v>6995</v>
      </c>
      <c r="U7739" s="4" t="s">
        <v>6996</v>
      </c>
      <c r="V7739" s="4" t="s">
        <v>6992</v>
      </c>
      <c r="W7739" s="4" t="s">
        <v>17286</v>
      </c>
      <c r="X7739" s="4" t="s">
        <v>17287</v>
      </c>
      <c r="Y7739" s="4" t="s">
        <v>17288</v>
      </c>
      <c r="Z7739" s="4" t="s">
        <v>17289</v>
      </c>
      <c r="AA7739" s="4" t="s">
        <v>17290</v>
      </c>
      <c r="AB7739" s="4" t="s">
        <v>17291</v>
      </c>
      <c r="AC7739" s="4" t="s">
        <v>17292</v>
      </c>
      <c r="AD7739" s="4" t="s">
        <v>17293</v>
      </c>
      <c r="AE7739" s="4" t="s">
        <v>17294</v>
      </c>
    </row>
    <row r="7740">
      <c r="A7740" s="4">
        <v>112.0</v>
      </c>
      <c r="B7740" s="4" t="s">
        <v>17390</v>
      </c>
      <c r="C7740" s="4"/>
      <c r="D7740" s="4" t="s">
        <v>392</v>
      </c>
      <c r="E7740" s="4" t="s">
        <v>8643</v>
      </c>
      <c r="F7740" s="4" t="s">
        <v>392</v>
      </c>
      <c r="G7740" s="5" t="str">
        <f>IFERROR(__xludf.DUMMYFUNCTION("GOOGLETRANSLATE(D7740,""nl"",""es"")"),"Traje de negocios")</f>
        <v>Traje de negocios</v>
      </c>
      <c r="H7740" s="4" t="s">
        <v>2543</v>
      </c>
      <c r="I7740" s="4" t="s">
        <v>16198</v>
      </c>
      <c r="J7740" s="4" t="s">
        <v>16199</v>
      </c>
      <c r="K7740" s="4" t="s">
        <v>16200</v>
      </c>
      <c r="L7740" s="4" t="s">
        <v>11016</v>
      </c>
      <c r="M7740" s="4" t="s">
        <v>11017</v>
      </c>
      <c r="N7740" s="4" t="s">
        <v>1736</v>
      </c>
      <c r="O7740" s="4" t="s">
        <v>1737</v>
      </c>
      <c r="P7740" s="4" t="s">
        <v>1738</v>
      </c>
      <c r="Q7740" s="4" t="s">
        <v>1739</v>
      </c>
      <c r="R7740" s="4" t="s">
        <v>1740</v>
      </c>
      <c r="S7740" s="4" t="s">
        <v>1741</v>
      </c>
      <c r="T7740" s="4" t="s">
        <v>484</v>
      </c>
      <c r="U7740" s="4" t="s">
        <v>1742</v>
      </c>
      <c r="V7740" s="4" t="s">
        <v>1743</v>
      </c>
      <c r="W7740" s="4" t="s">
        <v>1744</v>
      </c>
      <c r="X7740" s="4" t="s">
        <v>1745</v>
      </c>
      <c r="Y7740" s="4" t="s">
        <v>1746</v>
      </c>
      <c r="Z7740" s="4" t="s">
        <v>1747</v>
      </c>
      <c r="AA7740" s="4" t="s">
        <v>1748</v>
      </c>
      <c r="AB7740" s="4" t="s">
        <v>1749</v>
      </c>
      <c r="AC7740" s="4" t="s">
        <v>1750</v>
      </c>
      <c r="AD7740" s="4" t="s">
        <v>483</v>
      </c>
      <c r="AE7740" s="4" t="s">
        <v>1751</v>
      </c>
      <c r="AF7740" s="4" t="s">
        <v>1752</v>
      </c>
      <c r="AG7740" s="4" t="s">
        <v>1753</v>
      </c>
      <c r="AH7740" s="4" t="s">
        <v>1754</v>
      </c>
      <c r="AI7740" s="4" t="s">
        <v>1755</v>
      </c>
      <c r="AJ7740" s="4" t="s">
        <v>1756</v>
      </c>
      <c r="AK7740" s="4" t="s">
        <v>1757</v>
      </c>
      <c r="AL7740" s="4" t="s">
        <v>482</v>
      </c>
      <c r="AM7740" s="4" t="s">
        <v>1758</v>
      </c>
      <c r="AN7740" s="4" t="s">
        <v>780</v>
      </c>
    </row>
    <row r="7741">
      <c r="A7741" s="4">
        <v>113.0</v>
      </c>
      <c r="B7741" s="4" t="s">
        <v>17390</v>
      </c>
      <c r="C7741" s="4"/>
      <c r="D7741" s="4" t="s">
        <v>3161</v>
      </c>
      <c r="E7741" s="4" t="s">
        <v>8597</v>
      </c>
      <c r="F7741" s="4" t="s">
        <v>3161</v>
      </c>
      <c r="G7741" s="5" t="str">
        <f>IFERROR(__xludf.DUMMYFUNCTION("GOOGLETRANSLATE(D7741,""nl"",""es"")"),"pista")</f>
        <v>pista</v>
      </c>
      <c r="H7741" s="4" t="s">
        <v>9402</v>
      </c>
      <c r="I7741" s="4" t="s">
        <v>9403</v>
      </c>
      <c r="J7741" s="4" t="s">
        <v>7840</v>
      </c>
      <c r="K7741" s="4" t="s">
        <v>963</v>
      </c>
    </row>
    <row r="7742">
      <c r="A7742" s="4">
        <v>114.0</v>
      </c>
      <c r="B7742" s="4" t="s">
        <v>17390</v>
      </c>
      <c r="C7742" s="4"/>
      <c r="D7742" s="4" t="s">
        <v>7069</v>
      </c>
      <c r="E7742" s="4" t="s">
        <v>17295</v>
      </c>
      <c r="F7742" s="4" t="s">
        <v>7069</v>
      </c>
      <c r="G7742" s="5" t="str">
        <f>IFERROR(__xludf.DUMMYFUNCTION("GOOGLETRANSLATE(D7742,""nl"",""es"")"),"sartén")</f>
        <v>sartén</v>
      </c>
      <c r="H7742" s="4" t="s">
        <v>7069</v>
      </c>
      <c r="I7742" s="4" t="s">
        <v>7071</v>
      </c>
      <c r="J7742" s="4" t="s">
        <v>17296</v>
      </c>
      <c r="K7742" s="4" t="s">
        <v>17297</v>
      </c>
      <c r="L7742" s="4" t="s">
        <v>8082</v>
      </c>
      <c r="M7742" s="4" t="s">
        <v>17296</v>
      </c>
      <c r="N7742" s="4" t="s">
        <v>17298</v>
      </c>
    </row>
    <row r="7743">
      <c r="A7743" s="4">
        <v>115.0</v>
      </c>
      <c r="B7743" s="4" t="s">
        <v>17390</v>
      </c>
      <c r="C7743" s="4"/>
      <c r="D7743" s="4" t="s">
        <v>7088</v>
      </c>
      <c r="E7743" s="4" t="s">
        <v>8676</v>
      </c>
      <c r="F7743" s="4" t="s">
        <v>7088</v>
      </c>
      <c r="G7743" s="5" t="str">
        <f>IFERROR(__xludf.DUMMYFUNCTION("GOOGLETRANSLATE(D7743,""nl"",""es"")"),"papá")</f>
        <v>papá</v>
      </c>
      <c r="H7743" s="4" t="s">
        <v>17299</v>
      </c>
      <c r="I7743" s="4" t="s">
        <v>17300</v>
      </c>
      <c r="J7743" s="4" t="s">
        <v>6897</v>
      </c>
      <c r="K7743" s="4" t="s">
        <v>6895</v>
      </c>
      <c r="L7743" s="4" t="s">
        <v>3294</v>
      </c>
      <c r="M7743" s="4" t="s">
        <v>3295</v>
      </c>
      <c r="N7743" s="4" t="s">
        <v>3296</v>
      </c>
      <c r="O7743" s="4" t="s">
        <v>3147</v>
      </c>
      <c r="P7743" s="4" t="s">
        <v>3292</v>
      </c>
      <c r="Q7743" s="4" t="s">
        <v>3297</v>
      </c>
      <c r="R7743" s="4" t="s">
        <v>3298</v>
      </c>
      <c r="S7743" s="4" t="s">
        <v>3299</v>
      </c>
      <c r="T7743" s="4" t="s">
        <v>3300</v>
      </c>
      <c r="U7743" s="4" t="s">
        <v>3301</v>
      </c>
    </row>
    <row r="7744">
      <c r="A7744" s="4">
        <v>116.0</v>
      </c>
      <c r="B7744" s="4" t="s">
        <v>17390</v>
      </c>
      <c r="C7744" s="4"/>
      <c r="D7744" s="4" t="s">
        <v>17301</v>
      </c>
      <c r="E7744" s="4" t="s">
        <v>8693</v>
      </c>
      <c r="F7744" s="4" t="s">
        <v>7100</v>
      </c>
      <c r="G7744" s="5" t="str">
        <f>IFERROR(__xludf.DUMMYFUNCTION("GOOGLETRANSLATE(D7744,""nl"",""es"")"),"papi")</f>
        <v>papi</v>
      </c>
      <c r="H7744" s="4" t="s">
        <v>3299</v>
      </c>
      <c r="I7744" s="4" t="s">
        <v>3300</v>
      </c>
      <c r="J7744" s="4" t="s">
        <v>3301</v>
      </c>
    </row>
    <row r="7745">
      <c r="A7745" s="4">
        <v>117.0</v>
      </c>
      <c r="B7745" s="4" t="s">
        <v>17390</v>
      </c>
      <c r="C7745" s="4"/>
      <c r="D7745" s="4" t="s">
        <v>3361</v>
      </c>
      <c r="E7745" s="4" t="s">
        <v>10940</v>
      </c>
      <c r="F7745" s="4" t="s">
        <v>3361</v>
      </c>
      <c r="G7745" s="5" t="str">
        <f>IFERROR(__xludf.DUMMYFUNCTION("GOOGLETRANSLATE(D7745,""nl"",""es"")"),"pasar")</f>
        <v>pasar</v>
      </c>
      <c r="H7745" s="4" t="s">
        <v>3366</v>
      </c>
      <c r="I7745" s="4" t="s">
        <v>3367</v>
      </c>
      <c r="J7745" s="4" t="s">
        <v>3368</v>
      </c>
      <c r="K7745" s="4" t="s">
        <v>13236</v>
      </c>
      <c r="L7745" s="4" t="s">
        <v>3365</v>
      </c>
      <c r="M7745" s="4" t="s">
        <v>7107</v>
      </c>
      <c r="N7745" s="4" t="s">
        <v>647</v>
      </c>
      <c r="O7745" s="4" t="s">
        <v>3382</v>
      </c>
      <c r="P7745" s="4" t="s">
        <v>3383</v>
      </c>
    </row>
    <row r="7746">
      <c r="A7746" s="4">
        <v>118.0</v>
      </c>
      <c r="B7746" s="4" t="s">
        <v>17390</v>
      </c>
      <c r="C7746" s="4"/>
      <c r="D7746" s="4" t="s">
        <v>17302</v>
      </c>
      <c r="E7746" s="4" t="s">
        <v>8698</v>
      </c>
      <c r="F7746" s="4" t="s">
        <v>8699</v>
      </c>
      <c r="G7746" s="5" t="str">
        <f>IFERROR(__xludf.DUMMYFUNCTION("GOOGLETRANSLATE(D7746,""nl"",""es"")"),"pasión")</f>
        <v>pasión</v>
      </c>
      <c r="H7746" s="4" t="s">
        <v>572</v>
      </c>
      <c r="I7746" s="4" t="s">
        <v>5679</v>
      </c>
      <c r="J7746" s="4" t="s">
        <v>5679</v>
      </c>
      <c r="K7746" s="4" t="s">
        <v>17303</v>
      </c>
    </row>
    <row r="7747">
      <c r="A7747" s="4">
        <v>119.0</v>
      </c>
      <c r="B7747" s="4" t="s">
        <v>17390</v>
      </c>
      <c r="C7747" s="4"/>
      <c r="D7747" s="4" t="s">
        <v>17304</v>
      </c>
      <c r="E7747" s="4" t="s">
        <v>10942</v>
      </c>
      <c r="F7747" s="4" t="s">
        <v>10941</v>
      </c>
      <c r="G7747" s="5" t="str">
        <f>IFERROR(__xludf.DUMMYFUNCTION("GOOGLETRANSLATE(D7747,""nl"",""es"")"),"patata")</f>
        <v>patata</v>
      </c>
    </row>
    <row r="7748">
      <c r="A7748" s="4">
        <v>120.0</v>
      </c>
      <c r="B7748" s="4" t="s">
        <v>17390</v>
      </c>
      <c r="C7748" s="4"/>
      <c r="D7748" s="4" t="s">
        <v>230</v>
      </c>
      <c r="E7748" s="4" t="s">
        <v>229</v>
      </c>
      <c r="F7748" s="4" t="s">
        <v>230</v>
      </c>
      <c r="G7748" s="5" t="str">
        <f>IFERROR(__xludf.DUMMYFUNCTION("GOOGLETRANSLATE(D7748,""nl"",""es"")"),"Pi")</f>
        <v>Pi</v>
      </c>
      <c r="H7748" s="4" t="s">
        <v>230</v>
      </c>
    </row>
    <row r="7749">
      <c r="A7749" s="4">
        <v>121.0</v>
      </c>
      <c r="B7749" s="4" t="s">
        <v>17390</v>
      </c>
      <c r="C7749" s="4"/>
      <c r="D7749" s="4" t="s">
        <v>17305</v>
      </c>
      <c r="E7749" s="4" t="s">
        <v>3458</v>
      </c>
      <c r="F7749" s="4" t="s">
        <v>266</v>
      </c>
      <c r="G7749" s="5" t="str">
        <f>IFERROR(__xludf.DUMMYFUNCTION("GOOGLETRANSLATE(D7749,""nl"",""es"")"),"cima")</f>
        <v>cima</v>
      </c>
      <c r="H7749" s="4" t="s">
        <v>17306</v>
      </c>
      <c r="I7749" s="4" t="s">
        <v>3466</v>
      </c>
      <c r="J7749" s="4" t="s">
        <v>17307</v>
      </c>
      <c r="K7749" s="4" t="s">
        <v>1400</v>
      </c>
      <c r="L7749" s="4" t="s">
        <v>1401</v>
      </c>
      <c r="M7749" s="4" t="s">
        <v>1402</v>
      </c>
      <c r="N7749" s="4" t="s">
        <v>1403</v>
      </c>
      <c r="O7749" s="4" t="s">
        <v>425</v>
      </c>
      <c r="P7749" s="4" t="s">
        <v>1404</v>
      </c>
      <c r="Q7749" s="4" t="s">
        <v>17308</v>
      </c>
      <c r="R7749" s="4" t="s">
        <v>17309</v>
      </c>
      <c r="S7749" s="4" t="s">
        <v>17310</v>
      </c>
      <c r="T7749" s="4" t="s">
        <v>17311</v>
      </c>
      <c r="U7749" s="4" t="s">
        <v>17308</v>
      </c>
      <c r="V7749" s="4" t="s">
        <v>17309</v>
      </c>
      <c r="W7749" s="4" t="s">
        <v>17310</v>
      </c>
    </row>
    <row r="7750">
      <c r="A7750" s="4">
        <v>122.0</v>
      </c>
      <c r="B7750" s="4" t="s">
        <v>17390</v>
      </c>
      <c r="C7750" s="4"/>
      <c r="D7750" s="4" t="s">
        <v>17312</v>
      </c>
      <c r="E7750" s="4" t="s">
        <v>13337</v>
      </c>
      <c r="F7750" s="4" t="s">
        <v>7199</v>
      </c>
      <c r="G7750" s="5" t="str">
        <f>IFERROR(__xludf.DUMMYFUNCTION("GOOGLETRANSLATE(D7750,""nl"",""es"")"),"piel")</f>
        <v>piel</v>
      </c>
      <c r="H7750" s="4" t="s">
        <v>8638</v>
      </c>
      <c r="I7750" s="4" t="s">
        <v>8640</v>
      </c>
      <c r="J7750" s="4" t="s">
        <v>8641</v>
      </c>
      <c r="K7750" s="4" t="s">
        <v>3596</v>
      </c>
      <c r="L7750" s="4" t="s">
        <v>3497</v>
      </c>
      <c r="M7750" s="4" t="s">
        <v>3597</v>
      </c>
      <c r="N7750" s="4" t="s">
        <v>3598</v>
      </c>
      <c r="O7750" s="4" t="s">
        <v>3599</v>
      </c>
      <c r="P7750" s="4" t="s">
        <v>3600</v>
      </c>
      <c r="Q7750" s="4" t="s">
        <v>3601</v>
      </c>
      <c r="R7750" s="4" t="s">
        <v>3602</v>
      </c>
    </row>
    <row r="7751">
      <c r="A7751" s="4">
        <v>123.0</v>
      </c>
      <c r="B7751" s="4" t="s">
        <v>17390</v>
      </c>
      <c r="C7751" s="4"/>
      <c r="D7751" s="4" t="s">
        <v>17313</v>
      </c>
      <c r="E7751" s="4" t="s">
        <v>4852</v>
      </c>
      <c r="F7751" s="4" t="s">
        <v>4851</v>
      </c>
      <c r="G7751" s="5" t="str">
        <f>IFERROR(__xludf.DUMMYFUNCTION("GOOGLETRANSLATE(D7751,""nl"",""es"")"),"chirrido")</f>
        <v>chirrido</v>
      </c>
    </row>
    <row r="7752">
      <c r="A7752" s="4">
        <v>124.0</v>
      </c>
      <c r="B7752" s="4" t="s">
        <v>17390</v>
      </c>
      <c r="C7752" s="4"/>
      <c r="D7752" s="4" t="s">
        <v>17314</v>
      </c>
      <c r="E7752" s="4" t="s">
        <v>3571</v>
      </c>
      <c r="F7752" s="4" t="s">
        <v>3570</v>
      </c>
      <c r="G7752" s="5" t="str">
        <f>IFERROR(__xludf.DUMMYFUNCTION("GOOGLETRANSLATE(D7752,""nl"",""es"")"),"pipí")</f>
        <v>pipí</v>
      </c>
      <c r="H7752" s="4" t="s">
        <v>7241</v>
      </c>
      <c r="I7752" s="4" t="s">
        <v>7239</v>
      </c>
      <c r="J7752" s="4" t="s">
        <v>7242</v>
      </c>
      <c r="K7752" s="4" t="s">
        <v>7243</v>
      </c>
      <c r="L7752" s="4" t="s">
        <v>7244</v>
      </c>
      <c r="M7752" s="4" t="s">
        <v>7245</v>
      </c>
    </row>
    <row r="7753">
      <c r="A7753" s="4">
        <v>125.0</v>
      </c>
      <c r="B7753" s="4" t="s">
        <v>17390</v>
      </c>
      <c r="C7753" s="4"/>
      <c r="D7753" s="4" t="s">
        <v>266</v>
      </c>
      <c r="E7753" s="4" t="s">
        <v>7162</v>
      </c>
      <c r="F7753" s="4" t="s">
        <v>266</v>
      </c>
      <c r="G7753" s="5" t="str">
        <f>IFERROR(__xludf.DUMMYFUNCTION("GOOGLETRANSLATE(D7753,""nl"",""es"")"),"polla")</f>
        <v>polla</v>
      </c>
      <c r="H7753" s="4" t="s">
        <v>3497</v>
      </c>
      <c r="I7753" s="4" t="s">
        <v>17315</v>
      </c>
      <c r="J7753" s="4" t="s">
        <v>8638</v>
      </c>
      <c r="K7753" s="4" t="s">
        <v>8640</v>
      </c>
      <c r="L7753" s="4" t="s">
        <v>8641</v>
      </c>
      <c r="M7753" s="4" t="s">
        <v>3596</v>
      </c>
      <c r="N7753" s="4" t="s">
        <v>3497</v>
      </c>
      <c r="O7753" s="4" t="s">
        <v>3597</v>
      </c>
      <c r="P7753" s="4" t="s">
        <v>3598</v>
      </c>
      <c r="Q7753" s="4" t="s">
        <v>3599</v>
      </c>
      <c r="R7753" s="4" t="s">
        <v>3600</v>
      </c>
      <c r="S7753" s="4" t="s">
        <v>3601</v>
      </c>
      <c r="T7753" s="4" t="s">
        <v>3602</v>
      </c>
      <c r="U7753" s="4" t="s">
        <v>1856</v>
      </c>
      <c r="V7753" s="4" t="s">
        <v>6742</v>
      </c>
      <c r="W7753" s="4" t="s">
        <v>10974</v>
      </c>
      <c r="X7753" s="4" t="s">
        <v>2509</v>
      </c>
    </row>
    <row r="7754">
      <c r="A7754" s="4">
        <v>126.0</v>
      </c>
      <c r="B7754" s="4" t="s">
        <v>17390</v>
      </c>
      <c r="C7754" s="4"/>
      <c r="D7754" s="4" t="s">
        <v>7199</v>
      </c>
      <c r="E7754" s="4" t="s">
        <v>7198</v>
      </c>
      <c r="F7754" s="4" t="s">
        <v>7199</v>
      </c>
      <c r="G7754" s="5" t="str">
        <f>IFERROR(__xludf.DUMMYFUNCTION("GOOGLETRANSLATE(D7754,""nl"",""es"")"),"píldora")</f>
        <v>píldora</v>
      </c>
      <c r="H7754" s="4" t="s">
        <v>7197</v>
      </c>
      <c r="I7754" s="4" t="s">
        <v>7200</v>
      </c>
      <c r="J7754" s="4" t="s">
        <v>7201</v>
      </c>
      <c r="K7754" s="4" t="s">
        <v>7202</v>
      </c>
      <c r="L7754" s="4" t="s">
        <v>7197</v>
      </c>
      <c r="M7754" s="4" t="s">
        <v>7203</v>
      </c>
      <c r="N7754" s="4" t="s">
        <v>7204</v>
      </c>
      <c r="O7754" s="4" t="s">
        <v>7205</v>
      </c>
      <c r="P7754" s="4" t="s">
        <v>7206</v>
      </c>
      <c r="Q7754" s="4" t="s">
        <v>7207</v>
      </c>
      <c r="R7754" s="4" t="s">
        <v>7208</v>
      </c>
      <c r="S7754" s="4" t="s">
        <v>17316</v>
      </c>
      <c r="T7754" s="4" t="s">
        <v>17317</v>
      </c>
      <c r="U7754" s="4" t="s">
        <v>17318</v>
      </c>
      <c r="V7754" s="4" t="s">
        <v>17319</v>
      </c>
      <c r="W7754" s="4" t="s">
        <v>17320</v>
      </c>
      <c r="X7754" s="4" t="s">
        <v>17321</v>
      </c>
      <c r="Y7754" s="4" t="s">
        <v>17322</v>
      </c>
      <c r="Z7754" s="4" t="s">
        <v>17323</v>
      </c>
      <c r="AA7754" s="4" t="s">
        <v>17324</v>
      </c>
      <c r="AB7754" s="4" t="s">
        <v>17325</v>
      </c>
      <c r="AC7754" s="4" t="s">
        <v>17326</v>
      </c>
    </row>
    <row r="7755">
      <c r="A7755" s="4">
        <v>127.0</v>
      </c>
      <c r="B7755" s="4" t="s">
        <v>17390</v>
      </c>
      <c r="C7755" s="4"/>
      <c r="D7755" s="4" t="s">
        <v>17327</v>
      </c>
      <c r="E7755" s="4" t="s">
        <v>17328</v>
      </c>
      <c r="F7755" s="4" t="s">
        <v>17327</v>
      </c>
      <c r="G7755" s="5" t="str">
        <f>IFERROR(__xludf.DUMMYFUNCTION("GOOGLETRANSLATE(D7755,""nl"",""es"")"),"pimbre")</f>
        <v>pimbre</v>
      </c>
    </row>
    <row r="7756">
      <c r="A7756" s="4">
        <v>128.0</v>
      </c>
      <c r="B7756" s="4" t="s">
        <v>17390</v>
      </c>
      <c r="C7756" s="4"/>
      <c r="D7756" s="4" t="s">
        <v>3170</v>
      </c>
      <c r="E7756" s="4" t="s">
        <v>7156</v>
      </c>
      <c r="F7756" s="4" t="s">
        <v>3170</v>
      </c>
      <c r="G7756" s="5" t="str">
        <f>IFERROR(__xludf.DUMMYFUNCTION("GOOGLETRANSLATE(D7756,""nl"",""es"")"),"alfiler")</f>
        <v>alfiler</v>
      </c>
      <c r="H7756" s="4" t="s">
        <v>17329</v>
      </c>
      <c r="I7756" s="4" t="s">
        <v>17330</v>
      </c>
      <c r="J7756" s="4" t="s">
        <v>17331</v>
      </c>
      <c r="K7756" s="4" t="s">
        <v>3170</v>
      </c>
      <c r="L7756" s="4" t="s">
        <v>3170</v>
      </c>
      <c r="M7756" s="4" t="s">
        <v>2179</v>
      </c>
    </row>
    <row r="7757">
      <c r="A7757" s="4">
        <v>129.0</v>
      </c>
      <c r="B7757" s="4" t="s">
        <v>17390</v>
      </c>
      <c r="C7757" s="4"/>
      <c r="D7757" s="4" t="s">
        <v>4851</v>
      </c>
      <c r="E7757" s="4" t="s">
        <v>7231</v>
      </c>
      <c r="F7757" s="4" t="s">
        <v>4851</v>
      </c>
      <c r="G7757" s="5" t="str">
        <f>IFERROR(__xludf.DUMMYFUNCTION("GOOGLETRANSLATE(D7757,""nl"",""es"")"),"Pepita")</f>
        <v>Pepita</v>
      </c>
    </row>
    <row r="7758">
      <c r="A7758" s="4">
        <v>130.0</v>
      </c>
      <c r="B7758" s="4" t="s">
        <v>17390</v>
      </c>
      <c r="C7758" s="4"/>
      <c r="D7758" s="4" t="s">
        <v>3570</v>
      </c>
      <c r="E7758" s="4" t="s">
        <v>7240</v>
      </c>
      <c r="F7758" s="4" t="s">
        <v>3570</v>
      </c>
      <c r="G7758" s="5" t="str">
        <f>IFERROR(__xludf.DUMMYFUNCTION("GOOGLETRANSLATE(D7758,""nl"",""es"")"),"orinar")</f>
        <v>orinar</v>
      </c>
      <c r="H7758" s="4" t="s">
        <v>7241</v>
      </c>
      <c r="I7758" s="4" t="s">
        <v>7239</v>
      </c>
      <c r="J7758" s="4" t="s">
        <v>7242</v>
      </c>
      <c r="K7758" s="4" t="s">
        <v>7243</v>
      </c>
      <c r="L7758" s="4" t="s">
        <v>7244</v>
      </c>
      <c r="M7758" s="4" t="s">
        <v>7245</v>
      </c>
    </row>
    <row r="7759">
      <c r="A7759" s="4">
        <v>131.0</v>
      </c>
      <c r="B7759" s="4" t="s">
        <v>17390</v>
      </c>
      <c r="C7759" s="4"/>
      <c r="D7759" s="4" t="s">
        <v>17332</v>
      </c>
      <c r="E7759" s="4" t="s">
        <v>8671</v>
      </c>
      <c r="F7759" s="4" t="s">
        <v>7296</v>
      </c>
      <c r="G7759" s="5" t="str">
        <f>IFERROR(__xludf.DUMMYFUNCTION("GOOGLETRANSLATE(D7759,""nl"",""es"")"),"piscina")</f>
        <v>piscina</v>
      </c>
    </row>
    <row r="7760">
      <c r="A7760" s="4">
        <v>132.0</v>
      </c>
      <c r="B7760" s="4" t="s">
        <v>17390</v>
      </c>
      <c r="C7760" s="4"/>
      <c r="D7760" s="4" t="s">
        <v>17333</v>
      </c>
      <c r="E7760" s="4" t="s">
        <v>3702</v>
      </c>
      <c r="F7760" s="4" t="s">
        <v>3703</v>
      </c>
      <c r="G7760" s="5" t="str">
        <f>IFERROR(__xludf.DUMMYFUNCTION("GOOGLETRANSLATE(D7760,""nl"",""es"")"),"chocolate")</f>
        <v>chocolate</v>
      </c>
      <c r="H7760" s="4" t="s">
        <v>3149</v>
      </c>
      <c r="I7760" s="4" t="s">
        <v>3150</v>
      </c>
      <c r="J7760" s="4" t="s">
        <v>3151</v>
      </c>
      <c r="K7760" s="4" t="s">
        <v>17334</v>
      </c>
      <c r="L7760" s="4" t="s">
        <v>17334</v>
      </c>
      <c r="M7760" s="4" t="s">
        <v>17335</v>
      </c>
      <c r="N7760" s="4" t="s">
        <v>3149</v>
      </c>
      <c r="O7760" s="4" t="s">
        <v>6300</v>
      </c>
      <c r="P7760" s="4" t="s">
        <v>17336</v>
      </c>
      <c r="Q7760" s="4" t="s">
        <v>17337</v>
      </c>
      <c r="R7760" s="4" t="s">
        <v>2531</v>
      </c>
      <c r="S7760" s="4" t="s">
        <v>17338</v>
      </c>
      <c r="T7760" s="4" t="s">
        <v>12106</v>
      </c>
      <c r="U7760" s="4" t="s">
        <v>17339</v>
      </c>
      <c r="V7760" s="4" t="s">
        <v>8479</v>
      </c>
      <c r="W7760" s="4" t="s">
        <v>17340</v>
      </c>
      <c r="X7760" s="4" t="s">
        <v>17341</v>
      </c>
      <c r="Y7760" s="4" t="s">
        <v>17342</v>
      </c>
      <c r="Z7760" s="4" t="s">
        <v>17343</v>
      </c>
      <c r="AA7760" s="4" t="s">
        <v>3634</v>
      </c>
      <c r="AB7760" s="4" t="s">
        <v>17344</v>
      </c>
      <c r="AC7760" s="4" t="s">
        <v>17345</v>
      </c>
      <c r="AD7760" s="4" t="s">
        <v>14554</v>
      </c>
      <c r="AE7760" s="4" t="s">
        <v>17346</v>
      </c>
    </row>
    <row r="7761">
      <c r="A7761" s="4">
        <v>133.0</v>
      </c>
      <c r="B7761" s="4" t="s">
        <v>17390</v>
      </c>
      <c r="C7761" s="4"/>
      <c r="D7761" s="4" t="s">
        <v>17347</v>
      </c>
      <c r="E7761" s="4" t="s">
        <v>13440</v>
      </c>
      <c r="F7761" s="4" t="s">
        <v>13441</v>
      </c>
      <c r="G7761" s="5" t="str">
        <f>IFERROR(__xludf.DUMMYFUNCTION("GOOGLETRANSLATE(D7761,""nl"",""es"")"),"caca")</f>
        <v>caca</v>
      </c>
      <c r="H7761" s="4" t="s">
        <v>17348</v>
      </c>
      <c r="I7761" s="4" t="s">
        <v>17349</v>
      </c>
      <c r="J7761" s="4" t="s">
        <v>15454</v>
      </c>
      <c r="K7761" s="4" t="s">
        <v>15455</v>
      </c>
      <c r="L7761" s="4" t="s">
        <v>15456</v>
      </c>
      <c r="M7761" s="4" t="s">
        <v>15457</v>
      </c>
      <c r="N7761" s="4" t="s">
        <v>15458</v>
      </c>
      <c r="O7761" s="4" t="s">
        <v>5952</v>
      </c>
      <c r="P7761" s="4" t="s">
        <v>15459</v>
      </c>
      <c r="Q7761" s="4" t="s">
        <v>15460</v>
      </c>
      <c r="R7761" s="4" t="s">
        <v>15461</v>
      </c>
      <c r="S7761" s="4" t="s">
        <v>13683</v>
      </c>
      <c r="T7761" s="4" t="s">
        <v>8769</v>
      </c>
      <c r="U7761" s="4" t="s">
        <v>15462</v>
      </c>
      <c r="V7761" s="4" t="s">
        <v>6996</v>
      </c>
      <c r="W7761" s="4" t="s">
        <v>15463</v>
      </c>
    </row>
    <row r="7762">
      <c r="A7762" s="4">
        <v>134.0</v>
      </c>
      <c r="B7762" s="4" t="s">
        <v>17390</v>
      </c>
      <c r="C7762" s="4"/>
      <c r="D7762" s="4" t="s">
        <v>7289</v>
      </c>
      <c r="E7762" s="4" t="s">
        <v>3767</v>
      </c>
      <c r="F7762" s="4" t="s">
        <v>3766</v>
      </c>
      <c r="G7762" s="5" t="str">
        <f>IFERROR(__xludf.DUMMYFUNCTION("GOOGLETRANSLATE(D7762,""nl"",""es"")"),"coño")</f>
        <v>coño</v>
      </c>
      <c r="H7762" s="4" t="s">
        <v>2722</v>
      </c>
      <c r="I7762" s="4" t="s">
        <v>2723</v>
      </c>
      <c r="J7762" s="4" t="s">
        <v>2724</v>
      </c>
      <c r="K7762" s="4" t="s">
        <v>2725</v>
      </c>
      <c r="L7762" s="4" t="s">
        <v>2726</v>
      </c>
      <c r="M7762" s="4" t="s">
        <v>2488</v>
      </c>
      <c r="N7762" s="4" t="s">
        <v>17350</v>
      </c>
      <c r="O7762" s="4" t="s">
        <v>3432</v>
      </c>
      <c r="P7762" s="4" t="s">
        <v>2724</v>
      </c>
      <c r="Q7762" s="4" t="s">
        <v>2725</v>
      </c>
      <c r="R7762" s="4" t="s">
        <v>3433</v>
      </c>
      <c r="S7762" s="4" t="s">
        <v>3434</v>
      </c>
      <c r="T7762" s="4" t="s">
        <v>3435</v>
      </c>
      <c r="U7762" s="4" t="s">
        <v>6702</v>
      </c>
      <c r="V7762" s="4" t="s">
        <v>2984</v>
      </c>
      <c r="W7762" s="4" t="s">
        <v>11436</v>
      </c>
      <c r="X7762" s="4" t="s">
        <v>11437</v>
      </c>
      <c r="Y7762" s="4" t="s">
        <v>11435</v>
      </c>
      <c r="Z7762" s="4" t="s">
        <v>5515</v>
      </c>
    </row>
    <row r="7763">
      <c r="A7763" s="4">
        <v>135.0</v>
      </c>
      <c r="B7763" s="4" t="s">
        <v>17390</v>
      </c>
      <c r="C7763" s="4"/>
      <c r="D7763" s="4" t="s">
        <v>398</v>
      </c>
      <c r="E7763" s="4" t="s">
        <v>8702</v>
      </c>
      <c r="F7763" s="4" t="s">
        <v>398</v>
      </c>
      <c r="G7763" s="5" t="str">
        <f>IFERROR(__xludf.DUMMYFUNCTION("GOOGLETRANSLATE(D7763,""nl"",""es"")"),"sam")</f>
        <v>sam</v>
      </c>
    </row>
    <row r="7764">
      <c r="A7764" s="4">
        <v>136.0</v>
      </c>
      <c r="B7764" s="4" t="s">
        <v>17390</v>
      </c>
      <c r="C7764" s="4"/>
      <c r="D7764" s="4" t="s">
        <v>3951</v>
      </c>
      <c r="E7764" s="4" t="s">
        <v>17351</v>
      </c>
      <c r="F7764" s="4" t="s">
        <v>3951</v>
      </c>
      <c r="G7764" s="5" t="str">
        <f>IFERROR(__xludf.DUMMYFUNCTION("GOOGLETRANSLATE(D7764,""nl"",""es"")"),"jugo")</f>
        <v>jugo</v>
      </c>
      <c r="H7764" s="4" t="s">
        <v>4110</v>
      </c>
      <c r="I7764" s="4" t="s">
        <v>3951</v>
      </c>
    </row>
    <row r="7765">
      <c r="A7765" s="4">
        <v>137.0</v>
      </c>
      <c r="B7765" s="4" t="s">
        <v>17390</v>
      </c>
      <c r="C7765" s="4"/>
      <c r="D7765" s="4" t="s">
        <v>7431</v>
      </c>
      <c r="E7765" s="4" t="s">
        <v>8711</v>
      </c>
      <c r="F7765" s="4" t="s">
        <v>7431</v>
      </c>
      <c r="G7765" s="5" t="str">
        <f>IFERROR(__xludf.DUMMYFUNCTION("GOOGLETRANSLATE(D7765,""nl"",""es"")"),"SAS")</f>
        <v>SAS</v>
      </c>
    </row>
    <row r="7766">
      <c r="A7766" s="4">
        <v>138.0</v>
      </c>
      <c r="B7766" s="4" t="s">
        <v>17390</v>
      </c>
      <c r="C7766" s="4"/>
      <c r="D7766" s="4" t="s">
        <v>17352</v>
      </c>
      <c r="E7766" s="4" t="s">
        <v>17353</v>
      </c>
      <c r="F7766" s="4" t="s">
        <v>16271</v>
      </c>
      <c r="G7766" s="5" t="str">
        <f>IFERROR(__xludf.DUMMYFUNCTION("GOOGLETRANSLATE(D7766,""nl"",""es"")"),"Sasiano")</f>
        <v>Sasiano</v>
      </c>
    </row>
    <row r="7767">
      <c r="A7767" s="4">
        <v>139.0</v>
      </c>
      <c r="B7767" s="4" t="s">
        <v>17390</v>
      </c>
      <c r="C7767" s="4"/>
      <c r="D7767" s="4" t="s">
        <v>7538</v>
      </c>
      <c r="E7767" s="4" t="s">
        <v>7537</v>
      </c>
      <c r="F7767" s="4" t="s">
        <v>7538</v>
      </c>
      <c r="G7767" s="5" t="str">
        <f>IFERROR(__xludf.DUMMYFUNCTION("GOOGLETRANSLATE(D7767,""nl"",""es"")"),"ganso")</f>
        <v>ganso</v>
      </c>
      <c r="H7767" s="4" t="s">
        <v>17354</v>
      </c>
    </row>
    <row r="7768">
      <c r="A7768" s="4">
        <v>140.0</v>
      </c>
      <c r="B7768" s="4" t="s">
        <v>17390</v>
      </c>
      <c r="C7768" s="4"/>
      <c r="D7768" s="4" t="s">
        <v>17355</v>
      </c>
      <c r="E7768" s="4" t="s">
        <v>17356</v>
      </c>
      <c r="F7768" s="4" t="s">
        <v>17355</v>
      </c>
      <c r="G7768" s="5" t="str">
        <f>IFERROR(__xludf.DUMMYFUNCTION("GOOGLETRANSLATE(D7768,""nl"",""es"")"),"naranja")</f>
        <v>naranja</v>
      </c>
      <c r="H7768" s="4" t="s">
        <v>17357</v>
      </c>
    </row>
    <row r="7769">
      <c r="A7769" s="4">
        <v>141.0</v>
      </c>
      <c r="B7769" s="4" t="s">
        <v>17390</v>
      </c>
      <c r="C7769" s="4"/>
      <c r="D7769" s="4" t="s">
        <v>17358</v>
      </c>
      <c r="E7769" s="4" t="s">
        <v>17359</v>
      </c>
      <c r="F7769" s="4" t="s">
        <v>17360</v>
      </c>
      <c r="G7769" s="5" t="str">
        <f>IFERROR(__xludf.DUMMYFUNCTION("GOOGLETRANSLATE(D7769,""nl"",""es"")"),"shappie")</f>
        <v>shappie</v>
      </c>
    </row>
    <row r="7770">
      <c r="A7770" s="4">
        <v>142.0</v>
      </c>
      <c r="B7770" s="4" t="s">
        <v>17390</v>
      </c>
      <c r="C7770" s="4"/>
      <c r="D7770" s="4" t="s">
        <v>17361</v>
      </c>
      <c r="E7770" s="4" t="s">
        <v>12094</v>
      </c>
      <c r="F7770" s="4" t="s">
        <v>12095</v>
      </c>
      <c r="G7770" s="5" t="str">
        <f>IFERROR(__xludf.DUMMYFUNCTION("GOOGLETRANSLATE(D7770,""nl"",""es"")"),"sjoe")</f>
        <v>sjoe</v>
      </c>
    </row>
    <row r="7771">
      <c r="A7771" s="4">
        <v>143.0</v>
      </c>
      <c r="B7771" s="4" t="s">
        <v>17390</v>
      </c>
      <c r="C7771" s="4"/>
      <c r="D7771" s="4" t="s">
        <v>17362</v>
      </c>
      <c r="E7771" s="4" t="s">
        <v>17363</v>
      </c>
      <c r="F7771" s="4" t="s">
        <v>7524</v>
      </c>
      <c r="G7771" s="5" t="str">
        <f>IFERROR(__xludf.DUMMYFUNCTION("GOOGLETRANSLATE(D7771,""nl"",""es"")"),"barajar")</f>
        <v>barajar</v>
      </c>
      <c r="H7771" s="4" t="s">
        <v>17364</v>
      </c>
      <c r="I7771" s="4" t="s">
        <v>17365</v>
      </c>
      <c r="J7771" s="4" t="s">
        <v>17366</v>
      </c>
    </row>
    <row r="7772">
      <c r="A7772" s="4">
        <v>144.0</v>
      </c>
      <c r="B7772" s="4" t="s">
        <v>17390</v>
      </c>
      <c r="C7772" s="4"/>
      <c r="D7772" s="4" t="s">
        <v>17367</v>
      </c>
      <c r="E7772" s="4" t="s">
        <v>17368</v>
      </c>
      <c r="F7772" s="4" t="s">
        <v>17369</v>
      </c>
      <c r="G7772" s="5" t="str">
        <f>IFERROR(__xludf.DUMMYFUNCTION("GOOGLETRANSLATE(D7772,""nl"",""es"")"),"Sunita")</f>
        <v>Sunita</v>
      </c>
    </row>
    <row r="7773">
      <c r="A7773" s="4">
        <v>145.0</v>
      </c>
      <c r="B7773" s="4" t="s">
        <v>17390</v>
      </c>
      <c r="C7773" s="4"/>
      <c r="D7773" s="4" t="s">
        <v>17370</v>
      </c>
      <c r="E7773" s="4" t="s">
        <v>8793</v>
      </c>
      <c r="F7773" s="4" t="s">
        <v>8794</v>
      </c>
      <c r="G7773" s="5" t="str">
        <f>IFERROR(__xludf.DUMMYFUNCTION("GOOGLETRANSLATE(D7773,""nl"",""es"")"),"sopa")</f>
        <v>sopa</v>
      </c>
      <c r="H7773" s="4" t="s">
        <v>8792</v>
      </c>
      <c r="I7773" s="4" t="s">
        <v>8792</v>
      </c>
    </row>
    <row r="7774">
      <c r="A7774" s="4">
        <v>146.0</v>
      </c>
      <c r="B7774" s="4" t="s">
        <v>17390</v>
      </c>
      <c r="C7774" s="4"/>
      <c r="D7774" s="4" t="s">
        <v>7657</v>
      </c>
      <c r="E7774" s="4" t="s">
        <v>8795</v>
      </c>
      <c r="F7774" s="4" t="s">
        <v>7657</v>
      </c>
      <c r="G7774" s="5" t="str">
        <f>IFERROR(__xludf.DUMMYFUNCTION("GOOGLETRANSLATE(D7774,""nl"",""es"")"),"Sushi")</f>
        <v>Sushi</v>
      </c>
      <c r="H7774" s="4" t="s">
        <v>7657</v>
      </c>
    </row>
    <row r="7775">
      <c r="A7775" s="4">
        <v>147.0</v>
      </c>
      <c r="B7775" s="4" t="s">
        <v>17390</v>
      </c>
      <c r="C7775" s="4"/>
      <c r="D7775" s="4" t="s">
        <v>4856</v>
      </c>
      <c r="E7775" s="4" t="s">
        <v>8800</v>
      </c>
      <c r="F7775" s="4" t="s">
        <v>4856</v>
      </c>
      <c r="G7775" s="5" t="str">
        <f>IFERROR(__xludf.DUMMYFUNCTION("GOOGLETRANSLATE(D7775,""nl"",""es"")"),"rama")</f>
        <v>rama</v>
      </c>
      <c r="H7775" s="4" t="s">
        <v>2067</v>
      </c>
      <c r="I7775" s="4" t="s">
        <v>2128</v>
      </c>
      <c r="J7775" s="4" t="s">
        <v>11238</v>
      </c>
      <c r="K7775" s="4" t="s">
        <v>11239</v>
      </c>
      <c r="L7775" s="4" t="s">
        <v>11240</v>
      </c>
      <c r="M7775" s="4" t="s">
        <v>11241</v>
      </c>
      <c r="N7775" s="4" t="s">
        <v>11242</v>
      </c>
      <c r="O7775" s="4" t="s">
        <v>11243</v>
      </c>
      <c r="P7775" s="4" t="s">
        <v>9230</v>
      </c>
      <c r="Q7775" s="4" t="s">
        <v>10891</v>
      </c>
      <c r="R7775" s="4" t="s">
        <v>6626</v>
      </c>
      <c r="S7775" s="4" t="s">
        <v>17371</v>
      </c>
      <c r="T7775" s="4" t="s">
        <v>6625</v>
      </c>
      <c r="U7775" s="4" t="s">
        <v>6626</v>
      </c>
      <c r="V7775" s="4" t="s">
        <v>17372</v>
      </c>
      <c r="W7775" s="4" t="s">
        <v>6626</v>
      </c>
      <c r="X7775" s="4" t="s">
        <v>1043</v>
      </c>
      <c r="Y7775" s="4" t="s">
        <v>17373</v>
      </c>
    </row>
    <row r="7776">
      <c r="A7776" s="4">
        <v>148.0</v>
      </c>
      <c r="B7776" s="4" t="s">
        <v>17390</v>
      </c>
      <c r="C7776" s="4"/>
      <c r="D7776" s="4" t="s">
        <v>7735</v>
      </c>
      <c r="E7776" s="4" t="s">
        <v>8838</v>
      </c>
      <c r="F7776" s="4" t="s">
        <v>7735</v>
      </c>
      <c r="G7776" s="5" t="str">
        <f>IFERROR(__xludf.DUMMYFUNCTION("GOOGLETRANSLATE(D7776,""nl"",""es"")"),"domar")</f>
        <v>domar</v>
      </c>
    </row>
    <row r="7777">
      <c r="A7777" s="4">
        <v>149.0</v>
      </c>
      <c r="B7777" s="4" t="s">
        <v>17390</v>
      </c>
      <c r="C7777" s="4"/>
      <c r="D7777" s="4" t="s">
        <v>4321</v>
      </c>
      <c r="E7777" s="4" t="s">
        <v>8861</v>
      </c>
      <c r="F7777" s="4" t="s">
        <v>4321</v>
      </c>
      <c r="G7777" s="5" t="str">
        <f>IFERROR(__xludf.DUMMYFUNCTION("GOOGLETRANSLATE(D7777,""nl"",""es"")"),"tocar")</f>
        <v>tocar</v>
      </c>
      <c r="H7777" s="4" t="s">
        <v>10889</v>
      </c>
    </row>
    <row r="7778">
      <c r="A7778" s="4">
        <v>150.0</v>
      </c>
      <c r="B7778" s="4" t="s">
        <v>17390</v>
      </c>
      <c r="C7778" s="4"/>
      <c r="D7778" s="4" t="s">
        <v>419</v>
      </c>
      <c r="E7778" s="4" t="s">
        <v>13815</v>
      </c>
      <c r="F7778" s="4" t="s">
        <v>419</v>
      </c>
      <c r="G7778" s="5" t="str">
        <f>IFERROR(__xludf.DUMMYFUNCTION("GOOGLETRANSLATE(D7778,""nl"",""es"")"),"bolsa")</f>
        <v>bolsa</v>
      </c>
      <c r="H7778" s="4" t="s">
        <v>3869</v>
      </c>
      <c r="I7778" s="4" t="s">
        <v>3869</v>
      </c>
      <c r="J7778" s="4" t="s">
        <v>3869</v>
      </c>
      <c r="K7778" s="4" t="s">
        <v>13523</v>
      </c>
      <c r="L7778" s="4" t="s">
        <v>13524</v>
      </c>
      <c r="M7778" s="4" t="s">
        <v>13525</v>
      </c>
      <c r="N7778" s="4" t="s">
        <v>17374</v>
      </c>
      <c r="O7778" s="4" t="s">
        <v>17375</v>
      </c>
      <c r="P7778" s="4" t="s">
        <v>17376</v>
      </c>
      <c r="Q7778" s="4" t="s">
        <v>17377</v>
      </c>
      <c r="R7778" s="4" t="s">
        <v>4378</v>
      </c>
      <c r="S7778" s="4" t="s">
        <v>4378</v>
      </c>
      <c r="T7778" s="4" t="s">
        <v>12262</v>
      </c>
      <c r="U7778" s="4" t="s">
        <v>9186</v>
      </c>
      <c r="V7778" s="4" t="s">
        <v>9187</v>
      </c>
      <c r="W7778" s="4" t="s">
        <v>1209</v>
      </c>
    </row>
    <row r="7779">
      <c r="A7779" s="4">
        <v>151.0</v>
      </c>
      <c r="B7779" s="4" t="s">
        <v>17390</v>
      </c>
      <c r="C7779" s="4"/>
      <c r="D7779" s="4" t="s">
        <v>17378</v>
      </c>
      <c r="E7779" s="4" t="s">
        <v>17379</v>
      </c>
      <c r="F7779" s="4" t="s">
        <v>7849</v>
      </c>
      <c r="G7779" s="5" t="str">
        <f>IFERROR(__xludf.DUMMYFUNCTION("GOOGLETRANSLATE(D7779,""nl"",""es"")"),"Tiel")</f>
        <v>Tiel</v>
      </c>
    </row>
    <row r="7780">
      <c r="A7780" s="4">
        <v>152.0</v>
      </c>
      <c r="B7780" s="4" t="s">
        <v>17390</v>
      </c>
      <c r="C7780" s="4"/>
      <c r="D7780" s="4" t="s">
        <v>17380</v>
      </c>
      <c r="E7780" s="4" t="s">
        <v>17381</v>
      </c>
      <c r="F7780" s="4" t="s">
        <v>5944</v>
      </c>
      <c r="G7780" s="5" t="str">
        <f>IFERROR(__xludf.DUMMYFUNCTION("GOOGLETRANSLATE(D7780,""nl"",""es"")"),"diez")</f>
        <v>diez</v>
      </c>
      <c r="H7780" s="4" t="s">
        <v>9193</v>
      </c>
      <c r="I7780" s="4">
        <v>10.0</v>
      </c>
      <c r="J7780" s="4" t="s">
        <v>9194</v>
      </c>
      <c r="K7780" s="4" t="s">
        <v>9195</v>
      </c>
      <c r="L7780" s="4" t="s">
        <v>9196</v>
      </c>
    </row>
    <row r="7781">
      <c r="A7781" s="4">
        <v>153.0</v>
      </c>
      <c r="B7781" s="4" t="s">
        <v>17390</v>
      </c>
      <c r="C7781" s="4"/>
      <c r="D7781" s="4" t="s">
        <v>438</v>
      </c>
      <c r="E7781" s="4" t="s">
        <v>7836</v>
      </c>
      <c r="F7781" s="4" t="s">
        <v>438</v>
      </c>
      <c r="G7781" s="5" t="str">
        <f>IFERROR(__xludf.DUMMYFUNCTION("GOOGLETRANSLATE(D7781,""nl"",""es"")"),"tocar")</f>
        <v>tocar</v>
      </c>
      <c r="H7781" s="4" t="s">
        <v>4321</v>
      </c>
      <c r="I7781" s="4" t="s">
        <v>7753</v>
      </c>
      <c r="J7781" s="4" t="s">
        <v>7759</v>
      </c>
      <c r="K7781" s="4" t="s">
        <v>12239</v>
      </c>
      <c r="L7781" s="4" t="s">
        <v>7005</v>
      </c>
      <c r="M7781" s="4" t="s">
        <v>17382</v>
      </c>
    </row>
    <row r="7782">
      <c r="A7782" s="4">
        <v>154.0</v>
      </c>
      <c r="B7782" s="4" t="s">
        <v>17390</v>
      </c>
      <c r="C7782" s="4"/>
      <c r="D7782" s="4" t="s">
        <v>7849</v>
      </c>
      <c r="E7782" s="4" t="s">
        <v>7850</v>
      </c>
      <c r="F7782" s="4" t="s">
        <v>7849</v>
      </c>
      <c r="G7782" s="5" t="str">
        <f>IFERROR(__xludf.DUMMYFUNCTION("GOOGLETRANSLATE(D7782,""nl"",""es"")"),"leopardo")</f>
        <v>leopardo</v>
      </c>
      <c r="H7782" s="4" t="s">
        <v>1473</v>
      </c>
      <c r="I7782" s="4" t="s">
        <v>1474</v>
      </c>
    </row>
    <row r="7783">
      <c r="A7783" s="4">
        <v>155.0</v>
      </c>
      <c r="B7783" s="4" t="s">
        <v>17390</v>
      </c>
      <c r="C7783" s="4"/>
      <c r="D7783" s="4" t="s">
        <v>4381</v>
      </c>
      <c r="E7783" s="4" t="s">
        <v>7863</v>
      </c>
      <c r="F7783" s="4" t="s">
        <v>4381</v>
      </c>
      <c r="G7783" s="5" t="str">
        <f>IFERROR(__xludf.DUMMYFUNCTION("GOOGLETRANSLATE(D7783,""nl"",""es"")"),"Tim")</f>
        <v>Tim</v>
      </c>
    </row>
    <row r="7784">
      <c r="A7784" s="4">
        <v>156.0</v>
      </c>
      <c r="B7784" s="4" t="s">
        <v>17390</v>
      </c>
      <c r="C7784" s="4"/>
      <c r="D7784" s="4" t="s">
        <v>5944</v>
      </c>
      <c r="E7784" s="4" t="s">
        <v>7866</v>
      </c>
      <c r="F7784" s="4" t="s">
        <v>5944</v>
      </c>
      <c r="G7784" s="5" t="str">
        <f>IFERROR(__xludf.DUMMYFUNCTION("GOOGLETRANSLATE(D7784,""nl"",""es"")"),"estaño")</f>
        <v>estaño</v>
      </c>
      <c r="H7784" s="4" t="s">
        <v>5944</v>
      </c>
      <c r="I7784" s="4" t="s">
        <v>7867</v>
      </c>
      <c r="J7784" s="4" t="s">
        <v>7868</v>
      </c>
      <c r="K7784" s="4" t="s">
        <v>11423</v>
      </c>
    </row>
    <row r="7785">
      <c r="A7785" s="4">
        <v>157.0</v>
      </c>
      <c r="B7785" s="4" t="s">
        <v>17390</v>
      </c>
      <c r="C7785" s="4"/>
      <c r="D7785" s="4" t="s">
        <v>425</v>
      </c>
      <c r="E7785" s="4" t="s">
        <v>7878</v>
      </c>
      <c r="F7785" s="4" t="s">
        <v>425</v>
      </c>
      <c r="G7785" s="5" t="str">
        <f>IFERROR(__xludf.DUMMYFUNCTION("GOOGLETRANSLATE(D7785,""nl"",""es"")"),"propina")</f>
        <v>propina</v>
      </c>
      <c r="H7785" s="4" t="s">
        <v>3705</v>
      </c>
      <c r="I7785" s="4" t="s">
        <v>7879</v>
      </c>
      <c r="J7785" s="4" t="s">
        <v>425</v>
      </c>
      <c r="K7785" s="4" t="s">
        <v>7880</v>
      </c>
      <c r="L7785" s="4" t="s">
        <v>7881</v>
      </c>
      <c r="M7785" s="4" t="s">
        <v>7882</v>
      </c>
      <c r="N7785" s="4" t="s">
        <v>7883</v>
      </c>
      <c r="O7785" s="4" t="s">
        <v>7884</v>
      </c>
    </row>
    <row r="7786">
      <c r="A7786" s="4">
        <v>158.0</v>
      </c>
      <c r="B7786" s="4" t="s">
        <v>17390</v>
      </c>
      <c r="C7786" s="4"/>
      <c r="D7786" s="4" t="s">
        <v>17383</v>
      </c>
      <c r="E7786" s="4" t="s">
        <v>4556</v>
      </c>
      <c r="F7786" s="4" t="s">
        <v>4555</v>
      </c>
      <c r="G7786" s="5" t="str">
        <f>IFERROR(__xludf.DUMMYFUNCTION("GOOGLETRANSLATE(D7786,""nl"",""es"")"),"a")</f>
        <v>a</v>
      </c>
    </row>
    <row r="7787">
      <c r="A7787" s="4">
        <v>159.0</v>
      </c>
      <c r="B7787" s="4" t="s">
        <v>17390</v>
      </c>
      <c r="C7787" s="4"/>
      <c r="D7787" s="4" t="s">
        <v>17384</v>
      </c>
      <c r="E7787" s="4" t="s">
        <v>17385</v>
      </c>
      <c r="F7787" s="4" t="s">
        <v>459</v>
      </c>
      <c r="G7787" s="5" t="str">
        <f>IFERROR(__xludf.DUMMYFUNCTION("GOOGLETRANSLATE(D7787,""nl"",""es"")"),"tucán")</f>
        <v>tucán</v>
      </c>
      <c r="H7787" s="4" t="s">
        <v>4566</v>
      </c>
    </row>
    <row r="7788">
      <c r="A7788" s="4">
        <v>160.0</v>
      </c>
      <c r="B7788" s="4" t="s">
        <v>17390</v>
      </c>
      <c r="C7788" s="4"/>
      <c r="D7788" s="4" t="s">
        <v>17386</v>
      </c>
      <c r="E7788" s="4" t="s">
        <v>13877</v>
      </c>
      <c r="F7788" s="4" t="s">
        <v>7951</v>
      </c>
      <c r="G7788" s="5" t="str">
        <f>IFERROR(__xludf.DUMMYFUNCTION("GOOGLETRANSLATE(D7788,""nl"",""es"")"),"cuando")</f>
        <v>cuando</v>
      </c>
    </row>
    <row r="7789">
      <c r="A7789" s="4">
        <v>161.0</v>
      </c>
      <c r="B7789" s="4" t="s">
        <v>17390</v>
      </c>
      <c r="C7789" s="4"/>
      <c r="D7789" s="4" t="s">
        <v>17387</v>
      </c>
      <c r="E7789" s="4" t="s">
        <v>17388</v>
      </c>
      <c r="F7789" s="4" t="s">
        <v>16447</v>
      </c>
      <c r="G7789" s="5" t="str">
        <f>IFERROR(__xludf.DUMMYFUNCTION("GOOGLETRANSLATE(D7789,""nl"",""es"")"),"típico")</f>
        <v>típico</v>
      </c>
    </row>
    <row r="7790">
      <c r="A7790" s="4">
        <v>162.0</v>
      </c>
      <c r="B7790" s="4" t="s">
        <v>17390</v>
      </c>
      <c r="C7790" s="4"/>
      <c r="D7790" s="4" t="s">
        <v>1871</v>
      </c>
      <c r="E7790" s="4" t="s">
        <v>17109</v>
      </c>
      <c r="F7790" s="4" t="s">
        <v>1871</v>
      </c>
      <c r="G7790" s="5" t="str">
        <f>IFERROR(__xludf.DUMMYFUNCTION("GOOGLETRANSLATE(D7790,""nl"",""es"")"),"yak")</f>
        <v>yak</v>
      </c>
    </row>
    <row r="7791">
      <c r="A7791" s="4">
        <v>163.0</v>
      </c>
      <c r="B7791" s="4" t="s">
        <v>17390</v>
      </c>
      <c r="C7791" s="4"/>
      <c r="D7791" s="4" t="s">
        <v>3056</v>
      </c>
      <c r="E7791" s="4" t="s">
        <v>17389</v>
      </c>
      <c r="F7791" s="4" t="s">
        <v>3056</v>
      </c>
      <c r="G7791" s="5" t="str">
        <f>IFERROR(__xludf.DUMMYFUNCTION("GOOGLETRANSLATE(D7791,""nl"",""es"")"),"batata")</f>
        <v>batata</v>
      </c>
      <c r="H7791" s="4" t="s">
        <v>3056</v>
      </c>
      <c r="I7791" s="4" t="s">
        <v>7986</v>
      </c>
    </row>
    <row r="7792">
      <c r="A7792" s="4">
        <v>1.0</v>
      </c>
      <c r="B7792" s="4" t="s">
        <v>17391</v>
      </c>
      <c r="C7792" s="4"/>
      <c r="D7792" s="4" t="s">
        <v>377</v>
      </c>
      <c r="E7792" s="4" t="s">
        <v>17392</v>
      </c>
      <c r="F7792" s="4" t="s">
        <v>377</v>
      </c>
      <c r="G7792" s="5" t="str">
        <f>IFERROR(__xludf.DUMMYFUNCTION("GOOGLETRANSLATE(D7792,""nl"",""es"")"),"agarrado")</f>
        <v>agarrado</v>
      </c>
    </row>
    <row r="7793">
      <c r="A7793" s="4">
        <v>2.0</v>
      </c>
      <c r="B7793" s="4" t="s">
        <v>17391</v>
      </c>
      <c r="C7793" s="4"/>
      <c r="D7793" s="4" t="s">
        <v>17393</v>
      </c>
      <c r="E7793" s="4" t="s">
        <v>2977</v>
      </c>
      <c r="F7793" s="4" t="s">
        <v>2976</v>
      </c>
      <c r="G7793" s="4" t="s">
        <v>17394</v>
      </c>
    </row>
    <row r="7794">
      <c r="A7794" s="4">
        <v>1.0</v>
      </c>
      <c r="B7794" s="4" t="s">
        <v>17395</v>
      </c>
      <c r="C7794" s="4"/>
      <c r="D7794" s="4" t="s">
        <v>17396</v>
      </c>
      <c r="E7794" s="4" t="s">
        <v>4817</v>
      </c>
      <c r="F7794" s="4" t="s">
        <v>1786</v>
      </c>
      <c r="G7794" s="5" t="str">
        <f>IFERROR(__xludf.DUMMYFUNCTION("GOOGLETRANSLATE(D7794,""no"",""es"")"),"masculino")</f>
        <v>masculino</v>
      </c>
    </row>
    <row r="7795">
      <c r="A7795" s="4">
        <v>2.0</v>
      </c>
      <c r="B7795" s="4" t="s">
        <v>17395</v>
      </c>
      <c r="C7795" s="4"/>
      <c r="D7795" s="4" t="s">
        <v>17397</v>
      </c>
      <c r="E7795" s="4" t="s">
        <v>17398</v>
      </c>
      <c r="F7795" s="4" t="s">
        <v>17399</v>
      </c>
      <c r="G7795" s="5" t="str">
        <f>IFERROR(__xludf.DUMMYFUNCTION("GOOGLETRANSLATE(D7795,""no"",""es"")"),"detenerse")</f>
        <v>detenerse</v>
      </c>
    </row>
    <row r="7796">
      <c r="A7796" s="4">
        <v>3.0</v>
      </c>
      <c r="B7796" s="4" t="s">
        <v>17395</v>
      </c>
      <c r="C7796" s="4"/>
      <c r="D7796" s="4" t="s">
        <v>6092</v>
      </c>
      <c r="E7796" s="4" t="s">
        <v>14689</v>
      </c>
      <c r="F7796" s="4" t="s">
        <v>6092</v>
      </c>
      <c r="G7796" s="5" t="str">
        <f>IFERROR(__xludf.DUMMYFUNCTION("GOOGLETRANSLATE(D7796,""no"",""es"")"),"fuga")</f>
        <v>fuga</v>
      </c>
      <c r="H7796" s="4" t="s">
        <v>17400</v>
      </c>
      <c r="I7796" s="4" t="s">
        <v>17401</v>
      </c>
      <c r="J7796" s="4" t="s">
        <v>17402</v>
      </c>
      <c r="K7796" s="4" t="s">
        <v>17403</v>
      </c>
      <c r="L7796" s="4" t="s">
        <v>5954</v>
      </c>
    </row>
    <row r="7797">
      <c r="A7797" s="4">
        <v>4.0</v>
      </c>
      <c r="B7797" s="4" t="s">
        <v>17395</v>
      </c>
      <c r="C7797" s="4"/>
      <c r="D7797" s="4" t="s">
        <v>2384</v>
      </c>
      <c r="E7797" s="4" t="s">
        <v>2382</v>
      </c>
      <c r="F7797" s="4" t="s">
        <v>2381</v>
      </c>
      <c r="G7797" s="5" t="str">
        <f>IFERROR(__xludf.DUMMYFUNCTION("GOOGLETRANSLATE(D7797,""no"",""es"")"),"mamá")</f>
        <v>mamá</v>
      </c>
    </row>
    <row r="7798">
      <c r="A7798" s="4">
        <v>5.0</v>
      </c>
      <c r="B7798" s="4" t="s">
        <v>17395</v>
      </c>
      <c r="C7798" s="4"/>
      <c r="D7798" s="4" t="s">
        <v>17404</v>
      </c>
      <c r="E7798" s="4" t="s">
        <v>7038</v>
      </c>
      <c r="F7798" s="4" t="s">
        <v>275</v>
      </c>
      <c r="G7798" s="5" t="str">
        <f>IFERROR(__xludf.DUMMYFUNCTION("GOOGLETRANSLATE(D7798,""no"",""es"")"),"sobre")</f>
        <v>sobre</v>
      </c>
    </row>
    <row r="7799">
      <c r="A7799" s="4">
        <v>6.0</v>
      </c>
      <c r="B7799" s="4" t="s">
        <v>17395</v>
      </c>
      <c r="C7799" s="4"/>
      <c r="D7799" s="4" t="s">
        <v>17405</v>
      </c>
      <c r="E7799" s="4" t="s">
        <v>17406</v>
      </c>
      <c r="F7799" s="4" t="s">
        <v>17407</v>
      </c>
      <c r="G7799" s="5" t="str">
        <f>IFERROR(__xludf.DUMMYFUNCTION("GOOGLETRANSLATE(D7799,""no"",""es"")"),"esquí")</f>
        <v>esquí</v>
      </c>
    </row>
    <row r="7800">
      <c r="A7800" s="4">
        <v>1.0</v>
      </c>
      <c r="B7800" s="4" t="s">
        <v>17408</v>
      </c>
      <c r="C7800" s="4"/>
      <c r="D7800" s="4" t="s">
        <v>17409</v>
      </c>
      <c r="E7800" s="4" t="s">
        <v>17188</v>
      </c>
      <c r="F7800" s="4" t="s">
        <v>4724</v>
      </c>
      <c r="G7800" s="5" t="str">
        <f>IFERROR(__xludf.DUMMYFUNCTION("GOOGLETRANSLATE(D7800,""no"",""es"")"),"parche")</f>
        <v>parche</v>
      </c>
      <c r="H7800" s="4" t="s">
        <v>4229</v>
      </c>
    </row>
    <row r="7801">
      <c r="A7801" s="4">
        <v>1.0</v>
      </c>
      <c r="B7801" s="4" t="s">
        <v>17410</v>
      </c>
      <c r="C7801" s="4"/>
      <c r="D7801" s="4" t="s">
        <v>3547</v>
      </c>
      <c r="E7801" s="4" t="s">
        <v>4810</v>
      </c>
      <c r="F7801" s="4" t="s">
        <v>3547</v>
      </c>
      <c r="G7801" s="5" t="str">
        <f>IFERROR(__xludf.DUMMYFUNCTION("GOOGLETRANSLATE(D7801,""no"",""es"")"),"piña")</f>
        <v>piña</v>
      </c>
    </row>
    <row r="7802">
      <c r="A7802" s="4">
        <v>2.0</v>
      </c>
      <c r="B7802" s="4" t="s">
        <v>17410</v>
      </c>
      <c r="C7802" s="4"/>
      <c r="D7802" s="4" t="s">
        <v>17411</v>
      </c>
      <c r="E7802" s="4" t="s">
        <v>17412</v>
      </c>
      <c r="F7802" s="4" t="s">
        <v>14323</v>
      </c>
      <c r="G7802" s="5" t="str">
        <f>IFERROR(__xludf.DUMMYFUNCTION("GOOGLETRANSLATE(D7802,""no"",""es"")"),"es")</f>
        <v>es</v>
      </c>
    </row>
    <row r="7803">
      <c r="A7803" s="4">
        <v>3.0</v>
      </c>
      <c r="B7803" s="4" t="s">
        <v>17410</v>
      </c>
      <c r="C7803" s="4"/>
      <c r="D7803" s="4" t="s">
        <v>1778</v>
      </c>
      <c r="E7803" s="4" t="s">
        <v>4816</v>
      </c>
      <c r="F7803" s="4" t="s">
        <v>1778</v>
      </c>
      <c r="G7803" s="5" t="str">
        <f>IFERROR(__xludf.DUMMYFUNCTION("GOOGLETRANSLATE(D7803,""no"",""es"")"),"a él")</f>
        <v>a él</v>
      </c>
    </row>
    <row r="7804">
      <c r="A7804" s="4">
        <v>4.0</v>
      </c>
      <c r="B7804" s="4" t="s">
        <v>17410</v>
      </c>
      <c r="C7804" s="4"/>
      <c r="D7804" s="4" t="s">
        <v>1786</v>
      </c>
      <c r="E7804" s="4" t="s">
        <v>4817</v>
      </c>
      <c r="F7804" s="4" t="s">
        <v>1786</v>
      </c>
      <c r="G7804" s="5" t="str">
        <f>IFERROR(__xludf.DUMMYFUNCTION("GOOGLETRANSLATE(D7804,""no"",""es"")"),"él")</f>
        <v>él</v>
      </c>
    </row>
    <row r="7805">
      <c r="A7805" s="4">
        <v>5.0</v>
      </c>
      <c r="B7805" s="4" t="s">
        <v>17410</v>
      </c>
      <c r="C7805" s="4"/>
      <c r="D7805" s="4" t="s">
        <v>2858</v>
      </c>
      <c r="E7805" s="4" t="s">
        <v>4817</v>
      </c>
      <c r="F7805" s="4" t="s">
        <v>1786</v>
      </c>
      <c r="G7805" s="5" t="str">
        <f>IFERROR(__xludf.DUMMYFUNCTION("GOOGLETRANSLATE(D7805,""no"",""es"")"),"mano")</f>
        <v>mano</v>
      </c>
    </row>
    <row r="7806">
      <c r="A7806" s="4">
        <v>6.0</v>
      </c>
      <c r="B7806" s="4" t="s">
        <v>17410</v>
      </c>
      <c r="C7806" s="4"/>
      <c r="D7806" s="4" t="s">
        <v>17413</v>
      </c>
      <c r="E7806" s="4" t="s">
        <v>9868</v>
      </c>
      <c r="F7806" s="4" t="s">
        <v>962</v>
      </c>
      <c r="G7806" s="5" t="str">
        <f>IFERROR(__xludf.DUMMYFUNCTION("GOOGLETRANSLATE(D7806,""no"",""es"")"),"qué")</f>
        <v>qué</v>
      </c>
    </row>
    <row r="7807">
      <c r="A7807" s="4">
        <v>7.0</v>
      </c>
      <c r="B7807" s="4" t="s">
        <v>17410</v>
      </c>
      <c r="C7807" s="4"/>
      <c r="D7807" s="4" t="s">
        <v>4822</v>
      </c>
      <c r="E7807" s="4" t="s">
        <v>4823</v>
      </c>
      <c r="F7807" s="4" t="s">
        <v>4824</v>
      </c>
      <c r="G7807" s="5" t="str">
        <f>IFERROR(__xludf.DUMMYFUNCTION("GOOGLETRANSLATE(D7807,""no"",""es"")"),"en el interior")</f>
        <v>en el interior</v>
      </c>
    </row>
    <row r="7808">
      <c r="A7808" s="4">
        <v>8.0</v>
      </c>
      <c r="B7808" s="4" t="s">
        <v>17410</v>
      </c>
      <c r="C7808" s="4"/>
      <c r="D7808" s="4" t="s">
        <v>17108</v>
      </c>
      <c r="E7808" s="4" t="s">
        <v>1870</v>
      </c>
      <c r="F7808" s="4" t="s">
        <v>1871</v>
      </c>
      <c r="G7808" s="5" t="str">
        <f>IFERROR(__xludf.DUMMYFUNCTION("GOOGLETRANSLATE(D7808,""no"",""es"")"),"jak")</f>
        <v>jak</v>
      </c>
    </row>
    <row r="7809">
      <c r="A7809" s="4">
        <v>9.0</v>
      </c>
      <c r="B7809" s="4" t="s">
        <v>17410</v>
      </c>
      <c r="C7809" s="4"/>
      <c r="D7809" s="4" t="s">
        <v>6092</v>
      </c>
      <c r="E7809" s="4" t="s">
        <v>14689</v>
      </c>
      <c r="F7809" s="4" t="s">
        <v>6092</v>
      </c>
      <c r="G7809" s="4" t="s">
        <v>17414</v>
      </c>
      <c r="H7809" s="4" t="s">
        <v>17400</v>
      </c>
      <c r="I7809" s="4" t="s">
        <v>17401</v>
      </c>
      <c r="J7809" s="4" t="s">
        <v>17402</v>
      </c>
      <c r="K7809" s="4" t="s">
        <v>17403</v>
      </c>
      <c r="L7809" s="4" t="s">
        <v>5954</v>
      </c>
    </row>
    <row r="7810">
      <c r="A7810" s="4">
        <v>10.0</v>
      </c>
      <c r="B7810" s="4" t="s">
        <v>17410</v>
      </c>
      <c r="C7810" s="4"/>
      <c r="D7810" s="4" t="s">
        <v>2015</v>
      </c>
      <c r="E7810" s="4" t="s">
        <v>2016</v>
      </c>
      <c r="F7810" s="4" t="s">
        <v>2015</v>
      </c>
      <c r="G7810" s="5" t="str">
        <f>IFERROR(__xludf.DUMMYFUNCTION("GOOGLETRANSLATE(D7810,""no"",""es"")"),"dejar")</f>
        <v>dejar</v>
      </c>
    </row>
    <row r="7811">
      <c r="A7811" s="4">
        <v>11.0</v>
      </c>
      <c r="B7811" s="4" t="s">
        <v>17410</v>
      </c>
      <c r="C7811" s="4"/>
      <c r="D7811" s="4" t="s">
        <v>2384</v>
      </c>
      <c r="E7811" s="4" t="s">
        <v>2382</v>
      </c>
      <c r="F7811" s="4" t="s">
        <v>2381</v>
      </c>
      <c r="G7811" s="5" t="str">
        <f>IFERROR(__xludf.DUMMYFUNCTION("GOOGLETRANSLATE(D7811,""no"",""es"")"),"mamá")</f>
        <v>mamá</v>
      </c>
    </row>
    <row r="7812">
      <c r="A7812" s="4">
        <v>12.0</v>
      </c>
      <c r="B7812" s="4" t="s">
        <v>17410</v>
      </c>
      <c r="C7812" s="4"/>
      <c r="D7812" s="4" t="s">
        <v>1856</v>
      </c>
      <c r="E7812" s="4" t="s">
        <v>8529</v>
      </c>
      <c r="F7812" s="4" t="s">
        <v>1856</v>
      </c>
      <c r="G7812" s="5" t="str">
        <f>IFERROR(__xludf.DUMMYFUNCTION("GOOGLETRANSLATE(D7812,""no"",""es"")"),"melena")</f>
        <v>melena</v>
      </c>
    </row>
    <row r="7813">
      <c r="A7813" s="4">
        <v>13.0</v>
      </c>
      <c r="B7813" s="4" t="s">
        <v>17410</v>
      </c>
      <c r="C7813" s="4"/>
      <c r="D7813" s="4" t="s">
        <v>4853</v>
      </c>
      <c r="E7813" s="4" t="s">
        <v>17415</v>
      </c>
      <c r="F7813" s="4" t="s">
        <v>3937</v>
      </c>
      <c r="G7813" s="5" t="str">
        <f>IFERROR(__xludf.DUMMYFUNCTION("GOOGLETRANSLATE(D7813,""no"",""es"")"),"arenoso")</f>
        <v>arenoso</v>
      </c>
      <c r="H7813" s="4" t="s">
        <v>4853</v>
      </c>
    </row>
    <row r="7814">
      <c r="A7814" s="4">
        <v>14.0</v>
      </c>
      <c r="B7814" s="4" t="s">
        <v>17410</v>
      </c>
      <c r="C7814" s="4"/>
      <c r="D7814" s="4" t="s">
        <v>17416</v>
      </c>
      <c r="E7814" s="4" t="s">
        <v>4857</v>
      </c>
      <c r="F7814" s="4" t="s">
        <v>4856</v>
      </c>
      <c r="G7814" s="5" t="str">
        <f>IFERROR(__xludf.DUMMYFUNCTION("GOOGLETRANSLATE(D7814,""no"",""es"")"),"Gracias")</f>
        <v>Gracias</v>
      </c>
      <c r="H7814" s="4" t="s">
        <v>4858</v>
      </c>
      <c r="I7814" s="4" t="s">
        <v>4859</v>
      </c>
    </row>
    <row r="7815">
      <c r="A7815" s="4">
        <v>15.0</v>
      </c>
      <c r="B7815" s="4" t="s">
        <v>17410</v>
      </c>
      <c r="C7815" s="4"/>
      <c r="D7815" s="4" t="s">
        <v>7849</v>
      </c>
      <c r="E7815" s="4" t="s">
        <v>7850</v>
      </c>
      <c r="F7815" s="4" t="s">
        <v>7849</v>
      </c>
      <c r="G7815" s="5" t="str">
        <f>IFERROR(__xludf.DUMMYFUNCTION("GOOGLETRANSLATE(D7815,""no"",""es"")"),"a")</f>
        <v>a</v>
      </c>
    </row>
    <row r="7816">
      <c r="A7816" s="4">
        <v>16.0</v>
      </c>
      <c r="B7816" s="4" t="s">
        <v>17410</v>
      </c>
      <c r="C7816" s="4"/>
      <c r="D7816" s="4" t="s">
        <v>17417</v>
      </c>
      <c r="E7816" s="4" t="s">
        <v>8797</v>
      </c>
      <c r="F7816" s="4" t="s">
        <v>8798</v>
      </c>
      <c r="G7816" s="5" t="str">
        <f>IFERROR(__xludf.DUMMYFUNCTION("GOOGLETRANSLATE(D7816,""no"",""es"")"),"tirón")</f>
        <v>tirón</v>
      </c>
    </row>
    <row r="7817">
      <c r="A7817" s="4">
        <v>1.0</v>
      </c>
      <c r="B7817" s="4" t="s">
        <v>17418</v>
      </c>
      <c r="C7817" s="4"/>
      <c r="D7817" s="4" t="s">
        <v>2858</v>
      </c>
      <c r="E7817" s="4" t="s">
        <v>8311</v>
      </c>
      <c r="F7817" s="4" t="s">
        <v>1786</v>
      </c>
      <c r="G7817" s="5" t="str">
        <f>IFERROR(__xludf.DUMMYFUNCTION("GOOGLETRANSLATE(D7817,""no"",""es"")"),"mano")</f>
        <v>mano</v>
      </c>
    </row>
    <row r="7818">
      <c r="A7818" s="4">
        <v>2.0</v>
      </c>
      <c r="B7818" s="4" t="s">
        <v>17418</v>
      </c>
      <c r="C7818" s="4"/>
      <c r="D7818" s="4" t="s">
        <v>4883</v>
      </c>
      <c r="E7818" s="4" t="s">
        <v>17025</v>
      </c>
      <c r="F7818" s="4" t="s">
        <v>2011</v>
      </c>
      <c r="G7818" s="5" t="str">
        <f>IFERROR(__xludf.DUMMYFUNCTION("GOOGLETRANSLATE(D7818,""no"",""es"")"),"yo")</f>
        <v>yo</v>
      </c>
    </row>
    <row r="7819">
      <c r="A7819" s="4">
        <v>3.0</v>
      </c>
      <c r="B7819" s="4" t="s">
        <v>17418</v>
      </c>
      <c r="C7819" s="4"/>
      <c r="D7819" s="4" t="s">
        <v>17409</v>
      </c>
      <c r="E7819" s="4" t="s">
        <v>17188</v>
      </c>
      <c r="F7819" s="4" t="s">
        <v>4724</v>
      </c>
      <c r="G7819" s="5" t="str">
        <f>IFERROR(__xludf.DUMMYFUNCTION("GOOGLETRANSLATE(D7819,""no"",""es"")"),"parche")</f>
        <v>parche</v>
      </c>
      <c r="H7819" s="4" t="s">
        <v>4229</v>
      </c>
    </row>
    <row r="7820">
      <c r="A7820" s="4">
        <v>4.0</v>
      </c>
      <c r="B7820" s="4" t="s">
        <v>17418</v>
      </c>
      <c r="C7820" s="4"/>
      <c r="D7820" s="4" t="s">
        <v>17416</v>
      </c>
      <c r="E7820" s="4" t="s">
        <v>8800</v>
      </c>
      <c r="F7820" s="4" t="s">
        <v>4856</v>
      </c>
      <c r="G7820" s="5" t="str">
        <f>IFERROR(__xludf.DUMMYFUNCTION("GOOGLETRANSLATE(D7820,""no"",""es"")"),"Gracias")</f>
        <v>Gracias</v>
      </c>
      <c r="H7820" s="4" t="s">
        <v>4858</v>
      </c>
      <c r="I7820" s="4" t="s">
        <v>4859</v>
      </c>
    </row>
    <row r="7821">
      <c r="A7821" s="4">
        <v>8.0</v>
      </c>
      <c r="B7821" s="4" t="s">
        <v>17419</v>
      </c>
      <c r="C7821" s="4"/>
      <c r="D7821" s="4" t="s">
        <v>17420</v>
      </c>
      <c r="E7821" s="4" t="s">
        <v>17421</v>
      </c>
      <c r="F7821" s="4" t="s">
        <v>17422</v>
      </c>
      <c r="G7821" s="5" t="str">
        <f>IFERROR(__xludf.DUMMYFUNCTION("GOOGLETRANSLATE(D7821,""pl"",""es"")"),"Alanina")</f>
        <v>Alanina</v>
      </c>
      <c r="H7821" s="4" t="s">
        <v>17423</v>
      </c>
    </row>
    <row r="7822">
      <c r="A7822" s="4">
        <v>9.0</v>
      </c>
      <c r="B7822" s="4" t="s">
        <v>17419</v>
      </c>
      <c r="C7822" s="4"/>
      <c r="D7822" s="4" t="s">
        <v>17424</v>
      </c>
      <c r="E7822" s="4" t="s">
        <v>17425</v>
      </c>
      <c r="F7822" s="4" t="s">
        <v>17426</v>
      </c>
      <c r="G7822" s="5" t="str">
        <f>IFERROR(__xludf.DUMMYFUNCTION("GOOGLETRANSLATE(D7822,""pl"",""es"")"),"alija")</f>
        <v>alija</v>
      </c>
      <c r="H7822" s="4" t="s">
        <v>17427</v>
      </c>
    </row>
    <row r="7823">
      <c r="A7823" s="4">
        <v>10.0</v>
      </c>
      <c r="B7823" s="4" t="s">
        <v>17419</v>
      </c>
      <c r="C7823" s="4"/>
      <c r="D7823" s="4" t="s">
        <v>557</v>
      </c>
      <c r="E7823" s="4" t="s">
        <v>17428</v>
      </c>
      <c r="F7823" s="4" t="s">
        <v>17429</v>
      </c>
      <c r="G7823" s="5" t="str">
        <f>IFERROR(__xludf.DUMMYFUNCTION("GOOGLETRANSLATE(D7823,""pl"",""es"")"),"aluminio")</f>
        <v>aluminio</v>
      </c>
      <c r="H7823" s="4" t="s">
        <v>556</v>
      </c>
      <c r="I7823" s="4" t="s">
        <v>557</v>
      </c>
      <c r="J7823" s="4" t="s">
        <v>558</v>
      </c>
      <c r="K7823" s="4" t="s">
        <v>559</v>
      </c>
    </row>
    <row r="7824">
      <c r="A7824" s="4">
        <v>11.0</v>
      </c>
      <c r="B7824" s="4" t="s">
        <v>17419</v>
      </c>
      <c r="C7824" s="4"/>
      <c r="D7824" s="4" t="s">
        <v>15632</v>
      </c>
      <c r="E7824" s="4" t="s">
        <v>15633</v>
      </c>
      <c r="F7824" s="4" t="s">
        <v>15632</v>
      </c>
      <c r="G7824" s="5" t="str">
        <f>IFERROR(__xludf.DUMMYFUNCTION("GOOGLETRANSLATE(D7824,""pl"",""es"")"),"amalaciano")</f>
        <v>amalaciano</v>
      </c>
    </row>
    <row r="7825">
      <c r="A7825" s="4">
        <v>12.0</v>
      </c>
      <c r="B7825" s="4" t="s">
        <v>17419</v>
      </c>
      <c r="C7825" s="4"/>
      <c r="D7825" s="4" t="s">
        <v>608</v>
      </c>
      <c r="E7825" s="4" t="s">
        <v>609</v>
      </c>
      <c r="F7825" s="4" t="s">
        <v>608</v>
      </c>
      <c r="G7825" s="5" t="str">
        <f>IFERROR(__xludf.DUMMYFUNCTION("GOOGLETRANSLATE(D7825,""pl"",""es"")"),"amina")</f>
        <v>amina</v>
      </c>
      <c r="H7825" s="4" t="s">
        <v>610</v>
      </c>
      <c r="I7825" s="4" t="s">
        <v>611</v>
      </c>
    </row>
    <row r="7826">
      <c r="A7826" s="4">
        <v>13.0</v>
      </c>
      <c r="B7826" s="4" t="s">
        <v>17419</v>
      </c>
      <c r="C7826" s="4"/>
      <c r="D7826" s="4" t="s">
        <v>3547</v>
      </c>
      <c r="E7826" s="4" t="s">
        <v>4810</v>
      </c>
      <c r="F7826" s="4" t="s">
        <v>3547</v>
      </c>
      <c r="G7826" s="5" t="str">
        <f>IFERROR(__xludf.DUMMYFUNCTION("GOOGLETRANSLATE(D7826,""pl"",""es"")"),"piña")</f>
        <v>piña</v>
      </c>
      <c r="H7826" s="4" t="s">
        <v>3546</v>
      </c>
      <c r="I7826" s="4" t="s">
        <v>3547</v>
      </c>
      <c r="J7826" s="4" t="s">
        <v>17430</v>
      </c>
      <c r="K7826" s="4" t="s">
        <v>17431</v>
      </c>
      <c r="L7826" s="4" t="s">
        <v>2618</v>
      </c>
      <c r="M7826" s="4" t="s">
        <v>11860</v>
      </c>
      <c r="N7826" s="4" t="s">
        <v>11861</v>
      </c>
      <c r="O7826" s="4" t="s">
        <v>11862</v>
      </c>
      <c r="P7826" s="4" t="s">
        <v>11863</v>
      </c>
      <c r="Q7826" s="4" t="s">
        <v>9290</v>
      </c>
      <c r="R7826" s="4" t="s">
        <v>9291</v>
      </c>
    </row>
    <row r="7827">
      <c r="A7827" s="4">
        <v>14.0</v>
      </c>
      <c r="B7827" s="4" t="s">
        <v>17419</v>
      </c>
      <c r="C7827" s="4"/>
      <c r="D7827" s="4" t="s">
        <v>14822</v>
      </c>
      <c r="E7827" s="4" t="s">
        <v>17432</v>
      </c>
      <c r="F7827" s="4" t="s">
        <v>17433</v>
      </c>
      <c r="G7827" s="5" t="str">
        <f>IFERROR(__xludf.DUMMYFUNCTION("GOOGLETRANSLATE(D7827,""pl"",""es"")"),"ananim")</f>
        <v>ananim</v>
      </c>
    </row>
    <row r="7828">
      <c r="A7828" s="4">
        <v>15.0</v>
      </c>
      <c r="B7828" s="4" t="s">
        <v>17419</v>
      </c>
      <c r="C7828" s="4"/>
      <c r="D7828" s="4" t="s">
        <v>17434</v>
      </c>
      <c r="E7828" s="4" t="s">
        <v>17435</v>
      </c>
      <c r="F7828" s="4" t="s">
        <v>17436</v>
      </c>
      <c r="G7828" s="5" t="str">
        <f>IFERROR(__xludf.DUMMYFUNCTION("GOOGLETRANSLATE(D7828,""pl"",""es"")"),"anataz")</f>
        <v>anataz</v>
      </c>
    </row>
    <row r="7829">
      <c r="A7829" s="4">
        <v>16.0</v>
      </c>
      <c r="B7829" s="4" t="s">
        <v>17419</v>
      </c>
      <c r="C7829" s="4"/>
      <c r="D7829" s="4" t="s">
        <v>744</v>
      </c>
      <c r="E7829" s="4" t="s">
        <v>17437</v>
      </c>
      <c r="F7829" s="4" t="s">
        <v>17438</v>
      </c>
      <c r="G7829" s="5" t="str">
        <f>IFERROR(__xludf.DUMMYFUNCTION("GOOGLETRANSLATE(D7829,""pl"",""es"")"),"o")</f>
        <v>o</v>
      </c>
    </row>
    <row r="7830">
      <c r="A7830" s="4">
        <v>17.0</v>
      </c>
      <c r="B7830" s="4" t="s">
        <v>17419</v>
      </c>
      <c r="C7830" s="4"/>
      <c r="D7830" s="4" t="s">
        <v>17439</v>
      </c>
      <c r="E7830" s="4" t="s">
        <v>17440</v>
      </c>
      <c r="F7830" s="4" t="s">
        <v>17441</v>
      </c>
      <c r="G7830" s="5" t="str">
        <f>IFERROR(__xludf.DUMMYFUNCTION("GOOGLETRANSLATE(D7830,""pl"",""es"")"),"aní")</f>
        <v>aní</v>
      </c>
    </row>
    <row r="7831">
      <c r="A7831" s="4">
        <v>18.0</v>
      </c>
      <c r="B7831" s="4" t="s">
        <v>17419</v>
      </c>
      <c r="C7831" s="4"/>
      <c r="D7831" s="4" t="s">
        <v>17442</v>
      </c>
      <c r="E7831" s="4" t="s">
        <v>17443</v>
      </c>
      <c r="F7831" s="4" t="s">
        <v>17444</v>
      </c>
      <c r="G7831" s="5" t="str">
        <f>IFERROR(__xludf.DUMMYFUNCTION("GOOGLETRANSLATE(D7831,""pl"",""es"")"),"anilina")</f>
        <v>anilina</v>
      </c>
      <c r="H7831" s="4" t="s">
        <v>17445</v>
      </c>
      <c r="I7831" s="4" t="s">
        <v>17446</v>
      </c>
      <c r="J7831" s="4" t="s">
        <v>17447</v>
      </c>
      <c r="K7831" s="4" t="s">
        <v>17448</v>
      </c>
    </row>
    <row r="7832">
      <c r="A7832" s="4">
        <v>19.0</v>
      </c>
      <c r="B7832" s="4" t="s">
        <v>17419</v>
      </c>
      <c r="C7832" s="4"/>
      <c r="D7832" s="4" t="s">
        <v>295</v>
      </c>
      <c r="E7832" s="4" t="s">
        <v>294</v>
      </c>
      <c r="F7832" s="4" t="s">
        <v>295</v>
      </c>
      <c r="G7832" s="5" t="str">
        <f>IFERROR(__xludf.DUMMYFUNCTION("GOOGLETRANSLATE(D7832,""pl"",""es"")"),"as")</f>
        <v>as</v>
      </c>
      <c r="H7832" s="4" t="s">
        <v>833</v>
      </c>
      <c r="I7832" s="4" t="s">
        <v>5852</v>
      </c>
      <c r="J7832" s="4" t="s">
        <v>5853</v>
      </c>
      <c r="K7832" s="4" t="s">
        <v>5854</v>
      </c>
    </row>
    <row r="7833">
      <c r="A7833" s="4">
        <v>20.0</v>
      </c>
      <c r="B7833" s="4" t="s">
        <v>17419</v>
      </c>
      <c r="C7833" s="4"/>
      <c r="D7833" s="4" t="s">
        <v>894</v>
      </c>
      <c r="E7833" s="4" t="s">
        <v>893</v>
      </c>
      <c r="F7833" s="4" t="s">
        <v>894</v>
      </c>
      <c r="G7833" s="5" t="str">
        <f>IFERROR(__xludf.DUMMYFUNCTION("GOOGLETRANSLATE(D7833,""pl"",""es"")"),"ataque")</f>
        <v>ataque</v>
      </c>
      <c r="H7833" s="4" t="s">
        <v>895</v>
      </c>
      <c r="I7833" s="4" t="s">
        <v>904</v>
      </c>
      <c r="J7833" s="4" t="s">
        <v>905</v>
      </c>
      <c r="K7833" s="4" t="s">
        <v>17449</v>
      </c>
      <c r="L7833" s="4" t="s">
        <v>1266</v>
      </c>
      <c r="M7833" s="4" t="s">
        <v>17450</v>
      </c>
      <c r="N7833" s="4" t="s">
        <v>1266</v>
      </c>
      <c r="O7833" s="4" t="s">
        <v>17451</v>
      </c>
      <c r="P7833" s="4" t="s">
        <v>12237</v>
      </c>
      <c r="Q7833" s="4" t="s">
        <v>17452</v>
      </c>
    </row>
    <row r="7834">
      <c r="A7834" s="4">
        <v>21.0</v>
      </c>
      <c r="B7834" s="4" t="s">
        <v>17419</v>
      </c>
      <c r="C7834" s="4"/>
      <c r="D7834" s="4" t="s">
        <v>17453</v>
      </c>
      <c r="E7834" s="4" t="s">
        <v>17454</v>
      </c>
      <c r="F7834" s="4" t="s">
        <v>17455</v>
      </c>
      <c r="G7834" s="5" t="str">
        <f>IFERROR(__xludf.DUMMYFUNCTION("GOOGLETRANSLATE(D7834,""pl"",""es"")"),"ataques")</f>
        <v>ataques</v>
      </c>
    </row>
    <row r="7835">
      <c r="A7835" s="4">
        <v>22.0</v>
      </c>
      <c r="B7835" s="4" t="s">
        <v>17419</v>
      </c>
      <c r="C7835" s="4"/>
      <c r="D7835" s="4" t="s">
        <v>17456</v>
      </c>
      <c r="E7835" s="4" t="s">
        <v>17457</v>
      </c>
      <c r="F7835" s="4" t="s">
        <v>17456</v>
      </c>
      <c r="G7835" s="5" t="str">
        <f>IFERROR(__xludf.DUMMYFUNCTION("GOOGLETRANSLATE(D7835,""pl"",""es"")"),"ataques")</f>
        <v>ataques</v>
      </c>
    </row>
    <row r="7836">
      <c r="A7836" s="4">
        <v>23.0</v>
      </c>
      <c r="B7836" s="4" t="s">
        <v>17419</v>
      </c>
      <c r="C7836" s="4"/>
      <c r="D7836" s="4" t="s">
        <v>17458</v>
      </c>
      <c r="E7836" s="4" t="s">
        <v>17459</v>
      </c>
      <c r="F7836" s="4" t="s">
        <v>17458</v>
      </c>
      <c r="G7836" s="5" t="str">
        <f>IFERROR(__xludf.DUMMYFUNCTION("GOOGLETRANSLATE(D7836,""pl"",""es"")"),"ataques")</f>
        <v>ataques</v>
      </c>
    </row>
    <row r="7837">
      <c r="A7837" s="4">
        <v>24.0</v>
      </c>
      <c r="B7837" s="4" t="s">
        <v>17419</v>
      </c>
      <c r="C7837" s="4"/>
      <c r="D7837" s="4" t="s">
        <v>17460</v>
      </c>
      <c r="E7837" s="4" t="s">
        <v>17461</v>
      </c>
      <c r="F7837" s="4" t="s">
        <v>17460</v>
      </c>
      <c r="G7837" s="5" t="str">
        <f>IFERROR(__xludf.DUMMYFUNCTION("GOOGLETRANSLATE(D7837,""pl"",""es"")"),"ataque")</f>
        <v>ataque</v>
      </c>
    </row>
    <row r="7838">
      <c r="A7838" s="4">
        <v>25.0</v>
      </c>
      <c r="B7838" s="4" t="s">
        <v>17419</v>
      </c>
      <c r="C7838" s="4"/>
      <c r="D7838" s="4" t="s">
        <v>17462</v>
      </c>
      <c r="E7838" s="4" t="s">
        <v>17463</v>
      </c>
      <c r="F7838" s="4" t="s">
        <v>17464</v>
      </c>
      <c r="G7838" s="5" t="str">
        <f>IFERROR(__xludf.DUMMYFUNCTION("GOOGLETRANSLATE(D7838,""pl"",""es"")"),"casto")</f>
        <v>casto</v>
      </c>
    </row>
    <row r="7839">
      <c r="A7839" s="4">
        <v>26.0</v>
      </c>
      <c r="B7839" s="4" t="s">
        <v>17419</v>
      </c>
      <c r="C7839" s="4"/>
      <c r="D7839" s="4" t="s">
        <v>6006</v>
      </c>
      <c r="E7839" s="4" t="s">
        <v>17465</v>
      </c>
      <c r="F7839" s="4" t="s">
        <v>1039</v>
      </c>
      <c r="G7839" s="5" t="str">
        <f>IFERROR(__xludf.DUMMYFUNCTION("GOOGLETRANSLATE(D7839,""pl"",""es"")"),"patán")</f>
        <v>patán</v>
      </c>
    </row>
    <row r="7840">
      <c r="A7840" s="4">
        <v>27.0</v>
      </c>
      <c r="B7840" s="4" t="s">
        <v>17419</v>
      </c>
      <c r="C7840" s="4"/>
      <c r="D7840" s="4" t="s">
        <v>17466</v>
      </c>
      <c r="E7840" s="4" t="s">
        <v>9098</v>
      </c>
      <c r="F7840" s="4" t="s">
        <v>1122</v>
      </c>
      <c r="G7840" s="5" t="str">
        <f>IFERROR(__xludf.DUMMYFUNCTION("GOOGLETRANSLATE(D7840,""pl"",""es"")"),"kan")</f>
        <v>kan</v>
      </c>
      <c r="H7840" s="4" t="s">
        <v>17467</v>
      </c>
      <c r="I7840" s="4" t="s">
        <v>17468</v>
      </c>
      <c r="J7840" s="4" t="s">
        <v>16697</v>
      </c>
      <c r="K7840" s="4" t="s">
        <v>17469</v>
      </c>
      <c r="L7840" s="4" t="s">
        <v>16697</v>
      </c>
    </row>
    <row r="7841">
      <c r="A7841" s="4">
        <v>28.0</v>
      </c>
      <c r="B7841" s="4" t="s">
        <v>17419</v>
      </c>
      <c r="C7841" s="4"/>
      <c r="D7841" s="4" t="s">
        <v>17470</v>
      </c>
      <c r="E7841" s="4" t="s">
        <v>17471</v>
      </c>
      <c r="F7841" s="4" t="s">
        <v>17472</v>
      </c>
      <c r="G7841" s="5" t="str">
        <f>IFERROR(__xludf.DUMMYFUNCTION("GOOGLETRANSLATE(D7841,""pl"",""es"")"),"chanuka")</f>
        <v>chanuka</v>
      </c>
      <c r="H7841" s="4" t="s">
        <v>12314</v>
      </c>
      <c r="I7841" s="4" t="s">
        <v>12315</v>
      </c>
      <c r="J7841" s="4" t="s">
        <v>12316</v>
      </c>
      <c r="K7841" s="4" t="s">
        <v>12317</v>
      </c>
      <c r="L7841" s="4" t="s">
        <v>12318</v>
      </c>
      <c r="M7841" s="4" t="s">
        <v>12319</v>
      </c>
      <c r="N7841" s="4" t="s">
        <v>12320</v>
      </c>
      <c r="O7841" s="4" t="s">
        <v>12321</v>
      </c>
      <c r="P7841" s="4" t="s">
        <v>12322</v>
      </c>
      <c r="Q7841" s="4" t="s">
        <v>12323</v>
      </c>
      <c r="R7841" s="4" t="s">
        <v>12324</v>
      </c>
    </row>
    <row r="7842">
      <c r="A7842" s="4">
        <v>29.0</v>
      </c>
      <c r="B7842" s="4" t="s">
        <v>17419</v>
      </c>
      <c r="C7842" s="4"/>
      <c r="D7842" s="4" t="s">
        <v>4282</v>
      </c>
      <c r="E7842" s="4" t="s">
        <v>17473</v>
      </c>
      <c r="F7842" s="4" t="s">
        <v>322</v>
      </c>
      <c r="G7842" s="5" t="str">
        <f>IFERROR(__xludf.DUMMYFUNCTION("GOOGLETRANSLATE(D7842,""pl"",""es"")"),"cap")</f>
        <v>cap</v>
      </c>
    </row>
    <row r="7843">
      <c r="A7843" s="4">
        <v>30.0</v>
      </c>
      <c r="B7843" s="4" t="s">
        <v>17419</v>
      </c>
      <c r="C7843" s="4"/>
      <c r="D7843" s="4" t="s">
        <v>17474</v>
      </c>
      <c r="E7843" s="4" t="s">
        <v>17475</v>
      </c>
      <c r="F7843" s="4" t="s">
        <v>5162</v>
      </c>
      <c r="G7843" s="5" t="str">
        <f>IFERROR(__xludf.DUMMYFUNCTION("GOOGLETRANSLATE(D7843,""pl"",""es"")"),"cabaña")</f>
        <v>cabaña</v>
      </c>
      <c r="H7843" s="4" t="s">
        <v>17476</v>
      </c>
      <c r="I7843" s="4" t="s">
        <v>2125</v>
      </c>
      <c r="J7843" s="4" t="s">
        <v>11158</v>
      </c>
    </row>
    <row r="7844">
      <c r="A7844" s="4">
        <v>31.0</v>
      </c>
      <c r="B7844" s="4" t="s">
        <v>17419</v>
      </c>
      <c r="C7844" s="4"/>
      <c r="D7844" s="4" t="s">
        <v>17477</v>
      </c>
      <c r="E7844" s="4" t="s">
        <v>17478</v>
      </c>
      <c r="F7844" s="4" t="s">
        <v>17479</v>
      </c>
      <c r="G7844" s="5" t="str">
        <f>IFERROR(__xludf.DUMMYFUNCTION("GOOGLETRANSLATE(D7844,""pl"",""es"")"),"chozas")</f>
        <v>chozas</v>
      </c>
    </row>
    <row r="7845">
      <c r="A7845" s="4">
        <v>32.0</v>
      </c>
      <c r="B7845" s="4" t="s">
        <v>17419</v>
      </c>
      <c r="C7845" s="4"/>
      <c r="D7845" s="4" t="s">
        <v>17480</v>
      </c>
      <c r="E7845" s="4" t="s">
        <v>17481</v>
      </c>
      <c r="F7845" s="4" t="s">
        <v>17482</v>
      </c>
      <c r="G7845" s="5" t="str">
        <f>IFERROR(__xludf.DUMMYFUNCTION("GOOGLETRANSLATE(D7845,""pl"",""es"")"),"chozas")</f>
        <v>chozas</v>
      </c>
    </row>
    <row r="7846">
      <c r="A7846" s="4">
        <v>33.0</v>
      </c>
      <c r="B7846" s="4" t="s">
        <v>17419</v>
      </c>
      <c r="C7846" s="4"/>
      <c r="D7846" s="4" t="s">
        <v>12469</v>
      </c>
      <c r="E7846" s="4" t="s">
        <v>17483</v>
      </c>
      <c r="F7846" s="4" t="s">
        <v>2014</v>
      </c>
      <c r="G7846" s="5" t="str">
        <f>IFERROR(__xludf.DUMMYFUNCTION("GOOGLETRANSLATE(D7846,""pl"",""es"")"),"chi")</f>
        <v>chi</v>
      </c>
      <c r="H7846" s="4" t="s">
        <v>12469</v>
      </c>
      <c r="I7846" s="4" t="s">
        <v>2012</v>
      </c>
    </row>
    <row r="7847">
      <c r="A7847" s="4">
        <v>34.0</v>
      </c>
      <c r="B7847" s="4" t="s">
        <v>17419</v>
      </c>
      <c r="C7847" s="4"/>
      <c r="D7847" s="4" t="s">
        <v>17484</v>
      </c>
      <c r="E7847" s="4" t="s">
        <v>17485</v>
      </c>
      <c r="F7847" s="4" t="s">
        <v>17486</v>
      </c>
      <c r="G7847" s="5" t="str">
        <f>IFERROR(__xludf.DUMMYFUNCTION("GOOGLETRANSLATE(D7847,""pl"",""es"")"),"quinina")</f>
        <v>quinina</v>
      </c>
      <c r="H7847" s="4" t="s">
        <v>8706</v>
      </c>
    </row>
    <row r="7848">
      <c r="A7848" s="4">
        <v>35.0</v>
      </c>
      <c r="B7848" s="4" t="s">
        <v>17419</v>
      </c>
      <c r="C7848" s="4"/>
      <c r="D7848" s="4" t="s">
        <v>17487</v>
      </c>
      <c r="E7848" s="4" t="s">
        <v>17488</v>
      </c>
      <c r="F7848" s="4" t="s">
        <v>10111</v>
      </c>
      <c r="G7848" s="5" t="str">
        <f>IFERROR(__xludf.DUMMYFUNCTION("GOOGLETRANSLATE(D7848,""pl"",""es"")"),"soplo")</f>
        <v>soplo</v>
      </c>
    </row>
    <row r="7849">
      <c r="A7849" s="4">
        <v>36.0</v>
      </c>
      <c r="B7849" s="4" t="s">
        <v>17419</v>
      </c>
      <c r="C7849" s="4"/>
      <c r="D7849" s="4" t="s">
        <v>17489</v>
      </c>
      <c r="E7849" s="4" t="s">
        <v>17490</v>
      </c>
      <c r="F7849" s="4" t="s">
        <v>17491</v>
      </c>
      <c r="G7849" s="5" t="str">
        <f>IFERROR(__xludf.DUMMYFUNCTION("GOOGLETRANSLATE(D7849,""pl"",""es"")"),"I Puff")</f>
        <v>I Puff</v>
      </c>
    </row>
    <row r="7850">
      <c r="A7850" s="4">
        <v>37.0</v>
      </c>
      <c r="B7850" s="4" t="s">
        <v>17419</v>
      </c>
      <c r="C7850" s="4"/>
      <c r="D7850" s="4" t="s">
        <v>17492</v>
      </c>
      <c r="E7850" s="4" t="s">
        <v>467</v>
      </c>
      <c r="F7850" s="4" t="s">
        <v>468</v>
      </c>
      <c r="G7850" s="5" t="str">
        <f>IFERROR(__xludf.DUMMYFUNCTION("GOOGLETRANSLATE(D7850,""pl"",""es"")"),"polla")</f>
        <v>polla</v>
      </c>
      <c r="H7850" s="4" t="s">
        <v>3596</v>
      </c>
      <c r="I7850" s="4" t="s">
        <v>3497</v>
      </c>
      <c r="J7850" s="4" t="s">
        <v>3597</v>
      </c>
      <c r="K7850" s="4" t="s">
        <v>3598</v>
      </c>
      <c r="L7850" s="4" t="s">
        <v>3599</v>
      </c>
      <c r="M7850" s="4" t="s">
        <v>3600</v>
      </c>
      <c r="N7850" s="4" t="s">
        <v>3601</v>
      </c>
      <c r="O7850" s="4" t="s">
        <v>3602</v>
      </c>
      <c r="P7850" s="4" t="s">
        <v>17493</v>
      </c>
      <c r="Q7850" s="4" t="s">
        <v>17494</v>
      </c>
      <c r="R7850" s="4" t="s">
        <v>17495</v>
      </c>
      <c r="S7850" s="4" t="s">
        <v>17496</v>
      </c>
      <c r="T7850" s="4" t="s">
        <v>8769</v>
      </c>
      <c r="U7850" s="4" t="s">
        <v>17497</v>
      </c>
      <c r="V7850" s="4" t="s">
        <v>17498</v>
      </c>
      <c r="W7850" s="4" t="s">
        <v>3497</v>
      </c>
      <c r="X7850" s="4" t="s">
        <v>17499</v>
      </c>
      <c r="Y7850" s="4" t="s">
        <v>17500</v>
      </c>
      <c r="Z7850" s="4" t="s">
        <v>17501</v>
      </c>
    </row>
    <row r="7851">
      <c r="A7851" s="4">
        <v>38.0</v>
      </c>
      <c r="B7851" s="4" t="s">
        <v>17419</v>
      </c>
      <c r="C7851" s="4"/>
      <c r="D7851" s="4" t="s">
        <v>17502</v>
      </c>
      <c r="E7851" s="4" t="s">
        <v>17503</v>
      </c>
      <c r="F7851" s="4" t="s">
        <v>10106</v>
      </c>
      <c r="G7851" s="5" t="str">
        <f>IFERROR(__xludf.DUMMYFUNCTION("GOOGLETRANSLATE(D7851,""pl"",""es"")"),"polla")</f>
        <v>polla</v>
      </c>
    </row>
    <row r="7852">
      <c r="A7852" s="4">
        <v>39.0</v>
      </c>
      <c r="B7852" s="4" t="s">
        <v>17419</v>
      </c>
      <c r="C7852" s="4"/>
      <c r="D7852" s="4" t="s">
        <v>17504</v>
      </c>
      <c r="E7852" s="4" t="s">
        <v>17505</v>
      </c>
      <c r="F7852" s="4" t="s">
        <v>1477</v>
      </c>
      <c r="G7852" s="5" t="str">
        <f>IFERROR(__xludf.DUMMYFUNCTION("GOOGLETRANSLATE(D7852,""pl"",""es"")"),"chula")</f>
        <v>chula</v>
      </c>
    </row>
    <row r="7853">
      <c r="A7853" s="4">
        <v>40.0</v>
      </c>
      <c r="B7853" s="4" t="s">
        <v>17419</v>
      </c>
      <c r="C7853" s="4"/>
      <c r="D7853" s="4" t="s">
        <v>1554</v>
      </c>
      <c r="E7853" s="4" t="s">
        <v>1555</v>
      </c>
      <c r="F7853" s="4" t="s">
        <v>1556</v>
      </c>
      <c r="G7853" s="5" t="str">
        <f>IFERROR(__xludf.DUMMYFUNCTION("GOOGLETRANSLATE(D7853,""pl"",""es"")"),"Galleta")</f>
        <v>Galleta</v>
      </c>
    </row>
    <row r="7854">
      <c r="A7854" s="4">
        <v>41.0</v>
      </c>
      <c r="B7854" s="4" t="s">
        <v>17419</v>
      </c>
      <c r="C7854" s="4"/>
      <c r="D7854" s="4" t="s">
        <v>12185</v>
      </c>
      <c r="E7854" s="4" t="s">
        <v>1600</v>
      </c>
      <c r="F7854" s="4" t="s">
        <v>1601</v>
      </c>
      <c r="G7854" s="5" t="str">
        <f>IFERROR(__xludf.DUMMYFUNCTION("GOOGLETRANSLATE(D7854,""pl"",""es"")"),"Frío")</f>
        <v>Frío</v>
      </c>
    </row>
    <row r="7855">
      <c r="A7855" s="4">
        <v>42.0</v>
      </c>
      <c r="B7855" s="4" t="s">
        <v>17419</v>
      </c>
      <c r="C7855" s="4"/>
      <c r="D7855" s="4" t="s">
        <v>12281</v>
      </c>
      <c r="E7855" s="4" t="s">
        <v>17506</v>
      </c>
      <c r="F7855" s="4" t="s">
        <v>962</v>
      </c>
      <c r="G7855" s="5" t="str">
        <f>IFERROR(__xludf.DUMMYFUNCTION("GOOGLETRANSLATE(D7855,""pl"",""es"")"),"H")</f>
        <v>H</v>
      </c>
      <c r="H7855" s="4" t="s">
        <v>17507</v>
      </c>
      <c r="I7855" s="4" t="s">
        <v>12286</v>
      </c>
      <c r="J7855" s="4" t="s">
        <v>12285</v>
      </c>
      <c r="K7855" s="4" t="s">
        <v>12286</v>
      </c>
      <c r="L7855" s="4" t="s">
        <v>12287</v>
      </c>
    </row>
    <row r="7856">
      <c r="A7856" s="4">
        <v>43.0</v>
      </c>
      <c r="B7856" s="4" t="s">
        <v>17419</v>
      </c>
      <c r="C7856" s="4"/>
      <c r="D7856" s="4" t="s">
        <v>17508</v>
      </c>
      <c r="E7856" s="4" t="s">
        <v>17509</v>
      </c>
      <c r="F7856" s="4" t="s">
        <v>17510</v>
      </c>
      <c r="G7856" s="5" t="str">
        <f>IFERROR(__xludf.DUMMYFUNCTION("GOOGLETRANSLATE(D7856,""pl"",""es"")"),"Hacham")</f>
        <v>Hacham</v>
      </c>
    </row>
    <row r="7857">
      <c r="A7857" s="4">
        <v>44.0</v>
      </c>
      <c r="B7857" s="4" t="s">
        <v>17419</v>
      </c>
      <c r="C7857" s="4"/>
      <c r="D7857" s="4" t="s">
        <v>17511</v>
      </c>
      <c r="E7857" s="4" t="s">
        <v>17512</v>
      </c>
      <c r="F7857" s="4" t="s">
        <v>11811</v>
      </c>
      <c r="G7857" s="5" t="str">
        <f>IFERROR(__xludf.DUMMYFUNCTION("GOOGLETRANSLATE(D7857,""pl"",""es"")"),"haja")</f>
        <v>haja</v>
      </c>
    </row>
    <row r="7858">
      <c r="A7858" s="4">
        <v>45.0</v>
      </c>
      <c r="B7858" s="4" t="s">
        <v>17419</v>
      </c>
      <c r="C7858" s="4"/>
      <c r="D7858" s="4" t="s">
        <v>6127</v>
      </c>
      <c r="E7858" s="4" t="s">
        <v>17513</v>
      </c>
      <c r="F7858" s="4" t="s">
        <v>319</v>
      </c>
      <c r="G7858" s="5" t="str">
        <f>IFERROR(__xludf.DUMMYFUNCTION("GOOGLETRANSLATE(D7858,""pl"",""es"")"),"gancho")</f>
        <v>gancho</v>
      </c>
      <c r="H7858" s="4" t="s">
        <v>6278</v>
      </c>
      <c r="I7858" s="4" t="s">
        <v>17514</v>
      </c>
    </row>
    <row r="7859">
      <c r="A7859" s="4">
        <v>46.0</v>
      </c>
      <c r="B7859" s="4" t="s">
        <v>17419</v>
      </c>
      <c r="C7859" s="4"/>
      <c r="D7859" s="4" t="s">
        <v>17515</v>
      </c>
      <c r="E7859" s="4" t="s">
        <v>17516</v>
      </c>
      <c r="F7859" s="4" t="s">
        <v>1297</v>
      </c>
      <c r="G7859" s="5" t="str">
        <f>IFERROR(__xludf.DUMMYFUNCTION("GOOGLETRANSLATE(D7859,""pl"",""es"")"),"manos")</f>
        <v>manos</v>
      </c>
    </row>
    <row r="7860">
      <c r="A7860" s="4">
        <v>47.0</v>
      </c>
      <c r="B7860" s="4" t="s">
        <v>17419</v>
      </c>
      <c r="C7860" s="4"/>
      <c r="D7860" s="4" t="s">
        <v>4814</v>
      </c>
      <c r="E7860" s="4" t="s">
        <v>17517</v>
      </c>
      <c r="F7860" s="4" t="s">
        <v>975</v>
      </c>
      <c r="G7860" s="5" t="str">
        <f>IFERROR(__xludf.DUMMYFUNCTION("GOOGLETRANSLATE(D7860,""pl"",""es"")"),"salón")</f>
        <v>salón</v>
      </c>
    </row>
    <row r="7861">
      <c r="A7861" s="4">
        <v>48.0</v>
      </c>
      <c r="B7861" s="4" t="s">
        <v>17419</v>
      </c>
      <c r="C7861" s="4"/>
      <c r="D7861" s="4" t="s">
        <v>1777</v>
      </c>
      <c r="E7861" s="4" t="s">
        <v>17518</v>
      </c>
      <c r="F7861" s="4" t="s">
        <v>978</v>
      </c>
      <c r="G7861" s="5" t="str">
        <f>IFERROR(__xludf.DUMMYFUNCTION("GOOGLETRANSLATE(D7861,""pl"",""es"")"),"salón")</f>
        <v>salón</v>
      </c>
      <c r="H7861" s="4" t="s">
        <v>11094</v>
      </c>
    </row>
    <row r="7862">
      <c r="A7862" s="4">
        <v>49.0</v>
      </c>
      <c r="B7862" s="4" t="s">
        <v>17419</v>
      </c>
      <c r="C7862" s="4"/>
      <c r="D7862" s="4" t="s">
        <v>17519</v>
      </c>
      <c r="E7862" s="4" t="s">
        <v>17520</v>
      </c>
      <c r="F7862" s="4" t="s">
        <v>17521</v>
      </c>
      <c r="G7862" s="5" t="str">
        <f>IFERROR(__xludf.DUMMYFUNCTION("GOOGLETRANSLATE(D7862,""pl"",""es"")"),"Halama")</f>
        <v>Halama</v>
      </c>
    </row>
    <row r="7863">
      <c r="A7863" s="4">
        <v>50.0</v>
      </c>
      <c r="B7863" s="4" t="s">
        <v>17419</v>
      </c>
      <c r="C7863" s="4"/>
      <c r="D7863" s="4" t="s">
        <v>9607</v>
      </c>
      <c r="E7863" s="4" t="s">
        <v>17522</v>
      </c>
      <c r="F7863" s="4" t="s">
        <v>17523</v>
      </c>
      <c r="G7863" s="5" t="str">
        <f>IFERROR(__xludf.DUMMYFUNCTION("GOOGLETRANSLATE(D7863,""pl"",""es"")"),"Halina")</f>
        <v>Halina</v>
      </c>
    </row>
    <row r="7864">
      <c r="A7864" s="4">
        <v>51.0</v>
      </c>
      <c r="B7864" s="4" t="s">
        <v>17419</v>
      </c>
      <c r="C7864" s="4"/>
      <c r="D7864" s="4" t="s">
        <v>17524</v>
      </c>
      <c r="E7864" s="4" t="s">
        <v>17525</v>
      </c>
      <c r="F7864" s="4" t="s">
        <v>17526</v>
      </c>
      <c r="G7864" s="5" t="str">
        <f>IFERROR(__xludf.DUMMYFUNCTION("GOOGLETRANSLATE(D7864,""pl"",""es"")"),"haluch")</f>
        <v>haluch</v>
      </c>
    </row>
    <row r="7865">
      <c r="A7865" s="4">
        <v>52.0</v>
      </c>
      <c r="B7865" s="4" t="s">
        <v>17419</v>
      </c>
      <c r="C7865" s="4"/>
      <c r="D7865" s="4" t="s">
        <v>17527</v>
      </c>
      <c r="E7865" s="4" t="s">
        <v>17528</v>
      </c>
      <c r="F7865" s="4" t="s">
        <v>17529</v>
      </c>
      <c r="G7865" s="5" t="str">
        <f>IFERROR(__xludf.DUMMYFUNCTION("GOOGLETRANSLATE(D7865,""pl"",""es"")"),"hamaca")</f>
        <v>hamaca</v>
      </c>
      <c r="H7865" s="4" t="s">
        <v>1784</v>
      </c>
      <c r="I7865" s="4" t="s">
        <v>1785</v>
      </c>
    </row>
    <row r="7866">
      <c r="A7866" s="4">
        <v>53.0</v>
      </c>
      <c r="B7866" s="4" t="s">
        <v>17419</v>
      </c>
      <c r="C7866" s="4"/>
      <c r="D7866" s="4" t="s">
        <v>17530</v>
      </c>
      <c r="E7866" s="4" t="s">
        <v>5656</v>
      </c>
      <c r="F7866" s="4" t="s">
        <v>1186</v>
      </c>
      <c r="G7866" s="5" t="str">
        <f>IFERROR(__xludf.DUMMYFUNCTION("GOOGLETRANSLATE(D7866,""pl"",""es"")"),"Hania")</f>
        <v>Hania</v>
      </c>
    </row>
    <row r="7867">
      <c r="A7867" s="4">
        <v>54.0</v>
      </c>
      <c r="B7867" s="4" t="s">
        <v>17419</v>
      </c>
      <c r="C7867" s="4"/>
      <c r="D7867" s="4" t="s">
        <v>1787</v>
      </c>
      <c r="E7867" s="4" t="s">
        <v>15878</v>
      </c>
      <c r="F7867" s="4" t="s">
        <v>1336</v>
      </c>
      <c r="G7867" s="5" t="str">
        <f>IFERROR(__xludf.DUMMYFUNCTION("GOOGLETRANSLATE(D7867,""pl"",""es"")"),"pasar")</f>
        <v>pasar</v>
      </c>
      <c r="H7867" s="4" t="s">
        <v>1789</v>
      </c>
      <c r="I7867" s="4" t="s">
        <v>1790</v>
      </c>
      <c r="J7867" s="4" t="s">
        <v>1791</v>
      </c>
      <c r="K7867" s="4" t="s">
        <v>1792</v>
      </c>
    </row>
    <row r="7868">
      <c r="A7868" s="4">
        <v>55.0</v>
      </c>
      <c r="B7868" s="4" t="s">
        <v>17419</v>
      </c>
      <c r="C7868" s="4"/>
      <c r="D7868" s="4" t="s">
        <v>17531</v>
      </c>
      <c r="E7868" s="4" t="s">
        <v>17532</v>
      </c>
      <c r="F7868" s="4" t="s">
        <v>1359</v>
      </c>
      <c r="G7868" s="5" t="str">
        <f>IFERROR(__xludf.DUMMYFUNCTION("GOOGLETRANSLATE(D7868,""pl"",""es"")"),"aro")</f>
        <v>aro</v>
      </c>
    </row>
    <row r="7869">
      <c r="A7869" s="4">
        <v>56.0</v>
      </c>
      <c r="B7869" s="4" t="s">
        <v>17419</v>
      </c>
      <c r="C7869" s="4"/>
      <c r="D7869" s="4" t="s">
        <v>17533</v>
      </c>
      <c r="E7869" s="4" t="s">
        <v>17534</v>
      </c>
      <c r="F7869" s="4" t="s">
        <v>17535</v>
      </c>
      <c r="G7869" s="5" t="str">
        <f>IFERROR(__xludf.DUMMYFUNCTION("GOOGLETRANSLATE(D7869,""pl"",""es"")"),"eslogan")</f>
        <v>eslogan</v>
      </c>
    </row>
    <row r="7870">
      <c r="A7870" s="4">
        <v>57.0</v>
      </c>
      <c r="B7870" s="4" t="s">
        <v>17419</v>
      </c>
      <c r="C7870" s="4"/>
      <c r="D7870" s="4" t="s">
        <v>17536</v>
      </c>
      <c r="E7870" s="4" t="s">
        <v>17537</v>
      </c>
      <c r="F7870" s="4" t="s">
        <v>17538</v>
      </c>
      <c r="G7870" s="5" t="str">
        <f>IFERROR(__xludf.DUMMYFUNCTION("GOOGLETRANSLATE(D7870,""pl"",""es"")"),"hasam")</f>
        <v>hasam</v>
      </c>
    </row>
    <row r="7871">
      <c r="A7871" s="4">
        <v>58.0</v>
      </c>
      <c r="B7871" s="4" t="s">
        <v>17419</v>
      </c>
      <c r="C7871" s="4"/>
      <c r="D7871" s="4" t="s">
        <v>6188</v>
      </c>
      <c r="E7871" s="4" t="s">
        <v>17539</v>
      </c>
      <c r="F7871" s="4" t="s">
        <v>3801</v>
      </c>
      <c r="G7871" s="5" t="str">
        <f>IFERROR(__xludf.DUMMYFUNCTION("GOOGLETRANSLATE(D7871,""pl"",""es"")"),"hil")</f>
        <v>hil</v>
      </c>
    </row>
    <row r="7872">
      <c r="A7872" s="4">
        <v>59.0</v>
      </c>
      <c r="B7872" s="4" t="s">
        <v>17419</v>
      </c>
      <c r="C7872" s="4"/>
      <c r="D7872" s="4" t="s">
        <v>17540</v>
      </c>
      <c r="E7872" s="4" t="s">
        <v>17541</v>
      </c>
      <c r="F7872" s="4" t="s">
        <v>17542</v>
      </c>
      <c r="G7872" s="5" t="str">
        <f>IFERROR(__xludf.DUMMYFUNCTION("GOOGLETRANSLATE(D7872,""pl"",""es"")"),"hippie")</f>
        <v>hippie</v>
      </c>
    </row>
    <row r="7873">
      <c r="A7873" s="4">
        <v>60.0</v>
      </c>
      <c r="B7873" s="4" t="s">
        <v>17419</v>
      </c>
      <c r="C7873" s="4"/>
      <c r="D7873" s="4" t="s">
        <v>17543</v>
      </c>
      <c r="E7873" s="4" t="s">
        <v>467</v>
      </c>
      <c r="F7873" s="4" t="s">
        <v>468</v>
      </c>
      <c r="G7873" s="5" t="str">
        <f>IFERROR(__xludf.DUMMYFUNCTION("GOOGLETRANSLATE(D7873,""pl"",""es"")"),"huj")</f>
        <v>huj</v>
      </c>
    </row>
    <row r="7874">
      <c r="A7874" s="4">
        <v>61.0</v>
      </c>
      <c r="B7874" s="4" t="s">
        <v>17419</v>
      </c>
      <c r="C7874" s="4"/>
      <c r="D7874" s="4" t="s">
        <v>6280</v>
      </c>
      <c r="E7874" s="4" t="s">
        <v>17544</v>
      </c>
      <c r="F7874" s="4" t="s">
        <v>1588</v>
      </c>
      <c r="G7874" s="5" t="str">
        <f>IFERROR(__xludf.DUMMYFUNCTION("GOOGLETRANSLATE(D7874,""pl"",""es"")"),"estallido")</f>
        <v>estallido</v>
      </c>
      <c r="H7874" s="4" t="s">
        <v>11305</v>
      </c>
      <c r="I7874" s="4" t="s">
        <v>17545</v>
      </c>
      <c r="J7874" s="4" t="s">
        <v>17546</v>
      </c>
      <c r="K7874" s="4" t="s">
        <v>17547</v>
      </c>
    </row>
    <row r="7875">
      <c r="A7875" s="4">
        <v>62.0</v>
      </c>
      <c r="B7875" s="4" t="s">
        <v>17419</v>
      </c>
      <c r="C7875" s="4"/>
      <c r="D7875" s="4" t="s">
        <v>6315</v>
      </c>
      <c r="E7875" s="4" t="s">
        <v>17548</v>
      </c>
      <c r="F7875" s="4" t="s">
        <v>1556</v>
      </c>
      <c r="G7875" s="5" t="str">
        <f>IFERROR(__xludf.DUMMYFUNCTION("GOOGLETRANSLATE(D7875,""pl"",""es"")"),"golpes")</f>
        <v>golpes</v>
      </c>
    </row>
    <row r="7876">
      <c r="A7876" s="4">
        <v>63.0</v>
      </c>
      <c r="B7876" s="4" t="s">
        <v>17419</v>
      </c>
      <c r="C7876" s="4"/>
      <c r="D7876" s="4" t="s">
        <v>17549</v>
      </c>
      <c r="E7876" s="4" t="s">
        <v>17550</v>
      </c>
      <c r="F7876" s="4" t="s">
        <v>9114</v>
      </c>
      <c r="G7876" s="5" t="str">
        <f>IFERROR(__xludf.DUMMYFUNCTION("GOOGLETRANSLATE(D7876,""pl"",""es"")"),"estallido")</f>
        <v>estallido</v>
      </c>
    </row>
    <row r="7877">
      <c r="A7877" s="4">
        <v>64.0</v>
      </c>
      <c r="B7877" s="4" t="s">
        <v>17419</v>
      </c>
      <c r="C7877" s="4"/>
      <c r="D7877" s="4" t="s">
        <v>17551</v>
      </c>
      <c r="E7877" s="4" t="s">
        <v>17505</v>
      </c>
      <c r="F7877" s="4" t="s">
        <v>1477</v>
      </c>
      <c r="G7877" s="5" t="str">
        <f>IFERROR(__xludf.DUMMYFUNCTION("GOOGLETRANSLATE(D7877,""pl"",""es"")"),"hula")</f>
        <v>hula</v>
      </c>
      <c r="H7877" s="4" t="s">
        <v>17551</v>
      </c>
      <c r="I7877" s="4" t="s">
        <v>17552</v>
      </c>
      <c r="J7877" s="4" t="s">
        <v>17553</v>
      </c>
    </row>
    <row r="7878">
      <c r="A7878" s="4">
        <v>65.0</v>
      </c>
      <c r="B7878" s="4" t="s">
        <v>17419</v>
      </c>
      <c r="C7878" s="4"/>
      <c r="D7878" s="4" t="s">
        <v>17554</v>
      </c>
      <c r="E7878" s="4" t="s">
        <v>17555</v>
      </c>
      <c r="F7878" s="4" t="s">
        <v>17556</v>
      </c>
      <c r="G7878" s="5" t="str">
        <f>IFERROR(__xludf.DUMMYFUNCTION("GOOGLETRANSLATE(D7878,""pl"",""es"")"),"dedos")</f>
        <v>dedos</v>
      </c>
    </row>
    <row r="7879">
      <c r="A7879" s="4">
        <v>66.0</v>
      </c>
      <c r="B7879" s="4" t="s">
        <v>17419</v>
      </c>
      <c r="C7879" s="4"/>
      <c r="D7879" s="4" t="s">
        <v>17557</v>
      </c>
      <c r="E7879" s="4" t="s">
        <v>17558</v>
      </c>
      <c r="F7879" s="4" t="s">
        <v>17559</v>
      </c>
      <c r="G7879" s="5" t="str">
        <f>IFERROR(__xludf.DUMMYFUNCTION("GOOGLETRANSLATE(D7879,""pl"",""es"")"),"rastrillo")</f>
        <v>rastrillo</v>
      </c>
    </row>
    <row r="7880">
      <c r="A7880" s="4">
        <v>67.0</v>
      </c>
      <c r="B7880" s="4" t="s">
        <v>17419</v>
      </c>
      <c r="C7880" s="4"/>
      <c r="D7880" s="4" t="s">
        <v>17560</v>
      </c>
      <c r="E7880" s="4" t="s">
        <v>17561</v>
      </c>
      <c r="F7880" s="4" t="s">
        <v>17562</v>
      </c>
      <c r="G7880" s="5" t="str">
        <f>IFERROR(__xludf.DUMMYFUNCTION("GOOGLETRANSLATE(D7880,""pl"",""es"")"),"hulal")</f>
        <v>hulal</v>
      </c>
    </row>
    <row r="7881">
      <c r="A7881" s="4">
        <v>68.0</v>
      </c>
      <c r="B7881" s="4" t="s">
        <v>17419</v>
      </c>
      <c r="C7881" s="4"/>
      <c r="D7881" s="4" t="s">
        <v>17563</v>
      </c>
      <c r="E7881" s="4" t="s">
        <v>17564</v>
      </c>
      <c r="F7881" s="4" t="s">
        <v>8267</v>
      </c>
      <c r="G7881" s="5" t="str">
        <f>IFERROR(__xludf.DUMMYFUNCTION("GOOGLETRANSLATE(D7881,""pl"",""es"")"),"hurgar")</f>
        <v>hurgar</v>
      </c>
    </row>
    <row r="7882">
      <c r="A7882" s="4">
        <v>69.0</v>
      </c>
      <c r="B7882" s="4" t="s">
        <v>17419</v>
      </c>
      <c r="C7882" s="4"/>
      <c r="D7882" s="4" t="s">
        <v>9554</v>
      </c>
      <c r="E7882" s="4" t="s">
        <v>5667</v>
      </c>
      <c r="F7882" s="4" t="s">
        <v>471</v>
      </c>
      <c r="G7882" s="5" t="str">
        <f>IFERROR(__xludf.DUMMYFUNCTION("GOOGLETRANSLATE(D7882,""pl"",""es"")"),"hummus")</f>
        <v>hummus</v>
      </c>
      <c r="H7882" s="4" t="s">
        <v>9554</v>
      </c>
    </row>
    <row r="7883">
      <c r="A7883" s="4">
        <v>70.0</v>
      </c>
      <c r="B7883" s="4" t="s">
        <v>17419</v>
      </c>
      <c r="C7883" s="4"/>
      <c r="D7883" s="4" t="s">
        <v>9574</v>
      </c>
      <c r="E7883" s="4" t="s">
        <v>17565</v>
      </c>
      <c r="F7883" s="4" t="s">
        <v>1675</v>
      </c>
      <c r="G7883" s="5" t="str">
        <f>IFERROR(__xludf.DUMMYFUNCTION("GOOGLETRANSLATE(D7883,""pl"",""es"")"),"Cáscara")</f>
        <v>Cáscara</v>
      </c>
      <c r="H7883" s="4" t="s">
        <v>9576</v>
      </c>
      <c r="I7883" s="4" t="s">
        <v>9577</v>
      </c>
      <c r="J7883" s="4" t="s">
        <v>9578</v>
      </c>
      <c r="K7883" s="4" t="s">
        <v>9579</v>
      </c>
    </row>
    <row r="7884">
      <c r="A7884" s="4">
        <v>71.0</v>
      </c>
      <c r="B7884" s="4" t="s">
        <v>17419</v>
      </c>
      <c r="C7884" s="4"/>
      <c r="D7884" s="4" t="s">
        <v>17566</v>
      </c>
      <c r="E7884" s="4" t="s">
        <v>17567</v>
      </c>
      <c r="F7884" s="4" t="s">
        <v>10156</v>
      </c>
      <c r="G7884" s="5" t="str">
        <f>IFERROR(__xludf.DUMMYFUNCTION("GOOGLETRANSLATE(D7884,""pl"",""es"")"),"herrería")</f>
        <v>herrería</v>
      </c>
      <c r="H7884" s="4" t="s">
        <v>17568</v>
      </c>
      <c r="I7884" s="4" t="s">
        <v>17569</v>
      </c>
    </row>
    <row r="7885">
      <c r="A7885" s="4">
        <v>72.0</v>
      </c>
      <c r="B7885" s="4" t="s">
        <v>17419</v>
      </c>
      <c r="C7885" s="4"/>
      <c r="D7885" s="4" t="s">
        <v>6326</v>
      </c>
      <c r="E7885" s="4" t="s">
        <v>17570</v>
      </c>
      <c r="F7885" s="4" t="s">
        <v>6328</v>
      </c>
      <c r="G7885" s="5" t="str">
        <f>IFERROR(__xludf.DUMMYFUNCTION("GOOGLETRANSLATE(D7885,""pl"",""es"")"),"sus")</f>
        <v>sus</v>
      </c>
    </row>
    <row r="7886">
      <c r="A7886" s="4">
        <v>73.0</v>
      </c>
      <c r="B7886" s="4" t="s">
        <v>17419</v>
      </c>
      <c r="C7886" s="4"/>
      <c r="D7886" s="4" t="s">
        <v>17571</v>
      </c>
      <c r="E7886" s="4" t="s">
        <v>8295</v>
      </c>
      <c r="F7886" s="4" t="s">
        <v>6328</v>
      </c>
      <c r="G7886" s="5" t="str">
        <f>IFERROR(__xludf.DUMMYFUNCTION("GOOGLETRANSLATE(D7886,""pl"",""es"")"),"YO G")</f>
        <v>YO G</v>
      </c>
    </row>
    <row r="7887">
      <c r="A7887" s="4">
        <v>74.0</v>
      </c>
      <c r="B7887" s="4" t="s">
        <v>17419</v>
      </c>
      <c r="C7887" s="4"/>
      <c r="D7887" s="4" t="s">
        <v>17572</v>
      </c>
      <c r="E7887" s="4" t="s">
        <v>17573</v>
      </c>
      <c r="F7887" s="4" t="s">
        <v>17572</v>
      </c>
      <c r="G7887" s="5" t="str">
        <f>IFERROR(__xludf.DUMMYFUNCTION("GOOGLETRANSLATE(D7887,""pl"",""es"")"),"cuanto")</f>
        <v>cuanto</v>
      </c>
    </row>
    <row r="7888">
      <c r="A7888" s="4">
        <v>75.0</v>
      </c>
      <c r="B7888" s="4" t="s">
        <v>17419</v>
      </c>
      <c r="C7888" s="4"/>
      <c r="D7888" s="4" t="s">
        <v>304</v>
      </c>
      <c r="E7888" s="4" t="s">
        <v>303</v>
      </c>
      <c r="F7888" s="4" t="s">
        <v>304</v>
      </c>
      <c r="G7888" s="5" t="str">
        <f>IFERROR(__xludf.DUMMYFUNCTION("GOOGLETRANSLATE(D7888,""pl"",""es"")"),"a ellos")</f>
        <v>a ellos</v>
      </c>
    </row>
    <row r="7889">
      <c r="A7889" s="4">
        <v>76.0</v>
      </c>
      <c r="B7889" s="4" t="s">
        <v>17419</v>
      </c>
      <c r="C7889" s="4"/>
      <c r="D7889" s="4" t="s">
        <v>310</v>
      </c>
      <c r="E7889" s="4" t="s">
        <v>309</v>
      </c>
      <c r="F7889" s="4" t="s">
        <v>310</v>
      </c>
      <c r="G7889" s="5" t="str">
        <f>IFERROR(__xludf.DUMMYFUNCTION("GOOGLETRANSLATE(D7889,""pl"",""es"")"),"y yo tengo")</f>
        <v>y yo tengo</v>
      </c>
      <c r="H7889" s="4" t="s">
        <v>310</v>
      </c>
      <c r="I7889" s="4" t="s">
        <v>1900</v>
      </c>
    </row>
    <row r="7890">
      <c r="A7890" s="4">
        <v>77.0</v>
      </c>
      <c r="B7890" s="4" t="s">
        <v>17419</v>
      </c>
      <c r="C7890" s="4"/>
      <c r="D7890" s="4" t="s">
        <v>17574</v>
      </c>
      <c r="E7890" s="4" t="s">
        <v>17575</v>
      </c>
      <c r="F7890" s="4" t="s">
        <v>17574</v>
      </c>
      <c r="G7890" s="5" t="str">
        <f>IFERROR(__xludf.DUMMYFUNCTION("GOOGLETRANSLATE(D7890,""pl"",""es"")"),"inak")</f>
        <v>inak</v>
      </c>
    </row>
    <row r="7891">
      <c r="A7891" s="4">
        <v>78.0</v>
      </c>
      <c r="B7891" s="4" t="s">
        <v>17419</v>
      </c>
      <c r="C7891" s="4"/>
      <c r="D7891" s="4" t="s">
        <v>2009</v>
      </c>
      <c r="E7891" s="4" t="s">
        <v>2010</v>
      </c>
      <c r="F7891" s="4" t="s">
        <v>2011</v>
      </c>
      <c r="G7891" s="5" t="str">
        <f>IFERROR(__xludf.DUMMYFUNCTION("GOOGLETRANSLATE(D7891,""pl"",""es"")"),"yo")</f>
        <v>yo</v>
      </c>
      <c r="H7891" s="4" t="s">
        <v>17576</v>
      </c>
      <c r="I7891" s="4" t="s">
        <v>9161</v>
      </c>
    </row>
    <row r="7892">
      <c r="A7892" s="4">
        <v>79.0</v>
      </c>
      <c r="B7892" s="4" t="s">
        <v>17419</v>
      </c>
      <c r="C7892" s="4"/>
      <c r="D7892" s="4" t="s">
        <v>17577</v>
      </c>
      <c r="E7892" s="4" t="s">
        <v>17578</v>
      </c>
      <c r="F7892" s="4" t="s">
        <v>1871</v>
      </c>
      <c r="G7892" s="5" t="str">
        <f>IFERROR(__xludf.DUMMYFUNCTION("GOOGLETRANSLATE(D7892,""pl"",""es"")"),"yate")</f>
        <v>yate</v>
      </c>
    </row>
    <row r="7893">
      <c r="A7893" s="4">
        <v>80.0</v>
      </c>
      <c r="B7893" s="4" t="s">
        <v>17419</v>
      </c>
      <c r="C7893" s="4"/>
      <c r="D7893" s="4" t="s">
        <v>17579</v>
      </c>
      <c r="E7893" s="4" t="s">
        <v>17580</v>
      </c>
      <c r="F7893" s="4" t="s">
        <v>4885</v>
      </c>
      <c r="G7893" s="5" t="str">
        <f>IFERROR(__xludf.DUMMYFUNCTION("GOOGLETRANSLATE(D7893,""pl"",""es"")"),"huevos")</f>
        <v>huevos</v>
      </c>
    </row>
    <row r="7894">
      <c r="A7894" s="4">
        <v>81.0</v>
      </c>
      <c r="B7894" s="4" t="s">
        <v>17419</v>
      </c>
      <c r="C7894" s="4"/>
      <c r="D7894" s="4" t="s">
        <v>17581</v>
      </c>
      <c r="E7894" s="4" t="s">
        <v>1874</v>
      </c>
      <c r="F7894" s="4" t="s">
        <v>1875</v>
      </c>
      <c r="G7894" s="5" t="str">
        <f>IFERROR(__xludf.DUMMYFUNCTION("GOOGLETRANSLATE(D7894,""pl"",""es"")"),"huevos")</f>
        <v>huevos</v>
      </c>
      <c r="H7894" s="4" t="s">
        <v>10976</v>
      </c>
      <c r="I7894" s="4" t="s">
        <v>10977</v>
      </c>
    </row>
    <row r="7895">
      <c r="A7895" s="4">
        <v>82.0</v>
      </c>
      <c r="B7895" s="4" t="s">
        <v>17419</v>
      </c>
      <c r="C7895" s="4"/>
      <c r="D7895" s="4" t="s">
        <v>17582</v>
      </c>
      <c r="E7895" s="4" t="s">
        <v>17583</v>
      </c>
      <c r="F7895" s="4" t="s">
        <v>17584</v>
      </c>
      <c r="G7895" s="5" t="str">
        <f>IFERROR(__xludf.DUMMYFUNCTION("GOOGLETRANSLATE(D7895,""pl"",""es"")"),"huevos")</f>
        <v>huevos</v>
      </c>
    </row>
    <row r="7896">
      <c r="A7896" s="4">
        <v>83.0</v>
      </c>
      <c r="B7896" s="4" t="s">
        <v>17419</v>
      </c>
      <c r="C7896" s="4"/>
      <c r="D7896" s="4" t="s">
        <v>17585</v>
      </c>
      <c r="E7896" s="4" t="s">
        <v>17586</v>
      </c>
      <c r="F7896" s="4" t="s">
        <v>17587</v>
      </c>
      <c r="G7896" s="5" t="str">
        <f>IFERROR(__xludf.DUMMYFUNCTION("GOOGLETRANSLATE(D7896,""pl"",""es"")"),"huevos")</f>
        <v>huevos</v>
      </c>
    </row>
    <row r="7897">
      <c r="A7897" s="4">
        <v>84.0</v>
      </c>
      <c r="B7897" s="4" t="s">
        <v>17419</v>
      </c>
      <c r="C7897" s="4"/>
      <c r="D7897" s="4" t="s">
        <v>17588</v>
      </c>
      <c r="E7897" s="4" t="s">
        <v>1885</v>
      </c>
      <c r="F7897" s="4" t="s">
        <v>1886</v>
      </c>
      <c r="G7897" s="5" t="str">
        <f>IFERROR(__xludf.DUMMYFUNCTION("GOOGLETRANSLATE(D7897,""pl"",""es"")"),"huevo")</f>
        <v>huevo</v>
      </c>
    </row>
    <row r="7898">
      <c r="A7898" s="4">
        <v>85.0</v>
      </c>
      <c r="B7898" s="4" t="s">
        <v>17419</v>
      </c>
      <c r="C7898" s="4"/>
      <c r="D7898" s="4" t="s">
        <v>17589</v>
      </c>
      <c r="E7898" s="4" t="s">
        <v>17590</v>
      </c>
      <c r="F7898" s="4" t="s">
        <v>17591</v>
      </c>
      <c r="G7898" s="5" t="str">
        <f>IFERROR(__xludf.DUMMYFUNCTION("GOOGLETRANSLATE(D7898,""pl"",""es"")"),"huevos")</f>
        <v>huevos</v>
      </c>
    </row>
    <row r="7899">
      <c r="A7899" s="4">
        <v>86.0</v>
      </c>
      <c r="B7899" s="4" t="s">
        <v>17419</v>
      </c>
      <c r="C7899" s="4"/>
      <c r="D7899" s="4" t="s">
        <v>17108</v>
      </c>
      <c r="E7899" s="4" t="s">
        <v>1870</v>
      </c>
      <c r="F7899" s="4" t="s">
        <v>1871</v>
      </c>
      <c r="G7899" s="5" t="str">
        <f>IFERROR(__xludf.DUMMYFUNCTION("GOOGLETRANSLATE(D7899,""pl"",""es"")"),"cómo")</f>
        <v>cómo</v>
      </c>
      <c r="H7899" s="4" t="s">
        <v>1871</v>
      </c>
      <c r="I7899" s="4" t="s">
        <v>1872</v>
      </c>
    </row>
    <row r="7900">
      <c r="A7900" s="4">
        <v>87.0</v>
      </c>
      <c r="B7900" s="4" t="s">
        <v>17419</v>
      </c>
      <c r="C7900" s="4"/>
      <c r="D7900" s="4" t="s">
        <v>9063</v>
      </c>
      <c r="E7900" s="4" t="s">
        <v>9064</v>
      </c>
      <c r="F7900" s="4" t="s">
        <v>9065</v>
      </c>
      <c r="G7900" s="5" t="str">
        <f>IFERROR(__xludf.DUMMYFUNCTION("GOOGLETRANSLATE(D7900,""pl"",""es"")"),"qué")</f>
        <v>qué</v>
      </c>
    </row>
    <row r="7901">
      <c r="A7901" s="4">
        <v>88.0</v>
      </c>
      <c r="B7901" s="4" t="s">
        <v>17419</v>
      </c>
      <c r="C7901" s="4"/>
      <c r="D7901" s="4" t="s">
        <v>17592</v>
      </c>
      <c r="E7901" s="4" t="s">
        <v>17593</v>
      </c>
      <c r="F7901" s="4" t="s">
        <v>7984</v>
      </c>
      <c r="G7901" s="5" t="str">
        <f>IFERROR(__xludf.DUMMYFUNCTION("GOOGLETRANSLATE(D7901,""pl"",""es"")"),"qué")</f>
        <v>qué</v>
      </c>
    </row>
    <row r="7902">
      <c r="A7902" s="4">
        <v>89.0</v>
      </c>
      <c r="B7902" s="4" t="s">
        <v>17419</v>
      </c>
      <c r="C7902" s="4"/>
      <c r="D7902" s="4" t="s">
        <v>17594</v>
      </c>
      <c r="E7902" s="4" t="s">
        <v>17595</v>
      </c>
      <c r="F7902" s="4" t="s">
        <v>9076</v>
      </c>
      <c r="G7902" s="5" t="str">
        <f>IFERROR(__xludf.DUMMYFUNCTION("GOOGLETRANSLATE(D7902,""pl"",""es"")"),"qué")</f>
        <v>qué</v>
      </c>
    </row>
    <row r="7903">
      <c r="A7903" s="4">
        <v>90.0</v>
      </c>
      <c r="B7903" s="4" t="s">
        <v>17419</v>
      </c>
      <c r="C7903" s="4"/>
      <c r="D7903" s="4" t="s">
        <v>17596</v>
      </c>
      <c r="E7903" s="4" t="s">
        <v>17597</v>
      </c>
      <c r="F7903" s="4" t="s">
        <v>17598</v>
      </c>
      <c r="G7903" s="5" t="str">
        <f>IFERROR(__xludf.DUMMYFUNCTION("GOOGLETRANSLATE(D7903,""pl"",""es"")"),"qué")</f>
        <v>qué</v>
      </c>
    </row>
    <row r="7904">
      <c r="A7904" s="4">
        <v>91.0</v>
      </c>
      <c r="B7904" s="4" t="s">
        <v>17419</v>
      </c>
      <c r="C7904" s="4"/>
      <c r="D7904" s="4" t="s">
        <v>17599</v>
      </c>
      <c r="E7904" s="4" t="s">
        <v>17600</v>
      </c>
      <c r="F7904" s="4" t="s">
        <v>17601</v>
      </c>
      <c r="G7904" s="5" t="str">
        <f>IFERROR(__xludf.DUMMYFUNCTION("GOOGLETRANSLATE(D7904,""pl"",""es"")"),"qué")</f>
        <v>qué</v>
      </c>
    </row>
    <row r="7905">
      <c r="A7905" s="4">
        <v>92.0</v>
      </c>
      <c r="B7905" s="4" t="s">
        <v>17419</v>
      </c>
      <c r="C7905" s="4"/>
      <c r="D7905" s="4" t="s">
        <v>17602</v>
      </c>
      <c r="E7905" s="4" t="s">
        <v>17603</v>
      </c>
      <c r="F7905" s="4" t="s">
        <v>17604</v>
      </c>
      <c r="G7905" s="5" t="str">
        <f>IFERROR(__xludf.DUMMYFUNCTION("GOOGLETRANSLATE(D7905,""pl"",""es"")"),"Jacob")</f>
        <v>Jacob</v>
      </c>
    </row>
    <row r="7906">
      <c r="A7906" s="4">
        <v>93.0</v>
      </c>
      <c r="B7906" s="4" t="s">
        <v>17419</v>
      </c>
      <c r="C7906" s="4"/>
      <c r="D7906" s="4" t="s">
        <v>17605</v>
      </c>
      <c r="E7906" s="4" t="s">
        <v>17606</v>
      </c>
      <c r="F7906" s="4" t="s">
        <v>17607</v>
      </c>
      <c r="G7906" s="5" t="str">
        <f>IFERROR(__xludf.DUMMYFUNCTION("GOOGLETRANSLATE(D7906,""pl"",""es"")"),"Jakus")</f>
        <v>Jakus</v>
      </c>
    </row>
    <row r="7907">
      <c r="A7907" s="4">
        <v>94.0</v>
      </c>
      <c r="B7907" s="4" t="s">
        <v>17419</v>
      </c>
      <c r="C7907" s="4"/>
      <c r="D7907" s="4" t="s">
        <v>775</v>
      </c>
      <c r="E7907" s="4" t="s">
        <v>13947</v>
      </c>
      <c r="F7907" s="4" t="s">
        <v>3056</v>
      </c>
      <c r="G7907" s="5" t="str">
        <f>IFERROR(__xludf.DUMMYFUNCTION("GOOGLETRANSLATE(D7907,""pl"",""es"")"),"mermelada")</f>
        <v>mermelada</v>
      </c>
    </row>
    <row r="7908">
      <c r="A7908" s="4">
        <v>95.0</v>
      </c>
      <c r="B7908" s="4" t="s">
        <v>17419</v>
      </c>
      <c r="C7908" s="4"/>
      <c r="D7908" s="4" t="s">
        <v>9763</v>
      </c>
      <c r="E7908" s="4" t="s">
        <v>17608</v>
      </c>
      <c r="F7908" s="4" t="s">
        <v>9765</v>
      </c>
      <c r="G7908" s="5" t="str">
        <f>IFERROR(__xludf.DUMMYFUNCTION("GOOGLETRANSLATE(D7908,""pl"",""es"")"),"cavidad")</f>
        <v>cavidad</v>
      </c>
    </row>
    <row r="7909">
      <c r="A7909" s="4">
        <v>96.0</v>
      </c>
      <c r="B7909" s="4" t="s">
        <v>17419</v>
      </c>
      <c r="C7909" s="4"/>
      <c r="D7909" s="4" t="s">
        <v>17609</v>
      </c>
      <c r="E7909" s="4" t="s">
        <v>17610</v>
      </c>
      <c r="F7909" s="4" t="s">
        <v>17611</v>
      </c>
      <c r="G7909" s="5" t="str">
        <f>IFERROR(__xludf.DUMMYFUNCTION("GOOGLETRANSLATE(D7909,""pl"",""es"")"),"cavidades")</f>
        <v>cavidades</v>
      </c>
    </row>
    <row r="7910">
      <c r="A7910" s="4">
        <v>97.0</v>
      </c>
      <c r="B7910" s="4" t="s">
        <v>17419</v>
      </c>
      <c r="C7910" s="4"/>
      <c r="D7910" s="4" t="s">
        <v>17612</v>
      </c>
      <c r="E7910" s="4" t="s">
        <v>17613</v>
      </c>
      <c r="F7910" s="4" t="s">
        <v>17614</v>
      </c>
      <c r="G7910" s="5" t="str">
        <f>IFERROR(__xludf.DUMMYFUNCTION("GOOGLETRANSLATE(D7910,""pl"",""es"")"),"cavidades")</f>
        <v>cavidades</v>
      </c>
    </row>
    <row r="7911">
      <c r="A7911" s="4">
        <v>98.0</v>
      </c>
      <c r="B7911" s="4" t="s">
        <v>17419</v>
      </c>
      <c r="C7911" s="4"/>
      <c r="D7911" s="4" t="s">
        <v>6386</v>
      </c>
      <c r="E7911" s="4" t="s">
        <v>9088</v>
      </c>
      <c r="F7911" s="4" t="s">
        <v>6388</v>
      </c>
      <c r="G7911" s="5" t="str">
        <f>IFERROR(__xludf.DUMMYFUNCTION("GOOGLETRANSLATE(D7911,""pl"",""es"")"),"Ene")</f>
        <v>Ene</v>
      </c>
      <c r="H7911" s="4" t="s">
        <v>8839</v>
      </c>
      <c r="I7911" s="4" t="s">
        <v>8840</v>
      </c>
    </row>
    <row r="7912">
      <c r="A7912" s="4">
        <v>99.0</v>
      </c>
      <c r="B7912" s="4" t="s">
        <v>17419</v>
      </c>
      <c r="C7912" s="4"/>
      <c r="D7912" s="4" t="s">
        <v>17615</v>
      </c>
      <c r="E7912" s="4" t="s">
        <v>17616</v>
      </c>
      <c r="F7912" s="4" t="s">
        <v>17617</v>
      </c>
      <c r="G7912" s="5" t="str">
        <f>IFERROR(__xludf.DUMMYFUNCTION("GOOGLETRANSLATE(D7912,""pl"",""es"")"),"Janas")</f>
        <v>Janas</v>
      </c>
    </row>
    <row r="7913">
      <c r="A7913" s="4">
        <v>100.0</v>
      </c>
      <c r="B7913" s="4" t="s">
        <v>17419</v>
      </c>
      <c r="C7913" s="4"/>
      <c r="D7913" s="4" t="s">
        <v>17618</v>
      </c>
      <c r="E7913" s="4" t="s">
        <v>17619</v>
      </c>
      <c r="F7913" s="4" t="s">
        <v>17620</v>
      </c>
      <c r="G7913" s="5" t="str">
        <f>IFERROR(__xludf.DUMMYFUNCTION("GOOGLETRANSLATE(D7913,""pl"",""es"")"),"Jania")</f>
        <v>Jania</v>
      </c>
    </row>
    <row r="7914">
      <c r="A7914" s="4">
        <v>101.0</v>
      </c>
      <c r="B7914" s="4" t="s">
        <v>17419</v>
      </c>
      <c r="C7914" s="4"/>
      <c r="D7914" s="4" t="s">
        <v>17621</v>
      </c>
      <c r="E7914" s="4" t="s">
        <v>17622</v>
      </c>
      <c r="F7914" s="4" t="s">
        <v>17623</v>
      </c>
      <c r="G7914" s="5" t="str">
        <f>IFERROR(__xludf.DUMMYFUNCTION("GOOGLETRANSLATE(D7914,""pl"",""es"")"),"Janiak")</f>
        <v>Janiak</v>
      </c>
    </row>
    <row r="7915">
      <c r="A7915" s="4">
        <v>102.0</v>
      </c>
      <c r="B7915" s="4" t="s">
        <v>17419</v>
      </c>
      <c r="C7915" s="4"/>
      <c r="D7915" s="4" t="s">
        <v>17624</v>
      </c>
      <c r="E7915" s="4" t="s">
        <v>17625</v>
      </c>
      <c r="F7915" s="4" t="s">
        <v>17626</v>
      </c>
      <c r="G7915" s="5" t="str">
        <f>IFERROR(__xludf.DUMMYFUNCTION("GOOGLETRANSLATE(D7915,""pl"",""es"")"),"Janik")</f>
        <v>Janik</v>
      </c>
    </row>
    <row r="7916">
      <c r="A7916" s="4">
        <v>103.0</v>
      </c>
      <c r="B7916" s="4" t="s">
        <v>17419</v>
      </c>
      <c r="C7916" s="4"/>
      <c r="D7916" s="4" t="s">
        <v>9778</v>
      </c>
      <c r="E7916" s="4" t="s">
        <v>17627</v>
      </c>
      <c r="F7916" s="4" t="s">
        <v>17628</v>
      </c>
      <c r="G7916" s="5" t="str">
        <f>IFERROR(__xludf.DUMMYFUNCTION("GOOGLETRANSLATE(D7916,""pl"",""es"")"),"Janina")</f>
        <v>Janina</v>
      </c>
    </row>
    <row r="7917">
      <c r="A7917" s="4">
        <v>104.0</v>
      </c>
      <c r="B7917" s="4" t="s">
        <v>17419</v>
      </c>
      <c r="C7917" s="4"/>
      <c r="D7917" s="4" t="s">
        <v>17629</v>
      </c>
      <c r="E7917" s="4" t="s">
        <v>17630</v>
      </c>
      <c r="F7917" s="4" t="s">
        <v>17631</v>
      </c>
      <c r="G7917" s="5" t="str">
        <f>IFERROR(__xludf.DUMMYFUNCTION("GOOGLETRANSLATE(D7917,""pl"",""es"")"),"Janus")</f>
        <v>Janus</v>
      </c>
      <c r="H7917" s="4" t="s">
        <v>17632</v>
      </c>
    </row>
    <row r="7918">
      <c r="A7918" s="4">
        <v>105.0</v>
      </c>
      <c r="B7918" s="4" t="s">
        <v>17419</v>
      </c>
      <c r="C7918" s="4"/>
      <c r="D7918" s="4" t="s">
        <v>17633</v>
      </c>
      <c r="E7918" s="4" t="s">
        <v>17634</v>
      </c>
      <c r="F7918" s="4" t="s">
        <v>17635</v>
      </c>
      <c r="G7918" s="5" t="str">
        <f>IFERROR(__xludf.DUMMYFUNCTION("GOOGLETRANSLATE(D7918,""pl"",""es"")"),"japa")</f>
        <v>japa</v>
      </c>
      <c r="H7918" s="4" t="s">
        <v>7219</v>
      </c>
      <c r="I7918" s="4" t="s">
        <v>7989</v>
      </c>
      <c r="J7918" s="4" t="s">
        <v>7990</v>
      </c>
      <c r="K7918" s="4" t="s">
        <v>7991</v>
      </c>
      <c r="L7918" s="4" t="s">
        <v>7987</v>
      </c>
      <c r="M7918" s="4" t="s">
        <v>2514</v>
      </c>
    </row>
    <row r="7919">
      <c r="A7919" s="4">
        <v>106.0</v>
      </c>
      <c r="B7919" s="4" t="s">
        <v>17419</v>
      </c>
      <c r="C7919" s="4"/>
      <c r="D7919" s="4" t="s">
        <v>17636</v>
      </c>
      <c r="E7919" s="4" t="s">
        <v>6393</v>
      </c>
      <c r="F7919" s="4" t="s">
        <v>6394</v>
      </c>
      <c r="G7919" s="5" t="str">
        <f>IFERROR(__xludf.DUMMYFUNCTION("GOOGLETRANSLATE(D7919,""pl"",""es"")"),"yo con")</f>
        <v>yo con</v>
      </c>
    </row>
    <row r="7920">
      <c r="A7920" s="4">
        <v>107.0</v>
      </c>
      <c r="B7920" s="4" t="s">
        <v>17419</v>
      </c>
      <c r="C7920" s="4"/>
      <c r="D7920" s="4" t="s">
        <v>17637</v>
      </c>
      <c r="E7920" s="4" t="s">
        <v>17638</v>
      </c>
      <c r="F7920" s="4" t="s">
        <v>17639</v>
      </c>
      <c r="G7920" s="5" t="str">
        <f>IFERROR(__xludf.DUMMYFUNCTION("GOOGLETRANSLATE(D7920,""pl"",""es"")"),"centro")</f>
        <v>centro</v>
      </c>
    </row>
    <row r="7921">
      <c r="A7921" s="4">
        <v>108.0</v>
      </c>
      <c r="B7921" s="4" t="s">
        <v>17419</v>
      </c>
      <c r="C7921" s="4"/>
      <c r="D7921" s="4" t="s">
        <v>17640</v>
      </c>
      <c r="E7921" s="4" t="s">
        <v>17641</v>
      </c>
      <c r="F7921" s="4" t="s">
        <v>9815</v>
      </c>
      <c r="G7921" s="5" t="str">
        <f>IFERROR(__xludf.DUMMYFUNCTION("GOOGLETRANSLATE(D7921,""pl"",""es"")"),"jucha")</f>
        <v>jucha</v>
      </c>
    </row>
    <row r="7922">
      <c r="A7922" s="4">
        <v>109.0</v>
      </c>
      <c r="B7922" s="4" t="s">
        <v>17419</v>
      </c>
      <c r="C7922" s="4"/>
      <c r="D7922" s="4" t="s">
        <v>17642</v>
      </c>
      <c r="E7922" s="4" t="s">
        <v>17643</v>
      </c>
      <c r="F7922" s="4" t="s">
        <v>17644</v>
      </c>
      <c r="G7922" s="5" t="str">
        <f>IFERROR(__xludf.DUMMYFUNCTION("GOOGLETRANSLATE(D7922,""pl"",""es"")"),"Huchach")</f>
        <v>Huchach</v>
      </c>
    </row>
    <row r="7923">
      <c r="A7923" s="4">
        <v>110.0</v>
      </c>
      <c r="B7923" s="4" t="s">
        <v>17419</v>
      </c>
      <c r="C7923" s="4"/>
      <c r="D7923" s="4" t="s">
        <v>17645</v>
      </c>
      <c r="E7923" s="4" t="s">
        <v>17646</v>
      </c>
      <c r="F7923" s="4" t="s">
        <v>17647</v>
      </c>
      <c r="G7923" s="5" t="str">
        <f>IFERROR(__xludf.DUMMYFUNCTION("GOOGLETRANSLATE(D7923,""pl"",""es"")"),"cascos")</f>
        <v>cascos</v>
      </c>
    </row>
    <row r="7924">
      <c r="A7924" s="4">
        <v>111.0</v>
      </c>
      <c r="B7924" s="4" t="s">
        <v>17419</v>
      </c>
      <c r="C7924" s="4"/>
      <c r="D7924" s="4" t="s">
        <v>17648</v>
      </c>
      <c r="E7924" s="4" t="s">
        <v>17649</v>
      </c>
      <c r="F7924" s="4" t="s">
        <v>17650</v>
      </c>
      <c r="G7924" s="5" t="str">
        <f>IFERROR(__xludf.DUMMYFUNCTION("GOOGLETRANSLATE(D7924,""pl"",""es"")"),"juhas")</f>
        <v>juhas</v>
      </c>
    </row>
    <row r="7925">
      <c r="A7925" s="4">
        <v>112.0</v>
      </c>
      <c r="B7925" s="4" t="s">
        <v>17419</v>
      </c>
      <c r="C7925" s="4"/>
      <c r="D7925" s="4" t="s">
        <v>9813</v>
      </c>
      <c r="E7925" s="4" t="s">
        <v>17651</v>
      </c>
      <c r="F7925" s="4" t="s">
        <v>9815</v>
      </c>
      <c r="G7925" s="5" t="str">
        <f>IFERROR(__xludf.DUMMYFUNCTION("GOOGLETRANSLATE(D7925,""pl"",""es"")"),"juka")</f>
        <v>juka</v>
      </c>
      <c r="H7925" s="4" t="s">
        <v>17652</v>
      </c>
    </row>
    <row r="7926">
      <c r="A7926" s="4">
        <v>113.0</v>
      </c>
      <c r="B7926" s="4" t="s">
        <v>17419</v>
      </c>
      <c r="C7926" s="4"/>
      <c r="D7926" s="4" t="s">
        <v>17653</v>
      </c>
      <c r="E7926" s="4" t="s">
        <v>17654</v>
      </c>
      <c r="F7926" s="4" t="s">
        <v>17655</v>
      </c>
      <c r="G7926" s="5" t="str">
        <f>IFERROR(__xludf.DUMMYFUNCTION("GOOGLETRANSLATE(D7926,""pl"",""es"")"),"Julita")</f>
        <v>Julita</v>
      </c>
    </row>
    <row r="7927">
      <c r="A7927" s="4">
        <v>114.0</v>
      </c>
      <c r="B7927" s="4" t="s">
        <v>17419</v>
      </c>
      <c r="C7927" s="4"/>
      <c r="D7927" s="4" t="s">
        <v>17656</v>
      </c>
      <c r="E7927" s="4" t="s">
        <v>17657</v>
      </c>
      <c r="F7927" s="4" t="s">
        <v>17658</v>
      </c>
      <c r="G7927" s="5" t="str">
        <f>IFERROR(__xludf.DUMMYFUNCTION("GOOGLETRANSLATE(D7927,""pl"",""es"")"),"jum")</f>
        <v>jum</v>
      </c>
    </row>
    <row r="7928">
      <c r="A7928" s="4">
        <v>115.0</v>
      </c>
      <c r="B7928" s="4" t="s">
        <v>17419</v>
      </c>
      <c r="C7928" s="4"/>
      <c r="D7928" s="4" t="s">
        <v>17659</v>
      </c>
      <c r="E7928" s="4" t="s">
        <v>17660</v>
      </c>
      <c r="F7928" s="4" t="s">
        <v>17661</v>
      </c>
      <c r="G7928" s="5" t="str">
        <f>IFERROR(__xludf.DUMMYFUNCTION("GOOGLETRANSLATE(D7928,""pl"",""es"")"),"Junak")</f>
        <v>Junak</v>
      </c>
    </row>
    <row r="7929">
      <c r="A7929" s="4">
        <v>116.0</v>
      </c>
      <c r="B7929" s="4" t="s">
        <v>17419</v>
      </c>
      <c r="C7929" s="4"/>
      <c r="D7929" s="4" t="s">
        <v>17662</v>
      </c>
      <c r="E7929" s="4" t="s">
        <v>17006</v>
      </c>
      <c r="F7929" s="4" t="s">
        <v>17007</v>
      </c>
      <c r="G7929" s="5" t="str">
        <f>IFERROR(__xludf.DUMMYFUNCTION("GOOGLETRANSLATE(D7929,""pl"",""es"")"),"yute")</f>
        <v>yute</v>
      </c>
      <c r="H7929" s="4" t="s">
        <v>17663</v>
      </c>
      <c r="I7929" s="4" t="s">
        <v>17664</v>
      </c>
      <c r="J7929" s="4" t="s">
        <v>17665</v>
      </c>
    </row>
    <row r="7930">
      <c r="A7930" s="4">
        <v>117.0</v>
      </c>
      <c r="B7930" s="4" t="s">
        <v>17419</v>
      </c>
      <c r="C7930" s="4"/>
      <c r="D7930" s="4" t="s">
        <v>2627</v>
      </c>
      <c r="E7930" s="4" t="s">
        <v>961</v>
      </c>
      <c r="F7930" s="4" t="s">
        <v>962</v>
      </c>
      <c r="G7930" s="5" t="str">
        <f>IFERROR(__xludf.DUMMYFUNCTION("GOOGLETRANSLATE(D7930,""pl"",""es"")"),"k")</f>
        <v>k</v>
      </c>
      <c r="H7930" s="4" t="s">
        <v>17666</v>
      </c>
      <c r="I7930" s="4" t="s">
        <v>2629</v>
      </c>
      <c r="J7930" s="4" t="s">
        <v>3668</v>
      </c>
      <c r="K7930" s="4" t="s">
        <v>2629</v>
      </c>
      <c r="L7930" s="4" t="s">
        <v>3669</v>
      </c>
    </row>
    <row r="7931">
      <c r="A7931" s="4">
        <v>118.0</v>
      </c>
      <c r="B7931" s="4" t="s">
        <v>17419</v>
      </c>
      <c r="C7931" s="4"/>
      <c r="D7931" s="4" t="s">
        <v>17667</v>
      </c>
      <c r="E7931" s="4" t="s">
        <v>15847</v>
      </c>
      <c r="F7931" s="4" t="s">
        <v>15846</v>
      </c>
      <c r="G7931" s="5" t="str">
        <f>IFERROR(__xludf.DUMMYFUNCTION("GOOGLETRANSLATE(D7931,""pl"",""es"")"),"Kaja")</f>
        <v>Kaja</v>
      </c>
    </row>
    <row r="7932">
      <c r="A7932" s="4">
        <v>119.0</v>
      </c>
      <c r="B7932" s="4" t="s">
        <v>17419</v>
      </c>
      <c r="C7932" s="4"/>
      <c r="D7932" s="4" t="s">
        <v>17668</v>
      </c>
      <c r="E7932" s="4" t="s">
        <v>967</v>
      </c>
      <c r="F7932" s="4" t="s">
        <v>968</v>
      </c>
      <c r="G7932" s="5" t="str">
        <f>IFERROR(__xludf.DUMMYFUNCTION("GOOGLETRANSLATE(D7932,""pl"",""es"")"),"kayac")</f>
        <v>kayac</v>
      </c>
    </row>
    <row r="7933">
      <c r="A7933" s="4">
        <v>120.0</v>
      </c>
      <c r="B7933" s="4" t="s">
        <v>17419</v>
      </c>
      <c r="C7933" s="4"/>
      <c r="D7933" s="4" t="s">
        <v>17669</v>
      </c>
      <c r="E7933" s="4" t="s">
        <v>17670</v>
      </c>
      <c r="F7933" s="4" t="s">
        <v>17671</v>
      </c>
      <c r="G7933" s="5" t="str">
        <f>IFERROR(__xludf.DUMMYFUNCTION("GOOGLETRANSLATE(D7933,""pl"",""es"")"),"kayac")</f>
        <v>kayac</v>
      </c>
    </row>
    <row r="7934">
      <c r="A7934" s="4">
        <v>121.0</v>
      </c>
      <c r="B7934" s="4" t="s">
        <v>17419</v>
      </c>
      <c r="C7934" s="4"/>
      <c r="D7934" s="4" t="s">
        <v>17672</v>
      </c>
      <c r="E7934" s="4" t="s">
        <v>17673</v>
      </c>
      <c r="F7934" s="4" t="s">
        <v>17674</v>
      </c>
      <c r="G7934" s="5" t="str">
        <f>IFERROR(__xludf.DUMMYFUNCTION("GOOGLETRANSLATE(D7934,""pl"",""es"")"),"Kajali")</f>
        <v>Kajali</v>
      </c>
    </row>
    <row r="7935">
      <c r="A7935" s="4">
        <v>122.0</v>
      </c>
      <c r="B7935" s="4" t="s">
        <v>17419</v>
      </c>
      <c r="C7935" s="4"/>
      <c r="D7935" s="4" t="s">
        <v>17675</v>
      </c>
      <c r="E7935" s="4" t="s">
        <v>17676</v>
      </c>
      <c r="F7935" s="4" t="s">
        <v>17677</v>
      </c>
      <c r="G7935" s="5" t="str">
        <f>IFERROR(__xludf.DUMMYFUNCTION("GOOGLETRANSLATE(D7935,""pl"",""es"")"),"kajam")</f>
        <v>kajam</v>
      </c>
    </row>
    <row r="7936">
      <c r="A7936" s="4">
        <v>123.0</v>
      </c>
      <c r="B7936" s="4" t="s">
        <v>17419</v>
      </c>
      <c r="C7936" s="4"/>
      <c r="D7936" s="4" t="s">
        <v>17678</v>
      </c>
      <c r="E7936" s="4" t="s">
        <v>17679</v>
      </c>
      <c r="F7936" s="4" t="s">
        <v>17680</v>
      </c>
      <c r="G7936" s="5" t="str">
        <f>IFERROR(__xludf.DUMMYFUNCTION("GOOGLETRANSLATE(D7936,""pl"",""es"")"),"cabina")</f>
        <v>cabina</v>
      </c>
      <c r="H7936" s="4" t="s">
        <v>17476</v>
      </c>
    </row>
    <row r="7937">
      <c r="A7937" s="4">
        <v>124.0</v>
      </c>
      <c r="B7937" s="4" t="s">
        <v>17419</v>
      </c>
      <c r="C7937" s="4"/>
      <c r="D7937" s="4" t="s">
        <v>978</v>
      </c>
      <c r="E7937" s="4" t="s">
        <v>977</v>
      </c>
      <c r="F7937" s="4" t="s">
        <v>978</v>
      </c>
      <c r="G7937" s="5" t="str">
        <f>IFERROR(__xludf.DUMMYFUNCTION("GOOGLETRANSLATE(D7937,""pl"",""es"")"),"cortar")</f>
        <v>cortar</v>
      </c>
    </row>
    <row r="7938">
      <c r="A7938" s="4">
        <v>125.0</v>
      </c>
      <c r="B7938" s="4" t="s">
        <v>17419</v>
      </c>
      <c r="C7938" s="4"/>
      <c r="D7938" s="4" t="s">
        <v>17681</v>
      </c>
      <c r="E7938" s="4" t="s">
        <v>5139</v>
      </c>
      <c r="F7938" s="4" t="s">
        <v>5140</v>
      </c>
      <c r="G7938" s="5" t="str">
        <f>IFERROR(__xludf.DUMMYFUNCTION("GOOGLETRANSLATE(D7938,""pl"",""es"")"),"Kalaj")</f>
        <v>Kalaj</v>
      </c>
    </row>
    <row r="7939">
      <c r="A7939" s="4">
        <v>126.0</v>
      </c>
      <c r="B7939" s="4" t="s">
        <v>17419</v>
      </c>
      <c r="C7939" s="4"/>
      <c r="D7939" s="4" t="s">
        <v>17682</v>
      </c>
      <c r="E7939" s="4" t="s">
        <v>17683</v>
      </c>
      <c r="F7939" s="4" t="s">
        <v>17682</v>
      </c>
      <c r="G7939" s="5" t="str">
        <f>IFERROR(__xludf.DUMMYFUNCTION("GOOGLETRANSLATE(D7939,""pl"",""es"")"),"kalala")</f>
        <v>kalala</v>
      </c>
    </row>
    <row r="7940">
      <c r="A7940" s="4">
        <v>127.0</v>
      </c>
      <c r="B7940" s="4" t="s">
        <v>17419</v>
      </c>
      <c r="C7940" s="4"/>
      <c r="D7940" s="4" t="s">
        <v>1699</v>
      </c>
      <c r="E7940" s="4" t="s">
        <v>1698</v>
      </c>
      <c r="F7940" s="4" t="s">
        <v>1699</v>
      </c>
      <c r="G7940" s="5" t="str">
        <f>IFERROR(__xludf.DUMMYFUNCTION("GOOGLETRANSLATE(D7940,""pl"",""es"")"),"kalam")</f>
        <v>kalam</v>
      </c>
    </row>
    <row r="7941">
      <c r="A7941" s="4">
        <v>128.0</v>
      </c>
      <c r="B7941" s="4" t="s">
        <v>17419</v>
      </c>
      <c r="C7941" s="4"/>
      <c r="D7941" s="4" t="s">
        <v>17684</v>
      </c>
      <c r="E7941" s="4" t="s">
        <v>17685</v>
      </c>
      <c r="F7941" s="4" t="s">
        <v>17684</v>
      </c>
      <c r="G7941" s="5" t="str">
        <f>IFERROR(__xludf.DUMMYFUNCTION("GOOGLETRANSLATE(D7941,""pl"",""es"")"),"kalana")</f>
        <v>kalana</v>
      </c>
    </row>
    <row r="7942">
      <c r="A7942" s="4">
        <v>129.0</v>
      </c>
      <c r="B7942" s="4" t="s">
        <v>17419</v>
      </c>
      <c r="C7942" s="4"/>
      <c r="D7942" s="4" t="s">
        <v>17686</v>
      </c>
      <c r="E7942" s="4" t="s">
        <v>17687</v>
      </c>
      <c r="F7942" s="4" t="s">
        <v>17688</v>
      </c>
      <c r="G7942" s="5" t="str">
        <f>IFERROR(__xludf.DUMMYFUNCTION("GOOGLETRANSLATE(D7942,""pl"",""es"")"),"Kalani")</f>
        <v>Kalani</v>
      </c>
    </row>
    <row r="7943">
      <c r="A7943" s="4">
        <v>130.0</v>
      </c>
      <c r="B7943" s="4" t="s">
        <v>17419</v>
      </c>
      <c r="C7943" s="4"/>
      <c r="D7943" s="4" t="s">
        <v>5148</v>
      </c>
      <c r="E7943" s="4" t="s">
        <v>5147</v>
      </c>
      <c r="F7943" s="4" t="s">
        <v>5148</v>
      </c>
      <c r="G7943" s="5" t="str">
        <f>IFERROR(__xludf.DUMMYFUNCTION("GOOGLETRANSLATE(D7943,""pl"",""es"")"),"kali")</f>
        <v>kali</v>
      </c>
    </row>
    <row r="7944">
      <c r="A7944" s="4">
        <v>131.0</v>
      </c>
      <c r="B7944" s="4" t="s">
        <v>17419</v>
      </c>
      <c r="C7944" s="4"/>
      <c r="D7944" s="4" t="s">
        <v>8172</v>
      </c>
      <c r="E7944" s="4" t="s">
        <v>17689</v>
      </c>
      <c r="F7944" s="4" t="s">
        <v>8172</v>
      </c>
      <c r="G7944" s="5" t="str">
        <f>IFERROR(__xludf.DUMMYFUNCTION("GOOGLETRANSLATE(D7944,""pl"",""es"")"),"Kalin")</f>
        <v>Kalin</v>
      </c>
    </row>
    <row r="7945">
      <c r="A7945" s="4">
        <v>132.0</v>
      </c>
      <c r="B7945" s="4" t="s">
        <v>17419</v>
      </c>
      <c r="C7945" s="4"/>
      <c r="D7945" s="4" t="s">
        <v>17523</v>
      </c>
      <c r="E7945" s="4" t="s">
        <v>17690</v>
      </c>
      <c r="F7945" s="4" t="s">
        <v>17523</v>
      </c>
      <c r="G7945" s="5" t="str">
        <f>IFERROR(__xludf.DUMMYFUNCTION("GOOGLETRANSLATE(D7945,""pl"",""es"")"),"viburnum")</f>
        <v>viburnum</v>
      </c>
    </row>
    <row r="7946">
      <c r="A7946" s="4">
        <v>133.0</v>
      </c>
      <c r="B7946" s="4" t="s">
        <v>17419</v>
      </c>
      <c r="C7946" s="4"/>
      <c r="D7946" s="4" t="s">
        <v>17691</v>
      </c>
      <c r="E7946" s="4" t="s">
        <v>17692</v>
      </c>
      <c r="F7946" s="4" t="s">
        <v>17693</v>
      </c>
      <c r="G7946" s="5" t="str">
        <f>IFERROR(__xludf.DUMMYFUNCTION("GOOGLETRANSLATE(D7946,""pl"",""es"")"),"Kaliniak")</f>
        <v>Kaliniak</v>
      </c>
      <c r="H7946" s="4" t="s">
        <v>17694</v>
      </c>
      <c r="I7946" s="4" t="s">
        <v>17695</v>
      </c>
    </row>
    <row r="7947">
      <c r="A7947" s="4">
        <v>134.0</v>
      </c>
      <c r="B7947" s="4" t="s">
        <v>17419</v>
      </c>
      <c r="C7947" s="4"/>
      <c r="D7947" s="4" t="s">
        <v>17696</v>
      </c>
      <c r="E7947" s="4" t="s">
        <v>17697</v>
      </c>
      <c r="F7947" s="4" t="s">
        <v>17696</v>
      </c>
      <c r="G7947" s="5" t="str">
        <f>IFERROR(__xludf.DUMMYFUNCTION("GOOGLETRANSLATE(D7947,""pl"",""es"")"),"kalita")</f>
        <v>kalita</v>
      </c>
    </row>
    <row r="7948">
      <c r="A7948" s="4">
        <v>135.0</v>
      </c>
      <c r="B7948" s="4" t="s">
        <v>17419</v>
      </c>
      <c r="C7948" s="4"/>
      <c r="D7948" s="4" t="s">
        <v>17698</v>
      </c>
      <c r="E7948" s="4" t="s">
        <v>17699</v>
      </c>
      <c r="F7948" s="4" t="s">
        <v>17698</v>
      </c>
      <c r="G7948" s="5" t="str">
        <f>IFERROR(__xludf.DUMMYFUNCTION("GOOGLETRANSLATE(D7948,""pl"",""es"")"),"Calupa")</f>
        <v>Calupa</v>
      </c>
    </row>
    <row r="7949">
      <c r="A7949" s="4">
        <v>136.0</v>
      </c>
      <c r="B7949" s="4" t="s">
        <v>17419</v>
      </c>
      <c r="C7949" s="4"/>
      <c r="D7949" s="4" t="s">
        <v>17700</v>
      </c>
      <c r="E7949" s="4" t="s">
        <v>17701</v>
      </c>
      <c r="F7949" s="4" t="s">
        <v>17700</v>
      </c>
      <c r="G7949" s="5" t="str">
        <f>IFERROR(__xludf.DUMMYFUNCTION("GOOGLETRANSLATE(D7949,""pl"",""es"")"),"Kalus")</f>
        <v>Kalus</v>
      </c>
    </row>
    <row r="7950">
      <c r="A7950" s="4">
        <v>137.0</v>
      </c>
      <c r="B7950" s="4" t="s">
        <v>17419</v>
      </c>
      <c r="C7950" s="4"/>
      <c r="D7950" s="4" t="s">
        <v>17702</v>
      </c>
      <c r="E7950" s="4" t="s">
        <v>17703</v>
      </c>
      <c r="F7950" s="4" t="s">
        <v>17702</v>
      </c>
      <c r="G7950" s="5" t="str">
        <f>IFERROR(__xludf.DUMMYFUNCTION("GOOGLETRANSLATE(D7950,""pl"",""es"")"),"matar")</f>
        <v>matar</v>
      </c>
    </row>
    <row r="7951">
      <c r="A7951" s="4">
        <v>138.0</v>
      </c>
      <c r="B7951" s="4" t="s">
        <v>17419</v>
      </c>
      <c r="C7951" s="4"/>
      <c r="D7951" s="4" t="s">
        <v>17704</v>
      </c>
      <c r="E7951" s="4" t="s">
        <v>17705</v>
      </c>
      <c r="F7951" s="4" t="s">
        <v>17704</v>
      </c>
      <c r="G7951" s="5" t="str">
        <f>IFERROR(__xludf.DUMMYFUNCTION("GOOGLETRANSLATE(D7951,""pl"",""es"")"),"Kamil")</f>
        <v>Kamil</v>
      </c>
    </row>
    <row r="7952">
      <c r="A7952" s="4">
        <v>139.0</v>
      </c>
      <c r="B7952" s="4" t="s">
        <v>17419</v>
      </c>
      <c r="C7952" s="4"/>
      <c r="D7952" s="4" t="s">
        <v>5725</v>
      </c>
      <c r="E7952" s="4" t="s">
        <v>5724</v>
      </c>
      <c r="F7952" s="4" t="s">
        <v>5725</v>
      </c>
      <c r="G7952" s="5" t="str">
        <f>IFERROR(__xludf.DUMMYFUNCTION("GOOGLETRANSLATE(D7952,""pl"",""es"")"),"Kamila")</f>
        <v>Kamila</v>
      </c>
    </row>
    <row r="7953">
      <c r="A7953" s="4">
        <v>140.0</v>
      </c>
      <c r="B7953" s="4" t="s">
        <v>17419</v>
      </c>
      <c r="C7953" s="4"/>
      <c r="D7953" s="4" t="s">
        <v>17706</v>
      </c>
      <c r="E7953" s="4" t="s">
        <v>17707</v>
      </c>
      <c r="F7953" s="4" t="s">
        <v>11870</v>
      </c>
      <c r="G7953" s="5" t="str">
        <f>IFERROR(__xludf.DUMMYFUNCTION("GOOGLETRANSLATE(D7953,""pl"",""es"")"),"Kanach")</f>
        <v>Kanach</v>
      </c>
    </row>
    <row r="7954">
      <c r="A7954" s="4">
        <v>141.0</v>
      </c>
      <c r="B7954" s="4" t="s">
        <v>17419</v>
      </c>
      <c r="C7954" s="4"/>
      <c r="D7954" s="4" t="s">
        <v>16617</v>
      </c>
      <c r="E7954" s="4" t="s">
        <v>16616</v>
      </c>
      <c r="F7954" s="4" t="s">
        <v>16617</v>
      </c>
      <c r="G7954" s="5" t="str">
        <f>IFERROR(__xludf.DUMMYFUNCTION("GOOGLETRANSLATE(D7954,""pl"",""es"")"),"sofá")</f>
        <v>sofá</v>
      </c>
      <c r="H7954" s="4" t="s">
        <v>17708</v>
      </c>
      <c r="I7954" s="4" t="s">
        <v>15845</v>
      </c>
      <c r="J7954" s="4" t="s">
        <v>17709</v>
      </c>
    </row>
    <row r="7955">
      <c r="A7955" s="4">
        <v>142.0</v>
      </c>
      <c r="B7955" s="4" t="s">
        <v>17419</v>
      </c>
      <c r="C7955" s="4"/>
      <c r="D7955" s="4" t="s">
        <v>1207</v>
      </c>
      <c r="E7955" s="4" t="s">
        <v>17710</v>
      </c>
      <c r="F7955" s="4" t="s">
        <v>17711</v>
      </c>
      <c r="G7955" s="5" t="str">
        <f>IFERROR(__xludf.DUMMYFUNCTION("GOOGLETRANSLATE(D7955,""pl"",""es"")"),"kani")</f>
        <v>kani</v>
      </c>
    </row>
    <row r="7956">
      <c r="A7956" s="4">
        <v>143.0</v>
      </c>
      <c r="B7956" s="4" t="s">
        <v>17419</v>
      </c>
      <c r="C7956" s="4"/>
      <c r="D7956" s="4" t="s">
        <v>17712</v>
      </c>
      <c r="E7956" s="4" t="s">
        <v>1185</v>
      </c>
      <c r="F7956" s="4" t="s">
        <v>1186</v>
      </c>
      <c r="G7956" s="5" t="str">
        <f>IFERROR(__xludf.DUMMYFUNCTION("GOOGLETRANSLATE(D7956,""pl"",""es"")"),"cometa")</f>
        <v>cometa</v>
      </c>
      <c r="H7956" s="4" t="s">
        <v>2687</v>
      </c>
    </row>
    <row r="7957">
      <c r="A7957" s="4">
        <v>144.0</v>
      </c>
      <c r="B7957" s="4" t="s">
        <v>17419</v>
      </c>
      <c r="C7957" s="4"/>
      <c r="D7957" s="4" t="s">
        <v>17713</v>
      </c>
      <c r="E7957" s="4" t="s">
        <v>17714</v>
      </c>
      <c r="F7957" s="4" t="s">
        <v>17715</v>
      </c>
      <c r="G7957" s="5" t="str">
        <f>IFERROR(__xludf.DUMMYFUNCTION("GOOGLETRANSLATE(D7957,""pl"",""es"")"),"mofa")</f>
        <v>mofa</v>
      </c>
    </row>
    <row r="7958">
      <c r="A7958" s="4">
        <v>145.0</v>
      </c>
      <c r="B7958" s="4" t="s">
        <v>17419</v>
      </c>
      <c r="C7958" s="4"/>
      <c r="D7958" s="4" t="s">
        <v>17716</v>
      </c>
      <c r="E7958" s="4" t="s">
        <v>17717</v>
      </c>
      <c r="F7958" s="4" t="s">
        <v>17718</v>
      </c>
      <c r="G7958" s="5" t="str">
        <f>IFERROR(__xludf.DUMMYFUNCTION("GOOGLETRANSLATE(D7958,""pl"",""es"")"),"kani")</f>
        <v>kani</v>
      </c>
    </row>
    <row r="7959">
      <c r="A7959" s="4">
        <v>146.0</v>
      </c>
      <c r="B7959" s="4" t="s">
        <v>17419</v>
      </c>
      <c r="C7959" s="4"/>
      <c r="D7959" s="4" t="s">
        <v>17719</v>
      </c>
      <c r="E7959" s="4" t="s">
        <v>17720</v>
      </c>
      <c r="F7959" s="4" t="s">
        <v>17721</v>
      </c>
      <c r="G7959" s="5" t="str">
        <f>IFERROR(__xludf.DUMMYFUNCTION("GOOGLETRANSLATE(D7959,""pl"",""es"")"),"Kanich")</f>
        <v>Kanich</v>
      </c>
    </row>
    <row r="7960">
      <c r="A7960" s="4">
        <v>147.0</v>
      </c>
      <c r="B7960" s="4" t="s">
        <v>17419</v>
      </c>
      <c r="C7960" s="4"/>
      <c r="D7960" s="4" t="s">
        <v>8214</v>
      </c>
      <c r="E7960" s="4" t="s">
        <v>17722</v>
      </c>
      <c r="F7960" s="4" t="s">
        <v>17721</v>
      </c>
      <c r="G7960" s="5" t="str">
        <f>IFERROR(__xludf.DUMMYFUNCTION("GOOGLETRANSLATE(D7960,""pl"",""es"")"),"caníbal")</f>
        <v>caníbal</v>
      </c>
    </row>
    <row r="7961">
      <c r="A7961" s="4">
        <v>148.0</v>
      </c>
      <c r="B7961" s="4" t="s">
        <v>17419</v>
      </c>
      <c r="C7961" s="4"/>
      <c r="D7961" s="4" t="s">
        <v>17723</v>
      </c>
      <c r="E7961" s="4" t="s">
        <v>17724</v>
      </c>
      <c r="F7961" s="4" t="s">
        <v>17725</v>
      </c>
      <c r="G7961" s="5" t="str">
        <f>IFERROR(__xludf.DUMMYFUNCTION("GOOGLETRANSLATE(D7961,""pl"",""es"")"),"canal")</f>
        <v>canal</v>
      </c>
    </row>
    <row r="7962">
      <c r="A7962" s="4">
        <v>149.0</v>
      </c>
      <c r="B7962" s="4" t="s">
        <v>17419</v>
      </c>
      <c r="C7962" s="4"/>
      <c r="D7962" s="4" t="s">
        <v>17726</v>
      </c>
      <c r="E7962" s="4" t="s">
        <v>17727</v>
      </c>
      <c r="F7962" s="4" t="s">
        <v>17728</v>
      </c>
      <c r="G7962" s="5" t="str">
        <f>IFERROR(__xludf.DUMMYFUNCTION("GOOGLETRANSLATE(D7962,""pl"",""es"")"),"sencillo")</f>
        <v>sencillo</v>
      </c>
    </row>
    <row r="7963">
      <c r="A7963" s="4">
        <v>150.0</v>
      </c>
      <c r="B7963" s="4" t="s">
        <v>17419</v>
      </c>
      <c r="C7963" s="4"/>
      <c r="D7963" s="4" t="s">
        <v>17729</v>
      </c>
      <c r="E7963" s="4" t="s">
        <v>17730</v>
      </c>
      <c r="F7963" s="4" t="s">
        <v>17731</v>
      </c>
      <c r="G7963" s="5" t="str">
        <f>IFERROR(__xludf.DUMMYFUNCTION("GOOGLETRANSLATE(D7963,""pl"",""es"")"),"cañón")</f>
        <v>cañón</v>
      </c>
    </row>
    <row r="7964">
      <c r="A7964" s="4">
        <v>151.0</v>
      </c>
      <c r="B7964" s="4" t="s">
        <v>17419</v>
      </c>
      <c r="C7964" s="4"/>
      <c r="D7964" s="4" t="s">
        <v>17732</v>
      </c>
      <c r="E7964" s="4" t="s">
        <v>17733</v>
      </c>
      <c r="F7964" s="4" t="s">
        <v>17731</v>
      </c>
      <c r="G7964" s="5" t="str">
        <f>IFERROR(__xludf.DUMMYFUNCTION("GOOGLETRANSLATE(D7964,""pl"",""es"")"),"aguja")</f>
        <v>aguja</v>
      </c>
    </row>
    <row r="7965">
      <c r="A7965" s="4">
        <v>152.0</v>
      </c>
      <c r="B7965" s="4" t="s">
        <v>17419</v>
      </c>
      <c r="C7965" s="4"/>
      <c r="D7965" s="4" t="s">
        <v>17734</v>
      </c>
      <c r="E7965" s="4" t="s">
        <v>17735</v>
      </c>
      <c r="F7965" s="4" t="s">
        <v>17736</v>
      </c>
      <c r="G7965" s="5" t="str">
        <f>IFERROR(__xludf.DUMMYFUNCTION("GOOGLETRANSLATE(D7965,""pl"",""es"")"),"aguja")</f>
        <v>aguja</v>
      </c>
      <c r="H7965" s="4" t="s">
        <v>17737</v>
      </c>
    </row>
    <row r="7966">
      <c r="A7966" s="4">
        <v>153.0</v>
      </c>
      <c r="B7966" s="4" t="s">
        <v>17419</v>
      </c>
      <c r="C7966" s="4"/>
      <c r="D7966" s="4" t="s">
        <v>322</v>
      </c>
      <c r="E7966" s="4" t="s">
        <v>321</v>
      </c>
      <c r="F7966" s="4" t="s">
        <v>322</v>
      </c>
      <c r="G7966" s="5" t="str">
        <f>IFERROR(__xludf.DUMMYFUNCTION("GOOGLETRANSLATE(D7966,""pl"",""es"")"),"KAP")</f>
        <v>KAP</v>
      </c>
    </row>
    <row r="7967">
      <c r="A7967" s="4">
        <v>154.0</v>
      </c>
      <c r="B7967" s="4" t="s">
        <v>17419</v>
      </c>
      <c r="C7967" s="4"/>
      <c r="D7967" s="4" t="s">
        <v>1233</v>
      </c>
      <c r="E7967" s="4" t="s">
        <v>1232</v>
      </c>
      <c r="F7967" s="4" t="s">
        <v>1233</v>
      </c>
      <c r="G7967" s="5" t="str">
        <f>IFERROR(__xludf.DUMMYFUNCTION("GOOGLETRANSLATE(D7967,""pl"",""es"")"),"cubrir")</f>
        <v>cubrir</v>
      </c>
      <c r="H7967" s="4" t="s">
        <v>11987</v>
      </c>
      <c r="I7967" s="4" t="s">
        <v>17738</v>
      </c>
      <c r="J7967" s="4" t="s">
        <v>17739</v>
      </c>
      <c r="K7967" s="4" t="s">
        <v>17740</v>
      </c>
      <c r="L7967" s="4" t="s">
        <v>17741</v>
      </c>
    </row>
    <row r="7968">
      <c r="A7968" s="4">
        <v>155.0</v>
      </c>
      <c r="B7968" s="4" t="s">
        <v>17419</v>
      </c>
      <c r="C7968" s="4"/>
      <c r="D7968" s="4" t="s">
        <v>17742</v>
      </c>
      <c r="E7968" s="4" t="s">
        <v>17743</v>
      </c>
      <c r="F7968" s="4" t="s">
        <v>17742</v>
      </c>
      <c r="G7968" s="5" t="str">
        <f>IFERROR(__xludf.DUMMYFUNCTION("GOOGLETRANSLATE(D7968,""pl"",""es"")"),"goteo")</f>
        <v>goteo</v>
      </c>
    </row>
    <row r="7969">
      <c r="A7969" s="4">
        <v>156.0</v>
      </c>
      <c r="B7969" s="4" t="s">
        <v>17419</v>
      </c>
      <c r="C7969" s="4"/>
      <c r="D7969" s="4" t="s">
        <v>17744</v>
      </c>
      <c r="E7969" s="4" t="s">
        <v>17745</v>
      </c>
      <c r="F7969" s="4" t="s">
        <v>17744</v>
      </c>
      <c r="G7969" s="5" t="str">
        <f>IFERROR(__xludf.DUMMYFUNCTION("GOOGLETRANSLATE(D7969,""pl"",""es"")"),"kapis")</f>
        <v>kapis</v>
      </c>
    </row>
    <row r="7970">
      <c r="A7970" s="4">
        <v>157.0</v>
      </c>
      <c r="B7970" s="4" t="s">
        <v>17419</v>
      </c>
      <c r="C7970" s="4"/>
      <c r="D7970" s="4" t="s">
        <v>5986</v>
      </c>
      <c r="E7970" s="4" t="s">
        <v>15031</v>
      </c>
      <c r="F7970" s="4" t="s">
        <v>5986</v>
      </c>
      <c r="G7970" s="5" t="str">
        <f>IFERROR(__xludf.DUMMYFUNCTION("GOOGLETRANSLATE(D7970,""pl"",""es"")"),"capitán")</f>
        <v>capitán</v>
      </c>
      <c r="H7970" s="4" t="s">
        <v>1221</v>
      </c>
    </row>
    <row r="7971">
      <c r="A7971" s="4">
        <v>158.0</v>
      </c>
      <c r="B7971" s="4" t="s">
        <v>17419</v>
      </c>
      <c r="C7971" s="4"/>
      <c r="D7971" s="4" t="s">
        <v>1284</v>
      </c>
      <c r="E7971" s="4" t="s">
        <v>1283</v>
      </c>
      <c r="F7971" s="4" t="s">
        <v>1284</v>
      </c>
      <c r="G7971" s="5" t="str">
        <f>IFERROR(__xludf.DUMMYFUNCTION("GOOGLETRANSLATE(D7971,""pl"",""es"")"),"capitán")</f>
        <v>capitán</v>
      </c>
    </row>
    <row r="7972">
      <c r="A7972" s="4">
        <v>159.0</v>
      </c>
      <c r="B7972" s="4" t="s">
        <v>17419</v>
      </c>
      <c r="C7972" s="4"/>
      <c r="D7972" s="4" t="s">
        <v>17746</v>
      </c>
      <c r="E7972" s="4" t="s">
        <v>17747</v>
      </c>
      <c r="F7972" s="4" t="s">
        <v>17748</v>
      </c>
      <c r="G7972" s="5" t="str">
        <f>IFERROR(__xludf.DUMMYFUNCTION("GOOGLETRANSLATE(D7972,""pl"",""es"")"),"manteca de cerdo")</f>
        <v>manteca de cerdo</v>
      </c>
    </row>
    <row r="7973">
      <c r="A7973" s="4">
        <v>160.0</v>
      </c>
      <c r="B7973" s="4" t="s">
        <v>17419</v>
      </c>
      <c r="C7973" s="4"/>
      <c r="D7973" s="4" t="s">
        <v>17749</v>
      </c>
      <c r="E7973" s="4" t="s">
        <v>17750</v>
      </c>
      <c r="F7973" s="4" t="s">
        <v>17751</v>
      </c>
      <c r="G7973" s="5" t="str">
        <f>IFERROR(__xludf.DUMMYFUNCTION("GOOGLETRANSLATE(D7973,""pl"",""es"")"),"carnada")</f>
        <v>carnada</v>
      </c>
    </row>
    <row r="7974">
      <c r="A7974" s="4">
        <v>161.0</v>
      </c>
      <c r="B7974" s="4" t="s">
        <v>17419</v>
      </c>
      <c r="C7974" s="4"/>
      <c r="D7974" s="4" t="s">
        <v>1336</v>
      </c>
      <c r="E7974" s="4" t="s">
        <v>1335</v>
      </c>
      <c r="F7974" s="4" t="s">
        <v>1336</v>
      </c>
      <c r="G7974" s="5" t="str">
        <f>IFERROR(__xludf.DUMMYFUNCTION("GOOGLETRANSLATE(D7974,""pl"",""es"")"),"caja registradora")</f>
        <v>caja registradora</v>
      </c>
    </row>
    <row r="7975">
      <c r="A7975" s="4">
        <v>162.0</v>
      </c>
      <c r="B7975" s="4" t="s">
        <v>17419</v>
      </c>
      <c r="C7975" s="4"/>
      <c r="D7975" s="4" t="s">
        <v>1359</v>
      </c>
      <c r="E7975" s="4" t="s">
        <v>1358</v>
      </c>
      <c r="F7975" s="4" t="s">
        <v>1359</v>
      </c>
      <c r="G7975" s="5" t="str">
        <f>IFERROR(__xludf.DUMMYFUNCTION("GOOGLETRANSLATE(D7975,""pl"",""es"")"),"caja registradora")</f>
        <v>caja registradora</v>
      </c>
      <c r="H7975" s="4" t="s">
        <v>7855</v>
      </c>
      <c r="I7975" s="4" t="s">
        <v>7856</v>
      </c>
      <c r="J7975" s="4" t="s">
        <v>7851</v>
      </c>
      <c r="K7975" s="4" t="s">
        <v>14795</v>
      </c>
    </row>
    <row r="7976">
      <c r="A7976" s="4">
        <v>163.0</v>
      </c>
      <c r="B7976" s="4" t="s">
        <v>17419</v>
      </c>
      <c r="C7976" s="4"/>
      <c r="D7976" s="4" t="s">
        <v>17752</v>
      </c>
      <c r="E7976" s="4" t="s">
        <v>17753</v>
      </c>
      <c r="F7976" s="4" t="s">
        <v>8262</v>
      </c>
      <c r="G7976" s="5" t="str">
        <f>IFERROR(__xludf.DUMMYFUNCTION("GOOGLETRANSLATE(D7976,""pl"",""es"")"),"taquilla")</f>
        <v>taquilla</v>
      </c>
    </row>
    <row r="7977">
      <c r="A7977" s="4">
        <v>164.0</v>
      </c>
      <c r="B7977" s="4" t="s">
        <v>17419</v>
      </c>
      <c r="C7977" s="4"/>
      <c r="D7977" s="4" t="s">
        <v>17754</v>
      </c>
      <c r="E7977" s="4" t="s">
        <v>17755</v>
      </c>
      <c r="F7977" s="4" t="s">
        <v>17754</v>
      </c>
      <c r="G7977" s="5" t="str">
        <f>IFERROR(__xludf.DUMMYFUNCTION("GOOGLETRANSLATE(D7977,""pl"",""es"")"),"cajas registradoras")</f>
        <v>cajas registradoras</v>
      </c>
    </row>
    <row r="7978">
      <c r="A7978" s="4">
        <v>165.0</v>
      </c>
      <c r="B7978" s="4" t="s">
        <v>17419</v>
      </c>
      <c r="C7978" s="4"/>
      <c r="D7978" s="4" t="s">
        <v>16632</v>
      </c>
      <c r="E7978" s="4" t="s">
        <v>16631</v>
      </c>
      <c r="F7978" s="4" t="s">
        <v>16632</v>
      </c>
      <c r="G7978" s="5" t="str">
        <f>IFERROR(__xludf.DUMMYFUNCTION("GOOGLETRANSLATE(D7978,""pl"",""es"")"),"casete")</f>
        <v>casete</v>
      </c>
      <c r="H7978" s="4" t="s">
        <v>17756</v>
      </c>
      <c r="I7978" s="4" t="s">
        <v>17757</v>
      </c>
    </row>
    <row r="7979">
      <c r="A7979" s="4">
        <v>166.0</v>
      </c>
      <c r="B7979" s="4" t="s">
        <v>17419</v>
      </c>
      <c r="C7979" s="4"/>
      <c r="D7979" s="4" t="s">
        <v>5162</v>
      </c>
      <c r="E7979" s="4" t="s">
        <v>5161</v>
      </c>
      <c r="F7979" s="4" t="s">
        <v>5162</v>
      </c>
      <c r="G7979" s="5" t="str">
        <f>IFERROR(__xludf.DUMMYFUNCTION("GOOGLETRANSLATE(D7979,""pl"",""es"")"),"verdugo")</f>
        <v>verdugo</v>
      </c>
    </row>
    <row r="7980">
      <c r="A7980" s="4">
        <v>167.0</v>
      </c>
      <c r="B7980" s="4" t="s">
        <v>17419</v>
      </c>
      <c r="C7980" s="4"/>
      <c r="D7980" s="4" t="s">
        <v>17758</v>
      </c>
      <c r="E7980" s="4" t="s">
        <v>17759</v>
      </c>
      <c r="F7980" s="4" t="s">
        <v>17479</v>
      </c>
      <c r="G7980" s="5" t="str">
        <f>IFERROR(__xludf.DUMMYFUNCTION("GOOGLETRANSLATE(D7980,""pl"",""es"")"),"CTS")</f>
        <v>CTS</v>
      </c>
    </row>
    <row r="7981">
      <c r="A7981" s="4">
        <v>168.0</v>
      </c>
      <c r="B7981" s="4" t="s">
        <v>17419</v>
      </c>
      <c r="C7981" s="4"/>
      <c r="D7981" s="4" t="s">
        <v>17760</v>
      </c>
      <c r="E7981" s="4" t="s">
        <v>17761</v>
      </c>
      <c r="F7981" s="4" t="s">
        <v>17760</v>
      </c>
      <c r="G7981" s="5" t="str">
        <f>IFERROR(__xludf.DUMMYFUNCTION("GOOGLETRANSLATE(D7981,""pl"",""es"")"),"catacano")</f>
        <v>catacano</v>
      </c>
    </row>
    <row r="7982">
      <c r="A7982" s="4">
        <v>169.0</v>
      </c>
      <c r="B7982" s="4" t="s">
        <v>17419</v>
      </c>
      <c r="C7982" s="4"/>
      <c r="D7982" s="4" t="s">
        <v>10014</v>
      </c>
      <c r="E7982" s="4" t="s">
        <v>14691</v>
      </c>
      <c r="F7982" s="4" t="s">
        <v>10014</v>
      </c>
      <c r="G7982" s="5" t="str">
        <f>IFERROR(__xludf.DUMMYFUNCTION("GOOGLETRANSLATE(D7982,""pl"",""es"")"),"catala")</f>
        <v>catala</v>
      </c>
    </row>
    <row r="7983">
      <c r="A7983" s="4">
        <v>170.0</v>
      </c>
      <c r="B7983" s="4" t="s">
        <v>17419</v>
      </c>
      <c r="C7983" s="4"/>
      <c r="D7983" s="4" t="s">
        <v>17482</v>
      </c>
      <c r="E7983" s="4" t="s">
        <v>17762</v>
      </c>
      <c r="F7983" s="4" t="s">
        <v>17482</v>
      </c>
      <c r="G7983" s="5" t="str">
        <f>IFERROR(__xludf.DUMMYFUNCTION("GOOGLETRANSLATE(D7983,""pl"",""es"")"),"CTS")</f>
        <v>CTS</v>
      </c>
    </row>
    <row r="7984">
      <c r="A7984" s="4">
        <v>171.0</v>
      </c>
      <c r="B7984" s="4" t="s">
        <v>17419</v>
      </c>
      <c r="C7984" s="4"/>
      <c r="D7984" s="4" t="s">
        <v>12451</v>
      </c>
      <c r="E7984" s="4" t="s">
        <v>12452</v>
      </c>
      <c r="F7984" s="4" t="s">
        <v>12451</v>
      </c>
      <c r="G7984" s="5" t="str">
        <f>IFERROR(__xludf.DUMMYFUNCTION("GOOGLETRANSLATE(D7984,""pl"",""es"")"),"katana")</f>
        <v>katana</v>
      </c>
    </row>
    <row r="7985">
      <c r="A7985" s="4">
        <v>172.0</v>
      </c>
      <c r="B7985" s="4" t="s">
        <v>17419</v>
      </c>
      <c r="C7985" s="4"/>
      <c r="D7985" s="4" t="s">
        <v>9103</v>
      </c>
      <c r="E7985" s="4" t="s">
        <v>9104</v>
      </c>
      <c r="F7985" s="4" t="s">
        <v>9103</v>
      </c>
      <c r="G7985" s="5" t="str">
        <f>IFERROR(__xludf.DUMMYFUNCTION("GOOGLETRANSLATE(D7985,""pl"",""es"")"),"verdugo")</f>
        <v>verdugo</v>
      </c>
    </row>
    <row r="7986">
      <c r="A7986" s="4">
        <v>173.0</v>
      </c>
      <c r="B7986" s="4" t="s">
        <v>17419</v>
      </c>
      <c r="C7986" s="4"/>
      <c r="D7986" s="4" t="s">
        <v>17763</v>
      </c>
      <c r="E7986" s="4" t="s">
        <v>12471</v>
      </c>
      <c r="F7986" s="4" t="s">
        <v>12472</v>
      </c>
      <c r="G7986" s="5" t="str">
        <f>IFERROR(__xludf.DUMMYFUNCTION("GOOGLETRANSLATE(D7986,""pl"",""es"")"),"Kion")</f>
        <v>Kion</v>
      </c>
    </row>
    <row r="7987">
      <c r="A7987" s="4">
        <v>174.0</v>
      </c>
      <c r="B7987" s="4" t="s">
        <v>17419</v>
      </c>
      <c r="C7987" s="4"/>
      <c r="D7987" s="4" t="s">
        <v>17764</v>
      </c>
      <c r="E7987" s="4" t="s">
        <v>17765</v>
      </c>
      <c r="F7987" s="4" t="s">
        <v>6401</v>
      </c>
      <c r="G7987" s="5" t="str">
        <f>IFERROR(__xludf.DUMMYFUNCTION("GOOGLETRANSLATE(D7987,""pl"",""es"")"),"salvaje")</f>
        <v>salvaje</v>
      </c>
    </row>
    <row r="7988">
      <c r="A7988" s="4">
        <v>175.0</v>
      </c>
      <c r="B7988" s="4" t="s">
        <v>17419</v>
      </c>
      <c r="C7988" s="4"/>
      <c r="D7988" s="4" t="s">
        <v>17766</v>
      </c>
      <c r="E7988" s="4" t="s">
        <v>17767</v>
      </c>
      <c r="F7988" s="4" t="s">
        <v>17768</v>
      </c>
      <c r="G7988" s="5" t="str">
        <f>IFERROR(__xludf.DUMMYFUNCTION("GOOGLETRANSLATE(D7988,""pl"",""es"")"),"estornudo")</f>
        <v>estornudo</v>
      </c>
    </row>
    <row r="7989">
      <c r="A7989" s="4">
        <v>176.0</v>
      </c>
      <c r="B7989" s="4" t="s">
        <v>17419</v>
      </c>
      <c r="C7989" s="4"/>
      <c r="D7989" s="4" t="s">
        <v>17769</v>
      </c>
      <c r="E7989" s="4" t="s">
        <v>17770</v>
      </c>
      <c r="F7989" s="4" t="s">
        <v>17771</v>
      </c>
      <c r="G7989" s="5" t="str">
        <f>IFERROR(__xludf.DUMMYFUNCTION("GOOGLETRANSLATE(D7989,""pl"",""es"")"),"Zapatillas deportivas")</f>
        <v>Zapatillas deportivas</v>
      </c>
    </row>
    <row r="7990">
      <c r="A7990" s="4">
        <v>177.0</v>
      </c>
      <c r="B7990" s="4" t="s">
        <v>17419</v>
      </c>
      <c r="C7990" s="4"/>
      <c r="D7990" s="4" t="s">
        <v>17772</v>
      </c>
      <c r="E7990" s="4" t="s">
        <v>17773</v>
      </c>
      <c r="F7990" s="4" t="s">
        <v>17774</v>
      </c>
      <c r="G7990" s="5" t="str">
        <f>IFERROR(__xludf.DUMMYFUNCTION("GOOGLETRANSLATE(D7990,""pl"",""es"")"),"estornudar")</f>
        <v>estornudar</v>
      </c>
    </row>
    <row r="7991">
      <c r="A7991" s="4">
        <v>178.0</v>
      </c>
      <c r="B7991" s="4" t="s">
        <v>17419</v>
      </c>
      <c r="C7991" s="4"/>
      <c r="D7991" s="4" t="s">
        <v>17775</v>
      </c>
      <c r="E7991" s="4" t="s">
        <v>17776</v>
      </c>
      <c r="F7991" s="4" t="s">
        <v>17777</v>
      </c>
      <c r="G7991" s="5" t="str">
        <f>IFERROR(__xludf.DUMMYFUNCTION("GOOGLETRANSLATE(D7991,""pl"",""es"")"),"estornudo")</f>
        <v>estornudo</v>
      </c>
    </row>
    <row r="7992">
      <c r="A7992" s="4">
        <v>179.0</v>
      </c>
      <c r="B7992" s="4" t="s">
        <v>17419</v>
      </c>
      <c r="C7992" s="4"/>
      <c r="D7992" s="4" t="s">
        <v>17778</v>
      </c>
      <c r="E7992" s="4" t="s">
        <v>17779</v>
      </c>
      <c r="F7992" s="4" t="s">
        <v>17780</v>
      </c>
      <c r="G7992" s="5" t="str">
        <f>IFERROR(__xludf.DUMMYFUNCTION("GOOGLETRANSLATE(D7992,""pl"",""es"")"),"estornudar")</f>
        <v>estornudar</v>
      </c>
    </row>
    <row r="7993">
      <c r="A7993" s="4">
        <v>180.0</v>
      </c>
      <c r="B7993" s="4" t="s">
        <v>17419</v>
      </c>
      <c r="C7993" s="4"/>
      <c r="D7993" s="4" t="s">
        <v>17781</v>
      </c>
      <c r="E7993" s="4" t="s">
        <v>17782</v>
      </c>
      <c r="F7993" s="4" t="s">
        <v>17783</v>
      </c>
      <c r="G7993" s="5" t="str">
        <f>IFERROR(__xludf.DUMMYFUNCTION("GOOGLETRANSLATE(D7993,""pl"",""es"")"),"poderoso")</f>
        <v>poderoso</v>
      </c>
    </row>
    <row r="7994">
      <c r="A7994" s="4">
        <v>181.0</v>
      </c>
      <c r="B7994" s="4" t="s">
        <v>17419</v>
      </c>
      <c r="C7994" s="4"/>
      <c r="D7994" s="4" t="s">
        <v>17784</v>
      </c>
      <c r="E7994" s="4" t="s">
        <v>13508</v>
      </c>
      <c r="F7994" s="4" t="s">
        <v>13509</v>
      </c>
      <c r="G7994" s="5" t="str">
        <f>IFERROR(__xludf.DUMMYFUNCTION("GOOGLETRANSLATE(D7994,""pl"",""es"")"),"palo")</f>
        <v>palo</v>
      </c>
    </row>
    <row r="7995">
      <c r="A7995" s="4">
        <v>182.0</v>
      </c>
      <c r="B7995" s="4" t="s">
        <v>17419</v>
      </c>
      <c r="C7995" s="4"/>
      <c r="D7995" s="4" t="s">
        <v>17785</v>
      </c>
      <c r="E7995" s="4" t="s">
        <v>17786</v>
      </c>
      <c r="F7995" s="4" t="s">
        <v>17787</v>
      </c>
      <c r="G7995" s="5" t="str">
        <f>IFERROR(__xludf.DUMMYFUNCTION("GOOGLETRANSLATE(D7995,""pl"",""es"")"),"palo")</f>
        <v>palo</v>
      </c>
    </row>
    <row r="7996">
      <c r="A7996" s="4">
        <v>183.0</v>
      </c>
      <c r="B7996" s="4" t="s">
        <v>17419</v>
      </c>
      <c r="C7996" s="4"/>
      <c r="D7996" s="4" t="s">
        <v>17788</v>
      </c>
      <c r="E7996" s="4" t="s">
        <v>17789</v>
      </c>
      <c r="F7996" s="4" t="s">
        <v>17790</v>
      </c>
      <c r="G7996" s="5" t="str">
        <f>IFERROR(__xludf.DUMMYFUNCTION("GOOGLETRANSLATE(D7996,""pl"",""es"")"),"palos")</f>
        <v>palos</v>
      </c>
    </row>
    <row r="7997">
      <c r="A7997" s="4">
        <v>184.0</v>
      </c>
      <c r="B7997" s="4" t="s">
        <v>17419</v>
      </c>
      <c r="C7997" s="4"/>
      <c r="D7997" s="4" t="s">
        <v>17791</v>
      </c>
      <c r="E7997" s="4" t="s">
        <v>17792</v>
      </c>
      <c r="F7997" s="4" t="s">
        <v>17793</v>
      </c>
      <c r="G7997" s="5" t="str">
        <f>IFERROR(__xludf.DUMMYFUNCTION("GOOGLETRANSLATE(D7997,""pl"",""es"")"),"palos")</f>
        <v>palos</v>
      </c>
    </row>
    <row r="7998">
      <c r="A7998" s="4">
        <v>185.0</v>
      </c>
      <c r="B7998" s="4" t="s">
        <v>17419</v>
      </c>
      <c r="C7998" s="4"/>
      <c r="D7998" s="4" t="s">
        <v>17794</v>
      </c>
      <c r="E7998" s="4" t="s">
        <v>17795</v>
      </c>
      <c r="F7998" s="4" t="s">
        <v>17796</v>
      </c>
      <c r="G7998" s="5" t="str">
        <f>IFERROR(__xludf.DUMMYFUNCTION("GOOGLETRANSLATE(D7998,""pl"",""es"")"),"teja")</f>
        <v>teja</v>
      </c>
    </row>
    <row r="7999">
      <c r="A7999" s="4">
        <v>186.0</v>
      </c>
      <c r="B7999" s="4" t="s">
        <v>17419</v>
      </c>
      <c r="C7999" s="4"/>
      <c r="D7999" s="4" t="s">
        <v>17797</v>
      </c>
      <c r="E7999" s="4" t="s">
        <v>17798</v>
      </c>
      <c r="F7999" s="4" t="s">
        <v>17799</v>
      </c>
      <c r="G7999" s="5" t="str">
        <f>IFERROR(__xludf.DUMMYFUNCTION("GOOGLETRANSLATE(D7999,""pl"",""es"")"),"palo")</f>
        <v>palo</v>
      </c>
    </row>
    <row r="8000">
      <c r="A8000" s="4">
        <v>187.0</v>
      </c>
      <c r="B8000" s="4" t="s">
        <v>17419</v>
      </c>
      <c r="C8000" s="4"/>
      <c r="D8000" s="4" t="s">
        <v>6401</v>
      </c>
      <c r="E8000" s="4" t="s">
        <v>17148</v>
      </c>
      <c r="F8000" s="4" t="s">
        <v>6401</v>
      </c>
      <c r="G8000" s="5" t="str">
        <f>IFERROR(__xludf.DUMMYFUNCTION("GOOGLETRANSLATE(D8000,""pl"",""es"")"),"Kik")</f>
        <v>Kik</v>
      </c>
    </row>
    <row r="8001">
      <c r="A8001" s="4">
        <v>188.0</v>
      </c>
      <c r="B8001" s="4" t="s">
        <v>17419</v>
      </c>
      <c r="C8001" s="4"/>
      <c r="D8001" s="4" t="s">
        <v>3814</v>
      </c>
      <c r="E8001" s="4" t="s">
        <v>3813</v>
      </c>
      <c r="F8001" s="4" t="s">
        <v>3814</v>
      </c>
      <c r="G8001" s="5" t="str">
        <f>IFERROR(__xludf.DUMMYFUNCTION("GOOGLETRANSLATE(D8001,""pl"",""es"")"),"Quien es")</f>
        <v>Quien es</v>
      </c>
    </row>
    <row r="8002">
      <c r="A8002" s="4">
        <v>189.0</v>
      </c>
      <c r="B8002" s="4" t="s">
        <v>17419</v>
      </c>
      <c r="C8002" s="4"/>
      <c r="D8002" s="4" t="s">
        <v>17800</v>
      </c>
      <c r="E8002" s="4" t="s">
        <v>17801</v>
      </c>
      <c r="F8002" s="4" t="s">
        <v>17800</v>
      </c>
      <c r="G8002" s="5" t="str">
        <f>IFERROR(__xludf.DUMMYFUNCTION("GOOGLETRANSLATE(D8002,""pl"",""es"")"),"Kim")</f>
        <v>Kim</v>
      </c>
      <c r="H8002" s="4" t="s">
        <v>17802</v>
      </c>
    </row>
    <row r="8003">
      <c r="A8003" s="4">
        <v>190.0</v>
      </c>
      <c r="B8003" s="4" t="s">
        <v>17419</v>
      </c>
      <c r="C8003" s="4"/>
      <c r="D8003" s="4" t="s">
        <v>6458</v>
      </c>
      <c r="E8003" s="4" t="s">
        <v>17146</v>
      </c>
      <c r="F8003" s="4" t="s">
        <v>6458</v>
      </c>
      <c r="G8003" s="5" t="str">
        <f>IFERROR(__xludf.DUMMYFUNCTION("GOOGLETRANSLATE(D8003,""pl"",""es"")"),"dormir")</f>
        <v>dormir</v>
      </c>
      <c r="H8003" s="4" t="s">
        <v>6458</v>
      </c>
    </row>
    <row r="8004">
      <c r="A8004" s="4">
        <v>191.0</v>
      </c>
      <c r="B8004" s="4" t="s">
        <v>17419</v>
      </c>
      <c r="C8004" s="4"/>
      <c r="D8004" s="4" t="s">
        <v>15902</v>
      </c>
      <c r="E8004" s="4" t="s">
        <v>15903</v>
      </c>
      <c r="F8004" s="4" t="s">
        <v>15902</v>
      </c>
      <c r="G8004" s="5" t="str">
        <f>IFERROR(__xludf.DUMMYFUNCTION("GOOGLETRANSLATE(D8004,""pl"",""es"")"),"hervir")</f>
        <v>hervir</v>
      </c>
    </row>
    <row r="8005">
      <c r="A8005" s="4">
        <v>192.0</v>
      </c>
      <c r="B8005" s="4" t="s">
        <v>17419</v>
      </c>
      <c r="C8005" s="4"/>
      <c r="D8005" s="4" t="s">
        <v>3835</v>
      </c>
      <c r="E8005" s="4" t="s">
        <v>3834</v>
      </c>
      <c r="F8005" s="4" t="s">
        <v>3835</v>
      </c>
      <c r="G8005" s="5" t="str">
        <f>IFERROR(__xludf.DUMMYFUNCTION("GOOGLETRANSLATE(D8005,""pl"",""es"")"),"cresta")</f>
        <v>cresta</v>
      </c>
      <c r="H8005" s="4" t="s">
        <v>11298</v>
      </c>
    </row>
    <row r="8006">
      <c r="A8006" s="4">
        <v>193.0</v>
      </c>
      <c r="B8006" s="4" t="s">
        <v>17419</v>
      </c>
      <c r="C8006" s="4"/>
      <c r="D8006" s="4" t="s">
        <v>17803</v>
      </c>
      <c r="E8006" s="4" t="s">
        <v>17804</v>
      </c>
      <c r="F8006" s="4" t="s">
        <v>17805</v>
      </c>
      <c r="G8006" s="5" t="str">
        <f>IFERROR(__xludf.DUMMYFUNCTION("GOOGLETRANSLATE(D8006,""pl"",""es"")"),"kiteach")</f>
        <v>kiteach</v>
      </c>
    </row>
    <row r="8007">
      <c r="A8007" s="4">
        <v>194.0</v>
      </c>
      <c r="B8007" s="4" t="s">
        <v>17419</v>
      </c>
      <c r="C8007" s="4"/>
      <c r="D8007" s="4" t="s">
        <v>17806</v>
      </c>
      <c r="E8007" s="4" t="s">
        <v>17807</v>
      </c>
      <c r="F8007" s="4" t="s">
        <v>17808</v>
      </c>
      <c r="G8007" s="5" t="str">
        <f>IFERROR(__xludf.DUMMYFUNCTION("GOOGLETRANSLATE(D8007,""pl"",""es"")"),"kitaj")</f>
        <v>kitaj</v>
      </c>
    </row>
    <row r="8008">
      <c r="A8008" s="4">
        <v>195.0</v>
      </c>
      <c r="B8008" s="4" t="s">
        <v>17419</v>
      </c>
      <c r="C8008" s="4"/>
      <c r="D8008" s="4" t="s">
        <v>17809</v>
      </c>
      <c r="E8008" s="4" t="s">
        <v>17810</v>
      </c>
      <c r="F8008" s="4" t="s">
        <v>17809</v>
      </c>
      <c r="G8008" s="5" t="str">
        <f>IFERROR(__xludf.DUMMYFUNCTION("GOOGLETRANSLATE(D8008,""pl"",""es"")"),"polla")</f>
        <v>polla</v>
      </c>
    </row>
    <row r="8009">
      <c r="A8009" s="4">
        <v>196.0</v>
      </c>
      <c r="B8009" s="4" t="s">
        <v>17419</v>
      </c>
      <c r="C8009" s="4"/>
      <c r="D8009" s="4" t="s">
        <v>17811</v>
      </c>
      <c r="E8009" s="4" t="s">
        <v>17812</v>
      </c>
      <c r="F8009" s="4" t="s">
        <v>17811</v>
      </c>
      <c r="G8009" s="5" t="str">
        <f>IFERROR(__xludf.DUMMYFUNCTION("GOOGLETRANSLATE(D8009,""pl"",""es"")"),"kitsami")</f>
        <v>kitsami</v>
      </c>
    </row>
    <row r="8010">
      <c r="A8010" s="4">
        <v>197.0</v>
      </c>
      <c r="B8010" s="4" t="s">
        <v>17419</v>
      </c>
      <c r="C8010" s="4"/>
      <c r="D8010" s="4" t="s">
        <v>3845</v>
      </c>
      <c r="E8010" s="4" t="s">
        <v>3844</v>
      </c>
      <c r="F8010" s="4" t="s">
        <v>3845</v>
      </c>
      <c r="G8010" s="5" t="str">
        <f>IFERROR(__xludf.DUMMYFUNCTION("GOOGLETRANSLATE(D8010,""pl"",""es"")"),"fosa")</f>
        <v>fosa</v>
      </c>
    </row>
    <row r="8011">
      <c r="A8011" s="4">
        <v>198.0</v>
      </c>
      <c r="B8011" s="4" t="s">
        <v>17419</v>
      </c>
      <c r="C8011" s="4"/>
      <c r="D8011" s="4" t="s">
        <v>1582</v>
      </c>
      <c r="E8011" s="4" t="s">
        <v>1581</v>
      </c>
      <c r="F8011" s="4" t="s">
        <v>1582</v>
      </c>
      <c r="G8011" s="5" t="str">
        <f>IFERROR(__xludf.DUMMYFUNCTION("GOOGLETRANSLATE(D8011,""pl"",""es"")"),"a")</f>
        <v>a</v>
      </c>
    </row>
    <row r="8012">
      <c r="A8012" s="4">
        <v>199.0</v>
      </c>
      <c r="B8012" s="4" t="s">
        <v>17419</v>
      </c>
      <c r="C8012" s="4"/>
      <c r="D8012" s="4" t="s">
        <v>17813</v>
      </c>
      <c r="E8012" s="4" t="s">
        <v>12219</v>
      </c>
      <c r="F8012" s="4" t="s">
        <v>468</v>
      </c>
      <c r="G8012" s="5" t="str">
        <f>IFERROR(__xludf.DUMMYFUNCTION("GOOGLETRANSLATE(D8012,""pl"",""es"")"),"KUJ")</f>
        <v>KUJ</v>
      </c>
    </row>
    <row r="8013">
      <c r="A8013" s="4">
        <v>200.0</v>
      </c>
      <c r="B8013" s="4" t="s">
        <v>17419</v>
      </c>
      <c r="C8013" s="4"/>
      <c r="D8013" s="4" t="s">
        <v>17814</v>
      </c>
      <c r="E8013" s="4" t="s">
        <v>17815</v>
      </c>
      <c r="F8013" s="4" t="s">
        <v>17816</v>
      </c>
      <c r="G8013" s="5" t="str">
        <f>IFERROR(__xludf.DUMMYFUNCTION("GOOGLETRANSLATE(D8013,""pl"",""es"")"),"Kujach")</f>
        <v>Kujach</v>
      </c>
    </row>
    <row r="8014">
      <c r="A8014" s="4">
        <v>201.0</v>
      </c>
      <c r="B8014" s="4" t="s">
        <v>17419</v>
      </c>
      <c r="C8014" s="4"/>
      <c r="D8014" s="4" t="s">
        <v>10111</v>
      </c>
      <c r="E8014" s="4" t="s">
        <v>17817</v>
      </c>
      <c r="F8014" s="4" t="s">
        <v>10111</v>
      </c>
      <c r="G8014" s="5" t="str">
        <f>IFERROR(__xludf.DUMMYFUNCTION("GOOGLETRANSLATE(D8014,""pl"",""es"")"),"kuka")</f>
        <v>kuka</v>
      </c>
    </row>
    <row r="8015">
      <c r="A8015" s="4">
        <v>202.0</v>
      </c>
      <c r="B8015" s="4" t="s">
        <v>17419</v>
      </c>
      <c r="C8015" s="4"/>
      <c r="D8015" s="4" t="s">
        <v>17818</v>
      </c>
      <c r="E8015" s="4" t="s">
        <v>17819</v>
      </c>
      <c r="F8015" s="4" t="s">
        <v>17820</v>
      </c>
      <c r="G8015" s="5" t="str">
        <f>IFERROR(__xludf.DUMMYFUNCTION("GOOGLETRANSLATE(D8015,""pl"",""es"")"),"kukaj")</f>
        <v>kukaj</v>
      </c>
    </row>
    <row r="8016">
      <c r="A8016" s="4">
        <v>203.0</v>
      </c>
      <c r="B8016" s="4" t="s">
        <v>17419</v>
      </c>
      <c r="C8016" s="4"/>
      <c r="D8016" s="4" t="s">
        <v>17491</v>
      </c>
      <c r="E8016" s="4" t="s">
        <v>17821</v>
      </c>
      <c r="F8016" s="4" t="s">
        <v>17491</v>
      </c>
      <c r="G8016" s="5" t="str">
        <f>IFERROR(__xludf.DUMMYFUNCTION("GOOGLETRANSLATE(D8016,""pl"",""es"")"),"kuck")</f>
        <v>kuck</v>
      </c>
    </row>
    <row r="8017">
      <c r="A8017" s="4">
        <v>204.0</v>
      </c>
      <c r="B8017" s="4" t="s">
        <v>17419</v>
      </c>
      <c r="C8017" s="4"/>
      <c r="D8017" s="4" t="s">
        <v>17822</v>
      </c>
      <c r="E8017" s="4" t="s">
        <v>17823</v>
      </c>
      <c r="F8017" s="4" t="s">
        <v>17824</v>
      </c>
      <c r="G8017" s="5" t="str">
        <f>IFERROR(__xludf.DUMMYFUNCTION("GOOGLETRANSLATE(D8017,""pl"",""es"")"),"Kukiz")</f>
        <v>Kukiz</v>
      </c>
    </row>
    <row r="8018">
      <c r="A8018" s="4">
        <v>205.0</v>
      </c>
      <c r="B8018" s="4" t="s">
        <v>17419</v>
      </c>
      <c r="C8018" s="4"/>
      <c r="D8018" s="4" t="s">
        <v>5194</v>
      </c>
      <c r="E8018" s="4" t="s">
        <v>5193</v>
      </c>
      <c r="F8018" s="4" t="s">
        <v>5194</v>
      </c>
      <c r="G8018" s="5" t="str">
        <f>IFERROR(__xludf.DUMMYFUNCTION("GOOGLETRANSLATE(D8018,""pl"",""es"")"),"cuco")</f>
        <v>cuco</v>
      </c>
    </row>
    <row r="8019">
      <c r="A8019" s="4">
        <v>206.0</v>
      </c>
      <c r="B8019" s="4" t="s">
        <v>17419</v>
      </c>
      <c r="C8019" s="4"/>
      <c r="D8019" s="4" t="s">
        <v>1601</v>
      </c>
      <c r="E8019" s="4" t="s">
        <v>1600</v>
      </c>
      <c r="F8019" s="4" t="s">
        <v>1601</v>
      </c>
      <c r="G8019" s="5" t="str">
        <f>IFERROR(__xludf.DUMMYFUNCTION("GOOGLETRANSLATE(D8019,""pl"",""es"")"),"pelota")</f>
        <v>pelota</v>
      </c>
    </row>
    <row r="8020">
      <c r="A8020" s="4">
        <v>207.0</v>
      </c>
      <c r="B8020" s="4" t="s">
        <v>17419</v>
      </c>
      <c r="C8020" s="4"/>
      <c r="D8020" s="4" t="s">
        <v>1477</v>
      </c>
      <c r="E8020" s="4" t="s">
        <v>1476</v>
      </c>
      <c r="F8020" s="4" t="s">
        <v>1477</v>
      </c>
      <c r="G8020" s="5" t="str">
        <f>IFERROR(__xludf.DUMMYFUNCTION("GOOGLETRANSLATE(D8020,""pl"",""es"")"),"pelota")</f>
        <v>pelota</v>
      </c>
      <c r="H8020" s="4" t="s">
        <v>17825</v>
      </c>
      <c r="I8020" s="4" t="s">
        <v>17826</v>
      </c>
      <c r="J8020" s="4" t="s">
        <v>17827</v>
      </c>
      <c r="K8020" s="4" t="s">
        <v>17828</v>
      </c>
      <c r="L8020" s="4" t="s">
        <v>17829</v>
      </c>
      <c r="M8020" s="4" t="s">
        <v>1067</v>
      </c>
      <c r="N8020" s="4" t="s">
        <v>12220</v>
      </c>
      <c r="O8020" s="4" t="s">
        <v>14031</v>
      </c>
      <c r="P8020" s="4" t="s">
        <v>14041</v>
      </c>
    </row>
    <row r="8021">
      <c r="A8021" s="4">
        <v>208.0</v>
      </c>
      <c r="B8021" s="4" t="s">
        <v>17419</v>
      </c>
      <c r="C8021" s="4"/>
      <c r="D8021" s="4" t="s">
        <v>17830</v>
      </c>
      <c r="E8021" s="4" t="s">
        <v>17831</v>
      </c>
      <c r="F8021" s="4" t="s">
        <v>8425</v>
      </c>
      <c r="G8021" s="5" t="str">
        <f>IFERROR(__xludf.DUMMYFUNCTION("GOOGLETRANSLATE(D8021,""pl"",""es"")"),"muletas")</f>
        <v>muletas</v>
      </c>
    </row>
    <row r="8022">
      <c r="A8022" s="4">
        <v>209.0</v>
      </c>
      <c r="B8022" s="4" t="s">
        <v>17419</v>
      </c>
      <c r="C8022" s="4"/>
      <c r="D8022" s="4" t="s">
        <v>17832</v>
      </c>
      <c r="E8022" s="4" t="s">
        <v>17833</v>
      </c>
      <c r="F8022" s="4" t="s">
        <v>17832</v>
      </c>
      <c r="G8022" s="5" t="str">
        <f>IFERROR(__xludf.DUMMYFUNCTION("GOOGLETRANSLATE(D8022,""pl"",""es"")"),"balas")</f>
        <v>balas</v>
      </c>
    </row>
    <row r="8023">
      <c r="A8023" s="4">
        <v>210.0</v>
      </c>
      <c r="B8023" s="4" t="s">
        <v>17419</v>
      </c>
      <c r="C8023" s="4"/>
      <c r="D8023" s="4" t="s">
        <v>17834</v>
      </c>
      <c r="E8023" s="4" t="s">
        <v>17835</v>
      </c>
      <c r="F8023" s="4" t="s">
        <v>17834</v>
      </c>
      <c r="G8023" s="5" t="str">
        <f>IFERROR(__xludf.DUMMYFUNCTION("GOOGLETRANSLATE(D8023,""pl"",""es"")"),"Escribiendo")</f>
        <v>Escribiendo</v>
      </c>
      <c r="H8023" s="4" t="s">
        <v>3170</v>
      </c>
      <c r="I8023" s="4" t="s">
        <v>3171</v>
      </c>
      <c r="J8023" s="4" t="s">
        <v>3169</v>
      </c>
    </row>
    <row r="8024">
      <c r="A8024" s="4">
        <v>211.0</v>
      </c>
      <c r="B8024" s="4" t="s">
        <v>17419</v>
      </c>
      <c r="C8024" s="4"/>
      <c r="D8024" s="4" t="s">
        <v>17836</v>
      </c>
      <c r="E8024" s="4" t="s">
        <v>17837</v>
      </c>
      <c r="F8024" s="4" t="s">
        <v>17836</v>
      </c>
      <c r="G8024" s="5" t="str">
        <f>IFERROR(__xludf.DUMMYFUNCTION("GOOGLETRANSLATE(D8024,""pl"",""es"")"),"escamas")</f>
        <v>escamas</v>
      </c>
    </row>
    <row r="8025">
      <c r="A8025" s="4">
        <v>212.0</v>
      </c>
      <c r="B8025" s="4" t="s">
        <v>17419</v>
      </c>
      <c r="C8025" s="4"/>
      <c r="D8025" s="4" t="s">
        <v>1480</v>
      </c>
      <c r="E8025" s="4" t="s">
        <v>1479</v>
      </c>
      <c r="F8025" s="4" t="s">
        <v>1480</v>
      </c>
      <c r="G8025" s="5" t="str">
        <f>IFERROR(__xludf.DUMMYFUNCTION("GOOGLETRANSLATE(D8025,""pl"",""es"")"),"esfera")</f>
        <v>esfera</v>
      </c>
    </row>
    <row r="8026">
      <c r="A8026" s="4">
        <v>213.0</v>
      </c>
      <c r="B8026" s="4" t="s">
        <v>17419</v>
      </c>
      <c r="C8026" s="4"/>
      <c r="D8026" s="4" t="s">
        <v>17838</v>
      </c>
      <c r="E8026" s="4" t="s">
        <v>17839</v>
      </c>
      <c r="F8026" s="4" t="s">
        <v>17840</v>
      </c>
      <c r="G8026" s="5" t="str">
        <f>IFERROR(__xludf.DUMMYFUNCTION("GOOGLETRANSLATE(D8026,""pl"",""es"")"),"paseo en trineo")</f>
        <v>paseo en trineo</v>
      </c>
    </row>
    <row r="8027">
      <c r="A8027" s="4">
        <v>214.0</v>
      </c>
      <c r="B8027" s="4" t="s">
        <v>17419</v>
      </c>
      <c r="C8027" s="4"/>
      <c r="D8027" s="4" t="s">
        <v>17840</v>
      </c>
      <c r="E8027" s="4" t="s">
        <v>17839</v>
      </c>
      <c r="F8027" s="4" t="s">
        <v>17840</v>
      </c>
      <c r="G8027" s="5" t="str">
        <f>IFERROR(__xludf.DUMMYFUNCTION("GOOGLETRANSLATE(D8027,""pl"",""es"")"),"zarapito")</f>
        <v>zarapito</v>
      </c>
      <c r="H8027" s="4" t="s">
        <v>17841</v>
      </c>
    </row>
    <row r="8028">
      <c r="A8028" s="4">
        <v>215.0</v>
      </c>
      <c r="B8028" s="4" t="s">
        <v>17419</v>
      </c>
      <c r="C8028" s="4"/>
      <c r="D8028" s="4" t="s">
        <v>1483</v>
      </c>
      <c r="E8028" s="4" t="s">
        <v>1482</v>
      </c>
      <c r="F8028" s="4" t="s">
        <v>1483</v>
      </c>
      <c r="G8028" s="5" t="str">
        <f>IFERROR(__xludf.DUMMYFUNCTION("GOOGLETRANSLATE(D8028,""pl"",""es"")"),"culi")</f>
        <v>culi</v>
      </c>
      <c r="H8028" s="4" t="s">
        <v>10117</v>
      </c>
      <c r="I8028" s="4" t="s">
        <v>10118</v>
      </c>
    </row>
    <row r="8029">
      <c r="A8029" s="4">
        <v>216.0</v>
      </c>
      <c r="B8029" s="4" t="s">
        <v>17419</v>
      </c>
      <c r="C8029" s="4"/>
      <c r="D8029" s="4" t="s">
        <v>17842</v>
      </c>
      <c r="E8029" s="4" t="s">
        <v>17843</v>
      </c>
      <c r="F8029" s="4" t="s">
        <v>17842</v>
      </c>
      <c r="G8029" s="5" t="str">
        <f>IFERROR(__xludf.DUMMYFUNCTION("GOOGLETRANSLATE(D8029,""pl"",""es"")"),"Enlace")</f>
        <v>Enlace</v>
      </c>
      <c r="H8029" s="4" t="s">
        <v>510</v>
      </c>
      <c r="I8029" s="4" t="s">
        <v>17844</v>
      </c>
      <c r="J8029" s="4" t="s">
        <v>17845</v>
      </c>
    </row>
    <row r="8030">
      <c r="A8030" s="4">
        <v>217.0</v>
      </c>
      <c r="B8030" s="4" t="s">
        <v>17419</v>
      </c>
      <c r="C8030" s="4"/>
      <c r="D8030" s="4" t="s">
        <v>6092</v>
      </c>
      <c r="E8030" s="4" t="s">
        <v>14689</v>
      </c>
      <c r="F8030" s="4" t="s">
        <v>6092</v>
      </c>
      <c r="G8030" s="5" t="str">
        <f>IFERROR(__xludf.DUMMYFUNCTION("GOOGLETRANSLATE(D8030,""pl"",""es"")"),"kum")</f>
        <v>kum</v>
      </c>
    </row>
    <row r="8031">
      <c r="A8031" s="4">
        <v>218.0</v>
      </c>
      <c r="B8031" s="4" t="s">
        <v>17419</v>
      </c>
      <c r="C8031" s="4"/>
      <c r="D8031" s="4" t="s">
        <v>17846</v>
      </c>
      <c r="E8031" s="4" t="s">
        <v>17847</v>
      </c>
      <c r="F8031" s="4" t="s">
        <v>17846</v>
      </c>
      <c r="G8031" s="5" t="str">
        <f>IFERROR(__xludf.DUMMYFUNCTION("GOOGLETRANSLATE(D8031,""pl"",""es"")"),"madrina")</f>
        <v>madrina</v>
      </c>
    </row>
    <row r="8032">
      <c r="A8032" s="4">
        <v>219.0</v>
      </c>
      <c r="B8032" s="4" t="s">
        <v>17419</v>
      </c>
      <c r="C8032" s="4"/>
      <c r="D8032" s="4" t="s">
        <v>17848</v>
      </c>
      <c r="E8032" s="4" t="s">
        <v>17849</v>
      </c>
      <c r="F8032" s="4" t="s">
        <v>17850</v>
      </c>
      <c r="G8032" s="5" t="str">
        <f>IFERROR(__xludf.DUMMYFUNCTION("GOOGLETRANSLATE(D8032,""pl"",""es"")"),"kumach")</f>
        <v>kumach</v>
      </c>
    </row>
    <row r="8033">
      <c r="A8033" s="4">
        <v>220.0</v>
      </c>
      <c r="B8033" s="4" t="s">
        <v>17419</v>
      </c>
      <c r="C8033" s="4"/>
      <c r="D8033" s="4" t="s">
        <v>17851</v>
      </c>
      <c r="E8033" s="4" t="s">
        <v>17852</v>
      </c>
      <c r="F8033" s="4" t="s">
        <v>17853</v>
      </c>
      <c r="G8033" s="5" t="str">
        <f>IFERROR(__xludf.DUMMYFUNCTION("GOOGLETRANSLATE(D8033,""pl"",""es"")"),"kumaj")</f>
        <v>kumaj</v>
      </c>
    </row>
    <row r="8034">
      <c r="A8034" s="4">
        <v>221.0</v>
      </c>
      <c r="B8034" s="4" t="s">
        <v>17419</v>
      </c>
      <c r="C8034" s="4"/>
      <c r="D8034" s="4" t="s">
        <v>17850</v>
      </c>
      <c r="E8034" s="4" t="s">
        <v>17854</v>
      </c>
      <c r="F8034" s="4" t="s">
        <v>17850</v>
      </c>
      <c r="G8034" s="5" t="str">
        <f>IFERROR(__xludf.DUMMYFUNCTION("GOOGLETRANSLATE(D8034,""pl"",""es"")"),"Cabron")</f>
        <v>Cabron</v>
      </c>
      <c r="H8034" s="4" t="s">
        <v>17855</v>
      </c>
      <c r="I8034" s="4" t="s">
        <v>17856</v>
      </c>
    </row>
    <row r="8035">
      <c r="A8035" s="4">
        <v>222.0</v>
      </c>
      <c r="B8035" s="4" t="s">
        <v>17419</v>
      </c>
      <c r="C8035" s="4"/>
      <c r="D8035" s="4" t="s">
        <v>17857</v>
      </c>
      <c r="E8035" s="4" t="s">
        <v>17858</v>
      </c>
      <c r="F8035" s="4" t="s">
        <v>17857</v>
      </c>
      <c r="G8035" s="5" t="str">
        <f>IFERROR(__xludf.DUMMYFUNCTION("GOOGLETRANSLATE(D8035,""pl"",""es"")"),"kumali")</f>
        <v>kumali</v>
      </c>
    </row>
    <row r="8036">
      <c r="A8036" s="4">
        <v>223.0</v>
      </c>
      <c r="B8036" s="4" t="s">
        <v>17419</v>
      </c>
      <c r="C8036" s="4"/>
      <c r="D8036" s="4" t="s">
        <v>17859</v>
      </c>
      <c r="E8036" s="4" t="s">
        <v>17860</v>
      </c>
      <c r="F8036" s="4" t="s">
        <v>17859</v>
      </c>
      <c r="G8036" s="5" t="str">
        <f>IFERROR(__xludf.DUMMYFUNCTION("GOOGLETRANSLATE(D8036,""pl"",""es"")"),"kumam")</f>
        <v>kumam</v>
      </c>
    </row>
    <row r="8037">
      <c r="A8037" s="4">
        <v>224.0</v>
      </c>
      <c r="B8037" s="4" t="s">
        <v>17419</v>
      </c>
      <c r="C8037" s="4"/>
      <c r="D8037" s="4" t="s">
        <v>17861</v>
      </c>
      <c r="E8037" s="4" t="s">
        <v>17862</v>
      </c>
      <c r="F8037" s="4" t="s">
        <v>17861</v>
      </c>
      <c r="G8037" s="5" t="str">
        <f>IFERROR(__xludf.DUMMYFUNCTION("GOOGLETRANSLATE(D8037,""pl"",""es"")"),"kumans")</f>
        <v>kumans</v>
      </c>
    </row>
    <row r="8038">
      <c r="A8038" s="4">
        <v>225.0</v>
      </c>
      <c r="B8038" s="4" t="s">
        <v>17419</v>
      </c>
      <c r="C8038" s="4"/>
      <c r="D8038" s="4" t="s">
        <v>17863</v>
      </c>
      <c r="E8038" s="4" t="s">
        <v>17864</v>
      </c>
      <c r="F8038" s="4" t="s">
        <v>17863</v>
      </c>
      <c r="G8038" s="5" t="str">
        <f>IFERROR(__xludf.DUMMYFUNCTION("GOOGLETRANSLATE(D8038,""pl"",""es"")"),"kumat")</f>
        <v>kumat</v>
      </c>
    </row>
    <row r="8039">
      <c r="A8039" s="4">
        <v>226.0</v>
      </c>
      <c r="B8039" s="4" t="s">
        <v>17419</v>
      </c>
      <c r="C8039" s="4"/>
      <c r="D8039" s="4" t="s">
        <v>8223</v>
      </c>
      <c r="E8039" s="4" t="s">
        <v>8222</v>
      </c>
      <c r="F8039" s="4" t="s">
        <v>8223</v>
      </c>
      <c r="G8039" s="5" t="str">
        <f>IFERROR(__xludf.DUMMYFUNCTION("GOOGLETRANSLATE(D8039,""pl"",""es"")"),"kun")</f>
        <v>kun</v>
      </c>
    </row>
    <row r="8040">
      <c r="A8040" s="4">
        <v>227.0</v>
      </c>
      <c r="B8040" s="4" t="s">
        <v>17419</v>
      </c>
      <c r="C8040" s="4"/>
      <c r="D8040" s="4" t="s">
        <v>10135</v>
      </c>
      <c r="E8040" s="4" t="s">
        <v>15066</v>
      </c>
      <c r="F8040" s="4" t="s">
        <v>10135</v>
      </c>
      <c r="G8040" s="5" t="str">
        <f>IFERROR(__xludf.DUMMYFUNCTION("GOOGLETRANSLATE(D8040,""pl"",""es"")"),"marta")</f>
        <v>marta</v>
      </c>
      <c r="H8040" s="4" t="s">
        <v>17865</v>
      </c>
      <c r="I8040" s="4" t="s">
        <v>17866</v>
      </c>
    </row>
    <row r="8041">
      <c r="A8041" s="4">
        <v>228.0</v>
      </c>
      <c r="B8041" s="4" t="s">
        <v>17419</v>
      </c>
      <c r="C8041" s="4"/>
      <c r="D8041" s="4" t="s">
        <v>17867</v>
      </c>
      <c r="E8041" s="4" t="s">
        <v>17868</v>
      </c>
      <c r="F8041" s="4" t="s">
        <v>17869</v>
      </c>
      <c r="G8041" s="5" t="str">
        <f>IFERROR(__xludf.DUMMYFUNCTION("GOOGLETRANSLATE(D8041,""pl"",""es"")"),"kunach")</f>
        <v>kunach</v>
      </c>
    </row>
    <row r="8042">
      <c r="A8042" s="4">
        <v>229.0</v>
      </c>
      <c r="B8042" s="4" t="s">
        <v>17419</v>
      </c>
      <c r="C8042" s="4"/>
      <c r="D8042" s="4" t="s">
        <v>17870</v>
      </c>
      <c r="E8042" s="4" t="s">
        <v>17871</v>
      </c>
      <c r="F8042" s="4" t="s">
        <v>17870</v>
      </c>
      <c r="G8042" s="5" t="str">
        <f>IFERROR(__xludf.DUMMYFUNCTION("GOOGLETRANSLATE(D8042,""pl"",""es"")"),"kunami")</f>
        <v>kunami</v>
      </c>
    </row>
    <row r="8043">
      <c r="A8043" s="4">
        <v>230.0</v>
      </c>
      <c r="B8043" s="4" t="s">
        <v>17419</v>
      </c>
      <c r="C8043" s="4"/>
      <c r="D8043" s="4" t="s">
        <v>17872</v>
      </c>
      <c r="E8043" s="4" t="s">
        <v>17873</v>
      </c>
      <c r="F8043" s="4" t="s">
        <v>17874</v>
      </c>
      <c r="G8043" s="5" t="str">
        <f>IFERROR(__xludf.DUMMYFUNCTION("GOOGLETRANSLATE(D8043,""pl"",""es"")"),"Kuni")</f>
        <v>Kuni</v>
      </c>
    </row>
    <row r="8044">
      <c r="A8044" s="4">
        <v>231.0</v>
      </c>
      <c r="B8044" s="4" t="s">
        <v>17419</v>
      </c>
      <c r="C8044" s="4"/>
      <c r="D8044" s="4" t="s">
        <v>17875</v>
      </c>
      <c r="E8044" s="4" t="s">
        <v>5223</v>
      </c>
      <c r="F8044" s="4" t="s">
        <v>5224</v>
      </c>
      <c r="G8044" s="5" t="str">
        <f>IFERROR(__xludf.DUMMYFUNCTION("GOOGLETRANSLATE(D8044,""pl"",""es"")"),"Kunia")</f>
        <v>Kunia</v>
      </c>
    </row>
    <row r="8045">
      <c r="A8045" s="4">
        <v>232.0</v>
      </c>
      <c r="B8045" s="4" t="s">
        <v>17419</v>
      </c>
      <c r="C8045" s="4"/>
      <c r="D8045" s="4" t="s">
        <v>17876</v>
      </c>
      <c r="E8045" s="4" t="s">
        <v>17877</v>
      </c>
      <c r="F8045" s="4" t="s">
        <v>17878</v>
      </c>
      <c r="G8045" s="5" t="str">
        <f>IFERROR(__xludf.DUMMYFUNCTION("GOOGLETRANSLATE(D8045,""pl"",""es"")"),"Kunich")</f>
        <v>Kunich</v>
      </c>
    </row>
    <row r="8046">
      <c r="A8046" s="4">
        <v>233.0</v>
      </c>
      <c r="B8046" s="4" t="s">
        <v>17419</v>
      </c>
      <c r="C8046" s="4"/>
      <c r="D8046" s="4" t="s">
        <v>17879</v>
      </c>
      <c r="E8046" s="4" t="s">
        <v>17880</v>
      </c>
      <c r="F8046" s="4" t="s">
        <v>17881</v>
      </c>
      <c r="G8046" s="5" t="str">
        <f>IFERROR(__xludf.DUMMYFUNCTION("GOOGLETRANSLATE(D8046,""pl"",""es"")"),"Kunim")</f>
        <v>Kunim</v>
      </c>
    </row>
    <row r="8047">
      <c r="A8047" s="4">
        <v>234.0</v>
      </c>
      <c r="B8047" s="4" t="s">
        <v>17419</v>
      </c>
      <c r="C8047" s="4"/>
      <c r="D8047" s="4" t="s">
        <v>17882</v>
      </c>
      <c r="E8047" s="4" t="s">
        <v>17883</v>
      </c>
      <c r="F8047" s="4" t="s">
        <v>17884</v>
      </c>
      <c r="G8047" s="5" t="str">
        <f>IFERROR(__xludf.DUMMYFUNCTION("GOOGLETRANSLATE(D8047,""pl"",""es"")"),"Kunimi")</f>
        <v>Kunimi</v>
      </c>
    </row>
    <row r="8048">
      <c r="A8048" s="4">
        <v>235.0</v>
      </c>
      <c r="B8048" s="4" t="s">
        <v>17419</v>
      </c>
      <c r="C8048" s="4"/>
      <c r="D8048" s="4" t="s">
        <v>325</v>
      </c>
      <c r="E8048" s="4" t="s">
        <v>324</v>
      </c>
      <c r="F8048" s="4" t="s">
        <v>325</v>
      </c>
      <c r="G8048" s="5" t="str">
        <f>IFERROR(__xludf.DUMMYFUNCTION("GOOGLETRANSLATE(D8048,""pl"",""es"")"),"comprar")</f>
        <v>comprar</v>
      </c>
    </row>
    <row r="8049">
      <c r="A8049" s="4">
        <v>236.0</v>
      </c>
      <c r="B8049" s="4" t="s">
        <v>17419</v>
      </c>
      <c r="C8049" s="4"/>
      <c r="D8049" s="4" t="s">
        <v>5229</v>
      </c>
      <c r="E8049" s="4" t="s">
        <v>5228</v>
      </c>
      <c r="F8049" s="4" t="s">
        <v>5229</v>
      </c>
      <c r="G8049" s="5" t="str">
        <f>IFERROR(__xludf.DUMMYFUNCTION("GOOGLETRANSLATE(D8049,""pl"",""es"")"),"montón")</f>
        <v>montón</v>
      </c>
      <c r="H8049" s="4" t="s">
        <v>483</v>
      </c>
      <c r="I8049" s="4" t="s">
        <v>484</v>
      </c>
      <c r="J8049" s="4" t="s">
        <v>2824</v>
      </c>
      <c r="K8049" s="4" t="s">
        <v>2825</v>
      </c>
      <c r="L8049" s="4" t="s">
        <v>2826</v>
      </c>
      <c r="M8049" s="4" t="s">
        <v>1734</v>
      </c>
    </row>
    <row r="8050">
      <c r="A8050" s="4">
        <v>237.0</v>
      </c>
      <c r="B8050" s="4" t="s">
        <v>17419</v>
      </c>
      <c r="C8050" s="4"/>
      <c r="D8050" s="4" t="s">
        <v>17885</v>
      </c>
      <c r="E8050" s="4" t="s">
        <v>17886</v>
      </c>
      <c r="F8050" s="4" t="s">
        <v>17887</v>
      </c>
      <c r="G8050" s="5" t="str">
        <f>IFERROR(__xludf.DUMMYFUNCTION("GOOGLETRANSLATE(D8050,""pl"",""es"")"),"montón")</f>
        <v>montón</v>
      </c>
    </row>
    <row r="8051">
      <c r="A8051" s="4">
        <v>238.0</v>
      </c>
      <c r="B8051" s="4" t="s">
        <v>17419</v>
      </c>
      <c r="C8051" s="4"/>
      <c r="D8051" s="4" t="s">
        <v>17888</v>
      </c>
      <c r="E8051" s="4" t="s">
        <v>17889</v>
      </c>
      <c r="F8051" s="4" t="s">
        <v>17890</v>
      </c>
      <c r="G8051" s="5" t="str">
        <f>IFERROR(__xludf.DUMMYFUNCTION("GOOGLETRANSLATE(D8051,""pl"",""es"")"),"comprar")</f>
        <v>comprar</v>
      </c>
    </row>
    <row r="8052">
      <c r="A8052" s="4">
        <v>239.0</v>
      </c>
      <c r="B8052" s="4" t="s">
        <v>17419</v>
      </c>
      <c r="C8052" s="4"/>
      <c r="D8052" s="4" t="s">
        <v>17891</v>
      </c>
      <c r="E8052" s="4" t="s">
        <v>17892</v>
      </c>
      <c r="F8052" s="4" t="s">
        <v>17891</v>
      </c>
      <c r="G8052" s="5" t="str">
        <f>IFERROR(__xludf.DUMMYFUNCTION("GOOGLETRANSLATE(D8052,""pl"",""es"")"),"caca")</f>
        <v>caca</v>
      </c>
    </row>
    <row r="8053">
      <c r="A8053" s="4">
        <v>240.0</v>
      </c>
      <c r="B8053" s="4" t="s">
        <v>17419</v>
      </c>
      <c r="C8053" s="4"/>
      <c r="D8053" s="4" t="s">
        <v>17893</v>
      </c>
      <c r="E8053" s="4" t="s">
        <v>220</v>
      </c>
      <c r="F8053" s="4" t="s">
        <v>221</v>
      </c>
      <c r="G8053" s="5" t="str">
        <f>IFERROR(__xludf.DUMMYFUNCTION("GOOGLETRANSLATE(D8053,""pl"",""es"")"),"comprar")</f>
        <v>comprar</v>
      </c>
    </row>
    <row r="8054">
      <c r="A8054" s="4">
        <v>241.0</v>
      </c>
      <c r="B8054" s="4" t="s">
        <v>17419</v>
      </c>
      <c r="C8054" s="4"/>
      <c r="D8054" s="4" t="s">
        <v>17894</v>
      </c>
      <c r="E8054" s="4" t="s">
        <v>17895</v>
      </c>
      <c r="F8054" s="4" t="s">
        <v>17896</v>
      </c>
      <c r="G8054" s="5" t="str">
        <f>IFERROR(__xludf.DUMMYFUNCTION("GOOGLETRANSLATE(D8054,""pl"",""es"")"),"comprar")</f>
        <v>comprar</v>
      </c>
    </row>
    <row r="8055">
      <c r="A8055" s="4">
        <v>242.0</v>
      </c>
      <c r="B8055" s="4" t="s">
        <v>17419</v>
      </c>
      <c r="C8055" s="4"/>
      <c r="D8055" s="4" t="s">
        <v>17897</v>
      </c>
      <c r="E8055" s="4" t="s">
        <v>17898</v>
      </c>
      <c r="F8055" s="4" t="s">
        <v>17899</v>
      </c>
      <c r="G8055" s="5" t="str">
        <f>IFERROR(__xludf.DUMMYFUNCTION("GOOGLETRANSLATE(D8055,""pl"",""es"")"),"comprar")</f>
        <v>comprar</v>
      </c>
    </row>
    <row r="8056">
      <c r="A8056" s="4">
        <v>243.0</v>
      </c>
      <c r="B8056" s="4" t="s">
        <v>17419</v>
      </c>
      <c r="C8056" s="4"/>
      <c r="D8056" s="4" t="s">
        <v>17900</v>
      </c>
      <c r="E8056" s="4" t="s">
        <v>17901</v>
      </c>
      <c r="F8056" s="4" t="s">
        <v>17900</v>
      </c>
      <c r="G8056" s="5" t="str">
        <f>IFERROR(__xludf.DUMMYFUNCTION("GOOGLETRANSLATE(D8056,""pl"",""es"")"),"tú compraste")</f>
        <v>tú compraste</v>
      </c>
    </row>
    <row r="8057">
      <c r="A8057" s="4">
        <v>244.0</v>
      </c>
      <c r="B8057" s="4" t="s">
        <v>17419</v>
      </c>
      <c r="C8057" s="4"/>
      <c r="D8057" s="4" t="s">
        <v>17902</v>
      </c>
      <c r="E8057" s="4" t="s">
        <v>17903</v>
      </c>
      <c r="F8057" s="4" t="s">
        <v>17902</v>
      </c>
      <c r="G8057" s="5" t="str">
        <f>IFERROR(__xludf.DUMMYFUNCTION("GOOGLETRANSLATE(D8057,""pl"",""es"")"),"comprar")</f>
        <v>comprar</v>
      </c>
    </row>
    <row r="8058">
      <c r="A8058" s="4">
        <v>245.0</v>
      </c>
      <c r="B8058" s="4" t="s">
        <v>17419</v>
      </c>
      <c r="C8058" s="4"/>
      <c r="D8058" s="4" t="s">
        <v>17904</v>
      </c>
      <c r="E8058" s="4" t="s">
        <v>17905</v>
      </c>
      <c r="F8058" s="4" t="s">
        <v>17906</v>
      </c>
      <c r="G8058" s="5" t="str">
        <f>IFERROR(__xludf.DUMMYFUNCTION("GOOGLETRANSLATE(D8058,""pl"",""es"")"),"comprar")</f>
        <v>comprar</v>
      </c>
    </row>
    <row r="8059">
      <c r="A8059" s="4">
        <v>246.0</v>
      </c>
      <c r="B8059" s="4" t="s">
        <v>17419</v>
      </c>
      <c r="C8059" s="4"/>
      <c r="D8059" s="4" t="s">
        <v>1675</v>
      </c>
      <c r="E8059" s="4" t="s">
        <v>1674</v>
      </c>
      <c r="F8059" s="4" t="s">
        <v>1675</v>
      </c>
      <c r="G8059" s="5" t="str">
        <f>IFERROR(__xludf.DUMMYFUNCTION("GOOGLETRANSLATE(D8059,""pl"",""es"")"),"cous")</f>
        <v>cous</v>
      </c>
    </row>
    <row r="8060">
      <c r="A8060" s="4">
        <v>247.0</v>
      </c>
      <c r="B8060" s="4" t="s">
        <v>17419</v>
      </c>
      <c r="C8060" s="4"/>
      <c r="D8060" s="4" t="s">
        <v>17907</v>
      </c>
      <c r="E8060" s="4" t="s">
        <v>17908</v>
      </c>
      <c r="F8060" s="4" t="s">
        <v>17907</v>
      </c>
      <c r="G8060" s="5" t="str">
        <f>IFERROR(__xludf.DUMMYFUNCTION("GOOGLETRANSLATE(D8060,""pl"",""es"")"),"CUSA")</f>
        <v>CUSA</v>
      </c>
    </row>
    <row r="8061">
      <c r="A8061" s="4">
        <v>248.0</v>
      </c>
      <c r="B8061" s="4" t="s">
        <v>17419</v>
      </c>
      <c r="C8061" s="4"/>
      <c r="D8061" s="4" t="s">
        <v>17909</v>
      </c>
      <c r="E8061" s="4" t="s">
        <v>17910</v>
      </c>
      <c r="F8061" s="4" t="s">
        <v>17911</v>
      </c>
      <c r="G8061" s="5" t="str">
        <f>IFERROR(__xludf.DUMMYFUNCTION("GOOGLETRANSLATE(D8061,""pl"",""es"")"),"tentador")</f>
        <v>tentador</v>
      </c>
    </row>
    <row r="8062">
      <c r="A8062" s="4">
        <v>249.0</v>
      </c>
      <c r="B8062" s="4" t="s">
        <v>17419</v>
      </c>
      <c r="C8062" s="4"/>
      <c r="D8062" s="4" t="s">
        <v>17912</v>
      </c>
      <c r="E8062" s="4" t="s">
        <v>17913</v>
      </c>
      <c r="F8062" s="4" t="s">
        <v>17912</v>
      </c>
      <c r="G8062" s="5" t="str">
        <f>IFERROR(__xludf.DUMMYFUNCTION("GOOGLETRANSLATE(D8062,""pl"",""es"")"),"kusak")</f>
        <v>kusak</v>
      </c>
      <c r="H8062" s="4" t="s">
        <v>13846</v>
      </c>
      <c r="I8062" s="4" t="s">
        <v>13847</v>
      </c>
    </row>
    <row r="8063">
      <c r="A8063" s="4">
        <v>250.0</v>
      </c>
      <c r="B8063" s="4" t="s">
        <v>17419</v>
      </c>
      <c r="C8063" s="4"/>
      <c r="D8063" s="4" t="s">
        <v>17914</v>
      </c>
      <c r="E8063" s="4" t="s">
        <v>17915</v>
      </c>
      <c r="F8063" s="4" t="s">
        <v>17914</v>
      </c>
      <c r="G8063" s="5" t="str">
        <f>IFERROR(__xludf.DUMMYFUNCTION("GOOGLETRANSLATE(D8063,""pl"",""es"")"),"primo")</f>
        <v>primo</v>
      </c>
    </row>
    <row r="8064">
      <c r="A8064" s="4">
        <v>251.0</v>
      </c>
      <c r="B8064" s="4" t="s">
        <v>17419</v>
      </c>
      <c r="C8064" s="4"/>
      <c r="D8064" s="4" t="s">
        <v>10156</v>
      </c>
      <c r="E8064" s="4" t="s">
        <v>17916</v>
      </c>
      <c r="F8064" s="4" t="s">
        <v>10156</v>
      </c>
      <c r="G8064" s="5" t="str">
        <f>IFERROR(__xludf.DUMMYFUNCTION("GOOGLETRANSLATE(D8064,""pl"",""es"")"),"falsificado")</f>
        <v>falsificado</v>
      </c>
    </row>
    <row r="8065">
      <c r="A8065" s="4">
        <v>252.0</v>
      </c>
      <c r="B8065" s="4" t="s">
        <v>17419</v>
      </c>
      <c r="C8065" s="4"/>
      <c r="D8065" s="4" t="s">
        <v>17917</v>
      </c>
      <c r="E8065" s="4" t="s">
        <v>17918</v>
      </c>
      <c r="F8065" s="4" t="s">
        <v>17919</v>
      </c>
      <c r="G8065" s="5" t="str">
        <f>IFERROR(__xludf.DUMMYFUNCTION("GOOGLETRANSLATE(D8065,""pl"",""es"")"),"polla")</f>
        <v>polla</v>
      </c>
    </row>
    <row r="8066">
      <c r="A8066" s="4">
        <v>253.0</v>
      </c>
      <c r="B8066" s="4" t="s">
        <v>17419</v>
      </c>
      <c r="C8066" s="4"/>
      <c r="D8066" s="4" t="s">
        <v>17920</v>
      </c>
      <c r="E8066" s="4" t="s">
        <v>17921</v>
      </c>
      <c r="F8066" s="4" t="s">
        <v>17920</v>
      </c>
      <c r="G8066" s="5" t="str">
        <f>IFERROR(__xludf.DUMMYFUNCTION("GOOGLETRANSLATE(D8066,""pl"",""es"")"),"polla")</f>
        <v>polla</v>
      </c>
      <c r="H8066" s="4" t="s">
        <v>3596</v>
      </c>
      <c r="I8066" s="4" t="s">
        <v>3497</v>
      </c>
      <c r="J8066" s="4" t="s">
        <v>3597</v>
      </c>
      <c r="K8066" s="4" t="s">
        <v>3598</v>
      </c>
      <c r="L8066" s="4" t="s">
        <v>3599</v>
      </c>
      <c r="M8066" s="4" t="s">
        <v>3600</v>
      </c>
      <c r="N8066" s="4" t="s">
        <v>3601</v>
      </c>
      <c r="O8066" s="4" t="s">
        <v>3602</v>
      </c>
      <c r="P8066" s="4" t="s">
        <v>17493</v>
      </c>
      <c r="Q8066" s="4" t="s">
        <v>17494</v>
      </c>
      <c r="R8066" s="4" t="s">
        <v>17495</v>
      </c>
      <c r="S8066" s="4" t="s">
        <v>17496</v>
      </c>
      <c r="T8066" s="4" t="s">
        <v>8769</v>
      </c>
      <c r="U8066" s="4" t="s">
        <v>17497</v>
      </c>
      <c r="V8066" s="4" t="s">
        <v>17498</v>
      </c>
      <c r="W8066" s="4" t="s">
        <v>3497</v>
      </c>
      <c r="X8066" s="4" t="s">
        <v>17499</v>
      </c>
      <c r="Y8066" s="4" t="s">
        <v>17500</v>
      </c>
      <c r="Z8066" s="4" t="s">
        <v>17501</v>
      </c>
    </row>
    <row r="8067">
      <c r="A8067" s="4">
        <v>254.0</v>
      </c>
      <c r="B8067" s="4" t="s">
        <v>17419</v>
      </c>
      <c r="C8067" s="4"/>
      <c r="D8067" s="4" t="s">
        <v>17922</v>
      </c>
      <c r="E8067" s="4" t="s">
        <v>12219</v>
      </c>
      <c r="F8067" s="4" t="s">
        <v>468</v>
      </c>
      <c r="G8067" s="5" t="str">
        <f>IFERROR(__xludf.DUMMYFUNCTION("GOOGLETRANSLATE(D8067,""pl"",""es"")"),"rey")</f>
        <v>rey</v>
      </c>
    </row>
    <row r="8068">
      <c r="A8068" s="4">
        <v>255.0</v>
      </c>
      <c r="B8068" s="4" t="s">
        <v>17419</v>
      </c>
      <c r="C8068" s="4"/>
      <c r="D8068" s="4" t="s">
        <v>17923</v>
      </c>
      <c r="E8068" s="4" t="s">
        <v>324</v>
      </c>
      <c r="F8068" s="4" t="s">
        <v>325</v>
      </c>
      <c r="G8068" s="5" t="str">
        <f>IFERROR(__xludf.DUMMYFUNCTION("GOOGLETRANSLATE(D8068,""pl"",""es"")"),"rey")</f>
        <v>rey</v>
      </c>
    </row>
    <row r="8069">
      <c r="A8069" s="4">
        <v>256.0</v>
      </c>
      <c r="B8069" s="4" t="s">
        <v>17419</v>
      </c>
      <c r="C8069" s="4"/>
      <c r="D8069" s="4" t="s">
        <v>17924</v>
      </c>
      <c r="E8069" s="4" t="s">
        <v>1674</v>
      </c>
      <c r="F8069" s="4" t="s">
        <v>1675</v>
      </c>
      <c r="G8069" s="5" t="str">
        <f>IFERROR(__xludf.DUMMYFUNCTION("GOOGLETRANSLATE(D8069,""pl"",""es"")"),"cabra")</f>
        <v>cabra</v>
      </c>
    </row>
    <row r="8070">
      <c r="A8070" s="4">
        <v>257.0</v>
      </c>
      <c r="B8070" s="4" t="s">
        <v>17419</v>
      </c>
      <c r="C8070" s="4"/>
      <c r="D8070" s="4" t="s">
        <v>6518</v>
      </c>
      <c r="E8070" s="4" t="s">
        <v>17925</v>
      </c>
      <c r="F8070" s="4" t="s">
        <v>4831</v>
      </c>
      <c r="G8070" s="5" t="str">
        <f>IFERROR(__xludf.DUMMYFUNCTION("GOOGLETRANSLATE(D8070,""pl"",""es"")"),"lacera")</f>
        <v>lacera</v>
      </c>
    </row>
    <row r="8071">
      <c r="A8071" s="4">
        <v>258.0</v>
      </c>
      <c r="B8071" s="4" t="s">
        <v>17419</v>
      </c>
      <c r="C8071" s="4"/>
      <c r="D8071" s="4" t="s">
        <v>17926</v>
      </c>
      <c r="E8071" s="4" t="s">
        <v>17927</v>
      </c>
      <c r="F8071" s="4" t="s">
        <v>17928</v>
      </c>
      <c r="G8071" s="5" t="str">
        <f>IFERROR(__xludf.DUMMYFUNCTION("GOOGLETRANSLATE(D8071,""pl"",""es"")"),"banco de arena")</f>
        <v>banco de arena</v>
      </c>
      <c r="H8071" s="4" t="s">
        <v>3596</v>
      </c>
      <c r="I8071" s="4" t="s">
        <v>3497</v>
      </c>
      <c r="J8071" s="4" t="s">
        <v>3597</v>
      </c>
      <c r="K8071" s="4" t="s">
        <v>3598</v>
      </c>
      <c r="L8071" s="4" t="s">
        <v>3599</v>
      </c>
      <c r="M8071" s="4" t="s">
        <v>3600</v>
      </c>
      <c r="N8071" s="4" t="s">
        <v>3601</v>
      </c>
      <c r="O8071" s="4" t="s">
        <v>3602</v>
      </c>
    </row>
    <row r="8072">
      <c r="A8072" s="4">
        <v>259.0</v>
      </c>
      <c r="B8072" s="4" t="s">
        <v>17419</v>
      </c>
      <c r="C8072" s="4"/>
      <c r="D8072" s="4" t="s">
        <v>17929</v>
      </c>
      <c r="E8072" s="4" t="s">
        <v>17930</v>
      </c>
      <c r="F8072" s="4" t="s">
        <v>17931</v>
      </c>
      <c r="G8072" s="5" t="str">
        <f>IFERROR(__xludf.DUMMYFUNCTION("GOOGLETRANSLATE(D8072,""pl"",""es"")"),"lacera")</f>
        <v>lacera</v>
      </c>
    </row>
    <row r="8073">
      <c r="A8073" s="4">
        <v>260.0</v>
      </c>
      <c r="B8073" s="4" t="s">
        <v>17419</v>
      </c>
      <c r="C8073" s="4"/>
      <c r="D8073" s="4" t="s">
        <v>17932</v>
      </c>
      <c r="E8073" s="4" t="s">
        <v>17933</v>
      </c>
      <c r="F8073" s="4" t="s">
        <v>17934</v>
      </c>
      <c r="G8073" s="5" t="str">
        <f>IFERROR(__xludf.DUMMYFUNCTION("GOOGLETRANSLATE(D8073,""pl"",""es"")"),"lacami")</f>
        <v>lacami</v>
      </c>
    </row>
    <row r="8074">
      <c r="A8074" s="4">
        <v>261.0</v>
      </c>
      <c r="B8074" s="4" t="s">
        <v>17419</v>
      </c>
      <c r="C8074" s="4"/>
      <c r="D8074" s="4" t="s">
        <v>17935</v>
      </c>
      <c r="E8074" s="4" t="s">
        <v>17936</v>
      </c>
      <c r="F8074" s="4" t="s">
        <v>10242</v>
      </c>
      <c r="G8074" s="5" t="str">
        <f>IFERROR(__xludf.DUMMYFUNCTION("GOOGLETRANSLATE(D8074,""pl"",""es"")"),"Lachu")</f>
        <v>Lachu</v>
      </c>
    </row>
    <row r="8075">
      <c r="A8075" s="4">
        <v>262.0</v>
      </c>
      <c r="B8075" s="4" t="s">
        <v>17419</v>
      </c>
      <c r="C8075" s="4"/>
      <c r="D8075" s="4" t="s">
        <v>16381</v>
      </c>
      <c r="E8075" s="4" t="s">
        <v>4832</v>
      </c>
      <c r="F8075" s="4" t="s">
        <v>4831</v>
      </c>
      <c r="G8075" s="5" t="str">
        <f>IFERROR(__xludf.DUMMYFUNCTION("GOOGLETRANSLATE(D8075,""pl"",""es"")"),"retraso")</f>
        <v>retraso</v>
      </c>
    </row>
    <row r="8076">
      <c r="A8076" s="4">
        <v>263.0</v>
      </c>
      <c r="B8076" s="4" t="s">
        <v>17419</v>
      </c>
      <c r="C8076" s="4"/>
      <c r="D8076" s="4" t="s">
        <v>4831</v>
      </c>
      <c r="E8076" s="4" t="s">
        <v>4832</v>
      </c>
      <c r="F8076" s="4" t="s">
        <v>4831</v>
      </c>
      <c r="G8076" s="5" t="str">
        <f>IFERROR(__xludf.DUMMYFUNCTION("GOOGLETRANSLATE(D8076,""pl"",""es"")"),"barniz")</f>
        <v>barniz</v>
      </c>
      <c r="H8076" s="4" t="s">
        <v>17937</v>
      </c>
      <c r="I8076" s="4" t="s">
        <v>17938</v>
      </c>
      <c r="J8076" s="4" t="s">
        <v>6458</v>
      </c>
    </row>
    <row r="8077">
      <c r="A8077" s="4">
        <v>264.0</v>
      </c>
      <c r="B8077" s="4" t="s">
        <v>17419</v>
      </c>
      <c r="C8077" s="4"/>
      <c r="D8077" s="4" t="s">
        <v>17928</v>
      </c>
      <c r="E8077" s="4" t="s">
        <v>17939</v>
      </c>
      <c r="F8077" s="4" t="s">
        <v>17928</v>
      </c>
      <c r="G8077" s="5" t="str">
        <f>IFERROR(__xludf.DUMMYFUNCTION("GOOGLETRANSLATE(D8077,""pl"",""es"")"),"prado")</f>
        <v>prado</v>
      </c>
      <c r="H8077" s="4" t="s">
        <v>12528</v>
      </c>
    </row>
    <row r="8078">
      <c r="A8078" s="4">
        <v>265.0</v>
      </c>
      <c r="B8078" s="4" t="s">
        <v>17419</v>
      </c>
      <c r="C8078" s="4"/>
      <c r="D8078" s="4" t="s">
        <v>17940</v>
      </c>
      <c r="E8078" s="4" t="s">
        <v>17941</v>
      </c>
      <c r="F8078" s="4" t="s">
        <v>17931</v>
      </c>
      <c r="G8078" s="5" t="str">
        <f>IFERROR(__xludf.DUMMYFUNCTION("GOOGLETRANSLATE(D8078,""pl"",""es"")"),"barniz")</f>
        <v>barniz</v>
      </c>
    </row>
    <row r="8079">
      <c r="A8079" s="4">
        <v>266.0</v>
      </c>
      <c r="B8079" s="4" t="s">
        <v>17419</v>
      </c>
      <c r="C8079" s="4"/>
      <c r="D8079" s="4" t="s">
        <v>17934</v>
      </c>
      <c r="E8079" s="4" t="s">
        <v>17942</v>
      </c>
      <c r="F8079" s="4" t="s">
        <v>17934</v>
      </c>
      <c r="G8079" s="5" t="str">
        <f>IFERROR(__xludf.DUMMYFUNCTION("GOOGLETRANSLATE(D8079,""pl"",""es"")"),"lento")</f>
        <v>lento</v>
      </c>
    </row>
    <row r="8080">
      <c r="A8080" s="4">
        <v>267.0</v>
      </c>
      <c r="B8080" s="4" t="s">
        <v>17419</v>
      </c>
      <c r="C8080" s="4"/>
      <c r="D8080" s="4" t="s">
        <v>6531</v>
      </c>
      <c r="E8080" s="4" t="s">
        <v>15069</v>
      </c>
      <c r="F8080" s="4" t="s">
        <v>6531</v>
      </c>
      <c r="G8080" s="5" t="str">
        <f>IFERROR(__xludf.DUMMYFUNCTION("GOOGLETRANSLATE(D8080,""pl"",""es"")"),"campos")</f>
        <v>campos</v>
      </c>
    </row>
    <row r="8081">
      <c r="A8081" s="4">
        <v>268.0</v>
      </c>
      <c r="B8081" s="4" t="s">
        <v>17419</v>
      </c>
      <c r="C8081" s="4"/>
      <c r="D8081" s="4" t="s">
        <v>10242</v>
      </c>
      <c r="E8081" s="4" t="s">
        <v>15073</v>
      </c>
      <c r="F8081" s="4" t="s">
        <v>10242</v>
      </c>
      <c r="G8081" s="5" t="str">
        <f>IFERROR(__xludf.DUMMYFUNCTION("GOOGLETRANSLATE(D8081,""pl"",""es"")"),"polla")</f>
        <v>polla</v>
      </c>
    </row>
    <row r="8082">
      <c r="A8082" s="4">
        <v>269.0</v>
      </c>
      <c r="B8082" s="4" t="s">
        <v>17419</v>
      </c>
      <c r="C8082" s="4"/>
      <c r="D8082" s="4" t="s">
        <v>8461</v>
      </c>
      <c r="E8082" s="4" t="s">
        <v>17943</v>
      </c>
      <c r="F8082" s="4" t="s">
        <v>8461</v>
      </c>
      <c r="G8082" s="5" t="str">
        <f>IFERROR(__xludf.DUMMYFUNCTION("GOOGLETRANSLATE(D8082,""pl"",""es"")"),"Guau")</f>
        <v>Guau</v>
      </c>
    </row>
    <row r="8083">
      <c r="A8083" s="4">
        <v>270.0</v>
      </c>
      <c r="B8083" s="4" t="s">
        <v>17419</v>
      </c>
      <c r="C8083" s="4"/>
      <c r="D8083" s="4" t="s">
        <v>17944</v>
      </c>
      <c r="E8083" s="4" t="s">
        <v>17945</v>
      </c>
      <c r="F8083" s="4" t="s">
        <v>17944</v>
      </c>
      <c r="G8083" s="5" t="str">
        <f>IFERROR(__xludf.DUMMYFUNCTION("GOOGLETRANSLATE(D8083,""pl"",""es"")"),"muñeca")</f>
        <v>muñeca</v>
      </c>
      <c r="H8083" s="4" t="s">
        <v>2984</v>
      </c>
      <c r="I8083" s="4" t="s">
        <v>2985</v>
      </c>
    </row>
    <row r="8084">
      <c r="A8084" s="4">
        <v>271.0</v>
      </c>
      <c r="B8084" s="4" t="s">
        <v>17419</v>
      </c>
      <c r="C8084" s="4"/>
      <c r="D8084" s="4" t="s">
        <v>17946</v>
      </c>
      <c r="E8084" s="4" t="s">
        <v>17947</v>
      </c>
      <c r="F8084" s="4" t="s">
        <v>17948</v>
      </c>
      <c r="G8084" s="5" t="str">
        <f>IFERROR(__xludf.DUMMYFUNCTION("GOOGLETRANSLATE(D8084,""pl"",""es"")"),"muñecas")</f>
        <v>muñecas</v>
      </c>
    </row>
    <row r="8085">
      <c r="A8085" s="4">
        <v>272.0</v>
      </c>
      <c r="B8085" s="4" t="s">
        <v>17419</v>
      </c>
      <c r="C8085" s="4"/>
      <c r="D8085" s="4" t="s">
        <v>17949</v>
      </c>
      <c r="E8085" s="4" t="s">
        <v>17950</v>
      </c>
      <c r="F8085" s="4" t="s">
        <v>17949</v>
      </c>
      <c r="G8085" s="5" t="str">
        <f>IFERROR(__xludf.DUMMYFUNCTION("GOOGLETRANSLATE(D8085,""pl"",""es"")"),"muñecas")</f>
        <v>muñecas</v>
      </c>
    </row>
    <row r="8086">
      <c r="A8086" s="4">
        <v>273.0</v>
      </c>
      <c r="B8086" s="4" t="s">
        <v>17419</v>
      </c>
      <c r="C8086" s="4"/>
      <c r="D8086" s="4" t="s">
        <v>17951</v>
      </c>
      <c r="E8086" s="4" t="s">
        <v>17952</v>
      </c>
      <c r="F8086" s="4" t="s">
        <v>17951</v>
      </c>
      <c r="G8086" s="5" t="str">
        <f>IFERROR(__xludf.DUMMYFUNCTION("GOOGLETRANSLATE(D8086,""pl"",""es"")"),"muñeca")</f>
        <v>muñeca</v>
      </c>
    </row>
    <row r="8087">
      <c r="A8087" s="4">
        <v>274.0</v>
      </c>
      <c r="B8087" s="4" t="s">
        <v>17419</v>
      </c>
      <c r="C8087" s="4"/>
      <c r="D8087" s="4" t="s">
        <v>17953</v>
      </c>
      <c r="E8087" s="4" t="s">
        <v>17954</v>
      </c>
      <c r="F8087" s="4" t="s">
        <v>17953</v>
      </c>
      <c r="G8087" s="5" t="str">
        <f>IFERROR(__xludf.DUMMYFUNCTION("GOOGLETRANSLATE(D8087,""pl"",""es"")"),"muñeca")</f>
        <v>muñeca</v>
      </c>
    </row>
    <row r="8088">
      <c r="A8088" s="4">
        <v>275.0</v>
      </c>
      <c r="B8088" s="4" t="s">
        <v>17419</v>
      </c>
      <c r="C8088" s="4"/>
      <c r="D8088" s="4" t="s">
        <v>17955</v>
      </c>
      <c r="E8088" s="4" t="s">
        <v>17956</v>
      </c>
      <c r="F8088" s="4" t="s">
        <v>17957</v>
      </c>
      <c r="G8088" s="5" t="str">
        <f>IFERROR(__xludf.DUMMYFUNCTION("GOOGLETRANSLATE(D8088,""pl"",""es"")"),"muñeca")</f>
        <v>muñeca</v>
      </c>
    </row>
    <row r="8089">
      <c r="A8089" s="4">
        <v>276.0</v>
      </c>
      <c r="B8089" s="4" t="s">
        <v>17419</v>
      </c>
      <c r="C8089" s="4"/>
      <c r="D8089" s="4" t="s">
        <v>4836</v>
      </c>
      <c r="E8089" s="4" t="s">
        <v>4837</v>
      </c>
      <c r="F8089" s="4" t="s">
        <v>4836</v>
      </c>
      <c r="G8089" s="5" t="str">
        <f>IFERROR(__xludf.DUMMYFUNCTION("GOOGLETRANSLATE(D8089,""pl"",""es"")"),"aburrido")</f>
        <v>aburrido</v>
      </c>
    </row>
    <row r="8090">
      <c r="A8090" s="4">
        <v>277.0</v>
      </c>
      <c r="B8090" s="4" t="s">
        <v>17419</v>
      </c>
      <c r="C8090" s="4"/>
      <c r="D8090" s="4" t="s">
        <v>10244</v>
      </c>
      <c r="E8090" s="4" t="s">
        <v>12499</v>
      </c>
      <c r="F8090" s="4" t="s">
        <v>10244</v>
      </c>
      <c r="G8090" s="5" t="str">
        <f>IFERROR(__xludf.DUMMYFUNCTION("GOOGLETRANSLATE(D8090,""pl"",""es"")"),"lama")</f>
        <v>lama</v>
      </c>
      <c r="H8090" s="4" t="s">
        <v>2099</v>
      </c>
      <c r="I8090" s="4" t="s">
        <v>10244</v>
      </c>
      <c r="J8090" s="4" t="s">
        <v>16625</v>
      </c>
      <c r="K8090" s="4" t="s">
        <v>12500</v>
      </c>
    </row>
    <row r="8091">
      <c r="A8091" s="4">
        <v>278.0</v>
      </c>
      <c r="B8091" s="4" t="s">
        <v>17419</v>
      </c>
      <c r="C8091" s="4"/>
      <c r="D8091" s="4" t="s">
        <v>17958</v>
      </c>
      <c r="E8091" s="4" t="s">
        <v>17959</v>
      </c>
      <c r="F8091" s="4" t="s">
        <v>17960</v>
      </c>
      <c r="G8091" s="5" t="str">
        <f>IFERROR(__xludf.DUMMYFUNCTION("GOOGLETRANSLATE(D8091,""pl"",""es"")"),"aburrido")</f>
        <v>aburrido</v>
      </c>
    </row>
    <row r="8092">
      <c r="A8092" s="4">
        <v>279.0</v>
      </c>
      <c r="B8092" s="4" t="s">
        <v>17419</v>
      </c>
      <c r="C8092" s="4"/>
      <c r="D8092" s="4" t="s">
        <v>17961</v>
      </c>
      <c r="E8092" s="4" t="s">
        <v>17962</v>
      </c>
      <c r="F8092" s="4" t="s">
        <v>17961</v>
      </c>
      <c r="G8092" s="5" t="str">
        <f>IFERROR(__xludf.DUMMYFUNCTION("GOOGLETRANSLATE(D8092,""pl"",""es"")"),"lamas")</f>
        <v>lamas</v>
      </c>
    </row>
    <row r="8093">
      <c r="A8093" s="4">
        <v>280.0</v>
      </c>
      <c r="B8093" s="4" t="s">
        <v>17419</v>
      </c>
      <c r="C8093" s="4"/>
      <c r="D8093" s="4" t="s">
        <v>17963</v>
      </c>
      <c r="E8093" s="4" t="s">
        <v>17964</v>
      </c>
      <c r="F8093" s="4" t="s">
        <v>17963</v>
      </c>
      <c r="G8093" s="5" t="str">
        <f>IFERROR(__xludf.DUMMYFUNCTION("GOOGLETRANSLATE(D8093,""pl"",""es"")"),"granero")</f>
        <v>granero</v>
      </c>
      <c r="H8093" s="4" t="s">
        <v>17965</v>
      </c>
    </row>
    <row r="8094">
      <c r="A8094" s="4">
        <v>281.0</v>
      </c>
      <c r="B8094" s="4" t="s">
        <v>17419</v>
      </c>
      <c r="C8094" s="4"/>
      <c r="D8094" s="4" t="s">
        <v>10255</v>
      </c>
      <c r="E8094" s="4" t="s">
        <v>16716</v>
      </c>
      <c r="F8094" s="4" t="s">
        <v>10255</v>
      </c>
      <c r="G8094" s="5" t="str">
        <f>IFERROR(__xludf.DUMMYFUNCTION("GOOGLETRANSLATE(D8094,""pl"",""es"")"),"lana")</f>
        <v>lana</v>
      </c>
    </row>
    <row r="8095">
      <c r="A8095" s="4">
        <v>282.0</v>
      </c>
      <c r="B8095" s="4" t="s">
        <v>17419</v>
      </c>
      <c r="C8095" s="4"/>
      <c r="D8095" s="4" t="s">
        <v>17966</v>
      </c>
      <c r="E8095" s="4" t="s">
        <v>17967</v>
      </c>
      <c r="F8095" s="4" t="s">
        <v>17968</v>
      </c>
      <c r="G8095" s="5" t="str">
        <f>IFERROR(__xludf.DUMMYFUNCTION("GOOGLETRANSLATE(D8095,""pl"",""es"")"),"lani")</f>
        <v>lani</v>
      </c>
    </row>
    <row r="8096">
      <c r="A8096" s="4">
        <v>283.0</v>
      </c>
      <c r="B8096" s="4" t="s">
        <v>17419</v>
      </c>
      <c r="C8096" s="4"/>
      <c r="D8096" s="4" t="s">
        <v>17969</v>
      </c>
      <c r="E8096" s="4" t="s">
        <v>17970</v>
      </c>
      <c r="F8096" s="4" t="s">
        <v>17971</v>
      </c>
      <c r="G8096" s="5" t="str">
        <f>IFERROR(__xludf.DUMMYFUNCTION("GOOGLETRANSLATE(D8096,""pl"",""es"")"),"gama")</f>
        <v>gama</v>
      </c>
    </row>
    <row r="8097">
      <c r="A8097" s="4">
        <v>284.0</v>
      </c>
      <c r="B8097" s="4" t="s">
        <v>17419</v>
      </c>
      <c r="C8097" s="4"/>
      <c r="D8097" s="4" t="s">
        <v>17972</v>
      </c>
      <c r="E8097" s="4" t="s">
        <v>17973</v>
      </c>
      <c r="F8097" s="4" t="s">
        <v>17974</v>
      </c>
      <c r="G8097" s="5" t="str">
        <f>IFERROR(__xludf.DUMMYFUNCTION("GOOGLETRANSLATE(D8097,""pl"",""es"")"),"torrencial")</f>
        <v>torrencial</v>
      </c>
    </row>
    <row r="8098">
      <c r="A8098" s="4">
        <v>285.0</v>
      </c>
      <c r="B8098" s="4" t="s">
        <v>17419</v>
      </c>
      <c r="C8098" s="4"/>
      <c r="D8098" s="4" t="s">
        <v>6517</v>
      </c>
      <c r="E8098" s="4" t="s">
        <v>12529</v>
      </c>
      <c r="F8098" s="4" t="s">
        <v>6517</v>
      </c>
      <c r="G8098" s="5" t="str">
        <f>IFERROR(__xludf.DUMMYFUNCTION("GOOGLETRANSLATE(D8098,""pl"",""es"")"),"bosque")</f>
        <v>bosque</v>
      </c>
      <c r="H8098" s="4" t="s">
        <v>14969</v>
      </c>
      <c r="I8098" s="4" t="s">
        <v>14970</v>
      </c>
      <c r="J8098" s="4" t="s">
        <v>14971</v>
      </c>
    </row>
    <row r="8099">
      <c r="A8099" s="4">
        <v>286.0</v>
      </c>
      <c r="B8099" s="4" t="s">
        <v>17419</v>
      </c>
      <c r="C8099" s="4"/>
      <c r="D8099" s="4" t="s">
        <v>17975</v>
      </c>
      <c r="E8099" s="4" t="s">
        <v>17976</v>
      </c>
      <c r="F8099" s="4" t="s">
        <v>17977</v>
      </c>
      <c r="G8099" s="5" t="str">
        <f>IFERROR(__xludf.DUMMYFUNCTION("GOOGLETRANSLATE(D8099,""pl"",""es"")"),"bosques")</f>
        <v>bosques</v>
      </c>
    </row>
    <row r="8100">
      <c r="A8100" s="4">
        <v>287.0</v>
      </c>
      <c r="B8100" s="4" t="s">
        <v>17419</v>
      </c>
      <c r="C8100" s="4"/>
      <c r="D8100" s="4" t="s">
        <v>17978</v>
      </c>
      <c r="E8100" s="4" t="s">
        <v>17979</v>
      </c>
      <c r="F8100" s="4" t="s">
        <v>17978</v>
      </c>
      <c r="G8100" s="5" t="str">
        <f>IFERROR(__xludf.DUMMYFUNCTION("GOOGLETRANSLATE(D8100,""pl"",""es"")"),"bosques")</f>
        <v>bosques</v>
      </c>
    </row>
    <row r="8101">
      <c r="A8101" s="4">
        <v>288.0</v>
      </c>
      <c r="B8101" s="4" t="s">
        <v>17419</v>
      </c>
      <c r="C8101" s="4"/>
      <c r="D8101" s="4" t="s">
        <v>8430</v>
      </c>
      <c r="E8101" s="4" t="s">
        <v>17980</v>
      </c>
      <c r="F8101" s="4" t="s">
        <v>8430</v>
      </c>
      <c r="G8101" s="5" t="str">
        <f>IFERROR(__xludf.DUMMYFUNCTION("GOOGLETRANSLATE(D8101,""pl"",""es"")"),"bosque")</f>
        <v>bosque</v>
      </c>
    </row>
    <row r="8102">
      <c r="A8102" s="4">
        <v>289.0</v>
      </c>
      <c r="B8102" s="4" t="s">
        <v>17419</v>
      </c>
      <c r="C8102" s="4"/>
      <c r="D8102" s="4" t="s">
        <v>15927</v>
      </c>
      <c r="E8102" s="4" t="s">
        <v>15928</v>
      </c>
      <c r="F8102" s="4" t="s">
        <v>15927</v>
      </c>
      <c r="G8102" s="5" t="str">
        <f>IFERROR(__xludf.DUMMYFUNCTION("GOOGLETRANSLATE(D8102,""pl"",""es"")"),"años")</f>
        <v>años</v>
      </c>
      <c r="H8102" s="4" t="s">
        <v>17981</v>
      </c>
      <c r="I8102" s="4" t="s">
        <v>9673</v>
      </c>
      <c r="J8102" s="4" t="s">
        <v>17982</v>
      </c>
    </row>
    <row r="8103">
      <c r="A8103" s="4">
        <v>290.0</v>
      </c>
      <c r="B8103" s="4" t="s">
        <v>17419</v>
      </c>
      <c r="C8103" s="4"/>
      <c r="D8103" s="4" t="s">
        <v>17983</v>
      </c>
      <c r="E8103" s="4" t="s">
        <v>17984</v>
      </c>
      <c r="F8103" s="4" t="s">
        <v>17985</v>
      </c>
      <c r="G8103" s="5" t="str">
        <f>IFERROR(__xludf.DUMMYFUNCTION("GOOGLETRANSLATE(D8103,""pl"",""es"")"),"años")</f>
        <v>años</v>
      </c>
    </row>
    <row r="8104">
      <c r="A8104" s="4">
        <v>291.0</v>
      </c>
      <c r="B8104" s="4" t="s">
        <v>17419</v>
      </c>
      <c r="C8104" s="4"/>
      <c r="D8104" s="4" t="s">
        <v>17986</v>
      </c>
      <c r="E8104" s="4" t="s">
        <v>17987</v>
      </c>
      <c r="F8104" s="4" t="s">
        <v>17988</v>
      </c>
      <c r="G8104" s="5" t="str">
        <f>IFERROR(__xludf.DUMMYFUNCTION("GOOGLETRANSLATE(D8104,""pl"",""es"")"),"volar")</f>
        <v>volar</v>
      </c>
    </row>
    <row r="8105">
      <c r="A8105" s="4">
        <v>292.0</v>
      </c>
      <c r="B8105" s="4" t="s">
        <v>17419</v>
      </c>
      <c r="C8105" s="4"/>
      <c r="D8105" s="4" t="s">
        <v>17989</v>
      </c>
      <c r="E8105" s="4" t="s">
        <v>17990</v>
      </c>
      <c r="F8105" s="4" t="s">
        <v>17989</v>
      </c>
      <c r="G8105" s="5" t="str">
        <f>IFERROR(__xludf.DUMMYFUNCTION("GOOGLETRANSLATE(D8105,""pl"",""es"")"),"voló")</f>
        <v>voló</v>
      </c>
    </row>
    <row r="8106">
      <c r="A8106" s="4">
        <v>293.0</v>
      </c>
      <c r="B8106" s="4" t="s">
        <v>17419</v>
      </c>
      <c r="C8106" s="4"/>
      <c r="D8106" s="4" t="s">
        <v>17991</v>
      </c>
      <c r="E8106" s="4" t="s">
        <v>17992</v>
      </c>
      <c r="F8106" s="4" t="s">
        <v>17991</v>
      </c>
      <c r="G8106" s="5" t="str">
        <f>IFERROR(__xludf.DUMMYFUNCTION("GOOGLETRANSLATE(D8106,""pl"",""es"")"),"yo vuelo")</f>
        <v>yo vuelo</v>
      </c>
    </row>
    <row r="8107">
      <c r="A8107" s="4">
        <v>294.0</v>
      </c>
      <c r="B8107" s="4" t="s">
        <v>17419</v>
      </c>
      <c r="C8107" s="4"/>
      <c r="D8107" s="4" t="s">
        <v>17993</v>
      </c>
      <c r="E8107" s="4" t="s">
        <v>17994</v>
      </c>
      <c r="F8107" s="4" t="s">
        <v>17993</v>
      </c>
      <c r="G8107" s="5" t="str">
        <f>IFERROR(__xludf.DUMMYFUNCTION("GOOGLETRANSLATE(D8107,""pl"",""es"")"),"durante años")</f>
        <v>durante años</v>
      </c>
    </row>
    <row r="8108">
      <c r="A8108" s="4">
        <v>295.0</v>
      </c>
      <c r="B8108" s="4" t="s">
        <v>17419</v>
      </c>
      <c r="C8108" s="4"/>
      <c r="D8108" s="4" t="s">
        <v>17995</v>
      </c>
      <c r="E8108" s="4" t="s">
        <v>17996</v>
      </c>
      <c r="F8108" s="4" t="s">
        <v>17997</v>
      </c>
      <c r="G8108" s="5" t="str">
        <f>IFERROR(__xludf.DUMMYFUNCTION("GOOGLETRANSLATE(D8108,""pl"",""es"")"),"bullicio")</f>
        <v>bullicio</v>
      </c>
    </row>
    <row r="8109">
      <c r="A8109" s="4">
        <v>296.0</v>
      </c>
      <c r="B8109" s="4" t="s">
        <v>17419</v>
      </c>
      <c r="C8109" s="4"/>
      <c r="D8109" s="4" t="s">
        <v>10277</v>
      </c>
      <c r="E8109" s="4" t="s">
        <v>17998</v>
      </c>
      <c r="F8109" s="4" t="s">
        <v>10277</v>
      </c>
      <c r="G8109" s="5" t="str">
        <f>IFERROR(__xludf.DUMMYFUNCTION("GOOGLETRANSLATE(D8109,""pl"",""es"")"),"años")</f>
        <v>años</v>
      </c>
    </row>
    <row r="8110">
      <c r="A8110" s="4">
        <v>297.0</v>
      </c>
      <c r="B8110" s="4" t="s">
        <v>17419</v>
      </c>
      <c r="C8110" s="4"/>
      <c r="D8110" s="4" t="s">
        <v>17999</v>
      </c>
      <c r="E8110" s="4" t="s">
        <v>2029</v>
      </c>
      <c r="F8110" s="4" t="s">
        <v>2030</v>
      </c>
      <c r="G8110" s="5" t="str">
        <f>IFERROR(__xludf.DUMMYFUNCTION("GOOGLETRANSLATE(D8110,""pl"",""es"")"),"Lhasa")</f>
        <v>Lhasa</v>
      </c>
      <c r="H8110" s="4" t="s">
        <v>18000</v>
      </c>
      <c r="I8110" s="4" t="s">
        <v>18001</v>
      </c>
      <c r="J8110" s="4" t="s">
        <v>18002</v>
      </c>
      <c r="K8110" s="4" t="s">
        <v>18003</v>
      </c>
    </row>
    <row r="8111">
      <c r="A8111" s="4">
        <v>298.0</v>
      </c>
      <c r="B8111" s="4" t="s">
        <v>17419</v>
      </c>
      <c r="C8111" s="4"/>
      <c r="D8111" s="4" t="s">
        <v>2037</v>
      </c>
      <c r="E8111" s="4" t="s">
        <v>2038</v>
      </c>
      <c r="F8111" s="4" t="s">
        <v>2037</v>
      </c>
      <c r="G8111" s="5" t="str">
        <f>IFERROR(__xludf.DUMMYFUNCTION("GOOGLETRANSLATE(D8111,""pl"",""es"")"),"li")</f>
        <v>li</v>
      </c>
      <c r="H8111" s="4" t="s">
        <v>2037</v>
      </c>
      <c r="I8111" s="4" t="s">
        <v>2085</v>
      </c>
      <c r="J8111" s="4" t="s">
        <v>2086</v>
      </c>
      <c r="K8111" s="4" t="s">
        <v>2087</v>
      </c>
    </row>
    <row r="8112">
      <c r="A8112" s="4">
        <v>299.0</v>
      </c>
      <c r="B8112" s="4" t="s">
        <v>17419</v>
      </c>
      <c r="C8112" s="4"/>
      <c r="D8112" s="4" t="s">
        <v>18004</v>
      </c>
      <c r="E8112" s="4" t="s">
        <v>18005</v>
      </c>
      <c r="F8112" s="4" t="s">
        <v>6600</v>
      </c>
      <c r="G8112" s="5" t="str">
        <f>IFERROR(__xludf.DUMMYFUNCTION("GOOGLETRANSLATE(D8112,""pl"",""es"")"),"lich")</f>
        <v>lich</v>
      </c>
    </row>
    <row r="8113">
      <c r="A8113" s="4">
        <v>300.0</v>
      </c>
      <c r="B8113" s="4" t="s">
        <v>17419</v>
      </c>
      <c r="C8113" s="4"/>
      <c r="D8113" s="4" t="s">
        <v>18006</v>
      </c>
      <c r="E8113" s="4" t="s">
        <v>18007</v>
      </c>
      <c r="F8113" s="4" t="s">
        <v>10297</v>
      </c>
      <c r="G8113" s="5" t="str">
        <f>IFERROR(__xludf.DUMMYFUNCTION("GOOGLETRANSLATE(D8113,""pl"",""es"")"),"infierno")</f>
        <v>infierno</v>
      </c>
    </row>
    <row r="8114">
      <c r="A8114" s="4">
        <v>301.0</v>
      </c>
      <c r="B8114" s="4" t="s">
        <v>17419</v>
      </c>
      <c r="C8114" s="4"/>
      <c r="D8114" s="4" t="s">
        <v>18008</v>
      </c>
      <c r="E8114" s="4" t="s">
        <v>18009</v>
      </c>
      <c r="F8114" s="4" t="s">
        <v>18010</v>
      </c>
      <c r="G8114" s="5" t="str">
        <f>IFERROR(__xludf.DUMMYFUNCTION("GOOGLETRANSLATE(D8114,""pl"",""es"")"),"liquen")</f>
        <v>liquen</v>
      </c>
    </row>
    <row r="8115">
      <c r="A8115" s="4">
        <v>302.0</v>
      </c>
      <c r="B8115" s="4" t="s">
        <v>17419</v>
      </c>
      <c r="C8115" s="4"/>
      <c r="D8115" s="4" t="s">
        <v>18011</v>
      </c>
      <c r="E8115" s="4" t="s">
        <v>18012</v>
      </c>
      <c r="F8115" s="4" t="s">
        <v>18013</v>
      </c>
      <c r="G8115" s="5" t="str">
        <f>IFERROR(__xludf.DUMMYFUNCTION("GOOGLETRANSLATE(D8115,""pl"",""es"")"),"lichaj")</f>
        <v>lichaj</v>
      </c>
    </row>
    <row r="8116">
      <c r="A8116" s="4">
        <v>303.0</v>
      </c>
      <c r="B8116" s="4" t="s">
        <v>17419</v>
      </c>
      <c r="C8116" s="4"/>
      <c r="D8116" s="4" t="s">
        <v>18014</v>
      </c>
      <c r="E8116" s="4" t="s">
        <v>18015</v>
      </c>
      <c r="F8116" s="4" t="s">
        <v>18016</v>
      </c>
      <c r="G8116" s="5" t="str">
        <f>IFERROR(__xludf.DUMMYFUNCTION("GOOGLETRANSLATE(D8116,""pl"",""es"")"),"explosión")</f>
        <v>explosión</v>
      </c>
    </row>
    <row r="8117">
      <c r="A8117" s="4">
        <v>304.0</v>
      </c>
      <c r="B8117" s="4" t="s">
        <v>17419</v>
      </c>
      <c r="C8117" s="4"/>
      <c r="D8117" s="4" t="s">
        <v>18017</v>
      </c>
      <c r="E8117" s="4" t="s">
        <v>18018</v>
      </c>
      <c r="F8117" s="4" t="s">
        <v>12541</v>
      </c>
      <c r="G8117" s="5" t="str">
        <f>IFERROR(__xludf.DUMMYFUNCTION("GOOGLETRANSLATE(D8117,""pl"",""es"")"),"lich")</f>
        <v>lich</v>
      </c>
    </row>
    <row r="8118">
      <c r="A8118" s="4">
        <v>305.0</v>
      </c>
      <c r="B8118" s="4" t="s">
        <v>17419</v>
      </c>
      <c r="C8118" s="4"/>
      <c r="D8118" s="4" t="s">
        <v>17199</v>
      </c>
      <c r="E8118" s="4" t="s">
        <v>17194</v>
      </c>
      <c r="F8118" s="4" t="s">
        <v>6600</v>
      </c>
      <c r="G8118" s="5" t="str">
        <f>IFERROR(__xludf.DUMMYFUNCTION("GOOGLETRANSLATE(D8118,""pl"",""es"")"),"liga")</f>
        <v>liga</v>
      </c>
    </row>
    <row r="8119">
      <c r="A8119" s="4">
        <v>306.0</v>
      </c>
      <c r="B8119" s="4" t="s">
        <v>17419</v>
      </c>
      <c r="C8119" s="4"/>
      <c r="D8119" s="4" t="s">
        <v>6600</v>
      </c>
      <c r="E8119" s="4" t="s">
        <v>17194</v>
      </c>
      <c r="F8119" s="4" t="s">
        <v>6600</v>
      </c>
      <c r="G8119" s="5" t="str">
        <f>IFERROR(__xludf.DUMMYFUNCTION("GOOGLETRANSLATE(D8119,""pl"",""es"")"),"sanguijuela")</f>
        <v>sanguijuela</v>
      </c>
    </row>
    <row r="8120">
      <c r="A8120" s="4">
        <v>307.0</v>
      </c>
      <c r="B8120" s="4" t="s">
        <v>17419</v>
      </c>
      <c r="C8120" s="4"/>
      <c r="D8120" s="4" t="s">
        <v>12541</v>
      </c>
      <c r="E8120" s="4" t="s">
        <v>12540</v>
      </c>
      <c r="F8120" s="4" t="s">
        <v>12541</v>
      </c>
      <c r="G8120" s="5" t="str">
        <f>IFERROR(__xludf.DUMMYFUNCTION("GOOGLETRANSLATE(D8120,""pl"",""es"")"),"gusto")</f>
        <v>gusto</v>
      </c>
    </row>
    <row r="8121">
      <c r="A8121" s="4">
        <v>308.0</v>
      </c>
      <c r="B8121" s="4" t="s">
        <v>17419</v>
      </c>
      <c r="C8121" s="4"/>
      <c r="D8121" s="4" t="s">
        <v>12586</v>
      </c>
      <c r="E8121" s="4" t="s">
        <v>12585</v>
      </c>
      <c r="F8121" s="4" t="s">
        <v>12586</v>
      </c>
      <c r="G8121" s="5" t="str">
        <f>IFERROR(__xludf.DUMMYFUNCTION("GOOGLETRANSLATE(D8121,""pl"",""es"")"),"lila")</f>
        <v>lila</v>
      </c>
      <c r="H8121" s="4" t="s">
        <v>2048</v>
      </c>
    </row>
    <row r="8122">
      <c r="A8122" s="4">
        <v>309.0</v>
      </c>
      <c r="B8122" s="4" t="s">
        <v>17419</v>
      </c>
      <c r="C8122" s="4"/>
      <c r="D8122" s="4" t="s">
        <v>10313</v>
      </c>
      <c r="E8122" s="4" t="s">
        <v>12589</v>
      </c>
      <c r="F8122" s="4" t="s">
        <v>10313</v>
      </c>
      <c r="G8122" s="5" t="str">
        <f>IFERROR(__xludf.DUMMYFUNCTION("GOOGLETRANSLATE(D8122,""pl"",""es"")"),"Lima")</f>
        <v>Lima</v>
      </c>
      <c r="H8122" s="4" t="s">
        <v>2166</v>
      </c>
      <c r="I8122" s="4" t="s">
        <v>10319</v>
      </c>
      <c r="J8122" s="4" t="s">
        <v>10320</v>
      </c>
      <c r="K8122" s="4" t="s">
        <v>2166</v>
      </c>
      <c r="L8122" s="4" t="s">
        <v>18019</v>
      </c>
      <c r="M8122" s="4" t="s">
        <v>18020</v>
      </c>
    </row>
    <row r="8123">
      <c r="A8123" s="4">
        <v>310.0</v>
      </c>
      <c r="B8123" s="4" t="s">
        <v>17419</v>
      </c>
      <c r="C8123" s="4"/>
      <c r="D8123" s="4" t="s">
        <v>6635</v>
      </c>
      <c r="E8123" s="4" t="s">
        <v>18021</v>
      </c>
      <c r="F8123" s="4" t="s">
        <v>6635</v>
      </c>
      <c r="G8123" s="5" t="str">
        <f>IFERROR(__xludf.DUMMYFUNCTION("GOOGLETRANSLATE(D8123,""pl"",""es"")"),"soga")</f>
        <v>soga</v>
      </c>
      <c r="H8123" s="4" t="s">
        <v>17694</v>
      </c>
      <c r="I8123" s="4" t="s">
        <v>17695</v>
      </c>
    </row>
    <row r="8124">
      <c r="A8124" s="4">
        <v>311.0</v>
      </c>
      <c r="B8124" s="4" t="s">
        <v>17419</v>
      </c>
      <c r="C8124" s="4"/>
      <c r="D8124" s="4" t="s">
        <v>16730</v>
      </c>
      <c r="E8124" s="4" t="s">
        <v>16731</v>
      </c>
      <c r="F8124" s="4" t="s">
        <v>16730</v>
      </c>
      <c r="G8124" s="5" t="str">
        <f>IFERROR(__xludf.DUMMYFUNCTION("GOOGLETRANSLATE(D8124,""pl"",""es"")"),"soga")</f>
        <v>soga</v>
      </c>
      <c r="H8124" s="4" t="s">
        <v>8434</v>
      </c>
    </row>
    <row r="8125">
      <c r="A8125" s="4">
        <v>312.0</v>
      </c>
      <c r="B8125" s="4" t="s">
        <v>17419</v>
      </c>
      <c r="C8125" s="4"/>
      <c r="D8125" s="4" t="s">
        <v>18022</v>
      </c>
      <c r="E8125" s="4" t="s">
        <v>18023</v>
      </c>
      <c r="F8125" s="4" t="s">
        <v>6641</v>
      </c>
      <c r="G8125" s="5" t="str">
        <f>IFERROR(__xludf.DUMMYFUNCTION("GOOGLETRANSLATE(D8125,""pl"",""es"")"),"cuerdas")</f>
        <v>cuerdas</v>
      </c>
    </row>
    <row r="8126">
      <c r="A8126" s="4">
        <v>313.0</v>
      </c>
      <c r="B8126" s="4" t="s">
        <v>17419</v>
      </c>
      <c r="C8126" s="4"/>
      <c r="D8126" s="4" t="s">
        <v>18024</v>
      </c>
      <c r="E8126" s="4" t="s">
        <v>18025</v>
      </c>
      <c r="F8126" s="4" t="s">
        <v>18024</v>
      </c>
      <c r="G8126" s="5" t="str">
        <f>IFERROR(__xludf.DUMMYFUNCTION("GOOGLETRANSLATE(D8126,""pl"",""es"")"),"cuerdas")</f>
        <v>cuerdas</v>
      </c>
    </row>
    <row r="8127">
      <c r="A8127" s="4">
        <v>314.0</v>
      </c>
      <c r="B8127" s="4" t="s">
        <v>17419</v>
      </c>
      <c r="C8127" s="4"/>
      <c r="D8127" s="4" t="s">
        <v>6650</v>
      </c>
      <c r="E8127" s="4" t="s">
        <v>12605</v>
      </c>
      <c r="F8127" s="4" t="s">
        <v>6650</v>
      </c>
      <c r="G8127" s="5" t="str">
        <f>IFERROR(__xludf.DUMMYFUNCTION("GOOGLETRANSLATE(D8127,""pl"",""es"")"),"labio")</f>
        <v>labio</v>
      </c>
    </row>
    <row r="8128">
      <c r="A8128" s="4">
        <v>315.0</v>
      </c>
      <c r="B8128" s="4" t="s">
        <v>17419</v>
      </c>
      <c r="C8128" s="4"/>
      <c r="D8128" s="4" t="s">
        <v>18026</v>
      </c>
      <c r="E8128" s="4" t="s">
        <v>18027</v>
      </c>
      <c r="F8128" s="4" t="s">
        <v>18026</v>
      </c>
      <c r="G8128" s="5" t="str">
        <f>IFERROR(__xludf.DUMMYFUNCTION("GOOGLETRANSLATE(D8128,""pl"",""es"")"),"limero")</f>
        <v>limero</v>
      </c>
      <c r="H8128" s="4" t="s">
        <v>18028</v>
      </c>
      <c r="I8128" s="4" t="s">
        <v>18029</v>
      </c>
      <c r="J8128" s="4" t="s">
        <v>18030</v>
      </c>
      <c r="K8128" s="4" t="s">
        <v>2166</v>
      </c>
      <c r="L8128" s="4" t="s">
        <v>18019</v>
      </c>
      <c r="M8128" s="4" t="s">
        <v>18030</v>
      </c>
      <c r="N8128" s="4" t="s">
        <v>18028</v>
      </c>
    </row>
    <row r="8129">
      <c r="A8129" s="4">
        <v>316.0</v>
      </c>
      <c r="B8129" s="4" t="s">
        <v>17419</v>
      </c>
      <c r="C8129" s="4"/>
      <c r="D8129" s="4" t="s">
        <v>18031</v>
      </c>
      <c r="E8129" s="4" t="s">
        <v>18032</v>
      </c>
      <c r="F8129" s="4" t="s">
        <v>18033</v>
      </c>
      <c r="G8129" s="5" t="str">
        <f>IFERROR(__xludf.DUMMYFUNCTION("GOOGLETRANSLATE(D8129,""pl"",""es"")"),"tilo")</f>
        <v>tilo</v>
      </c>
    </row>
    <row r="8130">
      <c r="A8130" s="4">
        <v>317.0</v>
      </c>
      <c r="B8130" s="4" t="s">
        <v>17419</v>
      </c>
      <c r="C8130" s="4"/>
      <c r="D8130" s="4" t="s">
        <v>18034</v>
      </c>
      <c r="E8130" s="4" t="s">
        <v>18035</v>
      </c>
      <c r="F8130" s="4" t="s">
        <v>18034</v>
      </c>
      <c r="G8130" s="5" t="str">
        <f>IFERROR(__xludf.DUMMYFUNCTION("GOOGLETRANSLATE(D8130,""pl"",""es"")"),"tilo")</f>
        <v>tilo</v>
      </c>
    </row>
    <row r="8131">
      <c r="A8131" s="4">
        <v>318.0</v>
      </c>
      <c r="B8131" s="4" t="s">
        <v>17419</v>
      </c>
      <c r="C8131" s="4"/>
      <c r="D8131" s="4" t="s">
        <v>18036</v>
      </c>
      <c r="E8131" s="4" t="s">
        <v>18037</v>
      </c>
      <c r="F8131" s="4" t="s">
        <v>18036</v>
      </c>
      <c r="G8131" s="5" t="str">
        <f>IFERROR(__xludf.DUMMYFUNCTION("GOOGLETRANSLATE(D8131,""pl"",""es"")"),"lipus")</f>
        <v>lipus</v>
      </c>
    </row>
    <row r="8132">
      <c r="A8132" s="4">
        <v>319.0</v>
      </c>
      <c r="B8132" s="4" t="s">
        <v>17419</v>
      </c>
      <c r="C8132" s="4"/>
      <c r="D8132" s="4" t="s">
        <v>12538</v>
      </c>
      <c r="E8132" s="4" t="s">
        <v>12537</v>
      </c>
      <c r="F8132" s="4" t="s">
        <v>12538</v>
      </c>
      <c r="G8132" s="5" t="str">
        <f>IFERROR(__xludf.DUMMYFUNCTION("GOOGLETRANSLATE(D8132,""pl"",""es"")"),"zorro")</f>
        <v>zorro</v>
      </c>
      <c r="H8132" s="4" t="s">
        <v>15548</v>
      </c>
      <c r="I8132" s="4" t="s">
        <v>18038</v>
      </c>
      <c r="J8132" s="4" t="s">
        <v>18039</v>
      </c>
      <c r="K8132" s="4" t="s">
        <v>15548</v>
      </c>
    </row>
    <row r="8133">
      <c r="A8133" s="4">
        <v>320.0</v>
      </c>
      <c r="B8133" s="4" t="s">
        <v>17419</v>
      </c>
      <c r="C8133" s="4"/>
      <c r="D8133" s="4" t="s">
        <v>5308</v>
      </c>
      <c r="E8133" s="4" t="s">
        <v>5307</v>
      </c>
      <c r="F8133" s="4" t="s">
        <v>5308</v>
      </c>
      <c r="G8133" s="5" t="str">
        <f>IFERROR(__xludf.DUMMYFUNCTION("GOOGLETRANSLATE(D8133,""pl"",""es"")"),"zorro")</f>
        <v>zorro</v>
      </c>
    </row>
    <row r="8134">
      <c r="A8134" s="4">
        <v>321.0</v>
      </c>
      <c r="B8134" s="4" t="s">
        <v>17419</v>
      </c>
      <c r="C8134" s="4"/>
      <c r="D8134" s="4" t="s">
        <v>18040</v>
      </c>
      <c r="E8134" s="4" t="s">
        <v>18041</v>
      </c>
      <c r="F8134" s="4" t="s">
        <v>18042</v>
      </c>
      <c r="G8134" s="5" t="str">
        <f>IFERROR(__xludf.DUMMYFUNCTION("GOOGLETRANSLATE(D8134,""pl"",""es"")"),"zorros")</f>
        <v>zorros</v>
      </c>
    </row>
    <row r="8135">
      <c r="A8135" s="4">
        <v>322.0</v>
      </c>
      <c r="B8135" s="4" t="s">
        <v>17419</v>
      </c>
      <c r="C8135" s="4"/>
      <c r="D8135" s="4" t="s">
        <v>18042</v>
      </c>
      <c r="E8135" s="4" t="s">
        <v>18043</v>
      </c>
      <c r="F8135" s="4" t="s">
        <v>18042</v>
      </c>
      <c r="G8135" s="5" t="str">
        <f>IFERROR(__xludf.DUMMYFUNCTION("GOOGLETRANSLATE(D8135,""pl"",""es"")"),"zorro")</f>
        <v>zorro</v>
      </c>
    </row>
    <row r="8136">
      <c r="A8136" s="4">
        <v>323.0</v>
      </c>
      <c r="B8136" s="4" t="s">
        <v>17419</v>
      </c>
      <c r="C8136" s="4"/>
      <c r="D8136" s="4" t="s">
        <v>18044</v>
      </c>
      <c r="E8136" s="4" t="s">
        <v>18045</v>
      </c>
      <c r="F8136" s="4" t="s">
        <v>18044</v>
      </c>
      <c r="G8136" s="5" t="str">
        <f>IFERROR(__xludf.DUMMYFUNCTION("GOOGLETRANSLATE(D8136,""pl"",""es"")"),"zorros")</f>
        <v>zorros</v>
      </c>
    </row>
    <row r="8137">
      <c r="A8137" s="4">
        <v>324.0</v>
      </c>
      <c r="B8137" s="4" t="s">
        <v>17419</v>
      </c>
      <c r="C8137" s="4"/>
      <c r="D8137" s="4" t="s">
        <v>18046</v>
      </c>
      <c r="E8137" s="4" t="s">
        <v>18047</v>
      </c>
      <c r="F8137" s="4" t="s">
        <v>18046</v>
      </c>
      <c r="G8137" s="5" t="str">
        <f>IFERROR(__xludf.DUMMYFUNCTION("GOOGLETRANSLATE(D8137,""pl"",""es"")"),"sólido")</f>
        <v>sólido</v>
      </c>
    </row>
    <row r="8138">
      <c r="A8138" s="4">
        <v>325.0</v>
      </c>
      <c r="B8138" s="4" t="s">
        <v>17419</v>
      </c>
      <c r="C8138" s="4"/>
      <c r="D8138" s="4" t="s">
        <v>18048</v>
      </c>
      <c r="E8138" s="4" t="s">
        <v>18049</v>
      </c>
      <c r="F8138" s="4" t="s">
        <v>18050</v>
      </c>
      <c r="G8138" s="5" t="str">
        <f>IFERROR(__xludf.DUMMYFUNCTION("GOOGLETRANSLATE(D8138,""pl"",""es"")"),"litio")</f>
        <v>litio</v>
      </c>
    </row>
    <row r="8139">
      <c r="A8139" s="4">
        <v>326.0</v>
      </c>
      <c r="B8139" s="4" t="s">
        <v>17419</v>
      </c>
      <c r="C8139" s="4"/>
      <c r="D8139" s="4" t="s">
        <v>18051</v>
      </c>
      <c r="E8139" s="4" t="s">
        <v>18052</v>
      </c>
      <c r="F8139" s="4" t="s">
        <v>18051</v>
      </c>
      <c r="G8139" s="5" t="str">
        <f>IFERROR(__xludf.DUMMYFUNCTION("GOOGLETRANSLATE(D8139,""pl"",""es"")"),"lits")</f>
        <v>lits</v>
      </c>
    </row>
    <row r="8140">
      <c r="A8140" s="4">
        <v>327.0</v>
      </c>
      <c r="B8140" s="4" t="s">
        <v>17419</v>
      </c>
      <c r="C8140" s="4"/>
      <c r="D8140" s="4" t="s">
        <v>10358</v>
      </c>
      <c r="E8140" s="4" t="s">
        <v>10359</v>
      </c>
      <c r="F8140" s="4" t="s">
        <v>10358</v>
      </c>
      <c r="G8140" s="5" t="str">
        <f>IFERROR(__xludf.DUMMYFUNCTION("GOOGLETRANSLATE(D8140,""pl"",""es"")"),"litio")</f>
        <v>litio</v>
      </c>
    </row>
    <row r="8141">
      <c r="A8141" s="4">
        <v>328.0</v>
      </c>
      <c r="B8141" s="4" t="s">
        <v>17419</v>
      </c>
      <c r="C8141" s="4"/>
      <c r="D8141" s="4" t="s">
        <v>18053</v>
      </c>
      <c r="E8141" s="4" t="s">
        <v>12658</v>
      </c>
      <c r="F8141" s="4" t="s">
        <v>12659</v>
      </c>
      <c r="G8141" s="5" t="str">
        <f>IFERROR(__xludf.DUMMYFUNCTION("GOOGLETRANSLATE(D8141,""pl"",""es"")"),"o")</f>
        <v>o</v>
      </c>
    </row>
    <row r="8142">
      <c r="A8142" s="4">
        <v>329.0</v>
      </c>
      <c r="B8142" s="4" t="s">
        <v>17419</v>
      </c>
      <c r="C8142" s="4"/>
      <c r="D8142" s="4" t="s">
        <v>6671</v>
      </c>
      <c r="E8142" s="4" t="s">
        <v>12633</v>
      </c>
      <c r="F8142" s="4" t="s">
        <v>6671</v>
      </c>
      <c r="G8142" s="5" t="str">
        <f>IFERROR(__xludf.DUMMYFUNCTION("GOOGLETRANSLATE(D8142,""pl"",""es"")"),"arco")</f>
        <v>arco</v>
      </c>
    </row>
    <row r="8143">
      <c r="A8143" s="4">
        <v>330.0</v>
      </c>
      <c r="B8143" s="4" t="s">
        <v>17419</v>
      </c>
      <c r="C8143" s="4"/>
      <c r="D8143" s="4" t="s">
        <v>10387</v>
      </c>
      <c r="E8143" s="4" t="s">
        <v>16733</v>
      </c>
      <c r="F8143" s="4" t="s">
        <v>10387</v>
      </c>
      <c r="G8143" s="5" t="str">
        <f>IFERROR(__xludf.DUMMYFUNCTION("GOOGLETRANSLATE(D8143,""pl"",""es"")"),"brecha")</f>
        <v>brecha</v>
      </c>
      <c r="H8143" s="4" t="s">
        <v>12197</v>
      </c>
      <c r="I8143" s="4" t="s">
        <v>18054</v>
      </c>
    </row>
    <row r="8144">
      <c r="A8144" s="4">
        <v>331.0</v>
      </c>
      <c r="B8144" s="4" t="s">
        <v>17419</v>
      </c>
      <c r="C8144" s="4"/>
      <c r="D8144" s="4" t="s">
        <v>18055</v>
      </c>
      <c r="E8144" s="4" t="s">
        <v>18056</v>
      </c>
      <c r="F8144" s="4" t="s">
        <v>14637</v>
      </c>
      <c r="G8144" s="5" t="str">
        <f>IFERROR(__xludf.DUMMYFUNCTION("GOOGLETRANSLATE(D8144,""pl"",""es"")"),"brechas")</f>
        <v>brechas</v>
      </c>
    </row>
    <row r="8145">
      <c r="A8145" s="4">
        <v>332.0</v>
      </c>
      <c r="B8145" s="4" t="s">
        <v>17419</v>
      </c>
      <c r="C8145" s="4"/>
      <c r="D8145" s="4" t="s">
        <v>18057</v>
      </c>
      <c r="E8145" s="4" t="s">
        <v>18058</v>
      </c>
      <c r="F8145" s="4" t="s">
        <v>18057</v>
      </c>
      <c r="G8145" s="5" t="str">
        <f>IFERROR(__xludf.DUMMYFUNCTION("GOOGLETRANSLATE(D8145,""pl"",""es"")"),"brecha")</f>
        <v>brecha</v>
      </c>
    </row>
    <row r="8146">
      <c r="A8146" s="4">
        <v>333.0</v>
      </c>
      <c r="B8146" s="4" t="s">
        <v>17419</v>
      </c>
      <c r="C8146" s="4"/>
      <c r="D8146" s="4" t="s">
        <v>18059</v>
      </c>
      <c r="E8146" s="4" t="s">
        <v>18060</v>
      </c>
      <c r="F8146" s="4" t="s">
        <v>18059</v>
      </c>
      <c r="G8146" s="5" t="str">
        <f>IFERROR(__xludf.DUMMYFUNCTION("GOOGLETRANSLATE(D8146,""pl"",""es"")"),"brecha")</f>
        <v>brecha</v>
      </c>
    </row>
    <row r="8147">
      <c r="A8147" s="4">
        <v>334.0</v>
      </c>
      <c r="B8147" s="4" t="s">
        <v>17419</v>
      </c>
      <c r="C8147" s="4"/>
      <c r="D8147" s="4" t="s">
        <v>10397</v>
      </c>
      <c r="E8147" s="4" t="s">
        <v>10398</v>
      </c>
      <c r="F8147" s="4" t="s">
        <v>10397</v>
      </c>
      <c r="G8147" s="5" t="str">
        <f>IFERROR(__xludf.DUMMYFUNCTION("GOOGLETRANSLATE(D8147,""pl"",""es"")"),"escotilla")</f>
        <v>escotilla</v>
      </c>
    </row>
    <row r="8148">
      <c r="A8148" s="4">
        <v>335.0</v>
      </c>
      <c r="B8148" s="4" t="s">
        <v>17419</v>
      </c>
      <c r="C8148" s="4"/>
      <c r="D8148" s="4" t="s">
        <v>18061</v>
      </c>
      <c r="E8148" s="4" t="s">
        <v>18062</v>
      </c>
      <c r="F8148" s="4" t="s">
        <v>18061</v>
      </c>
      <c r="G8148" s="5" t="str">
        <f>IFERROR(__xludf.DUMMYFUNCTION("GOOGLETRANSLATE(D8148,""pl"",""es"")"),"Lula")</f>
        <v>Lula</v>
      </c>
    </row>
    <row r="8149">
      <c r="A8149" s="4">
        <v>336.0</v>
      </c>
      <c r="B8149" s="4" t="s">
        <v>17419</v>
      </c>
      <c r="C8149" s="4"/>
      <c r="D8149" s="4" t="s">
        <v>18063</v>
      </c>
      <c r="E8149" s="4" t="s">
        <v>18064</v>
      </c>
      <c r="F8149" s="4" t="s">
        <v>18065</v>
      </c>
      <c r="G8149" s="5" t="str">
        <f>IFERROR(__xludf.DUMMYFUNCTION("GOOGLETRANSLATE(D8149,""pl"",""es"")"),"lulaj")</f>
        <v>lulaj</v>
      </c>
    </row>
    <row r="8150">
      <c r="A8150" s="4">
        <v>337.0</v>
      </c>
      <c r="B8150" s="4" t="s">
        <v>17419</v>
      </c>
      <c r="C8150" s="4"/>
      <c r="D8150" s="4" t="s">
        <v>18066</v>
      </c>
      <c r="E8150" s="4" t="s">
        <v>18067</v>
      </c>
      <c r="F8150" s="4" t="s">
        <v>18066</v>
      </c>
      <c r="G8150" s="5" t="str">
        <f>IFERROR(__xludf.DUMMYFUNCTION("GOOGLETRANSLATE(D8150,""pl"",""es"")"),"lulala")</f>
        <v>lulala</v>
      </c>
    </row>
    <row r="8151">
      <c r="A8151" s="4">
        <v>338.0</v>
      </c>
      <c r="B8151" s="4" t="s">
        <v>17419</v>
      </c>
      <c r="C8151" s="4"/>
      <c r="D8151" s="4" t="s">
        <v>18068</v>
      </c>
      <c r="E8151" s="4" t="s">
        <v>18069</v>
      </c>
      <c r="F8151" s="4" t="s">
        <v>18068</v>
      </c>
      <c r="G8151" s="5" t="str">
        <f>IFERROR(__xludf.DUMMYFUNCTION("GOOGLETRANSLATE(D8151,""pl"",""es"")"),"lulum")</f>
        <v>lulum</v>
      </c>
    </row>
    <row r="8152">
      <c r="A8152" s="4">
        <v>339.0</v>
      </c>
      <c r="B8152" s="4" t="s">
        <v>17419</v>
      </c>
      <c r="C8152" s="4"/>
      <c r="D8152" s="4" t="s">
        <v>18070</v>
      </c>
      <c r="E8152" s="4" t="s">
        <v>18071</v>
      </c>
      <c r="F8152" s="4" t="s">
        <v>18070</v>
      </c>
      <c r="G8152" s="5" t="str">
        <f>IFERROR(__xludf.DUMMYFUNCTION("GOOGLETRANSLATE(D8152,""pl"",""es"")"),"Lulana")</f>
        <v>Lulana</v>
      </c>
    </row>
    <row r="8153">
      <c r="A8153" s="4">
        <v>340.0</v>
      </c>
      <c r="B8153" s="4" t="s">
        <v>17419</v>
      </c>
      <c r="C8153" s="4"/>
      <c r="D8153" s="4" t="s">
        <v>18072</v>
      </c>
      <c r="E8153" s="4" t="s">
        <v>18073</v>
      </c>
      <c r="F8153" s="4" t="s">
        <v>18074</v>
      </c>
      <c r="G8153" s="5" t="str">
        <f>IFERROR(__xludf.DUMMYFUNCTION("GOOGLETRANSLATE(D8153,""pl"",""es"")"),"Lulani")</f>
        <v>Lulani</v>
      </c>
    </row>
    <row r="8154">
      <c r="A8154" s="4">
        <v>341.0</v>
      </c>
      <c r="B8154" s="4" t="s">
        <v>17419</v>
      </c>
      <c r="C8154" s="4"/>
      <c r="D8154" s="4" t="s">
        <v>2249</v>
      </c>
      <c r="E8154" s="4" t="s">
        <v>2248</v>
      </c>
      <c r="F8154" s="4" t="s">
        <v>2249</v>
      </c>
      <c r="G8154" s="5" t="str">
        <f>IFERROR(__xludf.DUMMYFUNCTION("GOOGLETRANSLATE(D8154,""pl"",""es"")"),"resplandor")</f>
        <v>resplandor</v>
      </c>
    </row>
    <row r="8155">
      <c r="A8155" s="4">
        <v>342.0</v>
      </c>
      <c r="B8155" s="4" t="s">
        <v>17419</v>
      </c>
      <c r="C8155" s="4"/>
      <c r="D8155" s="4" t="s">
        <v>18075</v>
      </c>
      <c r="E8155" s="4" t="s">
        <v>18076</v>
      </c>
      <c r="F8155" s="4" t="s">
        <v>18077</v>
      </c>
      <c r="G8155" s="5" t="str">
        <f>IFERROR(__xludf.DUMMYFUNCTION("GOOGLETRANSLATE(D8155,""pl"",""es"")"),"lunach")</f>
        <v>lunach</v>
      </c>
    </row>
    <row r="8156">
      <c r="A8156" s="4">
        <v>343.0</v>
      </c>
      <c r="B8156" s="4" t="s">
        <v>17419</v>
      </c>
      <c r="C8156" s="4"/>
      <c r="D8156" s="4" t="s">
        <v>18078</v>
      </c>
      <c r="E8156" s="4" t="s">
        <v>18079</v>
      </c>
      <c r="F8156" s="4" t="s">
        <v>18078</v>
      </c>
      <c r="G8156" s="5" t="str">
        <f>IFERROR(__xludf.DUMMYFUNCTION("GOOGLETRANSLATE(D8156,""pl"",""es"")"),"lun")</f>
        <v>lun</v>
      </c>
    </row>
    <row r="8157">
      <c r="A8157" s="4">
        <v>344.0</v>
      </c>
      <c r="B8157" s="4" t="s">
        <v>17419</v>
      </c>
      <c r="C8157" s="4"/>
      <c r="D8157" s="4" t="s">
        <v>12659</v>
      </c>
      <c r="E8157" s="4" t="s">
        <v>12658</v>
      </c>
      <c r="F8157" s="4" t="s">
        <v>12659</v>
      </c>
      <c r="G8157" s="5" t="str">
        <f>IFERROR(__xludf.DUMMYFUNCTION("GOOGLETRANSLATE(D8157,""pl"",""es"")"),"botín")</f>
        <v>botín</v>
      </c>
    </row>
    <row r="8158">
      <c r="A8158" s="4">
        <v>345.0</v>
      </c>
      <c r="B8158" s="4" t="s">
        <v>17419</v>
      </c>
      <c r="C8158" s="4"/>
      <c r="D8158" s="4" t="s">
        <v>2251</v>
      </c>
      <c r="E8158" s="4" t="s">
        <v>2252</v>
      </c>
      <c r="F8158" s="4" t="s">
        <v>2251</v>
      </c>
      <c r="G8158" s="5" t="str">
        <f>IFERROR(__xludf.DUMMYFUNCTION("GOOGLETRANSLATE(D8158,""pl"",""es"")"),"lupa")</f>
        <v>lupa</v>
      </c>
      <c r="H8158" s="4" t="s">
        <v>2253</v>
      </c>
      <c r="I8158" s="4" t="s">
        <v>2254</v>
      </c>
      <c r="J8158" s="4" t="s">
        <v>2255</v>
      </c>
    </row>
    <row r="8159">
      <c r="A8159" s="4">
        <v>346.0</v>
      </c>
      <c r="B8159" s="4" t="s">
        <v>17419</v>
      </c>
      <c r="C8159" s="4"/>
      <c r="D8159" s="4" t="s">
        <v>18080</v>
      </c>
      <c r="E8159" s="4" t="s">
        <v>18081</v>
      </c>
      <c r="F8159" s="4" t="s">
        <v>18082</v>
      </c>
      <c r="G8159" s="5" t="str">
        <f>IFERROR(__xludf.DUMMYFUNCTION("GOOGLETRANSLATE(D8159,""pl"",""es"")"),"aumento")</f>
        <v>aumento</v>
      </c>
    </row>
    <row r="8160">
      <c r="A8160" s="4">
        <v>347.0</v>
      </c>
      <c r="B8160" s="4" t="s">
        <v>17419</v>
      </c>
      <c r="C8160" s="4"/>
      <c r="D8160" s="4" t="s">
        <v>18083</v>
      </c>
      <c r="E8160" s="4" t="s">
        <v>18084</v>
      </c>
      <c r="F8160" s="4" t="s">
        <v>18083</v>
      </c>
      <c r="G8160" s="5" t="str">
        <f>IFERROR(__xludf.DUMMYFUNCTION("GOOGLETRANSLATE(D8160,""pl"",""es"")"),"aumento")</f>
        <v>aumento</v>
      </c>
    </row>
    <row r="8161">
      <c r="A8161" s="4">
        <v>348.0</v>
      </c>
      <c r="B8161" s="4" t="s">
        <v>17419</v>
      </c>
      <c r="C8161" s="4"/>
      <c r="D8161" s="4" t="s">
        <v>18085</v>
      </c>
      <c r="E8161" s="4" t="s">
        <v>18086</v>
      </c>
      <c r="F8161" s="4" t="s">
        <v>18085</v>
      </c>
      <c r="G8161" s="5" t="str">
        <f>IFERROR(__xludf.DUMMYFUNCTION("GOOGLETRANSLATE(D8161,""pl"",""es"")"),"niebla")</f>
        <v>niebla</v>
      </c>
    </row>
    <row r="8162">
      <c r="A8162" s="4">
        <v>349.0</v>
      </c>
      <c r="B8162" s="4" t="s">
        <v>17419</v>
      </c>
      <c r="C8162" s="4"/>
      <c r="D8162" s="4" t="s">
        <v>18087</v>
      </c>
      <c r="E8162" s="4" t="s">
        <v>18088</v>
      </c>
      <c r="F8162" s="4" t="s">
        <v>18089</v>
      </c>
      <c r="G8162" s="5" t="str">
        <f>IFERROR(__xludf.DUMMYFUNCTION("GOOGLETRANSLATE(D8162,""pl"",""es"")"),"soldadura")</f>
        <v>soldadura</v>
      </c>
    </row>
    <row r="8163">
      <c r="A8163" s="4">
        <v>350.0</v>
      </c>
      <c r="B8163" s="4" t="s">
        <v>17419</v>
      </c>
      <c r="C8163" s="4"/>
      <c r="D8163" s="4" t="s">
        <v>18090</v>
      </c>
      <c r="E8163" s="4" t="s">
        <v>18091</v>
      </c>
      <c r="F8163" s="4" t="s">
        <v>18090</v>
      </c>
      <c r="G8163" s="5" t="str">
        <f>IFERROR(__xludf.DUMMYFUNCTION("GOOGLETRANSLATE(D8163,""pl"",""es"")"),"soldadura")</f>
        <v>soldadura</v>
      </c>
    </row>
    <row r="8164">
      <c r="A8164" s="4">
        <v>351.0</v>
      </c>
      <c r="B8164" s="4" t="s">
        <v>17419</v>
      </c>
      <c r="C8164" s="4"/>
      <c r="D8164" s="4" t="s">
        <v>18092</v>
      </c>
      <c r="E8164" s="4" t="s">
        <v>18093</v>
      </c>
      <c r="F8164" s="4" t="s">
        <v>18092</v>
      </c>
      <c r="G8164" s="5" t="str">
        <f>IFERROR(__xludf.DUMMYFUNCTION("GOOGLETRANSLATE(D8164,""pl"",""es"")"),"Febrero")</f>
        <v>Febrero</v>
      </c>
    </row>
    <row r="8165">
      <c r="A8165" s="4">
        <v>352.0</v>
      </c>
      <c r="B8165" s="4" t="s">
        <v>17419</v>
      </c>
      <c r="C8165" s="4"/>
      <c r="D8165" s="4" t="s">
        <v>14438</v>
      </c>
      <c r="E8165" s="4" t="s">
        <v>14439</v>
      </c>
      <c r="F8165" s="4" t="s">
        <v>14440</v>
      </c>
      <c r="G8165" s="5" t="str">
        <f>IFERROR(__xludf.DUMMYFUNCTION("GOOGLETRANSLATE(D8165,""pl"",""es"")"),"autorización")</f>
        <v>autorización</v>
      </c>
      <c r="H8165" s="4" t="s">
        <v>18094</v>
      </c>
      <c r="I8165" s="4" t="s">
        <v>18095</v>
      </c>
      <c r="J8165" s="4" t="s">
        <v>18096</v>
      </c>
      <c r="K8165" s="4" t="s">
        <v>18097</v>
      </c>
      <c r="L8165" s="4" t="s">
        <v>12595</v>
      </c>
    </row>
    <row r="8166">
      <c r="A8166" s="4">
        <v>353.0</v>
      </c>
      <c r="B8166" s="4" t="s">
        <v>17419</v>
      </c>
      <c r="C8166" s="4"/>
      <c r="D8166" s="4" t="s">
        <v>18098</v>
      </c>
      <c r="E8166" s="4" t="s">
        <v>18099</v>
      </c>
      <c r="F8166" s="4" t="s">
        <v>18100</v>
      </c>
      <c r="G8166" s="5" t="str">
        <f>IFERROR(__xludf.DUMMYFUNCTION("GOOGLETRANSLATE(D8166,""pl"",""es"")"),"Luń")</f>
        <v>Luń</v>
      </c>
    </row>
    <row r="8167">
      <c r="A8167" s="4">
        <v>354.0</v>
      </c>
      <c r="B8167" s="4" t="s">
        <v>17419</v>
      </c>
      <c r="C8167" s="4"/>
      <c r="D8167" s="4" t="s">
        <v>2278</v>
      </c>
      <c r="E8167" s="4" t="s">
        <v>2279</v>
      </c>
      <c r="F8167" s="4" t="s">
        <v>2278</v>
      </c>
      <c r="G8167" s="5" t="str">
        <f>IFERROR(__xludf.DUMMYFUNCTION("GOOGLETRANSLATE(D8167,""pl"",""es"")"),"posee")</f>
        <v>posee</v>
      </c>
      <c r="H8167" s="4" t="s">
        <v>10470</v>
      </c>
      <c r="I8167" s="4" t="s">
        <v>10471</v>
      </c>
      <c r="J8167" s="4" t="s">
        <v>18101</v>
      </c>
    </row>
    <row r="8168">
      <c r="A8168" s="4">
        <v>355.0</v>
      </c>
      <c r="B8168" s="4" t="s">
        <v>17419</v>
      </c>
      <c r="C8168" s="4"/>
      <c r="D8168" s="4" t="s">
        <v>6711</v>
      </c>
      <c r="E8168" s="4" t="s">
        <v>18102</v>
      </c>
      <c r="F8168" s="4" t="s">
        <v>2301</v>
      </c>
      <c r="G8168" s="5" t="str">
        <f>IFERROR(__xludf.DUMMYFUNCTION("GOOGLETRANSLATE(D8168,""pl"",""es"")"),"máquina")</f>
        <v>máquina</v>
      </c>
      <c r="H8168" s="4" t="s">
        <v>18101</v>
      </c>
    </row>
    <row r="8169">
      <c r="A8169" s="4">
        <v>356.0</v>
      </c>
      <c r="B8169" s="4" t="s">
        <v>17419</v>
      </c>
      <c r="C8169" s="4"/>
      <c r="D8169" s="4" t="s">
        <v>18103</v>
      </c>
      <c r="E8169" s="4" t="s">
        <v>18104</v>
      </c>
      <c r="F8169" s="4" t="s">
        <v>2282</v>
      </c>
      <c r="G8169" s="5" t="str">
        <f>IFERROR(__xludf.DUMMYFUNCTION("GOOGLETRANSLATE(D8169,""pl"",""es"")"),"ondulación")</f>
        <v>ondulación</v>
      </c>
    </row>
    <row r="8170">
      <c r="A8170" s="4">
        <v>357.0</v>
      </c>
      <c r="B8170" s="4" t="s">
        <v>17419</v>
      </c>
      <c r="C8170" s="4"/>
      <c r="D8170" s="4" t="s">
        <v>18105</v>
      </c>
      <c r="E8170" s="4" t="s">
        <v>18106</v>
      </c>
      <c r="F8170" s="4" t="s">
        <v>18107</v>
      </c>
      <c r="G8170" s="5" t="str">
        <f>IFERROR(__xludf.DUMMYFUNCTION("GOOGLETRANSLATE(D8170,""pl"",""es"")"),"ola")</f>
        <v>ola</v>
      </c>
    </row>
    <row r="8171">
      <c r="A8171" s="4">
        <v>358.0</v>
      </c>
      <c r="B8171" s="4" t="s">
        <v>17419</v>
      </c>
      <c r="C8171" s="4"/>
      <c r="D8171" s="4" t="s">
        <v>18108</v>
      </c>
      <c r="E8171" s="4" t="s">
        <v>18109</v>
      </c>
      <c r="F8171" s="4" t="s">
        <v>18110</v>
      </c>
      <c r="G8171" s="5" t="str">
        <f>IFERROR(__xludf.DUMMYFUNCTION("GOOGLETRANSLATE(D8171,""pl"",""es"")"),"ondulado")</f>
        <v>ondulado</v>
      </c>
    </row>
    <row r="8172">
      <c r="A8172" s="4">
        <v>359.0</v>
      </c>
      <c r="B8172" s="4" t="s">
        <v>17419</v>
      </c>
      <c r="C8172" s="4"/>
      <c r="D8172" s="4" t="s">
        <v>18111</v>
      </c>
      <c r="E8172" s="4" t="s">
        <v>18112</v>
      </c>
      <c r="F8172" s="4" t="s">
        <v>15963</v>
      </c>
      <c r="G8172" s="5" t="str">
        <f>IFERROR(__xludf.DUMMYFUNCTION("GOOGLETRANSLATE(D8172,""pl"",""es"")"),"ondulación")</f>
        <v>ondulación</v>
      </c>
    </row>
    <row r="8173">
      <c r="A8173" s="4">
        <v>360.0</v>
      </c>
      <c r="B8173" s="4" t="s">
        <v>17419</v>
      </c>
      <c r="C8173" s="4"/>
      <c r="D8173" s="4" t="s">
        <v>18113</v>
      </c>
      <c r="E8173" s="4" t="s">
        <v>18114</v>
      </c>
      <c r="F8173" s="4" t="s">
        <v>18115</v>
      </c>
      <c r="G8173" s="5" t="str">
        <f>IFERROR(__xludf.DUMMYFUNCTION("GOOGLETRANSLATE(D8173,""pl"",""es"")"),"gallo")</f>
        <v>gallo</v>
      </c>
    </row>
    <row r="8174">
      <c r="A8174" s="4">
        <v>361.0</v>
      </c>
      <c r="B8174" s="4" t="s">
        <v>17419</v>
      </c>
      <c r="C8174" s="4"/>
      <c r="D8174" s="4" t="s">
        <v>18116</v>
      </c>
      <c r="E8174" s="4" t="s">
        <v>18117</v>
      </c>
      <c r="F8174" s="4" t="s">
        <v>18118</v>
      </c>
      <c r="G8174" s="5" t="str">
        <f>IFERROR(__xludf.DUMMYFUNCTION("GOOGLETRANSLATE(D8174,""pl"",""es"")"),"máquina")</f>
        <v>máquina</v>
      </c>
    </row>
    <row r="8175">
      <c r="A8175" s="4">
        <v>362.0</v>
      </c>
      <c r="B8175" s="4" t="s">
        <v>17419</v>
      </c>
      <c r="C8175" s="4"/>
      <c r="D8175" s="4" t="s">
        <v>12700</v>
      </c>
      <c r="E8175" s="4" t="s">
        <v>18119</v>
      </c>
      <c r="F8175" s="4" t="s">
        <v>2873</v>
      </c>
      <c r="G8175" s="5" t="str">
        <f>IFERROR(__xludf.DUMMYFUNCTION("GOOGLETRANSLATE(D8175,""pl"",""es"")"),"máquina")</f>
        <v>máquina</v>
      </c>
    </row>
    <row r="8176">
      <c r="A8176" s="4">
        <v>363.0</v>
      </c>
      <c r="B8176" s="4" t="s">
        <v>17419</v>
      </c>
      <c r="C8176" s="4"/>
      <c r="D8176" s="4" t="s">
        <v>18120</v>
      </c>
      <c r="E8176" s="4" t="s">
        <v>18121</v>
      </c>
      <c r="F8176" s="4" t="s">
        <v>18122</v>
      </c>
      <c r="G8176" s="5" t="str">
        <f>IFERROR(__xludf.DUMMYFUNCTION("GOOGLETRANSLATE(D8176,""pl"",""es"")"),"máquina")</f>
        <v>máquina</v>
      </c>
    </row>
    <row r="8177">
      <c r="A8177" s="4">
        <v>364.0</v>
      </c>
      <c r="B8177" s="4" t="s">
        <v>17419</v>
      </c>
      <c r="C8177" s="4"/>
      <c r="D8177" s="4" t="s">
        <v>18123</v>
      </c>
      <c r="E8177" s="4" t="s">
        <v>18124</v>
      </c>
      <c r="F8177" s="4" t="s">
        <v>2864</v>
      </c>
      <c r="G8177" s="5" t="str">
        <f>IFERROR(__xludf.DUMMYFUNCTION("GOOGLETRANSLATE(D8177,""pl"",""es"")"),"máquina")</f>
        <v>máquina</v>
      </c>
    </row>
    <row r="8178">
      <c r="A8178" s="4">
        <v>365.0</v>
      </c>
      <c r="B8178" s="4" t="s">
        <v>17419</v>
      </c>
      <c r="C8178" s="4"/>
      <c r="D8178" s="4" t="s">
        <v>18125</v>
      </c>
      <c r="E8178" s="4" t="s">
        <v>18126</v>
      </c>
      <c r="F8178" s="4" t="s">
        <v>18127</v>
      </c>
      <c r="G8178" s="5" t="str">
        <f>IFERROR(__xludf.DUMMYFUNCTION("GOOGLETRANSLATE(D8178,""pl"",""es"")"),"máquina")</f>
        <v>máquina</v>
      </c>
    </row>
    <row r="8179">
      <c r="A8179" s="4">
        <v>366.0</v>
      </c>
      <c r="B8179" s="4" t="s">
        <v>17419</v>
      </c>
      <c r="C8179" s="4"/>
      <c r="D8179" s="4" t="s">
        <v>2299</v>
      </c>
      <c r="E8179" s="4" t="s">
        <v>2300</v>
      </c>
      <c r="F8179" s="4" t="s">
        <v>2301</v>
      </c>
      <c r="G8179" s="5" t="str">
        <f>IFERROR(__xludf.DUMMYFUNCTION("GOOGLETRANSLATE(D8179,""pl"",""es"")"),"mago")</f>
        <v>mago</v>
      </c>
      <c r="H8179" s="4" t="s">
        <v>2307</v>
      </c>
      <c r="I8179" s="4" t="s">
        <v>2307</v>
      </c>
    </row>
    <row r="8180">
      <c r="A8180" s="4">
        <v>367.0</v>
      </c>
      <c r="B8180" s="4" t="s">
        <v>17419</v>
      </c>
      <c r="C8180" s="4"/>
      <c r="D8180" s="4" t="s">
        <v>4840</v>
      </c>
      <c r="E8180" s="4" t="s">
        <v>332</v>
      </c>
      <c r="F8180" s="4" t="s">
        <v>333</v>
      </c>
      <c r="G8180" s="5" t="str">
        <f>IFERROR(__xludf.DUMMYFUNCTION("GOOGLETRANSLATE(D8180,""pl"",""es"")"),"Mayo")</f>
        <v>Mayo</v>
      </c>
      <c r="H8180" s="4" t="s">
        <v>2317</v>
      </c>
      <c r="I8180" s="4" t="s">
        <v>2316</v>
      </c>
      <c r="J8180" s="4" t="s">
        <v>18128</v>
      </c>
    </row>
    <row r="8181">
      <c r="A8181" s="4">
        <v>368.0</v>
      </c>
      <c r="B8181" s="4" t="s">
        <v>17419</v>
      </c>
      <c r="C8181" s="4"/>
      <c r="D8181" s="4" t="s">
        <v>10493</v>
      </c>
      <c r="E8181" s="4" t="s">
        <v>2314</v>
      </c>
      <c r="F8181" s="4" t="s">
        <v>2315</v>
      </c>
      <c r="G8181" s="5" t="str">
        <f>IFERROR(__xludf.DUMMYFUNCTION("GOOGLETRANSLATE(D8181,""pl"",""es"")"),"Mayo")</f>
        <v>Mayo</v>
      </c>
    </row>
    <row r="8182">
      <c r="A8182" s="4">
        <v>369.0</v>
      </c>
      <c r="B8182" s="4" t="s">
        <v>17419</v>
      </c>
      <c r="C8182" s="4"/>
      <c r="D8182" s="4" t="s">
        <v>18129</v>
      </c>
      <c r="E8182" s="4" t="s">
        <v>18130</v>
      </c>
      <c r="F8182" s="4" t="s">
        <v>18131</v>
      </c>
      <c r="G8182" s="5" t="str">
        <f>IFERROR(__xludf.DUMMYFUNCTION("GOOGLETRANSLATE(D8182,""pl"",""es"")"),"Mayo")</f>
        <v>Mayo</v>
      </c>
    </row>
    <row r="8183">
      <c r="A8183" s="4">
        <v>370.0</v>
      </c>
      <c r="B8183" s="4" t="s">
        <v>17419</v>
      </c>
      <c r="C8183" s="4"/>
      <c r="D8183" s="4" t="s">
        <v>18132</v>
      </c>
      <c r="E8183" s="4" t="s">
        <v>18133</v>
      </c>
      <c r="F8183" s="4" t="s">
        <v>18131</v>
      </c>
      <c r="G8183" s="5" t="str">
        <f>IFERROR(__xludf.DUMMYFUNCTION("GOOGLETRANSLATE(D8183,""pl"",""es"")"),"fantasma")</f>
        <v>fantasma</v>
      </c>
    </row>
    <row r="8184">
      <c r="A8184" s="4">
        <v>371.0</v>
      </c>
      <c r="B8184" s="4" t="s">
        <v>17419</v>
      </c>
      <c r="C8184" s="4"/>
      <c r="D8184" s="4" t="s">
        <v>18134</v>
      </c>
      <c r="E8184" s="4" t="s">
        <v>12869</v>
      </c>
      <c r="F8184" s="4" t="s">
        <v>12870</v>
      </c>
      <c r="G8184" s="5" t="str">
        <f>IFERROR(__xludf.DUMMYFUNCTION("GOOGLETRANSLATE(D8184,""pl"",""es"")"),"maya")</f>
        <v>maya</v>
      </c>
    </row>
    <row r="8185">
      <c r="A8185" s="4">
        <v>372.0</v>
      </c>
      <c r="B8185" s="4" t="s">
        <v>17419</v>
      </c>
      <c r="C8185" s="4"/>
      <c r="D8185" s="4" t="s">
        <v>18135</v>
      </c>
      <c r="E8185" s="4" t="s">
        <v>18136</v>
      </c>
      <c r="F8185" s="4" t="s">
        <v>18137</v>
      </c>
      <c r="G8185" s="5" t="str">
        <f>IFERROR(__xludf.DUMMYFUNCTION("GOOGLETRANSLATE(D8185,""pl"",""es"")"),"Mayo")</f>
        <v>Mayo</v>
      </c>
    </row>
    <row r="8186">
      <c r="A8186" s="4">
        <v>373.0</v>
      </c>
      <c r="B8186" s="4" t="s">
        <v>17419</v>
      </c>
      <c r="C8186" s="4"/>
      <c r="D8186" s="4" t="s">
        <v>2301</v>
      </c>
      <c r="E8186" s="4" t="s">
        <v>2300</v>
      </c>
      <c r="F8186" s="4" t="s">
        <v>2301</v>
      </c>
      <c r="G8186" s="5" t="str">
        <f>IFERROR(__xludf.DUMMYFUNCTION("GOOGLETRANSLATE(D8186,""pl"",""es"")"),"semilla de amapola")</f>
        <v>semilla de amapola</v>
      </c>
      <c r="H8186" s="4" t="s">
        <v>18138</v>
      </c>
      <c r="I8186" s="4" t="s">
        <v>8692</v>
      </c>
    </row>
    <row r="8187">
      <c r="A8187" s="4">
        <v>374.0</v>
      </c>
      <c r="B8187" s="4" t="s">
        <v>17419</v>
      </c>
      <c r="C8187" s="4"/>
      <c r="D8187" s="4" t="s">
        <v>18139</v>
      </c>
      <c r="E8187" s="4" t="s">
        <v>18140</v>
      </c>
      <c r="F8187" s="4" t="s">
        <v>12699</v>
      </c>
      <c r="G8187" s="5" t="str">
        <f>IFERROR(__xludf.DUMMYFUNCTION("GOOGLETRANSLATE(D8187,""pl"",""es"")"),"amapolas")</f>
        <v>amapolas</v>
      </c>
    </row>
    <row r="8188">
      <c r="A8188" s="4">
        <v>375.0</v>
      </c>
      <c r="B8188" s="4" t="s">
        <v>17419</v>
      </c>
      <c r="C8188" s="4"/>
      <c r="D8188" s="4" t="s">
        <v>12699</v>
      </c>
      <c r="E8188" s="4" t="s">
        <v>12698</v>
      </c>
      <c r="F8188" s="4" t="s">
        <v>12699</v>
      </c>
      <c r="G8188" s="5" t="str">
        <f>IFERROR(__xludf.DUMMYFUNCTION("GOOGLETRANSLATE(D8188,""pl"",""es"")"),"gorro de cocinero")</f>
        <v>gorro de cocinero</v>
      </c>
      <c r="H8188" s="4" t="s">
        <v>18141</v>
      </c>
      <c r="I8188" s="4" t="s">
        <v>18142</v>
      </c>
    </row>
    <row r="8189">
      <c r="A8189" s="4">
        <v>376.0</v>
      </c>
      <c r="B8189" s="4" t="s">
        <v>17419</v>
      </c>
      <c r="C8189" s="4"/>
      <c r="D8189" s="4" t="s">
        <v>18143</v>
      </c>
      <c r="E8189" s="4" t="s">
        <v>18144</v>
      </c>
      <c r="F8189" s="4" t="s">
        <v>18143</v>
      </c>
      <c r="G8189" s="5" t="str">
        <f>IFERROR(__xludf.DUMMYFUNCTION("GOOGLETRANSLATE(D8189,""pl"",""es"")"),"semillas de amapola")</f>
        <v>semillas de amapola</v>
      </c>
    </row>
    <row r="8190">
      <c r="A8190" s="4">
        <v>377.0</v>
      </c>
      <c r="B8190" s="4" t="s">
        <v>17419</v>
      </c>
      <c r="C8190" s="4"/>
      <c r="D8190" s="4" t="s">
        <v>2463</v>
      </c>
      <c r="E8190" s="4" t="s">
        <v>2462</v>
      </c>
      <c r="F8190" s="4" t="s">
        <v>2463</v>
      </c>
      <c r="G8190" s="5" t="str">
        <f>IFERROR(__xludf.DUMMYFUNCTION("GOOGLETRANSLATE(D8190,""pl"",""es"")"),"Macs")</f>
        <v>Macs</v>
      </c>
    </row>
    <row r="8191">
      <c r="A8191" s="4">
        <v>378.0</v>
      </c>
      <c r="B8191" s="4" t="s">
        <v>17419</v>
      </c>
      <c r="C8191" s="4"/>
      <c r="D8191" s="4" t="s">
        <v>2288</v>
      </c>
      <c r="E8191" s="4" t="s">
        <v>2287</v>
      </c>
      <c r="F8191" s="4" t="s">
        <v>2288</v>
      </c>
      <c r="G8191" s="5" t="str">
        <f>IFERROR(__xludf.DUMMYFUNCTION("GOOGLETRANSLATE(D8191,""pl"",""es"")"),"semilla de amapola")</f>
        <v>semilla de amapola</v>
      </c>
    </row>
    <row r="8192">
      <c r="A8192" s="4">
        <v>379.0</v>
      </c>
      <c r="B8192" s="4" t="s">
        <v>17419</v>
      </c>
      <c r="C8192" s="4"/>
      <c r="D8192" s="4" t="s">
        <v>18145</v>
      </c>
      <c r="E8192" s="4" t="s">
        <v>18146</v>
      </c>
      <c r="F8192" s="4" t="s">
        <v>18147</v>
      </c>
      <c r="G8192" s="5" t="str">
        <f>IFERROR(__xludf.DUMMYFUNCTION("GOOGLETRANSLATE(D8192,""pl"",""es"")"),"torta de aceite")</f>
        <v>torta de aceite</v>
      </c>
      <c r="H8192" s="4" t="s">
        <v>18148</v>
      </c>
    </row>
    <row r="8193">
      <c r="A8193" s="4">
        <v>380.0</v>
      </c>
      <c r="B8193" s="4" t="s">
        <v>17419</v>
      </c>
      <c r="C8193" s="4"/>
      <c r="D8193" s="4" t="s">
        <v>18149</v>
      </c>
      <c r="E8193" s="4" t="s">
        <v>18150</v>
      </c>
      <c r="F8193" s="4" t="s">
        <v>18151</v>
      </c>
      <c r="G8193" s="5" t="str">
        <f>IFERROR(__xludf.DUMMYFUNCTION("GOOGLETRANSLATE(D8193,""pl"",""es"")"),"malachista")</f>
        <v>malachista</v>
      </c>
    </row>
    <row r="8194">
      <c r="A8194" s="4">
        <v>381.0</v>
      </c>
      <c r="B8194" s="4" t="s">
        <v>17419</v>
      </c>
      <c r="C8194" s="4"/>
      <c r="D8194" s="4" t="s">
        <v>18152</v>
      </c>
      <c r="E8194" s="4" t="s">
        <v>12775</v>
      </c>
      <c r="F8194" s="4" t="s">
        <v>12774</v>
      </c>
      <c r="G8194" s="5" t="str">
        <f>IFERROR(__xludf.DUMMYFUNCTION("GOOGLETRANSLATE(D8194,""pl"",""es"")"),"Malajalam")</f>
        <v>Malajalam</v>
      </c>
    </row>
    <row r="8195">
      <c r="A8195" s="4">
        <v>382.0</v>
      </c>
      <c r="B8195" s="4" t="s">
        <v>17419</v>
      </c>
      <c r="C8195" s="4"/>
      <c r="D8195" s="4" t="s">
        <v>5314</v>
      </c>
      <c r="E8195" s="4" t="s">
        <v>5313</v>
      </c>
      <c r="F8195" s="4" t="s">
        <v>5314</v>
      </c>
      <c r="G8195" s="5" t="str">
        <f>IFERROR(__xludf.DUMMYFUNCTION("GOOGLETRANSLATE(D8195,""pl"",""es"")"),"poco")</f>
        <v>poco</v>
      </c>
      <c r="H8195" s="4" t="s">
        <v>5347</v>
      </c>
      <c r="I8195" s="4" t="s">
        <v>5348</v>
      </c>
      <c r="J8195" s="4" t="s">
        <v>5349</v>
      </c>
    </row>
    <row r="8196">
      <c r="A8196" s="4">
        <v>383.0</v>
      </c>
      <c r="B8196" s="4" t="s">
        <v>17419</v>
      </c>
      <c r="C8196" s="4"/>
      <c r="D8196" s="4" t="s">
        <v>18153</v>
      </c>
      <c r="E8196" s="4" t="s">
        <v>18154</v>
      </c>
      <c r="F8196" s="4" t="s">
        <v>6724</v>
      </c>
      <c r="G8196" s="5" t="str">
        <f>IFERROR(__xludf.DUMMYFUNCTION("GOOGLETRANSLATE(D8196,""pl"",""es"")"),"Malich")</f>
        <v>Malich</v>
      </c>
    </row>
    <row r="8197">
      <c r="A8197" s="4">
        <v>384.0</v>
      </c>
      <c r="B8197" s="4" t="s">
        <v>17419</v>
      </c>
      <c r="C8197" s="4"/>
      <c r="D8197" s="4" t="s">
        <v>18155</v>
      </c>
      <c r="E8197" s="4" t="s">
        <v>18156</v>
      </c>
      <c r="F8197" s="4" t="s">
        <v>18157</v>
      </c>
      <c r="G8197" s="5" t="str">
        <f>IFERROR(__xludf.DUMMYFUNCTION("GOOGLETRANSLATE(D8197,""pl"",""es"")"),"Malich")</f>
        <v>Malich</v>
      </c>
    </row>
    <row r="8198">
      <c r="A8198" s="4">
        <v>385.0</v>
      </c>
      <c r="B8198" s="4" t="s">
        <v>17419</v>
      </c>
      <c r="C8198" s="4"/>
      <c r="D8198" s="4" t="s">
        <v>6724</v>
      </c>
      <c r="E8198" s="4" t="s">
        <v>18158</v>
      </c>
      <c r="F8198" s="4" t="s">
        <v>6724</v>
      </c>
      <c r="G8198" s="5" t="str">
        <f>IFERROR(__xludf.DUMMYFUNCTION("GOOGLETRANSLATE(D8198,""pl"",""es"")"),"Malik")</f>
        <v>Malik</v>
      </c>
    </row>
    <row r="8199">
      <c r="A8199" s="4">
        <v>386.0</v>
      </c>
      <c r="B8199" s="4" t="s">
        <v>17419</v>
      </c>
      <c r="C8199" s="4"/>
      <c r="D8199" s="4" t="s">
        <v>9127</v>
      </c>
      <c r="E8199" s="4" t="s">
        <v>9128</v>
      </c>
      <c r="F8199" s="4" t="s">
        <v>9127</v>
      </c>
      <c r="G8199" s="5" t="str">
        <f>IFERROR(__xludf.DUMMYFUNCTION("GOOGLETRANSLATE(D8199,""pl"",""es"")"),"frambuesa")</f>
        <v>frambuesa</v>
      </c>
    </row>
    <row r="8200">
      <c r="A8200" s="4">
        <v>387.0</v>
      </c>
      <c r="B8200" s="4" t="s">
        <v>17419</v>
      </c>
      <c r="C8200" s="4"/>
      <c r="D8200" s="4" t="s">
        <v>18159</v>
      </c>
      <c r="E8200" s="4" t="s">
        <v>18160</v>
      </c>
      <c r="F8200" s="4" t="s">
        <v>18159</v>
      </c>
      <c r="G8200" s="5" t="str">
        <f>IFERROR(__xludf.DUMMYFUNCTION("GOOGLETRANSLATE(D8200,""pl"",""es"")"),"frambuesa")</f>
        <v>frambuesa</v>
      </c>
      <c r="H8200" s="4" t="s">
        <v>6267</v>
      </c>
      <c r="I8200" s="4" t="s">
        <v>6267</v>
      </c>
      <c r="J8200" s="4" t="s">
        <v>18161</v>
      </c>
    </row>
    <row r="8201">
      <c r="A8201" s="4">
        <v>388.0</v>
      </c>
      <c r="B8201" s="4" t="s">
        <v>17419</v>
      </c>
      <c r="C8201" s="4"/>
      <c r="D8201" s="4" t="s">
        <v>18162</v>
      </c>
      <c r="E8201" s="4" t="s">
        <v>18163</v>
      </c>
      <c r="F8201" s="4" t="s">
        <v>18162</v>
      </c>
      <c r="G8201" s="5" t="str">
        <f>IFERROR(__xludf.DUMMYFUNCTION("GOOGLETRANSLATE(D8201,""pl"",""es"")"),"frambuesa")</f>
        <v>frambuesa</v>
      </c>
    </row>
    <row r="8202">
      <c r="A8202" s="4">
        <v>389.0</v>
      </c>
      <c r="B8202" s="4" t="s">
        <v>17419</v>
      </c>
      <c r="C8202" s="4"/>
      <c r="D8202" s="4" t="s">
        <v>18164</v>
      </c>
      <c r="E8202" s="4" t="s">
        <v>18165</v>
      </c>
      <c r="F8202" s="4" t="s">
        <v>2376</v>
      </c>
      <c r="G8202" s="5" t="str">
        <f>IFERROR(__xludf.DUMMYFUNCTION("GOOGLETRANSLATE(D8202,""pl"",""es"")"),"bebé")</f>
        <v>bebé</v>
      </c>
      <c r="H8202" s="4" t="s">
        <v>14812</v>
      </c>
      <c r="I8202" s="4" t="s">
        <v>14813</v>
      </c>
      <c r="J8202" s="4" t="s">
        <v>4138</v>
      </c>
      <c r="K8202" s="4" t="s">
        <v>14814</v>
      </c>
    </row>
    <row r="8203">
      <c r="A8203" s="4">
        <v>390.0</v>
      </c>
      <c r="B8203" s="4" t="s">
        <v>17419</v>
      </c>
      <c r="C8203" s="4"/>
      <c r="D8203" s="4" t="s">
        <v>18166</v>
      </c>
      <c r="E8203" s="4" t="s">
        <v>18167</v>
      </c>
      <c r="F8203" s="4" t="s">
        <v>18168</v>
      </c>
      <c r="G8203" s="5" t="str">
        <f>IFERROR(__xludf.DUMMYFUNCTION("GOOGLETRANSLATE(D8203,""pl"",""es"")"),"niño pequeño")</f>
        <v>niño pequeño</v>
      </c>
    </row>
    <row r="8204">
      <c r="A8204" s="4">
        <v>391.0</v>
      </c>
      <c r="B8204" s="4" t="s">
        <v>17419</v>
      </c>
      <c r="C8204" s="4"/>
      <c r="D8204" s="4" t="s">
        <v>18169</v>
      </c>
      <c r="E8204" s="4" t="s">
        <v>18170</v>
      </c>
      <c r="F8204" s="4" t="s">
        <v>18171</v>
      </c>
      <c r="G8204" s="5" t="str">
        <f>IFERROR(__xludf.DUMMYFUNCTION("GOOGLETRANSLATE(D8204,""pl"",""es"")"),"niños pequeños")</f>
        <v>niños pequeños</v>
      </c>
    </row>
    <row r="8205">
      <c r="A8205" s="4">
        <v>392.0</v>
      </c>
      <c r="B8205" s="4" t="s">
        <v>17419</v>
      </c>
      <c r="C8205" s="4"/>
      <c r="D8205" s="4" t="s">
        <v>18172</v>
      </c>
      <c r="E8205" s="4" t="s">
        <v>18173</v>
      </c>
      <c r="F8205" s="4" t="s">
        <v>18174</v>
      </c>
      <c r="G8205" s="5" t="str">
        <f>IFERROR(__xludf.DUMMYFUNCTION("GOOGLETRANSLATE(D8205,""pl"",""es"")"),"niños pequeños")</f>
        <v>niños pequeños</v>
      </c>
    </row>
    <row r="8206">
      <c r="A8206" s="4">
        <v>393.0</v>
      </c>
      <c r="B8206" s="4" t="s">
        <v>17419</v>
      </c>
      <c r="C8206" s="4"/>
      <c r="D8206" s="4" t="s">
        <v>18175</v>
      </c>
      <c r="E8206" s="4" t="s">
        <v>18176</v>
      </c>
      <c r="F8206" s="4" t="s">
        <v>18177</v>
      </c>
      <c r="G8206" s="5" t="str">
        <f>IFERROR(__xludf.DUMMYFUNCTION("GOOGLETRANSLATE(D8206,""pl"",""es"")"),"niño pequeño")</f>
        <v>niño pequeño</v>
      </c>
    </row>
    <row r="8207">
      <c r="A8207" s="4">
        <v>394.0</v>
      </c>
      <c r="B8207" s="4" t="s">
        <v>17419</v>
      </c>
      <c r="C8207" s="4"/>
      <c r="D8207" s="4" t="s">
        <v>18178</v>
      </c>
      <c r="E8207" s="4" t="s">
        <v>18179</v>
      </c>
      <c r="F8207" s="4" t="s">
        <v>18178</v>
      </c>
      <c r="G8207" s="5" t="str">
        <f>IFERROR(__xludf.DUMMYFUNCTION("GOOGLETRANSLATE(D8207,""pl"",""es"")"),"poco")</f>
        <v>poco</v>
      </c>
    </row>
    <row r="8208">
      <c r="A8208" s="4">
        <v>395.0</v>
      </c>
      <c r="B8208" s="4" t="s">
        <v>17419</v>
      </c>
      <c r="C8208" s="4"/>
      <c r="D8208" s="4" t="s">
        <v>6701</v>
      </c>
      <c r="E8208" s="4" t="s">
        <v>12696</v>
      </c>
      <c r="F8208" s="4" t="s">
        <v>6701</v>
      </c>
      <c r="G8208" s="5" t="str">
        <f>IFERROR(__xludf.DUMMYFUNCTION("GOOGLETRANSLATE(D8208,""pl"",""es"")"),"tengo")</f>
        <v>tengo</v>
      </c>
    </row>
    <row r="8209">
      <c r="A8209" s="4">
        <v>396.0</v>
      </c>
      <c r="B8209" s="4" t="s">
        <v>17419</v>
      </c>
      <c r="C8209" s="4"/>
      <c r="D8209" s="4" t="s">
        <v>2381</v>
      </c>
      <c r="E8209" s="4" t="s">
        <v>2382</v>
      </c>
      <c r="F8209" s="4" t="s">
        <v>2381</v>
      </c>
      <c r="G8209" s="5" t="str">
        <f>IFERROR(__xludf.DUMMYFUNCTION("GOOGLETRANSLATE(D8209,""pl"",""es"")"),"mamá")</f>
        <v>mamá</v>
      </c>
      <c r="H8209" s="4" t="s">
        <v>2278</v>
      </c>
      <c r="I8209" s="4" t="s">
        <v>2381</v>
      </c>
      <c r="J8209" s="4" t="s">
        <v>2384</v>
      </c>
      <c r="K8209" s="4" t="s">
        <v>2385</v>
      </c>
      <c r="L8209" s="4" t="s">
        <v>2386</v>
      </c>
      <c r="M8209" s="4" t="s">
        <v>2387</v>
      </c>
      <c r="N8209" s="4" t="s">
        <v>2388</v>
      </c>
      <c r="O8209" s="4" t="s">
        <v>2389</v>
      </c>
      <c r="P8209" s="4" t="s">
        <v>2390</v>
      </c>
      <c r="Q8209" s="4" t="s">
        <v>18180</v>
      </c>
      <c r="R8209" s="4" t="s">
        <v>8941</v>
      </c>
      <c r="S8209" s="4" t="s">
        <v>8942</v>
      </c>
    </row>
    <row r="8210">
      <c r="A8210" s="4">
        <v>397.0</v>
      </c>
      <c r="B8210" s="4" t="s">
        <v>17419</v>
      </c>
      <c r="C8210" s="4"/>
      <c r="D8210" s="4" t="s">
        <v>18181</v>
      </c>
      <c r="E8210" s="4" t="s">
        <v>18182</v>
      </c>
      <c r="F8210" s="4" t="s">
        <v>18183</v>
      </c>
      <c r="G8210" s="5" t="str">
        <f>IFERROR(__xludf.DUMMYFUNCTION("GOOGLETRANSLATE(D8210,""pl"",""es"")"),"madres")</f>
        <v>madres</v>
      </c>
    </row>
    <row r="8211">
      <c r="A8211" s="4">
        <v>398.0</v>
      </c>
      <c r="B8211" s="4" t="s">
        <v>17419</v>
      </c>
      <c r="C8211" s="4"/>
      <c r="D8211" s="4" t="s">
        <v>18184</v>
      </c>
      <c r="E8211" s="4" t="s">
        <v>18185</v>
      </c>
      <c r="F8211" s="4" t="s">
        <v>18184</v>
      </c>
      <c r="G8211" s="5" t="str">
        <f>IFERROR(__xludf.DUMMYFUNCTION("GOOGLETRANSLATE(D8211,""pl"",""es"")"),"madres")</f>
        <v>madres</v>
      </c>
    </row>
    <row r="8212">
      <c r="A8212" s="4">
        <v>399.0</v>
      </c>
      <c r="B8212" s="4" t="s">
        <v>17419</v>
      </c>
      <c r="C8212" s="4"/>
      <c r="D8212" s="4" t="s">
        <v>12789</v>
      </c>
      <c r="E8212" s="4" t="s">
        <v>12788</v>
      </c>
      <c r="F8212" s="4" t="s">
        <v>12789</v>
      </c>
      <c r="G8212" s="5" t="str">
        <f>IFERROR(__xludf.DUMMYFUNCTION("GOOGLETRANSLATE(D8212,""pl"",""es"")"),"Mamia")</f>
        <v>Mamia</v>
      </c>
    </row>
    <row r="8213">
      <c r="A8213" s="4">
        <v>400.0</v>
      </c>
      <c r="B8213" s="4" t="s">
        <v>17419</v>
      </c>
      <c r="C8213" s="4"/>
      <c r="D8213" s="4" t="s">
        <v>18186</v>
      </c>
      <c r="E8213" s="4" t="s">
        <v>18187</v>
      </c>
      <c r="F8213" s="4" t="s">
        <v>18186</v>
      </c>
      <c r="G8213" s="5" t="str">
        <f>IFERROR(__xludf.DUMMYFUNCTION("GOOGLETRANSLATE(D8213,""pl"",""es"")"),"Mamili")</f>
        <v>Mamili</v>
      </c>
    </row>
    <row r="8214">
      <c r="A8214" s="4">
        <v>401.0</v>
      </c>
      <c r="B8214" s="4" t="s">
        <v>17419</v>
      </c>
      <c r="C8214" s="4"/>
      <c r="D8214" s="4" t="s">
        <v>18188</v>
      </c>
      <c r="E8214" s="4" t="s">
        <v>18189</v>
      </c>
      <c r="F8214" s="4" t="s">
        <v>18190</v>
      </c>
      <c r="G8214" s="5" t="str">
        <f>IFERROR(__xludf.DUMMYFUNCTION("GOOGLETRANSLATE(D8214,""pl"",""es"")"),"mamá")</f>
        <v>mamá</v>
      </c>
    </row>
    <row r="8215">
      <c r="A8215" s="4">
        <v>402.0</v>
      </c>
      <c r="B8215" s="4" t="s">
        <v>17419</v>
      </c>
      <c r="C8215" s="4"/>
      <c r="D8215" s="4" t="s">
        <v>2401</v>
      </c>
      <c r="E8215" s="4" t="s">
        <v>2402</v>
      </c>
      <c r="F8215" s="4" t="s">
        <v>2401</v>
      </c>
      <c r="G8215" s="5" t="str">
        <f>IFERROR(__xludf.DUMMYFUNCTION("GOOGLETRANSLATE(D8215,""pl"",""es"")"),"maná")</f>
        <v>maná</v>
      </c>
    </row>
    <row r="8216">
      <c r="A8216" s="4">
        <v>403.0</v>
      </c>
      <c r="B8216" s="4" t="s">
        <v>17419</v>
      </c>
      <c r="C8216" s="4"/>
      <c r="D8216" s="4" t="s">
        <v>18191</v>
      </c>
      <c r="E8216" s="4" t="s">
        <v>18192</v>
      </c>
      <c r="F8216" s="4" t="s">
        <v>18193</v>
      </c>
      <c r="G8216" s="5" t="str">
        <f>IFERROR(__xludf.DUMMYFUNCTION("GOOGLETRANSLATE(D8216,""pl"",""es"")"),"manaj")</f>
        <v>manaj</v>
      </c>
    </row>
    <row r="8217">
      <c r="A8217" s="4">
        <v>404.0</v>
      </c>
      <c r="B8217" s="4" t="s">
        <v>17419</v>
      </c>
      <c r="C8217" s="4"/>
      <c r="D8217" s="4" t="s">
        <v>18194</v>
      </c>
      <c r="E8217" s="4" t="s">
        <v>18195</v>
      </c>
      <c r="F8217" s="4" t="s">
        <v>18196</v>
      </c>
      <c r="G8217" s="5" t="str">
        <f>IFERROR(__xludf.DUMMYFUNCTION("GOOGLETRANSLATE(D8217,""pl"",""es"")"),"Manil")</f>
        <v>Manil</v>
      </c>
    </row>
    <row r="8218">
      <c r="A8218" s="4">
        <v>405.0</v>
      </c>
      <c r="B8218" s="4" t="s">
        <v>17419</v>
      </c>
      <c r="C8218" s="4"/>
      <c r="D8218" s="4" t="s">
        <v>12811</v>
      </c>
      <c r="E8218" s="4" t="s">
        <v>18197</v>
      </c>
      <c r="F8218" s="4" t="s">
        <v>18198</v>
      </c>
      <c r="G8218" s="5" t="str">
        <f>IFERROR(__xludf.DUMMYFUNCTION("GOOGLETRANSLATE(D8218,""pl"",""es"")"),"Manila")</f>
        <v>Manila</v>
      </c>
      <c r="H8218" s="4" t="s">
        <v>12809</v>
      </c>
      <c r="I8218" s="4" t="s">
        <v>12810</v>
      </c>
    </row>
    <row r="8219">
      <c r="A8219" s="4">
        <v>406.0</v>
      </c>
      <c r="B8219" s="4" t="s">
        <v>17419</v>
      </c>
      <c r="C8219" s="4"/>
      <c r="D8219" s="4" t="s">
        <v>18199</v>
      </c>
      <c r="E8219" s="4" t="s">
        <v>18200</v>
      </c>
      <c r="F8219" s="4" t="s">
        <v>18201</v>
      </c>
      <c r="G8219" s="5" t="str">
        <f>IFERROR(__xludf.DUMMYFUNCTION("GOOGLETRANSLATE(D8219,""pl"",""es"")"),"Manils")</f>
        <v>Manils</v>
      </c>
    </row>
    <row r="8220">
      <c r="A8220" s="4">
        <v>407.0</v>
      </c>
      <c r="B8220" s="4" t="s">
        <v>17419</v>
      </c>
      <c r="C8220" s="4"/>
      <c r="D8220" s="4" t="s">
        <v>18202</v>
      </c>
      <c r="E8220" s="4" t="s">
        <v>18203</v>
      </c>
      <c r="F8220" s="4" t="s">
        <v>18204</v>
      </c>
      <c r="G8220" s="5" t="str">
        <f>IFERROR(__xludf.DUMMYFUNCTION("GOOGLETRANSLATE(D8220,""pl"",""es"")"),"Manils")</f>
        <v>Manils</v>
      </c>
    </row>
    <row r="8221">
      <c r="A8221" s="4">
        <v>408.0</v>
      </c>
      <c r="B8221" s="4" t="s">
        <v>17419</v>
      </c>
      <c r="C8221" s="4"/>
      <c r="D8221" s="4" t="s">
        <v>18205</v>
      </c>
      <c r="E8221" s="4" t="s">
        <v>18206</v>
      </c>
      <c r="F8221" s="4" t="s">
        <v>18207</v>
      </c>
      <c r="G8221" s="5" t="str">
        <f>IFERROR(__xludf.DUMMYFUNCTION("GOOGLETRANSLATE(D8221,""pl"",""es"")"),"Manila")</f>
        <v>Manila</v>
      </c>
    </row>
    <row r="8222">
      <c r="A8222" s="4">
        <v>409.0</v>
      </c>
      <c r="B8222" s="4" t="s">
        <v>17419</v>
      </c>
      <c r="C8222" s="4"/>
      <c r="D8222" s="4" t="s">
        <v>2460</v>
      </c>
      <c r="E8222" s="4" t="s">
        <v>18208</v>
      </c>
      <c r="F8222" s="4" t="s">
        <v>2460</v>
      </c>
      <c r="G8222" s="5" t="str">
        <f>IFERROR(__xludf.DUMMYFUNCTION("GOOGLETRANSLATE(D8222,""pl"",""es"")"),"mapa")</f>
        <v>mapa</v>
      </c>
    </row>
    <row r="8223">
      <c r="A8223" s="4">
        <v>410.0</v>
      </c>
      <c r="B8223" s="4" t="s">
        <v>17419</v>
      </c>
      <c r="C8223" s="4"/>
      <c r="D8223" s="4" t="s">
        <v>2458</v>
      </c>
      <c r="E8223" s="4" t="s">
        <v>2459</v>
      </c>
      <c r="F8223" s="4" t="s">
        <v>2458</v>
      </c>
      <c r="G8223" s="5" t="str">
        <f>IFERROR(__xludf.DUMMYFUNCTION("GOOGLETRANSLATE(D8223,""pl"",""es"")"),"mapa")</f>
        <v>mapa</v>
      </c>
      <c r="H8223" s="4" t="s">
        <v>2460</v>
      </c>
    </row>
    <row r="8224">
      <c r="A8224" s="4">
        <v>411.0</v>
      </c>
      <c r="B8224" s="4" t="s">
        <v>17419</v>
      </c>
      <c r="C8224" s="4"/>
      <c r="D8224" s="4" t="s">
        <v>18209</v>
      </c>
      <c r="E8224" s="4" t="s">
        <v>18210</v>
      </c>
      <c r="F8224" s="4" t="s">
        <v>18211</v>
      </c>
      <c r="G8224" s="5" t="str">
        <f>IFERROR(__xludf.DUMMYFUNCTION("GOOGLETRANSLATE(D8224,""pl"",""es"")"),"mapas")</f>
        <v>mapas</v>
      </c>
    </row>
    <row r="8225">
      <c r="A8225" s="4">
        <v>412.0</v>
      </c>
      <c r="B8225" s="4" t="s">
        <v>17419</v>
      </c>
      <c r="C8225" s="4"/>
      <c r="D8225" s="4" t="s">
        <v>18212</v>
      </c>
      <c r="E8225" s="4" t="s">
        <v>18213</v>
      </c>
      <c r="F8225" s="4" t="s">
        <v>18212</v>
      </c>
      <c r="G8225" s="5" t="str">
        <f>IFERROR(__xludf.DUMMYFUNCTION("GOOGLETRANSLATE(D8225,""pl"",""es"")"),"mapas")</f>
        <v>mapas</v>
      </c>
    </row>
    <row r="8226">
      <c r="A8226" s="4">
        <v>413.0</v>
      </c>
      <c r="B8226" s="4" t="s">
        <v>17419</v>
      </c>
      <c r="C8226" s="4"/>
      <c r="D8226" s="4" t="s">
        <v>339</v>
      </c>
      <c r="E8226" s="4" t="s">
        <v>338</v>
      </c>
      <c r="F8226" s="4" t="s">
        <v>339</v>
      </c>
      <c r="G8226" s="5" t="str">
        <f>IFERROR(__xludf.DUMMYFUNCTION("GOOGLETRANSLATE(D8226,""pl"",""es"")"),"masa")</f>
        <v>masa</v>
      </c>
    </row>
    <row r="8227">
      <c r="A8227" s="4">
        <v>414.0</v>
      </c>
      <c r="B8227" s="4" t="s">
        <v>17419</v>
      </c>
      <c r="C8227" s="4"/>
      <c r="D8227" s="4" t="s">
        <v>2525</v>
      </c>
      <c r="E8227" s="4" t="s">
        <v>2524</v>
      </c>
      <c r="F8227" s="4" t="s">
        <v>2525</v>
      </c>
      <c r="G8227" s="5" t="str">
        <f>IFERROR(__xludf.DUMMYFUNCTION("GOOGLETRANSLATE(D8227,""pl"",""es"")"),"masa")</f>
        <v>masa</v>
      </c>
      <c r="H8227" s="4" t="s">
        <v>1743</v>
      </c>
    </row>
    <row r="8228">
      <c r="A8228" s="4">
        <v>415.0</v>
      </c>
      <c r="B8228" s="4" t="s">
        <v>17419</v>
      </c>
      <c r="C8228" s="4"/>
      <c r="D8228" s="4" t="s">
        <v>18214</v>
      </c>
      <c r="E8228" s="4" t="s">
        <v>18215</v>
      </c>
      <c r="F8228" s="4" t="s">
        <v>18216</v>
      </c>
      <c r="G8228" s="5" t="str">
        <f>IFERROR(__xludf.DUMMYFUNCTION("GOOGLETRANSLATE(D8228,""pl"",""es"")"),"masas")</f>
        <v>masas</v>
      </c>
    </row>
    <row r="8229">
      <c r="A8229" s="4">
        <v>416.0</v>
      </c>
      <c r="B8229" s="4" t="s">
        <v>17419</v>
      </c>
      <c r="C8229" s="4"/>
      <c r="D8229" s="4" t="s">
        <v>18217</v>
      </c>
      <c r="E8229" s="4" t="s">
        <v>18218</v>
      </c>
      <c r="F8229" s="4" t="s">
        <v>18217</v>
      </c>
      <c r="G8229" s="5" t="str">
        <f>IFERROR(__xludf.DUMMYFUNCTION("GOOGLETRANSLATE(D8229,""pl"",""es"")"),"masas")</f>
        <v>masas</v>
      </c>
    </row>
    <row r="8230">
      <c r="A8230" s="4">
        <v>417.0</v>
      </c>
      <c r="B8230" s="4" t="s">
        <v>17419</v>
      </c>
      <c r="C8230" s="4"/>
      <c r="D8230" s="4" t="s">
        <v>2553</v>
      </c>
      <c r="E8230" s="4" t="s">
        <v>2554</v>
      </c>
      <c r="F8230" s="4" t="s">
        <v>2553</v>
      </c>
      <c r="G8230" s="5" t="str">
        <f>IFERROR(__xludf.DUMMYFUNCTION("GOOGLETRANSLATE(D8230,""pl"",""es"")"),"estera")</f>
        <v>estera</v>
      </c>
      <c r="H8230" s="4" t="s">
        <v>12844</v>
      </c>
      <c r="I8230" s="4" t="s">
        <v>12844</v>
      </c>
      <c r="J8230" s="4" t="s">
        <v>18219</v>
      </c>
    </row>
    <row r="8231">
      <c r="A8231" s="4">
        <v>418.0</v>
      </c>
      <c r="B8231" s="4" t="s">
        <v>17419</v>
      </c>
      <c r="C8231" s="4"/>
      <c r="D8231" s="4" t="s">
        <v>18220</v>
      </c>
      <c r="E8231" s="4" t="s">
        <v>18221</v>
      </c>
      <c r="F8231" s="4" t="s">
        <v>18222</v>
      </c>
      <c r="G8231" s="5" t="str">
        <f>IFERROR(__xludf.DUMMYFUNCTION("GOOGLETRANSLATE(D8231,""pl"",""es"")"),"esteras")</f>
        <v>esteras</v>
      </c>
    </row>
    <row r="8232">
      <c r="A8232" s="4">
        <v>419.0</v>
      </c>
      <c r="B8232" s="4" t="s">
        <v>17419</v>
      </c>
      <c r="C8232" s="4"/>
      <c r="D8232" s="4" t="s">
        <v>18223</v>
      </c>
      <c r="E8232" s="4" t="s">
        <v>14653</v>
      </c>
      <c r="F8232" s="4" t="s">
        <v>14654</v>
      </c>
      <c r="G8232" s="5" t="str">
        <f>IFERROR(__xludf.DUMMYFUNCTION("GOOGLETRANSLATE(D8232,""pl"",""es"")"),"matej")</f>
        <v>matej</v>
      </c>
    </row>
    <row r="8233">
      <c r="A8233" s="4">
        <v>420.0</v>
      </c>
      <c r="B8233" s="4" t="s">
        <v>17419</v>
      </c>
      <c r="C8233" s="4"/>
      <c r="D8233" s="4" t="s">
        <v>18224</v>
      </c>
      <c r="E8233" s="4" t="s">
        <v>18225</v>
      </c>
      <c r="F8233" s="4" t="s">
        <v>18224</v>
      </c>
      <c r="G8233" s="5" t="str">
        <f>IFERROR(__xludf.DUMMYFUNCTION("GOOGLETRANSLATE(D8233,""pl"",""es"")"),"esteras")</f>
        <v>esteras</v>
      </c>
    </row>
    <row r="8234">
      <c r="A8234" s="4">
        <v>421.0</v>
      </c>
      <c r="B8234" s="4" t="s">
        <v>17419</v>
      </c>
      <c r="C8234" s="4"/>
      <c r="D8234" s="4" t="s">
        <v>12867</v>
      </c>
      <c r="E8234" s="4" t="s">
        <v>12866</v>
      </c>
      <c r="F8234" s="4" t="s">
        <v>12867</v>
      </c>
      <c r="G8234" s="5" t="str">
        <f>IFERROR(__xludf.DUMMYFUNCTION("GOOGLETRANSLATE(D8234,""pl"",""es"")"),"mate")</f>
        <v>mate</v>
      </c>
    </row>
    <row r="8235">
      <c r="A8235" s="4">
        <v>422.0</v>
      </c>
      <c r="B8235" s="4" t="s">
        <v>17419</v>
      </c>
      <c r="C8235" s="4"/>
      <c r="D8235" s="4" t="s">
        <v>18226</v>
      </c>
      <c r="E8235" s="4" t="s">
        <v>18227</v>
      </c>
      <c r="F8235" s="4" t="s">
        <v>18226</v>
      </c>
      <c r="G8235" s="5" t="str">
        <f>IFERROR(__xludf.DUMMYFUNCTION("GOOGLETRANSLATE(D8235,""pl"",""es"")"),"matula")</f>
        <v>matula</v>
      </c>
    </row>
    <row r="8236">
      <c r="A8236" s="4">
        <v>423.0</v>
      </c>
      <c r="B8236" s="4" t="s">
        <v>17419</v>
      </c>
      <c r="C8236" s="4"/>
      <c r="D8236" s="4" t="s">
        <v>342</v>
      </c>
      <c r="E8236" s="4" t="s">
        <v>341</v>
      </c>
      <c r="F8236" s="4" t="s">
        <v>342</v>
      </c>
      <c r="G8236" s="5" t="str">
        <f>IFERROR(__xludf.DUMMYFUNCTION("GOOGLETRANSLATE(D8236,""pl"",""es"")"),"a mi")</f>
        <v>a mi</v>
      </c>
      <c r="H8236" s="4" t="s">
        <v>342</v>
      </c>
    </row>
    <row r="8237">
      <c r="A8237" s="4">
        <v>424.0</v>
      </c>
      <c r="B8237" s="4" t="s">
        <v>17419</v>
      </c>
      <c r="C8237" s="4"/>
      <c r="D8237" s="4" t="s">
        <v>18228</v>
      </c>
      <c r="E8237" s="4" t="s">
        <v>18229</v>
      </c>
      <c r="F8237" s="4" t="s">
        <v>345</v>
      </c>
      <c r="G8237" s="5" t="str">
        <f>IFERROR(__xludf.DUMMYFUNCTION("GOOGLETRANSLATE(D8237,""pl"",""es"")"),"Michear")</f>
        <v>Michear</v>
      </c>
    </row>
    <row r="8238">
      <c r="A8238" s="4">
        <v>425.0</v>
      </c>
      <c r="B8238" s="4" t="s">
        <v>17419</v>
      </c>
      <c r="C8238" s="4"/>
      <c r="D8238" s="4" t="s">
        <v>18230</v>
      </c>
      <c r="E8238" s="4" t="s">
        <v>14643</v>
      </c>
      <c r="F8238" s="4" t="s">
        <v>2601</v>
      </c>
      <c r="G8238" s="5" t="str">
        <f>IFERROR(__xludf.DUMMYFUNCTION("GOOGLETRANSLATE(D8238,""pl"",""es"")"),"Michale")</f>
        <v>Michale</v>
      </c>
    </row>
    <row r="8239">
      <c r="A8239" s="4">
        <v>426.0</v>
      </c>
      <c r="B8239" s="4" t="s">
        <v>17419</v>
      </c>
      <c r="C8239" s="4"/>
      <c r="D8239" s="4" t="s">
        <v>18231</v>
      </c>
      <c r="E8239" s="4" t="s">
        <v>18232</v>
      </c>
      <c r="F8239" s="4" t="s">
        <v>18233</v>
      </c>
      <c r="G8239" s="5" t="str">
        <f>IFERROR(__xludf.DUMMYFUNCTION("GOOGLETRANSLATE(D8239,""pl"",""es"")"),"Michach")</f>
        <v>Michach</v>
      </c>
    </row>
    <row r="8240">
      <c r="A8240" s="4">
        <v>427.0</v>
      </c>
      <c r="B8240" s="4" t="s">
        <v>17419</v>
      </c>
      <c r="C8240" s="4"/>
      <c r="D8240" s="4" t="s">
        <v>18234</v>
      </c>
      <c r="E8240" s="4" t="s">
        <v>18235</v>
      </c>
      <c r="F8240" s="4" t="s">
        <v>18236</v>
      </c>
      <c r="G8240" s="5" t="str">
        <f>IFERROR(__xludf.DUMMYFUNCTION("GOOGLETRANSLATE(D8240,""pl"",""es"")"),"Michalak")</f>
        <v>Michalak</v>
      </c>
    </row>
    <row r="8241">
      <c r="A8241" s="4">
        <v>428.0</v>
      </c>
      <c r="B8241" s="4" t="s">
        <v>17419</v>
      </c>
      <c r="C8241" s="4"/>
      <c r="D8241" s="4" t="s">
        <v>18237</v>
      </c>
      <c r="E8241" s="4" t="s">
        <v>18238</v>
      </c>
      <c r="F8241" s="4" t="s">
        <v>18239</v>
      </c>
      <c r="G8241" s="5" t="str">
        <f>IFERROR(__xludf.DUMMYFUNCTION("GOOGLETRANSLATE(D8241,""pl"",""es"")"),"Michalik")</f>
        <v>Michalik</v>
      </c>
    </row>
    <row r="8242">
      <c r="A8242" s="4">
        <v>429.0</v>
      </c>
      <c r="B8242" s="4" t="s">
        <v>17419</v>
      </c>
      <c r="C8242" s="4"/>
      <c r="D8242" s="4" t="s">
        <v>18240</v>
      </c>
      <c r="E8242" s="4" t="s">
        <v>18241</v>
      </c>
      <c r="F8242" s="4" t="s">
        <v>18242</v>
      </c>
      <c r="G8242" s="5" t="str">
        <f>IFERROR(__xludf.DUMMYFUNCTION("GOOGLETRANSLATE(D8242,""pl"",""es"")"),"Michalina")</f>
        <v>Michalina</v>
      </c>
    </row>
    <row r="8243">
      <c r="A8243" s="4">
        <v>430.0</v>
      </c>
      <c r="B8243" s="4" t="s">
        <v>17419</v>
      </c>
      <c r="C8243" s="4"/>
      <c r="D8243" s="4" t="s">
        <v>18243</v>
      </c>
      <c r="E8243" s="4" t="s">
        <v>18244</v>
      </c>
      <c r="F8243" s="4" t="s">
        <v>18245</v>
      </c>
      <c r="G8243" s="5" t="str">
        <f>IFERROR(__xludf.DUMMYFUNCTION("GOOGLETRANSLATE(D8243,""pl"",""es"")"),"Michami")</f>
        <v>Michami</v>
      </c>
    </row>
    <row r="8244">
      <c r="A8244" s="4">
        <v>431.0</v>
      </c>
      <c r="B8244" s="4" t="s">
        <v>17419</v>
      </c>
      <c r="C8244" s="4"/>
      <c r="D8244" s="4" t="s">
        <v>18246</v>
      </c>
      <c r="E8244" s="4" t="s">
        <v>18247</v>
      </c>
      <c r="F8244" s="4" t="s">
        <v>18248</v>
      </c>
      <c r="G8244" s="5" t="str">
        <f>IFERROR(__xludf.DUMMYFUNCTION("GOOGLETRANSLATE(D8244,""pl"",""es"")"),"pasar")</f>
        <v>pasar</v>
      </c>
    </row>
    <row r="8245">
      <c r="A8245" s="4">
        <v>432.0</v>
      </c>
      <c r="B8245" s="4" t="s">
        <v>17419</v>
      </c>
      <c r="C8245" s="4"/>
      <c r="D8245" s="4" t="s">
        <v>18249</v>
      </c>
      <c r="E8245" s="4" t="s">
        <v>18250</v>
      </c>
      <c r="F8245" s="4" t="s">
        <v>18251</v>
      </c>
      <c r="G8245" s="5" t="str">
        <f>IFERROR(__xludf.DUMMYFUNCTION("GOOGLETRANSLATE(D8245,""pl"",""es"")"),"paso")</f>
        <v>paso</v>
      </c>
    </row>
    <row r="8246">
      <c r="A8246" s="4">
        <v>433.0</v>
      </c>
      <c r="B8246" s="4" t="s">
        <v>17419</v>
      </c>
      <c r="C8246" s="4"/>
      <c r="D8246" s="4" t="s">
        <v>18252</v>
      </c>
      <c r="E8246" s="4" t="s">
        <v>18253</v>
      </c>
      <c r="F8246" s="4" t="s">
        <v>18254</v>
      </c>
      <c r="G8246" s="5" t="str">
        <f>IFERROR(__xludf.DUMMYFUNCTION("GOOGLETRANSLATE(D8246,""pl"",""es"")"),"perdido")</f>
        <v>perdido</v>
      </c>
    </row>
    <row r="8247">
      <c r="A8247" s="4">
        <v>434.0</v>
      </c>
      <c r="B8247" s="4" t="s">
        <v>17419</v>
      </c>
      <c r="C8247" s="4"/>
      <c r="D8247" s="4" t="s">
        <v>5391</v>
      </c>
      <c r="E8247" s="4" t="s">
        <v>18255</v>
      </c>
      <c r="F8247" s="4" t="s">
        <v>5391</v>
      </c>
      <c r="G8247" s="5" t="str">
        <f>IFERROR(__xludf.DUMMYFUNCTION("GOOGLETRANSLATE(D8247,""pl"",""es"")"),"mikula")</f>
        <v>mikula</v>
      </c>
    </row>
    <row r="8248">
      <c r="A8248" s="4">
        <v>435.0</v>
      </c>
      <c r="B8248" s="4" t="s">
        <v>17419</v>
      </c>
      <c r="C8248" s="4"/>
      <c r="D8248" s="4" t="s">
        <v>18256</v>
      </c>
      <c r="E8248" s="4" t="s">
        <v>18257</v>
      </c>
      <c r="F8248" s="4" t="s">
        <v>18256</v>
      </c>
      <c r="G8248" s="5" t="str">
        <f>IFERROR(__xludf.DUMMYFUNCTION("GOOGLETRANSLATE(D8248,""pl"",""es"")"),"mikulak")</f>
        <v>mikulak</v>
      </c>
    </row>
    <row r="8249">
      <c r="A8249" s="4">
        <v>436.0</v>
      </c>
      <c r="B8249" s="4" t="s">
        <v>17419</v>
      </c>
      <c r="C8249" s="4"/>
      <c r="D8249" s="4" t="s">
        <v>2621</v>
      </c>
      <c r="E8249" s="4" t="s">
        <v>2620</v>
      </c>
      <c r="F8249" s="4" t="s">
        <v>2621</v>
      </c>
      <c r="G8249" s="5" t="str">
        <f>IFERROR(__xludf.DUMMYFUNCTION("GOOGLETRANSLATE(D8249,""pl"",""es"")"),"mikus")</f>
        <v>mikus</v>
      </c>
    </row>
    <row r="8250">
      <c r="A8250" s="4">
        <v>437.0</v>
      </c>
      <c r="B8250" s="4" t="s">
        <v>17419</v>
      </c>
      <c r="C8250" s="4"/>
      <c r="D8250" s="4" t="s">
        <v>2686</v>
      </c>
      <c r="E8250" s="4" t="s">
        <v>2685</v>
      </c>
      <c r="F8250" s="4" t="s">
        <v>2686</v>
      </c>
      <c r="G8250" s="5" t="str">
        <f>IFERROR(__xludf.DUMMYFUNCTION("GOOGLETRANSLATE(D8250,""pl"",""es"")"),"bonito")</f>
        <v>bonito</v>
      </c>
    </row>
    <row r="8251">
      <c r="A8251" s="4">
        <v>438.0</v>
      </c>
      <c r="B8251" s="4" t="s">
        <v>17419</v>
      </c>
      <c r="C8251" s="4"/>
      <c r="D8251" s="4" t="s">
        <v>6821</v>
      </c>
      <c r="E8251" s="4" t="s">
        <v>18258</v>
      </c>
      <c r="F8251" s="4" t="s">
        <v>6821</v>
      </c>
      <c r="G8251" s="5" t="str">
        <f>IFERROR(__xludf.DUMMYFUNCTION("GOOGLETRANSLATE(D8251,""pl"",""es"")"),"Milán")</f>
        <v>Milán</v>
      </c>
    </row>
    <row r="8252">
      <c r="A8252" s="4">
        <v>439.0</v>
      </c>
      <c r="B8252" s="4" t="s">
        <v>17419</v>
      </c>
      <c r="C8252" s="4"/>
      <c r="D8252" s="4" t="s">
        <v>16790</v>
      </c>
      <c r="E8252" s="4" t="s">
        <v>16791</v>
      </c>
      <c r="F8252" s="4" t="s">
        <v>16790</v>
      </c>
      <c r="G8252" s="5" t="str">
        <f>IFERROR(__xludf.DUMMYFUNCTION("GOOGLETRANSLATE(D8252,""pl"",""es"")"),"milla")</f>
        <v>milla</v>
      </c>
    </row>
    <row r="8253">
      <c r="A8253" s="4">
        <v>440.0</v>
      </c>
      <c r="B8253" s="4" t="s">
        <v>17419</v>
      </c>
      <c r="C8253" s="4"/>
      <c r="D8253" s="4" t="s">
        <v>18259</v>
      </c>
      <c r="E8253" s="4" t="s">
        <v>18260</v>
      </c>
      <c r="F8253" s="4" t="s">
        <v>18259</v>
      </c>
      <c r="G8253" s="5" t="str">
        <f>IFERROR(__xludf.DUMMYFUNCTION("GOOGLETRANSLATE(D8253,""pl"",""es"")"),"milel")</f>
        <v>milel</v>
      </c>
    </row>
    <row r="8254">
      <c r="A8254" s="4">
        <v>441.0</v>
      </c>
      <c r="B8254" s="4" t="s">
        <v>17419</v>
      </c>
      <c r="C8254" s="4"/>
      <c r="D8254" s="4" t="s">
        <v>18261</v>
      </c>
      <c r="E8254" s="4" t="s">
        <v>18262</v>
      </c>
      <c r="F8254" s="4" t="s">
        <v>18263</v>
      </c>
      <c r="G8254" s="5" t="str">
        <f>IFERROR(__xludf.DUMMYFUNCTION("GOOGLETRANSLATE(D8254,""pl"",""es"")"),"Leche")</f>
        <v>Leche</v>
      </c>
    </row>
    <row r="8255">
      <c r="A8255" s="4">
        <v>442.0</v>
      </c>
      <c r="B8255" s="4" t="s">
        <v>17419</v>
      </c>
      <c r="C8255" s="4"/>
      <c r="D8255" s="4" t="s">
        <v>2688</v>
      </c>
      <c r="E8255" s="4" t="s">
        <v>2689</v>
      </c>
      <c r="F8255" s="4" t="s">
        <v>2688</v>
      </c>
      <c r="G8255" s="5" t="str">
        <f>IFERROR(__xludf.DUMMYFUNCTION("GOOGLETRANSLATE(D8255,""pl"",""es"")"),"mímica")</f>
        <v>mímica</v>
      </c>
      <c r="H8255" s="4" t="s">
        <v>2690</v>
      </c>
      <c r="I8255" s="4" t="s">
        <v>2882</v>
      </c>
      <c r="J8255" s="4" t="s">
        <v>2883</v>
      </c>
      <c r="K8255" s="4" t="s">
        <v>2690</v>
      </c>
      <c r="L8255" s="4" t="s">
        <v>2691</v>
      </c>
      <c r="M8255" s="4" t="s">
        <v>2692</v>
      </c>
      <c r="N8255" s="4" t="s">
        <v>2693</v>
      </c>
      <c r="O8255" s="4" t="s">
        <v>2694</v>
      </c>
    </row>
    <row r="8256">
      <c r="A8256" s="4">
        <v>443.0</v>
      </c>
      <c r="B8256" s="4" t="s">
        <v>17419</v>
      </c>
      <c r="C8256" s="4"/>
      <c r="D8256" s="4" t="s">
        <v>2881</v>
      </c>
      <c r="E8256" s="4" t="s">
        <v>2880</v>
      </c>
      <c r="F8256" s="4" t="s">
        <v>2881</v>
      </c>
      <c r="G8256" s="5" t="str">
        <f>IFERROR(__xludf.DUMMYFUNCTION("GOOGLETRANSLATE(D8256,""pl"",""es"")"),"mimetismo")</f>
        <v>mimetismo</v>
      </c>
    </row>
    <row r="8257">
      <c r="A8257" s="4">
        <v>444.0</v>
      </c>
      <c r="B8257" s="4" t="s">
        <v>17419</v>
      </c>
      <c r="C8257" s="4"/>
      <c r="D8257" s="4" t="s">
        <v>6841</v>
      </c>
      <c r="E8257" s="4" t="s">
        <v>9129</v>
      </c>
      <c r="F8257" s="4" t="s">
        <v>6841</v>
      </c>
      <c r="G8257" s="5" t="str">
        <f>IFERROR(__xludf.DUMMYFUNCTION("GOOGLETRANSLATE(D8257,""pl"",""es"")"),"minas")</f>
        <v>minas</v>
      </c>
    </row>
    <row r="8258">
      <c r="A8258" s="4">
        <v>445.0</v>
      </c>
      <c r="B8258" s="4" t="s">
        <v>17419</v>
      </c>
      <c r="C8258" s="4"/>
      <c r="D8258" s="4" t="s">
        <v>2695</v>
      </c>
      <c r="E8258" s="4" t="s">
        <v>2696</v>
      </c>
      <c r="F8258" s="4" t="s">
        <v>2695</v>
      </c>
      <c r="G8258" s="5" t="str">
        <f>IFERROR(__xludf.DUMMYFUNCTION("GOOGLETRANSLATE(D8258,""pl"",""es"")"),"cara")</f>
        <v>cara</v>
      </c>
      <c r="H8258" s="4" t="s">
        <v>2698</v>
      </c>
    </row>
    <row r="8259">
      <c r="A8259" s="4">
        <v>446.0</v>
      </c>
      <c r="B8259" s="4" t="s">
        <v>17419</v>
      </c>
      <c r="C8259" s="4"/>
      <c r="D8259" s="4" t="s">
        <v>18264</v>
      </c>
      <c r="E8259" s="4" t="s">
        <v>18265</v>
      </c>
      <c r="F8259" s="4" t="s">
        <v>18266</v>
      </c>
      <c r="G8259" s="5" t="str">
        <f>IFERROR(__xludf.DUMMYFUNCTION("GOOGLETRANSLATE(D8259,""pl"",""es"")"),"caras")</f>
        <v>caras</v>
      </c>
    </row>
    <row r="8260">
      <c r="A8260" s="4">
        <v>447.0</v>
      </c>
      <c r="B8260" s="4" t="s">
        <v>17419</v>
      </c>
      <c r="C8260" s="4"/>
      <c r="D8260" s="4" t="s">
        <v>18267</v>
      </c>
      <c r="E8260" s="4" t="s">
        <v>18268</v>
      </c>
      <c r="F8260" s="4" t="s">
        <v>18267</v>
      </c>
      <c r="G8260" s="5" t="str">
        <f>IFERROR(__xludf.DUMMYFUNCTION("GOOGLETRANSLATE(D8260,""pl"",""es"")"),"minas")</f>
        <v>minas</v>
      </c>
    </row>
    <row r="8261">
      <c r="A8261" s="4">
        <v>448.0</v>
      </c>
      <c r="B8261" s="4" t="s">
        <v>17419</v>
      </c>
      <c r="C8261" s="4"/>
      <c r="D8261" s="4" t="s">
        <v>18269</v>
      </c>
      <c r="E8261" s="4" t="s">
        <v>18270</v>
      </c>
      <c r="F8261" s="4" t="s">
        <v>16061</v>
      </c>
      <c r="G8261" s="5" t="str">
        <f>IFERROR(__xludf.DUMMYFUNCTION("GOOGLETRANSLATE(D8261,""pl"",""es"")"),"Miniich")</f>
        <v>Miniich</v>
      </c>
    </row>
    <row r="8262">
      <c r="A8262" s="4">
        <v>449.0</v>
      </c>
      <c r="B8262" s="4" t="s">
        <v>17419</v>
      </c>
      <c r="C8262" s="4"/>
      <c r="D8262" s="4" t="s">
        <v>2897</v>
      </c>
      <c r="E8262" s="4" t="s">
        <v>18271</v>
      </c>
      <c r="F8262" s="4" t="s">
        <v>18272</v>
      </c>
      <c r="G8262" s="5" t="str">
        <f>IFERROR(__xludf.DUMMYFUNCTION("GOOGLETRANSLATE(D8262,""pl"",""es"")"),"mínimo")</f>
        <v>mínimo</v>
      </c>
      <c r="H8262" s="4" t="s">
        <v>2897</v>
      </c>
      <c r="I8262" s="4" t="s">
        <v>2901</v>
      </c>
    </row>
    <row r="8263">
      <c r="A8263" s="4">
        <v>450.0</v>
      </c>
      <c r="B8263" s="4" t="s">
        <v>17419</v>
      </c>
      <c r="C8263" s="4"/>
      <c r="D8263" s="4" t="s">
        <v>18273</v>
      </c>
      <c r="E8263" s="4" t="s">
        <v>18274</v>
      </c>
      <c r="F8263" s="4" t="s">
        <v>18275</v>
      </c>
      <c r="G8263" s="5" t="str">
        <f>IFERROR(__xludf.DUMMYFUNCTION("GOOGLETRANSLATE(D8263,""pl"",""es"")"),"mini")</f>
        <v>mini</v>
      </c>
    </row>
    <row r="8264">
      <c r="A8264" s="4">
        <v>451.0</v>
      </c>
      <c r="B8264" s="4" t="s">
        <v>17419</v>
      </c>
      <c r="C8264" s="4"/>
      <c r="D8264" s="4" t="s">
        <v>358</v>
      </c>
      <c r="E8264" s="4" t="s">
        <v>18276</v>
      </c>
      <c r="F8264" s="4" t="s">
        <v>358</v>
      </c>
      <c r="G8264" s="5" t="str">
        <f>IFERROR(__xludf.DUMMYFUNCTION("GOOGLETRANSLATE(D8264,""pl"",""es"")"),"menos")</f>
        <v>menos</v>
      </c>
      <c r="H8264" s="4" t="s">
        <v>18277</v>
      </c>
    </row>
    <row r="8265">
      <c r="A8265" s="4">
        <v>452.0</v>
      </c>
      <c r="B8265" s="4" t="s">
        <v>17419</v>
      </c>
      <c r="C8265" s="4"/>
      <c r="D8265" s="4" t="s">
        <v>18278</v>
      </c>
      <c r="E8265" s="4" t="s">
        <v>18279</v>
      </c>
      <c r="F8265" s="4" t="s">
        <v>18280</v>
      </c>
      <c r="G8265" s="5" t="str">
        <f>IFERROR(__xludf.DUMMYFUNCTION("GOOGLETRANSLATE(D8265,""pl"",""es"")"),"menos")</f>
        <v>menos</v>
      </c>
    </row>
    <row r="8266">
      <c r="A8266" s="4">
        <v>453.0</v>
      </c>
      <c r="B8266" s="4" t="s">
        <v>17419</v>
      </c>
      <c r="C8266" s="4"/>
      <c r="D8266" s="4" t="s">
        <v>18281</v>
      </c>
      <c r="E8266" s="4" t="s">
        <v>18282</v>
      </c>
      <c r="F8266" s="4" t="s">
        <v>18281</v>
      </c>
      <c r="G8266" s="5" t="str">
        <f>IFERROR(__xludf.DUMMYFUNCTION("GOOGLETRANSLATE(D8266,""pl"",""es"")"),"minuto")</f>
        <v>minuto</v>
      </c>
      <c r="H8266" s="4" t="s">
        <v>18283</v>
      </c>
      <c r="I8266" s="4" t="s">
        <v>18284</v>
      </c>
      <c r="J8266" s="4" t="s">
        <v>18285</v>
      </c>
      <c r="K8266" s="4" t="s">
        <v>6843</v>
      </c>
      <c r="L8266" s="4" t="s">
        <v>18286</v>
      </c>
      <c r="M8266" s="4" t="s">
        <v>18287</v>
      </c>
      <c r="N8266" s="4" t="s">
        <v>6843</v>
      </c>
      <c r="O8266" s="4" t="s">
        <v>6841</v>
      </c>
      <c r="P8266" s="4" t="s">
        <v>15994</v>
      </c>
      <c r="Q8266" s="4" t="s">
        <v>15995</v>
      </c>
      <c r="R8266" s="4" t="s">
        <v>6843</v>
      </c>
      <c r="S8266" s="4" t="s">
        <v>15996</v>
      </c>
      <c r="T8266" s="4" t="s">
        <v>2602</v>
      </c>
    </row>
    <row r="8267">
      <c r="A8267" s="4">
        <v>454.0</v>
      </c>
      <c r="B8267" s="4" t="s">
        <v>17419</v>
      </c>
      <c r="C8267" s="4"/>
      <c r="D8267" s="4" t="s">
        <v>18288</v>
      </c>
      <c r="E8267" s="4" t="s">
        <v>18289</v>
      </c>
      <c r="F8267" s="4" t="s">
        <v>18290</v>
      </c>
      <c r="G8267" s="5" t="str">
        <f>IFERROR(__xludf.DUMMYFUNCTION("GOOGLETRANSLATE(D8267,""pl"",""es"")"),"lámpara")</f>
        <v>lámpara</v>
      </c>
      <c r="H8267" s="4" t="s">
        <v>18291</v>
      </c>
      <c r="I8267" s="4" t="s">
        <v>18292</v>
      </c>
      <c r="J8267" s="4" t="s">
        <v>18293</v>
      </c>
    </row>
    <row r="8268">
      <c r="A8268" s="4">
        <v>455.0</v>
      </c>
      <c r="B8268" s="4" t="s">
        <v>17419</v>
      </c>
      <c r="C8268" s="4"/>
      <c r="D8268" s="4" t="s">
        <v>2711</v>
      </c>
      <c r="E8268" s="4" t="s">
        <v>2710</v>
      </c>
      <c r="F8268" s="4" t="s">
        <v>2711</v>
      </c>
      <c r="G8268" s="5" t="str">
        <f>IFERROR(__xludf.DUMMYFUNCTION("GOOGLETRANSLATE(D8268,""pl"",""es"")"),"llevar")</f>
        <v>llevar</v>
      </c>
    </row>
    <row r="8269">
      <c r="A8269" s="4">
        <v>456.0</v>
      </c>
      <c r="B8269" s="4" t="s">
        <v>17419</v>
      </c>
      <c r="C8269" s="4"/>
      <c r="D8269" s="4" t="s">
        <v>2714</v>
      </c>
      <c r="E8269" s="4" t="s">
        <v>2713</v>
      </c>
      <c r="F8269" s="4" t="s">
        <v>2714</v>
      </c>
      <c r="G8269" s="5" t="str">
        <f>IFERROR(__xludf.DUMMYFUNCTION("GOOGLETRANSLATE(D8269,""pl"",""es"")"),"cuenco")</f>
        <v>cuenco</v>
      </c>
    </row>
    <row r="8270">
      <c r="A8270" s="4">
        <v>457.0</v>
      </c>
      <c r="B8270" s="4" t="s">
        <v>17419</v>
      </c>
      <c r="C8270" s="4"/>
      <c r="D8270" s="4" t="s">
        <v>18294</v>
      </c>
      <c r="E8270" s="4" t="s">
        <v>18295</v>
      </c>
      <c r="F8270" s="4" t="s">
        <v>18296</v>
      </c>
      <c r="G8270" s="5" t="str">
        <f>IFERROR(__xludf.DUMMYFUNCTION("GOOGLETRANSLATE(D8270,""pl"",""es"")"),"cuenco")</f>
        <v>cuenco</v>
      </c>
    </row>
    <row r="8271">
      <c r="A8271" s="4">
        <v>458.0</v>
      </c>
      <c r="B8271" s="4" t="s">
        <v>17419</v>
      </c>
      <c r="C8271" s="4"/>
      <c r="D8271" s="4" t="s">
        <v>18297</v>
      </c>
      <c r="E8271" s="4" t="s">
        <v>18298</v>
      </c>
      <c r="F8271" s="4" t="s">
        <v>18297</v>
      </c>
      <c r="G8271" s="5" t="str">
        <f>IFERROR(__xludf.DUMMYFUNCTION("GOOGLETRANSLATE(D8271,""pl"",""es"")"),"cuenco")</f>
        <v>cuenco</v>
      </c>
    </row>
    <row r="8272">
      <c r="A8272" s="4">
        <v>459.0</v>
      </c>
      <c r="B8272" s="4" t="s">
        <v>17419</v>
      </c>
      <c r="C8272" s="4"/>
      <c r="D8272" s="4" t="s">
        <v>2709</v>
      </c>
      <c r="E8272" s="4" t="s">
        <v>2710</v>
      </c>
      <c r="F8272" s="4" t="s">
        <v>2711</v>
      </c>
      <c r="G8272" s="5" t="str">
        <f>IFERROR(__xludf.DUMMYFUNCTION("GOOGLETRANSLATE(D8272,""pl"",""es"")"),"señorita")</f>
        <v>señorita</v>
      </c>
    </row>
    <row r="8273">
      <c r="A8273" s="4">
        <v>460.0</v>
      </c>
      <c r="B8273" s="4" t="s">
        <v>17419</v>
      </c>
      <c r="C8273" s="4"/>
      <c r="D8273" s="4" t="s">
        <v>18299</v>
      </c>
      <c r="E8273" s="4" t="s">
        <v>2717</v>
      </c>
      <c r="F8273" s="4" t="s">
        <v>2718</v>
      </c>
      <c r="G8273" s="5" t="str">
        <f>IFERROR(__xludf.DUMMYFUNCTION("GOOGLETRANSLATE(D8273,""pl"",""es"")"),"Misisipí")</f>
        <v>Misisipí</v>
      </c>
    </row>
    <row r="8274">
      <c r="A8274" s="4">
        <v>461.0</v>
      </c>
      <c r="B8274" s="4" t="s">
        <v>17419</v>
      </c>
      <c r="C8274" s="4"/>
      <c r="D8274" s="4" t="s">
        <v>18300</v>
      </c>
      <c r="E8274" s="4" t="s">
        <v>18301</v>
      </c>
      <c r="F8274" s="4" t="s">
        <v>18300</v>
      </c>
      <c r="G8274" s="5" t="str">
        <f>IFERROR(__xludf.DUMMYFUNCTION("GOOGLETRANSLATE(D8274,""pl"",""es"")"),"mito")</f>
        <v>mito</v>
      </c>
    </row>
    <row r="8275">
      <c r="A8275" s="4">
        <v>462.0</v>
      </c>
      <c r="B8275" s="4" t="s">
        <v>17419</v>
      </c>
      <c r="C8275" s="4"/>
      <c r="D8275" s="4" t="s">
        <v>18302</v>
      </c>
      <c r="E8275" s="4" t="s">
        <v>18303</v>
      </c>
      <c r="F8275" s="4" t="s">
        <v>18304</v>
      </c>
      <c r="G8275" s="5" t="str">
        <f>IFERROR(__xludf.DUMMYFUNCTION("GOOGLETRANSLATE(D8275,""pl"",""es"")"),"dulce")</f>
        <v>dulce</v>
      </c>
    </row>
    <row r="8276">
      <c r="A8276" s="4">
        <v>463.0</v>
      </c>
      <c r="B8276" s="4" t="s">
        <v>17419</v>
      </c>
      <c r="C8276" s="4"/>
      <c r="D8276" s="4" t="s">
        <v>367</v>
      </c>
      <c r="E8276" s="4" t="s">
        <v>366</v>
      </c>
      <c r="F8276" s="4" t="s">
        <v>367</v>
      </c>
      <c r="G8276" s="5" t="str">
        <f>IFERROR(__xludf.DUMMYFUNCTION("GOOGLETRANSLATE(D8276,""pl"",""es"")"),"a él")</f>
        <v>a él</v>
      </c>
    </row>
    <row r="8277">
      <c r="A8277" s="4">
        <v>464.0</v>
      </c>
      <c r="B8277" s="4" t="s">
        <v>17419</v>
      </c>
      <c r="C8277" s="4"/>
      <c r="D8277" s="4" t="s">
        <v>18305</v>
      </c>
      <c r="E8277" s="4" t="s">
        <v>18306</v>
      </c>
      <c r="F8277" s="4" t="s">
        <v>6890</v>
      </c>
      <c r="G8277" s="5" t="str">
        <f>IFERROR(__xludf.DUMMYFUNCTION("GOOGLETRANSLATE(D8277,""pl"",""es"")"),"harina")</f>
        <v>harina</v>
      </c>
    </row>
    <row r="8278">
      <c r="A8278" s="4">
        <v>465.0</v>
      </c>
      <c r="B8278" s="4" t="s">
        <v>17419</v>
      </c>
      <c r="C8278" s="4"/>
      <c r="D8278" s="4" t="s">
        <v>18307</v>
      </c>
      <c r="E8278" s="4" t="s">
        <v>369</v>
      </c>
      <c r="F8278" s="4" t="s">
        <v>370</v>
      </c>
      <c r="G8278" s="5" t="str">
        <f>IFERROR(__xludf.DUMMYFUNCTION("GOOGLETRANSLATE(D8278,""pl"",""es"")"),"mosca doméstica")</f>
        <v>mosca doméstica</v>
      </c>
      <c r="H8278" s="4" t="s">
        <v>371</v>
      </c>
      <c r="I8278" s="4" t="s">
        <v>371</v>
      </c>
    </row>
    <row r="8279">
      <c r="A8279" s="4">
        <v>466.0</v>
      </c>
      <c r="B8279" s="4" t="s">
        <v>17419</v>
      </c>
      <c r="C8279" s="4"/>
      <c r="D8279" s="4" t="s">
        <v>18308</v>
      </c>
      <c r="E8279" s="4" t="s">
        <v>18309</v>
      </c>
      <c r="F8279" s="4" t="s">
        <v>18310</v>
      </c>
      <c r="G8279" s="5" t="str">
        <f>IFERROR(__xludf.DUMMYFUNCTION("GOOGLETRANSLATE(D8279,""pl"",""es"")"),"moscas")</f>
        <v>moscas</v>
      </c>
    </row>
    <row r="8280">
      <c r="A8280" s="4">
        <v>467.0</v>
      </c>
      <c r="B8280" s="4" t="s">
        <v>17419</v>
      </c>
      <c r="C8280" s="4"/>
      <c r="D8280" s="4" t="s">
        <v>18311</v>
      </c>
      <c r="E8280" s="4" t="s">
        <v>18312</v>
      </c>
      <c r="F8280" s="4" t="s">
        <v>18313</v>
      </c>
      <c r="G8280" s="5" t="str">
        <f>IFERROR(__xludf.DUMMYFUNCTION("GOOGLETRANSLATE(D8280,""pl"",""es"")"),"moscas")</f>
        <v>moscas</v>
      </c>
    </row>
    <row r="8281">
      <c r="A8281" s="4">
        <v>468.0</v>
      </c>
      <c r="B8281" s="4" t="s">
        <v>17419</v>
      </c>
      <c r="C8281" s="4"/>
      <c r="D8281" s="4" t="s">
        <v>2783</v>
      </c>
      <c r="E8281" s="4" t="s">
        <v>2784</v>
      </c>
      <c r="F8281" s="4" t="s">
        <v>2783</v>
      </c>
      <c r="G8281" s="5" t="str">
        <f>IFERROR(__xludf.DUMMYFUNCTION("GOOGLETRANSLATE(D8281,""pl"",""es"")"),"mula")</f>
        <v>mula</v>
      </c>
      <c r="H8281" s="4" t="s">
        <v>12981</v>
      </c>
    </row>
    <row r="8282">
      <c r="A8282" s="4">
        <v>469.0</v>
      </c>
      <c r="B8282" s="4" t="s">
        <v>17419</v>
      </c>
      <c r="C8282" s="4"/>
      <c r="D8282" s="4" t="s">
        <v>2786</v>
      </c>
      <c r="E8282" s="4" t="s">
        <v>2787</v>
      </c>
      <c r="F8282" s="4" t="s">
        <v>2786</v>
      </c>
      <c r="G8282" s="5" t="str">
        <f>IFERROR(__xludf.DUMMYFUNCTION("GOOGLETRANSLATE(D8282,""pl"",""es"")"),"mantillo")</f>
        <v>mantillo</v>
      </c>
    </row>
    <row r="8283">
      <c r="A8283" s="4">
        <v>470.0</v>
      </c>
      <c r="B8283" s="4" t="s">
        <v>17419</v>
      </c>
      <c r="C8283" s="4"/>
      <c r="D8283" s="4" t="s">
        <v>18314</v>
      </c>
      <c r="E8283" s="4" t="s">
        <v>18315</v>
      </c>
      <c r="F8283" s="4" t="s">
        <v>18316</v>
      </c>
      <c r="G8283" s="5" t="str">
        <f>IFERROR(__xludf.DUMMYFUNCTION("GOOGLETRANSLATE(D8283,""pl"",""es"")"),"mejillones")</f>
        <v>mejillones</v>
      </c>
    </row>
    <row r="8284">
      <c r="A8284" s="4">
        <v>471.0</v>
      </c>
      <c r="B8284" s="4" t="s">
        <v>17419</v>
      </c>
      <c r="C8284" s="4"/>
      <c r="D8284" s="4" t="s">
        <v>18317</v>
      </c>
      <c r="E8284" s="4" t="s">
        <v>18318</v>
      </c>
      <c r="F8284" s="4" t="s">
        <v>18317</v>
      </c>
      <c r="G8284" s="5" t="str">
        <f>IFERROR(__xludf.DUMMYFUNCTION("GOOGLETRANSLATE(D8284,""pl"",""es"")"),"múltiple")</f>
        <v>múltiple</v>
      </c>
    </row>
    <row r="8285">
      <c r="A8285" s="4">
        <v>472.0</v>
      </c>
      <c r="B8285" s="4" t="s">
        <v>17419</v>
      </c>
      <c r="C8285" s="4"/>
      <c r="D8285" s="4" t="s">
        <v>2734</v>
      </c>
      <c r="E8285" s="4" t="s">
        <v>2733</v>
      </c>
      <c r="F8285" s="4" t="s">
        <v>2734</v>
      </c>
      <c r="G8285" s="5" t="str">
        <f>IFERROR(__xludf.DUMMYFUNCTION("GOOGLETRANSLATE(D8285,""pl"",""es"")"),"mantillo")</f>
        <v>mantillo</v>
      </c>
    </row>
    <row r="8286">
      <c r="A8286" s="4">
        <v>473.0</v>
      </c>
      <c r="B8286" s="4" t="s">
        <v>17419</v>
      </c>
      <c r="C8286" s="4"/>
      <c r="D8286" s="4" t="s">
        <v>18319</v>
      </c>
      <c r="E8286" s="4" t="s">
        <v>18320</v>
      </c>
      <c r="F8286" s="4" t="s">
        <v>18321</v>
      </c>
      <c r="G8286" s="5" t="str">
        <f>IFERROR(__xludf.DUMMYFUNCTION("GOOGLETRANSLATE(D8286,""pl"",""es"")"),"mulich")</f>
        <v>mulich</v>
      </c>
    </row>
    <row r="8287">
      <c r="A8287" s="4">
        <v>474.0</v>
      </c>
      <c r="B8287" s="4" t="s">
        <v>17419</v>
      </c>
      <c r="C8287" s="4"/>
      <c r="D8287" s="4" t="s">
        <v>18322</v>
      </c>
      <c r="E8287" s="4" t="s">
        <v>18323</v>
      </c>
      <c r="F8287" s="4" t="s">
        <v>18322</v>
      </c>
      <c r="G8287" s="5" t="str">
        <f>IFERROR(__xludf.DUMMYFUNCTION("GOOGLETRANSLATE(D8287,""pl"",""es"")"),"mulo")</f>
        <v>mulo</v>
      </c>
    </row>
    <row r="8288">
      <c r="A8288" s="4">
        <v>475.0</v>
      </c>
      <c r="B8288" s="4" t="s">
        <v>17419</v>
      </c>
      <c r="C8288" s="4"/>
      <c r="D8288" s="4" t="s">
        <v>14479</v>
      </c>
      <c r="E8288" s="4" t="s">
        <v>18324</v>
      </c>
      <c r="F8288" s="4" t="s">
        <v>14479</v>
      </c>
      <c r="G8288" s="5" t="str">
        <f>IFERROR(__xludf.DUMMYFUNCTION("GOOGLETRANSLATE(D8288,""pl"",""es"")"),"mulim")</f>
        <v>mulim</v>
      </c>
    </row>
    <row r="8289">
      <c r="A8289" s="4">
        <v>476.0</v>
      </c>
      <c r="B8289" s="4" t="s">
        <v>17419</v>
      </c>
      <c r="C8289" s="4"/>
      <c r="D8289" s="4" t="s">
        <v>18325</v>
      </c>
      <c r="E8289" s="4" t="s">
        <v>18326</v>
      </c>
      <c r="F8289" s="4" t="s">
        <v>18325</v>
      </c>
      <c r="G8289" s="5" t="str">
        <f>IFERROR(__xludf.DUMMYFUNCTION("GOOGLETRANSLATE(D8289,""pl"",""es"")"),"mulle")</f>
        <v>mulle</v>
      </c>
    </row>
    <row r="8290">
      <c r="A8290" s="4">
        <v>477.0</v>
      </c>
      <c r="B8290" s="4" t="s">
        <v>17419</v>
      </c>
      <c r="C8290" s="4"/>
      <c r="D8290" s="4" t="s">
        <v>2737</v>
      </c>
      <c r="E8290" s="4" t="s">
        <v>2736</v>
      </c>
      <c r="F8290" s="4" t="s">
        <v>2737</v>
      </c>
      <c r="G8290" s="5" t="str">
        <f>IFERROR(__xludf.DUMMYFUNCTION("GOOGLETRANSLATE(D8290,""pl"",""es"")"),"Mun")</f>
        <v>Mun</v>
      </c>
    </row>
    <row r="8291">
      <c r="A8291" s="4">
        <v>478.0</v>
      </c>
      <c r="B8291" s="4" t="s">
        <v>17419</v>
      </c>
      <c r="C8291" s="4"/>
      <c r="D8291" s="4" t="s">
        <v>13003</v>
      </c>
      <c r="E8291" s="4" t="s">
        <v>13002</v>
      </c>
      <c r="F8291" s="4" t="s">
        <v>13003</v>
      </c>
      <c r="G8291" s="5" t="str">
        <f>IFERROR(__xludf.DUMMYFUNCTION("GOOGLETRANSLATE(D8291,""pl"",""es"")"),"mousse")</f>
        <v>mousse</v>
      </c>
      <c r="H8291" s="4" t="s">
        <v>13001</v>
      </c>
    </row>
    <row r="8292">
      <c r="A8292" s="4">
        <v>479.0</v>
      </c>
      <c r="B8292" s="4" t="s">
        <v>17419</v>
      </c>
      <c r="C8292" s="4"/>
      <c r="D8292" s="4" t="s">
        <v>18327</v>
      </c>
      <c r="E8292" s="4" t="s">
        <v>18328</v>
      </c>
      <c r="F8292" s="4" t="s">
        <v>6890</v>
      </c>
      <c r="G8292" s="5" t="str">
        <f>IFERROR(__xludf.DUMMYFUNCTION("GOOGLETRANSLATE(D8292,""pl"",""es"")"),"pudo")</f>
        <v>pudo</v>
      </c>
    </row>
    <row r="8293">
      <c r="A8293" s="4">
        <v>480.0</v>
      </c>
      <c r="B8293" s="4" t="s">
        <v>17419</v>
      </c>
      <c r="C8293" s="4"/>
      <c r="D8293" s="4" t="s">
        <v>18329</v>
      </c>
      <c r="E8293" s="4" t="s">
        <v>12970</v>
      </c>
      <c r="F8293" s="4" t="s">
        <v>12971</v>
      </c>
      <c r="G8293" s="5" t="str">
        <f>IFERROR(__xludf.DUMMYFUNCTION("GOOGLETRANSLATE(D8293,""pl"",""es"")"),"mi")</f>
        <v>mi</v>
      </c>
    </row>
    <row r="8294">
      <c r="A8294" s="4">
        <v>481.0</v>
      </c>
      <c r="B8294" s="4" t="s">
        <v>17419</v>
      </c>
      <c r="C8294" s="4"/>
      <c r="D8294" s="4" t="s">
        <v>18330</v>
      </c>
      <c r="E8294" s="4" t="s">
        <v>2784</v>
      </c>
      <c r="F8294" s="4" t="s">
        <v>2783</v>
      </c>
      <c r="G8294" s="5" t="str">
        <f>IFERROR(__xludf.DUMMYFUNCTION("GOOGLETRANSLATE(D8294,""pl"",""es"")"),"polilla")</f>
        <v>polilla</v>
      </c>
      <c r="H8294" s="4" t="s">
        <v>18331</v>
      </c>
      <c r="I8294" s="4" t="s">
        <v>18332</v>
      </c>
    </row>
    <row r="8295">
      <c r="A8295" s="4">
        <v>482.0</v>
      </c>
      <c r="B8295" s="4" t="s">
        <v>17419</v>
      </c>
      <c r="C8295" s="4"/>
      <c r="D8295" s="4" t="s">
        <v>374</v>
      </c>
      <c r="E8295" s="4" t="s">
        <v>373</v>
      </c>
      <c r="F8295" s="4" t="s">
        <v>374</v>
      </c>
      <c r="G8295" s="5" t="str">
        <f>IFERROR(__xludf.DUMMYFUNCTION("GOOGLETRANSLATE(D8295,""pl"",""es"")"),"en")</f>
        <v>en</v>
      </c>
      <c r="H8295" s="4" t="s">
        <v>2908</v>
      </c>
      <c r="I8295" s="4" t="s">
        <v>2909</v>
      </c>
      <c r="J8295" s="4" t="s">
        <v>2910</v>
      </c>
    </row>
    <row r="8296">
      <c r="A8296" s="4">
        <v>483.0</v>
      </c>
      <c r="B8296" s="4" t="s">
        <v>17419</v>
      </c>
      <c r="C8296" s="4"/>
      <c r="D8296" s="4" t="s">
        <v>18333</v>
      </c>
      <c r="E8296" s="4" t="s">
        <v>18334</v>
      </c>
      <c r="F8296" s="4" t="s">
        <v>18335</v>
      </c>
      <c r="G8296" s="5" t="str">
        <f>IFERROR(__xludf.DUMMYFUNCTION("GOOGLETRANSLATE(D8296,""pl"",""es"")"),"látigo")</f>
        <v>látigo</v>
      </c>
      <c r="H8296" s="4" t="s">
        <v>12014</v>
      </c>
      <c r="I8296" s="4" t="s">
        <v>4845</v>
      </c>
    </row>
    <row r="8297">
      <c r="A8297" s="4">
        <v>484.0</v>
      </c>
      <c r="B8297" s="4" t="s">
        <v>17419</v>
      </c>
      <c r="C8297" s="4"/>
      <c r="D8297" s="4" t="s">
        <v>18336</v>
      </c>
      <c r="E8297" s="4" t="s">
        <v>18337</v>
      </c>
      <c r="F8297" s="4" t="s">
        <v>18338</v>
      </c>
      <c r="G8297" s="5" t="str">
        <f>IFERROR(__xludf.DUMMYFUNCTION("GOOGLETRANSLATE(D8297,""pl"",""es"")"),"nahuma")</f>
        <v>nahuma</v>
      </c>
    </row>
    <row r="8298">
      <c r="A8298" s="4">
        <v>485.0</v>
      </c>
      <c r="B8298" s="4" t="s">
        <v>17419</v>
      </c>
      <c r="C8298" s="4"/>
      <c r="D8298" s="4" t="s">
        <v>18339</v>
      </c>
      <c r="E8298" s="4" t="s">
        <v>18340</v>
      </c>
      <c r="F8298" s="4" t="s">
        <v>18341</v>
      </c>
      <c r="G8298" s="5" t="str">
        <f>IFERROR(__xludf.DUMMYFUNCTION("GOOGLETRANSLATE(D8298,""pl"",""es"")"),"orden")</f>
        <v>orden</v>
      </c>
    </row>
    <row r="8299">
      <c r="A8299" s="4">
        <v>486.0</v>
      </c>
      <c r="B8299" s="4" t="s">
        <v>17419</v>
      </c>
      <c r="C8299" s="4"/>
      <c r="D8299" s="4" t="s">
        <v>18342</v>
      </c>
      <c r="E8299" s="4" t="s">
        <v>18343</v>
      </c>
      <c r="F8299" s="4" t="s">
        <v>18342</v>
      </c>
      <c r="G8299" s="5" t="str">
        <f>IFERROR(__xludf.DUMMYFUNCTION("GOOGLETRANSLATE(D8299,""pl"",""es"")"),"torrencial")</f>
        <v>torrencial</v>
      </c>
    </row>
    <row r="8300">
      <c r="A8300" s="4">
        <v>487.0</v>
      </c>
      <c r="B8300" s="4" t="s">
        <v>17419</v>
      </c>
      <c r="C8300" s="4"/>
      <c r="D8300" s="4" t="s">
        <v>377</v>
      </c>
      <c r="E8300" s="4" t="s">
        <v>376</v>
      </c>
      <c r="F8300" s="4" t="s">
        <v>377</v>
      </c>
      <c r="G8300" s="5" t="str">
        <f>IFERROR(__xludf.DUMMYFUNCTION("GOOGLETRANSLATE(D8300,""pl"",""es"")"),"A NOSOTROS")</f>
        <v>A NOSOTROS</v>
      </c>
    </row>
    <row r="8301">
      <c r="A8301" s="4">
        <v>488.0</v>
      </c>
      <c r="B8301" s="4" t="s">
        <v>17419</v>
      </c>
      <c r="C8301" s="4"/>
      <c r="D8301" s="4" t="s">
        <v>10705</v>
      </c>
      <c r="E8301" s="4" t="s">
        <v>18344</v>
      </c>
      <c r="F8301" s="4" t="s">
        <v>10705</v>
      </c>
      <c r="G8301" s="5" t="str">
        <f>IFERROR(__xludf.DUMMYFUNCTION("GOOGLETRANSLATE(D8301,""pl"",""es"")"),"a nosotros")</f>
        <v>a nosotros</v>
      </c>
    </row>
    <row r="8302">
      <c r="A8302" s="4">
        <v>489.0</v>
      </c>
      <c r="B8302" s="4" t="s">
        <v>17419</v>
      </c>
      <c r="C8302" s="4"/>
      <c r="D8302" s="4" t="s">
        <v>18345</v>
      </c>
      <c r="E8302" s="4" t="s">
        <v>18346</v>
      </c>
      <c r="F8302" s="4" t="s">
        <v>18345</v>
      </c>
      <c r="G8302" s="5" t="str">
        <f>IFERROR(__xludf.DUMMYFUNCTION("GOOGLETRANSLATE(D8302,""pl"",""es"")"),"limo")</f>
        <v>limo</v>
      </c>
    </row>
    <row r="8303">
      <c r="A8303" s="4">
        <v>490.0</v>
      </c>
      <c r="B8303" s="4" t="s">
        <v>17419</v>
      </c>
      <c r="C8303" s="4"/>
      <c r="D8303" s="4" t="s">
        <v>18347</v>
      </c>
      <c r="E8303" s="4" t="s">
        <v>18348</v>
      </c>
      <c r="F8303" s="4" t="s">
        <v>18347</v>
      </c>
      <c r="G8303" s="5" t="str">
        <f>IFERROR(__xludf.DUMMYFUNCTION("GOOGLETRANSLATE(D8303,""pl"",""es"")"),"disparo")</f>
        <v>disparo</v>
      </c>
    </row>
    <row r="8304">
      <c r="A8304" s="4">
        <v>491.0</v>
      </c>
      <c r="B8304" s="4" t="s">
        <v>17419</v>
      </c>
      <c r="C8304" s="4"/>
      <c r="D8304" s="4" t="s">
        <v>18349</v>
      </c>
      <c r="E8304" s="4" t="s">
        <v>18350</v>
      </c>
      <c r="F8304" s="4" t="s">
        <v>18349</v>
      </c>
      <c r="G8304" s="5" t="str">
        <f>IFERROR(__xludf.DUMMYFUNCTION("GOOGLETRANSLATE(D8304,""pl"",""es"")"),"casa")</f>
        <v>casa</v>
      </c>
    </row>
    <row r="8305">
      <c r="A8305" s="4">
        <v>492.0</v>
      </c>
      <c r="B8305" s="4" t="s">
        <v>17419</v>
      </c>
      <c r="C8305" s="4"/>
      <c r="D8305" s="4" t="s">
        <v>18351</v>
      </c>
      <c r="E8305" s="4" t="s">
        <v>18352</v>
      </c>
      <c r="F8305" s="4" t="s">
        <v>18351</v>
      </c>
      <c r="G8305" s="5" t="str">
        <f>IFERROR(__xludf.DUMMYFUNCTION("GOOGLETRANSLATE(D8305,""pl"",""es"")"),"escritura")</f>
        <v>escritura</v>
      </c>
      <c r="H8305" s="4" t="s">
        <v>16470</v>
      </c>
      <c r="I8305" s="4" t="s">
        <v>16471</v>
      </c>
    </row>
    <row r="8306">
      <c r="A8306" s="4">
        <v>493.0</v>
      </c>
      <c r="B8306" s="4" t="s">
        <v>17419</v>
      </c>
      <c r="C8306" s="4"/>
      <c r="D8306" s="4" t="s">
        <v>18353</v>
      </c>
      <c r="E8306" s="4" t="s">
        <v>18354</v>
      </c>
      <c r="F8306" s="4" t="s">
        <v>18355</v>
      </c>
      <c r="G8306" s="5" t="str">
        <f>IFERROR(__xludf.DUMMYFUNCTION("GOOGLETRANSLATE(D8306,""pl"",""es"")"),"beber")</f>
        <v>beber</v>
      </c>
      <c r="H8306" s="4" t="s">
        <v>18356</v>
      </c>
      <c r="I8306" s="4" t="s">
        <v>16051</v>
      </c>
      <c r="J8306" s="4" t="s">
        <v>18357</v>
      </c>
      <c r="K8306" s="4" t="s">
        <v>18358</v>
      </c>
      <c r="L8306" s="4" t="s">
        <v>16051</v>
      </c>
    </row>
    <row r="8307">
      <c r="A8307" s="4">
        <v>494.0</v>
      </c>
      <c r="B8307" s="4" t="s">
        <v>17419</v>
      </c>
      <c r="C8307" s="4"/>
      <c r="D8307" s="4" t="s">
        <v>380</v>
      </c>
      <c r="E8307" s="4" t="s">
        <v>379</v>
      </c>
      <c r="F8307" s="4" t="s">
        <v>380</v>
      </c>
      <c r="G8307" s="5" t="str">
        <f>IFERROR(__xludf.DUMMYFUNCTION("GOOGLETRANSLATE(D8307,""pl"",""es"")"),"a nosotros")</f>
        <v>a nosotros</v>
      </c>
    </row>
    <row r="8308">
      <c r="A8308" s="4">
        <v>495.0</v>
      </c>
      <c r="B8308" s="4" t="s">
        <v>17419</v>
      </c>
      <c r="C8308" s="4"/>
      <c r="D8308" s="4" t="s">
        <v>18359</v>
      </c>
      <c r="E8308" s="4" t="s">
        <v>18360</v>
      </c>
      <c r="F8308" s="4" t="s">
        <v>18361</v>
      </c>
      <c r="G8308" s="5" t="str">
        <f>IFERROR(__xludf.DUMMYFUNCTION("GOOGLETRANSLATE(D8308,""pl"",""es"")"),"deslizar")</f>
        <v>deslizar</v>
      </c>
    </row>
    <row r="8309">
      <c r="A8309" s="4">
        <v>496.0</v>
      </c>
      <c r="B8309" s="4" t="s">
        <v>17419</v>
      </c>
      <c r="C8309" s="4"/>
      <c r="D8309" s="4" t="s">
        <v>18362</v>
      </c>
      <c r="E8309" s="4" t="s">
        <v>18363</v>
      </c>
      <c r="F8309" s="4" t="s">
        <v>18362</v>
      </c>
      <c r="G8309" s="5" t="str">
        <f>IFERROR(__xludf.DUMMYFUNCTION("GOOGLETRANSLATE(D8309,""pl"",""es"")"),"natul")</f>
        <v>natul</v>
      </c>
    </row>
    <row r="8310">
      <c r="A8310" s="4">
        <v>497.0</v>
      </c>
      <c r="B8310" s="4" t="s">
        <v>17419</v>
      </c>
      <c r="C8310" s="4"/>
      <c r="D8310" s="4" t="s">
        <v>18364</v>
      </c>
      <c r="E8310" s="4" t="s">
        <v>18365</v>
      </c>
      <c r="F8310" s="4" t="s">
        <v>18364</v>
      </c>
      <c r="G8310" s="5" t="str">
        <f>IFERROR(__xludf.DUMMYFUNCTION("GOOGLETRANSLATE(D8310,""pl"",""es"")"),"naturaleza")</f>
        <v>naturaleza</v>
      </c>
    </row>
    <row r="8311">
      <c r="A8311" s="4">
        <v>498.0</v>
      </c>
      <c r="B8311" s="4" t="s">
        <v>17419</v>
      </c>
      <c r="C8311" s="4"/>
      <c r="D8311" s="4" t="s">
        <v>18366</v>
      </c>
      <c r="E8311" s="4" t="s">
        <v>18367</v>
      </c>
      <c r="F8311" s="4" t="s">
        <v>18368</v>
      </c>
      <c r="G8311" s="5" t="str">
        <f>IFERROR(__xludf.DUMMYFUNCTION("GOOGLETRANSLATE(D8311,""pl"",""es"")"),"en él")</f>
        <v>en él</v>
      </c>
    </row>
    <row r="8312">
      <c r="A8312" s="4">
        <v>499.0</v>
      </c>
      <c r="B8312" s="4" t="s">
        <v>17419</v>
      </c>
      <c r="C8312" s="4"/>
      <c r="D8312" s="4" t="s">
        <v>18369</v>
      </c>
      <c r="E8312" s="4" t="s">
        <v>18370</v>
      </c>
      <c r="F8312" s="4" t="s">
        <v>18371</v>
      </c>
      <c r="G8312" s="5" t="str">
        <f>IFERROR(__xludf.DUMMYFUNCTION("GOOGLETRANSLATE(D8312,""pl"",""es"")"),"noticias")</f>
        <v>noticias</v>
      </c>
    </row>
    <row r="8313">
      <c r="A8313" s="4">
        <v>500.0</v>
      </c>
      <c r="B8313" s="4" t="s">
        <v>17419</v>
      </c>
      <c r="C8313" s="4"/>
      <c r="D8313" s="4" t="s">
        <v>389</v>
      </c>
      <c r="E8313" s="4" t="s">
        <v>18372</v>
      </c>
      <c r="F8313" s="4" t="s">
        <v>18373</v>
      </c>
      <c r="G8313" s="5" t="str">
        <f>IFERROR(__xludf.DUMMYFUNCTION("GOOGLETRANSLATE(D8313,""pl"",""es"")"),"NI")</f>
        <v>NI</v>
      </c>
      <c r="H8313" s="4" t="s">
        <v>18374</v>
      </c>
      <c r="I8313" s="4" t="s">
        <v>18375</v>
      </c>
      <c r="J8313" s="4" t="s">
        <v>13074</v>
      </c>
      <c r="K8313" s="4" t="s">
        <v>13075</v>
      </c>
      <c r="L8313" s="4" t="s">
        <v>13076</v>
      </c>
    </row>
    <row r="8314">
      <c r="A8314" s="4">
        <v>501.0</v>
      </c>
      <c r="B8314" s="4" t="s">
        <v>17419</v>
      </c>
      <c r="C8314" s="4"/>
      <c r="D8314" s="4" t="s">
        <v>18376</v>
      </c>
      <c r="E8314" s="4" t="s">
        <v>15287</v>
      </c>
      <c r="F8314" s="4" t="s">
        <v>15288</v>
      </c>
      <c r="G8314" s="5" t="str">
        <f>IFERROR(__xludf.DUMMYFUNCTION("GOOGLETRANSLATE(D8314,""pl"",""es"")"),"niñera")</f>
        <v>niñera</v>
      </c>
    </row>
    <row r="8315">
      <c r="A8315" s="4">
        <v>502.0</v>
      </c>
      <c r="B8315" s="4" t="s">
        <v>17419</v>
      </c>
      <c r="C8315" s="4"/>
      <c r="D8315" s="4" t="s">
        <v>18377</v>
      </c>
      <c r="E8315" s="4" t="s">
        <v>18378</v>
      </c>
      <c r="F8315" s="4" t="s">
        <v>18379</v>
      </c>
      <c r="G8315" s="5" t="str">
        <f>IFERROR(__xludf.DUMMYFUNCTION("GOOGLETRANSLATE(D8315,""pl"",""es"")"),"niñera")</f>
        <v>niñera</v>
      </c>
      <c r="H8315" s="4" t="s">
        <v>6932</v>
      </c>
      <c r="I8315" s="4" t="s">
        <v>6935</v>
      </c>
      <c r="J8315" s="4" t="s">
        <v>6936</v>
      </c>
    </row>
    <row r="8316">
      <c r="A8316" s="4">
        <v>503.0</v>
      </c>
      <c r="B8316" s="4" t="s">
        <v>17419</v>
      </c>
      <c r="C8316" s="4"/>
      <c r="D8316" s="4" t="s">
        <v>18380</v>
      </c>
      <c r="E8316" s="4" t="s">
        <v>18381</v>
      </c>
      <c r="F8316" s="4" t="s">
        <v>18382</v>
      </c>
      <c r="G8316" s="5" t="str">
        <f>IFERROR(__xludf.DUMMYFUNCTION("GOOGLETRANSLATE(D8316,""pl"",""es"")"),"niñera")</f>
        <v>niñera</v>
      </c>
    </row>
    <row r="8317">
      <c r="A8317" s="4">
        <v>504.0</v>
      </c>
      <c r="B8317" s="4" t="s">
        <v>17419</v>
      </c>
      <c r="C8317" s="4"/>
      <c r="D8317" s="4" t="s">
        <v>18383</v>
      </c>
      <c r="E8317" s="4" t="s">
        <v>18384</v>
      </c>
      <c r="F8317" s="4" t="s">
        <v>18385</v>
      </c>
      <c r="G8317" s="5" t="str">
        <f>IFERROR(__xludf.DUMMYFUNCTION("GOOGLETRANSLATE(D8317,""pl"",""es"")"),"niñera")</f>
        <v>niñera</v>
      </c>
    </row>
    <row r="8318">
      <c r="A8318" s="4">
        <v>505.0</v>
      </c>
      <c r="B8318" s="4" t="s">
        <v>17419</v>
      </c>
      <c r="C8318" s="4"/>
      <c r="D8318" s="4" t="s">
        <v>18386</v>
      </c>
      <c r="E8318" s="4" t="s">
        <v>18387</v>
      </c>
      <c r="F8318" s="4" t="s">
        <v>18388</v>
      </c>
      <c r="G8318" s="5" t="str">
        <f>IFERROR(__xludf.DUMMYFUNCTION("GOOGLETRANSLATE(D8318,""pl"",""es"")"),"niñera")</f>
        <v>niñera</v>
      </c>
    </row>
    <row r="8319">
      <c r="A8319" s="4">
        <v>506.0</v>
      </c>
      <c r="B8319" s="4" t="s">
        <v>17419</v>
      </c>
      <c r="C8319" s="4"/>
      <c r="D8319" s="4" t="s">
        <v>18389</v>
      </c>
      <c r="E8319" s="4" t="s">
        <v>18390</v>
      </c>
      <c r="F8319" s="4" t="s">
        <v>18391</v>
      </c>
      <c r="G8319" s="5" t="str">
        <f>IFERROR(__xludf.DUMMYFUNCTION("GOOGLETRANSLATE(D8319,""pl"",""es"")"),"niñera")</f>
        <v>niñera</v>
      </c>
    </row>
    <row r="8320">
      <c r="A8320" s="4">
        <v>507.0</v>
      </c>
      <c r="B8320" s="4" t="s">
        <v>17419</v>
      </c>
      <c r="C8320" s="4"/>
      <c r="D8320" s="4" t="s">
        <v>18392</v>
      </c>
      <c r="E8320" s="4" t="s">
        <v>18393</v>
      </c>
      <c r="F8320" s="4" t="s">
        <v>18394</v>
      </c>
      <c r="G8320" s="5" t="str">
        <f>IFERROR(__xludf.DUMMYFUNCTION("GOOGLETRANSLATE(D8320,""pl"",""es"")"),"a ellos")</f>
        <v>a ellos</v>
      </c>
    </row>
    <row r="8321">
      <c r="A8321" s="4">
        <v>508.0</v>
      </c>
      <c r="B8321" s="4" t="s">
        <v>17419</v>
      </c>
      <c r="C8321" s="4"/>
      <c r="D8321" s="4" t="s">
        <v>4277</v>
      </c>
      <c r="E8321" s="4" t="s">
        <v>18395</v>
      </c>
      <c r="F8321" s="4" t="s">
        <v>18394</v>
      </c>
      <c r="G8321" s="5" t="str">
        <f>IFERROR(__xludf.DUMMYFUNCTION("GOOGLETRANSLATE(D8321,""pl"",""es"")"),"apodo")</f>
        <v>apodo</v>
      </c>
    </row>
    <row r="8322">
      <c r="A8322" s="4">
        <v>509.0</v>
      </c>
      <c r="B8322" s="4" t="s">
        <v>17419</v>
      </c>
      <c r="C8322" s="4"/>
      <c r="D8322" s="4" t="s">
        <v>18396</v>
      </c>
      <c r="E8322" s="4" t="s">
        <v>18397</v>
      </c>
      <c r="F8322" s="4" t="s">
        <v>18398</v>
      </c>
      <c r="G8322" s="5" t="str">
        <f>IFERROR(__xludf.DUMMYFUNCTION("GOOGLETRANSLATE(D8322,""pl"",""es"")"),"de ningún modo")</f>
        <v>de ningún modo</v>
      </c>
    </row>
    <row r="8323">
      <c r="A8323" s="4">
        <v>510.0</v>
      </c>
      <c r="B8323" s="4" t="s">
        <v>17419</v>
      </c>
      <c r="C8323" s="4"/>
      <c r="D8323" s="4" t="s">
        <v>18399</v>
      </c>
      <c r="E8323" s="4" t="s">
        <v>18400</v>
      </c>
      <c r="F8323" s="4" t="s">
        <v>18401</v>
      </c>
      <c r="G8323" s="5" t="str">
        <f>IFERROR(__xludf.DUMMYFUNCTION("GOOGLETRANSLATE(D8323,""pl"",""es"")"),"nuez")</f>
        <v>nuez</v>
      </c>
    </row>
    <row r="8324">
      <c r="A8324" s="4">
        <v>511.0</v>
      </c>
      <c r="B8324" s="4" t="s">
        <v>17419</v>
      </c>
      <c r="C8324" s="4"/>
      <c r="D8324" s="4" t="s">
        <v>18402</v>
      </c>
      <c r="E8324" s="4" t="s">
        <v>18403</v>
      </c>
      <c r="F8324" s="4" t="s">
        <v>18404</v>
      </c>
      <c r="G8324" s="5" t="str">
        <f>IFERROR(__xludf.DUMMYFUNCTION("GOOGLETRANSLATE(D8324,""pl"",""es"")"),"neutro")</f>
        <v>neutro</v>
      </c>
      <c r="H8324" s="4" t="s">
        <v>12611</v>
      </c>
      <c r="I8324" s="4" t="s">
        <v>2186</v>
      </c>
    </row>
    <row r="8325">
      <c r="A8325" s="4">
        <v>512.0</v>
      </c>
      <c r="B8325" s="4" t="s">
        <v>17419</v>
      </c>
      <c r="C8325" s="4"/>
      <c r="D8325" s="4" t="s">
        <v>18405</v>
      </c>
      <c r="E8325" s="4" t="s">
        <v>18406</v>
      </c>
      <c r="F8325" s="4" t="s">
        <v>18407</v>
      </c>
      <c r="G8325" s="5" t="str">
        <f>IFERROR(__xludf.DUMMYFUNCTION("GOOGLETRANSLATE(D8325,""pl"",""es"")"),"amable")</f>
        <v>amable</v>
      </c>
    </row>
    <row r="8326">
      <c r="A8326" s="4">
        <v>513.0</v>
      </c>
      <c r="B8326" s="4" t="s">
        <v>17419</v>
      </c>
      <c r="C8326" s="4"/>
      <c r="D8326" s="4" t="s">
        <v>18408</v>
      </c>
      <c r="E8326" s="4" t="s">
        <v>18409</v>
      </c>
      <c r="F8326" s="4" t="s">
        <v>18410</v>
      </c>
      <c r="G8326" s="5" t="str">
        <f>IFERROR(__xludf.DUMMYFUNCTION("GOOGLETRANSLATE(D8326,""pl"",""es"")"),"amable")</f>
        <v>amable</v>
      </c>
    </row>
    <row r="8327">
      <c r="A8327" s="4">
        <v>514.0</v>
      </c>
      <c r="B8327" s="4" t="s">
        <v>17419</v>
      </c>
      <c r="C8327" s="4"/>
      <c r="D8327" s="4" t="s">
        <v>18411</v>
      </c>
      <c r="E8327" s="4" t="s">
        <v>18412</v>
      </c>
      <c r="F8327" s="4" t="s">
        <v>18413</v>
      </c>
      <c r="G8327" s="5" t="str">
        <f>IFERROR(__xludf.DUMMYFUNCTION("GOOGLETRANSLATE(D8327,""pl"",""es"")"),"neutral")</f>
        <v>neutral</v>
      </c>
    </row>
    <row r="8328">
      <c r="A8328" s="4">
        <v>515.0</v>
      </c>
      <c r="B8328" s="4" t="s">
        <v>17419</v>
      </c>
      <c r="C8328" s="4"/>
      <c r="D8328" s="4" t="s">
        <v>18414</v>
      </c>
      <c r="E8328" s="4" t="s">
        <v>18415</v>
      </c>
      <c r="F8328" s="4" t="s">
        <v>18416</v>
      </c>
      <c r="G8328" s="5" t="str">
        <f>IFERROR(__xludf.DUMMYFUNCTION("GOOGLETRANSLATE(D8328,""pl"",""es"")"),"nadie")</f>
        <v>nadie</v>
      </c>
    </row>
    <row r="8329">
      <c r="A8329" s="4">
        <v>516.0</v>
      </c>
      <c r="B8329" s="4" t="s">
        <v>17419</v>
      </c>
      <c r="C8329" s="4"/>
      <c r="D8329" s="4" t="s">
        <v>2976</v>
      </c>
      <c r="E8329" s="4" t="s">
        <v>18417</v>
      </c>
      <c r="F8329" s="4" t="s">
        <v>18418</v>
      </c>
      <c r="G8329" s="5" t="str">
        <f>IFERROR(__xludf.DUMMYFUNCTION("GOOGLETRANSLATE(D8329,""pl"",""es"")"),"Nilo")</f>
        <v>Nilo</v>
      </c>
      <c r="H8329" s="4" t="s">
        <v>2978</v>
      </c>
      <c r="I8329" s="4" t="s">
        <v>2979</v>
      </c>
    </row>
    <row r="8330">
      <c r="A8330" s="4">
        <v>517.0</v>
      </c>
      <c r="B8330" s="4" t="s">
        <v>17419</v>
      </c>
      <c r="C8330" s="4"/>
      <c r="D8330" s="4" t="s">
        <v>6988</v>
      </c>
      <c r="E8330" s="4" t="s">
        <v>18419</v>
      </c>
      <c r="F8330" s="4" t="s">
        <v>18420</v>
      </c>
      <c r="G8330" s="5" t="str">
        <f>IFERROR(__xludf.DUMMYFUNCTION("GOOGLETRANSLATE(D8330,""pl"",""es"")"),"a él")</f>
        <v>a él</v>
      </c>
      <c r="H8330" s="4" t="s">
        <v>6988</v>
      </c>
    </row>
    <row r="8331">
      <c r="A8331" s="4">
        <v>518.0</v>
      </c>
      <c r="B8331" s="4" t="s">
        <v>17419</v>
      </c>
      <c r="C8331" s="4"/>
      <c r="D8331" s="4" t="s">
        <v>10759</v>
      </c>
      <c r="E8331" s="4" t="s">
        <v>18421</v>
      </c>
      <c r="F8331" s="4" t="s">
        <v>18422</v>
      </c>
      <c r="G8331" s="5" t="str">
        <f>IFERROR(__xludf.DUMMYFUNCTION("GOOGLETRANSLATE(D8331,""pl"",""es"")"),"a ellos")</f>
        <v>a ellos</v>
      </c>
    </row>
    <row r="8332">
      <c r="A8332" s="4">
        <v>519.0</v>
      </c>
      <c r="B8332" s="4" t="s">
        <v>17419</v>
      </c>
      <c r="C8332" s="4"/>
      <c r="D8332" s="4" t="s">
        <v>18423</v>
      </c>
      <c r="E8332" s="4" t="s">
        <v>18424</v>
      </c>
      <c r="F8332" s="4" t="s">
        <v>18425</v>
      </c>
      <c r="G8332" s="5" t="str">
        <f>IFERROR(__xludf.DUMMYFUNCTION("GOOGLETRANSLATE(D8332,""pl"",""es"")"),"pellizco")</f>
        <v>pellizco</v>
      </c>
    </row>
    <row r="8333">
      <c r="A8333" s="4">
        <v>520.0</v>
      </c>
      <c r="B8333" s="4" t="s">
        <v>17419</v>
      </c>
      <c r="C8333" s="4"/>
      <c r="D8333" s="4" t="s">
        <v>18426</v>
      </c>
      <c r="E8333" s="4" t="s">
        <v>18427</v>
      </c>
      <c r="F8333" s="4" t="s">
        <v>18428</v>
      </c>
      <c r="G8333" s="5" t="str">
        <f>IFERROR(__xludf.DUMMYFUNCTION("GOOGLETRANSLATE(D8333,""pl"",""es"")"),"niucha")</f>
        <v>niucha</v>
      </c>
    </row>
    <row r="8334">
      <c r="A8334" s="4">
        <v>521.0</v>
      </c>
      <c r="B8334" s="4" t="s">
        <v>17419</v>
      </c>
      <c r="C8334" s="4"/>
      <c r="D8334" s="4" t="s">
        <v>18429</v>
      </c>
      <c r="E8334" s="4" t="s">
        <v>18430</v>
      </c>
      <c r="F8334" s="4" t="s">
        <v>18431</v>
      </c>
      <c r="G8334" s="5" t="str">
        <f>IFERROR(__xludf.DUMMYFUNCTION("GOOGLETRANSLATE(D8334,""pl"",""es"")"),"Niunia")</f>
        <v>Niunia</v>
      </c>
    </row>
    <row r="8335">
      <c r="A8335" s="4">
        <v>522.0</v>
      </c>
      <c r="B8335" s="4" t="s">
        <v>17419</v>
      </c>
      <c r="C8335" s="4"/>
      <c r="D8335" s="4" t="s">
        <v>18432</v>
      </c>
      <c r="E8335" s="4" t="s">
        <v>18433</v>
      </c>
      <c r="F8335" s="4" t="s">
        <v>18434</v>
      </c>
      <c r="G8335" s="5" t="str">
        <f>IFERROR(__xludf.DUMMYFUNCTION("GOOGLETRANSLATE(D8335,""pl"",""es"")"),"niuń")</f>
        <v>niuń</v>
      </c>
    </row>
    <row r="8336">
      <c r="A8336" s="4">
        <v>523.0</v>
      </c>
      <c r="B8336" s="4" t="s">
        <v>17419</v>
      </c>
      <c r="C8336" s="4"/>
      <c r="D8336" s="4" t="s">
        <v>2972</v>
      </c>
      <c r="E8336" s="4" t="s">
        <v>3018</v>
      </c>
      <c r="F8336" s="4" t="s">
        <v>2972</v>
      </c>
      <c r="G8336" s="5" t="str">
        <f>IFERROR(__xludf.DUMMYFUNCTION("GOOGLETRANSLATE(D8336,""pl"",""es"")"),"nu")</f>
        <v>nu</v>
      </c>
    </row>
    <row r="8337">
      <c r="A8337" s="4">
        <v>524.0</v>
      </c>
      <c r="B8337" s="4" t="s">
        <v>17419</v>
      </c>
      <c r="C8337" s="4"/>
      <c r="D8337" s="4" t="s">
        <v>3004</v>
      </c>
      <c r="E8337" s="4" t="s">
        <v>3003</v>
      </c>
      <c r="F8337" s="4" t="s">
        <v>3004</v>
      </c>
      <c r="G8337" s="5" t="str">
        <f>IFERROR(__xludf.DUMMYFUNCTION("GOOGLETRANSLATE(D8337,""pl"",""es"")"),"Nota")</f>
        <v>Nota</v>
      </c>
      <c r="H8337" s="4" t="s">
        <v>2594</v>
      </c>
      <c r="I8337" s="4" t="s">
        <v>18435</v>
      </c>
      <c r="J8337" s="4" t="s">
        <v>16297</v>
      </c>
      <c r="K8337" s="4" t="s">
        <v>6676</v>
      </c>
    </row>
    <row r="8338">
      <c r="A8338" s="4">
        <v>525.0</v>
      </c>
      <c r="B8338" s="4" t="s">
        <v>17419</v>
      </c>
      <c r="C8338" s="4"/>
      <c r="D8338" s="4" t="s">
        <v>18436</v>
      </c>
      <c r="E8338" s="4" t="s">
        <v>13107</v>
      </c>
      <c r="F8338" s="4" t="s">
        <v>7028</v>
      </c>
      <c r="G8338" s="5" t="str">
        <f>IFERROR(__xludf.DUMMYFUNCTION("GOOGLETRANSLATE(D8338,""pl"",""es"")"),"piernas")</f>
        <v>piernas</v>
      </c>
    </row>
    <row r="8339">
      <c r="A8339" s="4">
        <v>526.0</v>
      </c>
      <c r="B8339" s="4" t="s">
        <v>17419</v>
      </c>
      <c r="C8339" s="4"/>
      <c r="D8339" s="4" t="s">
        <v>3147</v>
      </c>
      <c r="E8339" s="4" t="s">
        <v>3148</v>
      </c>
      <c r="F8339" s="4" t="s">
        <v>3147</v>
      </c>
      <c r="G8339" s="5" t="str">
        <f>IFERROR(__xludf.DUMMYFUNCTION("GOOGLETRANSLATE(D8339,""pl"",""es"")"),"Pensilvania")</f>
        <v>Pensilvania</v>
      </c>
      <c r="H8339" s="4" t="s">
        <v>3152</v>
      </c>
      <c r="I8339" s="4" t="s">
        <v>3153</v>
      </c>
      <c r="J8339" s="4" t="s">
        <v>14490</v>
      </c>
      <c r="K8339" s="4" t="s">
        <v>14491</v>
      </c>
      <c r="L8339" s="4" t="s">
        <v>3153</v>
      </c>
      <c r="M8339" s="4" t="s">
        <v>14492</v>
      </c>
    </row>
    <row r="8340">
      <c r="A8340" s="4">
        <v>527.0</v>
      </c>
      <c r="B8340" s="4" t="s">
        <v>17419</v>
      </c>
      <c r="C8340" s="4"/>
      <c r="D8340" s="4" t="s">
        <v>18437</v>
      </c>
      <c r="E8340" s="4" t="s">
        <v>18438</v>
      </c>
      <c r="F8340" s="4" t="s">
        <v>392</v>
      </c>
      <c r="G8340" s="5" t="str">
        <f>IFERROR(__xludf.DUMMYFUNCTION("GOOGLETRANSLATE(D8340,""pl"",""es"")"),"axilas")</f>
        <v>axilas</v>
      </c>
    </row>
    <row r="8341">
      <c r="A8341" s="4">
        <v>528.0</v>
      </c>
      <c r="B8341" s="4" t="s">
        <v>17419</v>
      </c>
      <c r="C8341" s="4"/>
      <c r="D8341" s="4" t="s">
        <v>18439</v>
      </c>
      <c r="E8341" s="4" t="s">
        <v>18440</v>
      </c>
      <c r="F8341" s="4" t="s">
        <v>11055</v>
      </c>
      <c r="G8341" s="5" t="str">
        <f>IFERROR(__xludf.DUMMYFUNCTION("GOOGLETRANSLATE(D8341,""pl"",""es"")"),"axila")</f>
        <v>axila</v>
      </c>
      <c r="H8341" s="4" t="s">
        <v>18441</v>
      </c>
      <c r="I8341" s="4" t="s">
        <v>18442</v>
      </c>
      <c r="J8341" s="4" t="s">
        <v>18443</v>
      </c>
      <c r="K8341" s="4" t="s">
        <v>18444</v>
      </c>
      <c r="L8341" s="4" t="s">
        <v>18445</v>
      </c>
    </row>
    <row r="8342">
      <c r="A8342" s="4">
        <v>529.0</v>
      </c>
      <c r="B8342" s="4" t="s">
        <v>17419</v>
      </c>
      <c r="C8342" s="4"/>
      <c r="D8342" s="4" t="s">
        <v>18446</v>
      </c>
      <c r="E8342" s="4" t="s">
        <v>18447</v>
      </c>
      <c r="F8342" s="4" t="s">
        <v>18448</v>
      </c>
      <c r="G8342" s="5" t="str">
        <f>IFERROR(__xludf.DUMMYFUNCTION("GOOGLETRANSLATE(D8342,""pl"",""es"")"),"axilas")</f>
        <v>axilas</v>
      </c>
    </row>
    <row r="8343">
      <c r="A8343" s="4">
        <v>530.0</v>
      </c>
      <c r="B8343" s="4" t="s">
        <v>17419</v>
      </c>
      <c r="C8343" s="4"/>
      <c r="D8343" s="4" t="s">
        <v>18449</v>
      </c>
      <c r="E8343" s="4" t="s">
        <v>18450</v>
      </c>
      <c r="F8343" s="4" t="s">
        <v>18451</v>
      </c>
      <c r="G8343" s="5" t="str">
        <f>IFERROR(__xludf.DUMMYFUNCTION("GOOGLETRANSLATE(D8343,""pl"",""es"")"),"axilas")</f>
        <v>axilas</v>
      </c>
    </row>
    <row r="8344">
      <c r="A8344" s="4">
        <v>531.0</v>
      </c>
      <c r="B8344" s="4" t="s">
        <v>17419</v>
      </c>
      <c r="C8344" s="4"/>
      <c r="D8344" s="4" t="s">
        <v>18452</v>
      </c>
      <c r="E8344" s="4" t="s">
        <v>18453</v>
      </c>
      <c r="F8344" s="4" t="s">
        <v>18454</v>
      </c>
      <c r="G8344" s="5" t="str">
        <f>IFERROR(__xludf.DUMMYFUNCTION("GOOGLETRANSLATE(D8344,""pl"",""es"")"),"pachut")</f>
        <v>pachut</v>
      </c>
    </row>
    <row r="8345">
      <c r="A8345" s="4">
        <v>532.0</v>
      </c>
      <c r="B8345" s="4" t="s">
        <v>17419</v>
      </c>
      <c r="C8345" s="4"/>
      <c r="D8345" s="4" t="s">
        <v>392</v>
      </c>
      <c r="E8345" s="4" t="s">
        <v>391</v>
      </c>
      <c r="F8345" s="4" t="s">
        <v>392</v>
      </c>
      <c r="G8345" s="5" t="str">
        <f>IFERROR(__xludf.DUMMYFUNCTION("GOOGLETRANSLATE(D8345,""pl"",""es"")"),"tono")</f>
        <v>tono</v>
      </c>
      <c r="H8345" s="4" t="s">
        <v>18455</v>
      </c>
      <c r="I8345" s="4" t="s">
        <v>18456</v>
      </c>
    </row>
    <row r="8346">
      <c r="A8346" s="4">
        <v>533.0</v>
      </c>
      <c r="B8346" s="4" t="s">
        <v>17419</v>
      </c>
      <c r="C8346" s="4"/>
      <c r="D8346" s="4" t="s">
        <v>11055</v>
      </c>
      <c r="E8346" s="4" t="s">
        <v>13145</v>
      </c>
      <c r="F8346" s="4" t="s">
        <v>11055</v>
      </c>
      <c r="G8346" s="5" t="str">
        <f>IFERROR(__xludf.DUMMYFUNCTION("GOOGLETRANSLATE(D8346,""pl"",""es"")"),"caja")</f>
        <v>caja</v>
      </c>
      <c r="H8346" s="4" t="s">
        <v>13144</v>
      </c>
      <c r="I8346" s="4" t="s">
        <v>13146</v>
      </c>
    </row>
    <row r="8347">
      <c r="A8347" s="4">
        <v>534.0</v>
      </c>
      <c r="B8347" s="4" t="s">
        <v>17419</v>
      </c>
      <c r="C8347" s="4"/>
      <c r="D8347" s="4" t="s">
        <v>18457</v>
      </c>
      <c r="E8347" s="4" t="s">
        <v>18458</v>
      </c>
      <c r="F8347" s="4" t="s">
        <v>18448</v>
      </c>
      <c r="G8347" s="5" t="str">
        <f>IFERROR(__xludf.DUMMYFUNCTION("GOOGLETRANSLATE(D8347,""pl"",""es"")"),"paquetes")</f>
        <v>paquetes</v>
      </c>
    </row>
    <row r="8348">
      <c r="A8348" s="4">
        <v>535.0</v>
      </c>
      <c r="B8348" s="4" t="s">
        <v>17419</v>
      </c>
      <c r="C8348" s="4"/>
      <c r="D8348" s="4" t="s">
        <v>18451</v>
      </c>
      <c r="E8348" s="4" t="s">
        <v>18459</v>
      </c>
      <c r="F8348" s="4" t="s">
        <v>18451</v>
      </c>
      <c r="G8348" s="5" t="str">
        <f>IFERROR(__xludf.DUMMYFUNCTION("GOOGLETRANSLATE(D8348,""pl"",""es"")"),"paquetes")</f>
        <v>paquetes</v>
      </c>
    </row>
    <row r="8349">
      <c r="A8349" s="4">
        <v>536.0</v>
      </c>
      <c r="B8349" s="4" t="s">
        <v>17419</v>
      </c>
      <c r="C8349" s="4"/>
      <c r="D8349" s="4" t="s">
        <v>7051</v>
      </c>
      <c r="E8349" s="4" t="s">
        <v>13171</v>
      </c>
      <c r="F8349" s="4" t="s">
        <v>7051</v>
      </c>
      <c r="G8349" s="5" t="str">
        <f>IFERROR(__xludf.DUMMYFUNCTION("GOOGLETRANSLATE(D8349,""pl"",""es"")"),"paquete")</f>
        <v>paquete</v>
      </c>
    </row>
    <row r="8350">
      <c r="A8350" s="4">
        <v>537.0</v>
      </c>
      <c r="B8350" s="4" t="s">
        <v>17419</v>
      </c>
      <c r="C8350" s="4"/>
      <c r="D8350" s="4" t="s">
        <v>3161</v>
      </c>
      <c r="E8350" s="4" t="s">
        <v>3162</v>
      </c>
      <c r="F8350" s="4" t="s">
        <v>3161</v>
      </c>
      <c r="G8350" s="5" t="str">
        <f>IFERROR(__xludf.DUMMYFUNCTION("GOOGLETRANSLATE(D8350,""pl"",""es"")"),"montón")</f>
        <v>montón</v>
      </c>
      <c r="H8350" s="4" t="s">
        <v>18460</v>
      </c>
      <c r="I8350" s="4" t="s">
        <v>7565</v>
      </c>
    </row>
    <row r="8351">
      <c r="A8351" s="4">
        <v>538.0</v>
      </c>
      <c r="B8351" s="4" t="s">
        <v>17419</v>
      </c>
      <c r="C8351" s="4"/>
      <c r="D8351" s="4" t="s">
        <v>3173</v>
      </c>
      <c r="E8351" s="4" t="s">
        <v>3174</v>
      </c>
      <c r="F8351" s="4" t="s">
        <v>3173</v>
      </c>
      <c r="G8351" s="5" t="str">
        <f>IFERROR(__xludf.DUMMYFUNCTION("GOOGLETRANSLATE(D8351,""pl"",""es"")"),"cabeza")</f>
        <v>cabeza</v>
      </c>
    </row>
    <row r="8352">
      <c r="A8352" s="4">
        <v>539.0</v>
      </c>
      <c r="B8352" s="4" t="s">
        <v>17419</v>
      </c>
      <c r="C8352" s="4"/>
      <c r="D8352" s="4" t="s">
        <v>18461</v>
      </c>
      <c r="E8352" s="4" t="s">
        <v>18462</v>
      </c>
      <c r="F8352" s="4" t="s">
        <v>18463</v>
      </c>
      <c r="G8352" s="5" t="str">
        <f>IFERROR(__xludf.DUMMYFUNCTION("GOOGLETRANSLATE(D8352,""pl"",""es"")"),"pila de algo")</f>
        <v>pila de algo</v>
      </c>
    </row>
    <row r="8353">
      <c r="A8353" s="4">
        <v>540.0</v>
      </c>
      <c r="B8353" s="4" t="s">
        <v>17419</v>
      </c>
      <c r="C8353" s="4"/>
      <c r="D8353" s="4" t="s">
        <v>18464</v>
      </c>
      <c r="E8353" s="4" t="s">
        <v>18465</v>
      </c>
      <c r="F8353" s="4" t="s">
        <v>18464</v>
      </c>
      <c r="G8353" s="5" t="str">
        <f>IFERROR(__xludf.DUMMYFUNCTION("GOOGLETRANSLATE(D8353,""pl"",""es"")"),"pila de algo")</f>
        <v>pila de algo</v>
      </c>
    </row>
    <row r="8354">
      <c r="A8354" s="4">
        <v>541.0</v>
      </c>
      <c r="B8354" s="4" t="s">
        <v>17419</v>
      </c>
      <c r="C8354" s="4"/>
      <c r="D8354" s="4" t="s">
        <v>3184</v>
      </c>
      <c r="E8354" s="4" t="s">
        <v>3185</v>
      </c>
      <c r="F8354" s="4" t="s">
        <v>3184</v>
      </c>
      <c r="G8354" s="5" t="str">
        <f>IFERROR(__xludf.DUMMYFUNCTION("GOOGLETRANSLATE(D8354,""pl"",""es"")"),"fumar")</f>
        <v>fumar</v>
      </c>
    </row>
    <row r="8355">
      <c r="A8355" s="4">
        <v>542.0</v>
      </c>
      <c r="B8355" s="4" t="s">
        <v>17419</v>
      </c>
      <c r="C8355" s="4"/>
      <c r="D8355" s="4" t="s">
        <v>18466</v>
      </c>
      <c r="E8355" s="4" t="s">
        <v>18467</v>
      </c>
      <c r="F8355" s="4" t="s">
        <v>18466</v>
      </c>
      <c r="G8355" s="5" t="str">
        <f>IFERROR(__xludf.DUMMYFUNCTION("GOOGLETRANSLATE(D8355,""pl"",""es"")"),"Se quemaron")</f>
        <v>Se quemaron</v>
      </c>
    </row>
    <row r="8356">
      <c r="A8356" s="4">
        <v>543.0</v>
      </c>
      <c r="B8356" s="4" t="s">
        <v>17419</v>
      </c>
      <c r="C8356" s="4"/>
      <c r="D8356" s="4" t="s">
        <v>15299</v>
      </c>
      <c r="E8356" s="4" t="s">
        <v>15300</v>
      </c>
      <c r="F8356" s="4" t="s">
        <v>15299</v>
      </c>
      <c r="G8356" s="5" t="str">
        <f>IFERROR(__xludf.DUMMYFUNCTION("GOOGLETRANSLATE(D8356,""pl"",""es"")"),"dedo del pie")</f>
        <v>dedo del pie</v>
      </c>
    </row>
    <row r="8357">
      <c r="A8357" s="4">
        <v>544.0</v>
      </c>
      <c r="B8357" s="4" t="s">
        <v>17419</v>
      </c>
      <c r="C8357" s="4"/>
      <c r="D8357" s="4" t="s">
        <v>18468</v>
      </c>
      <c r="E8357" s="4" t="s">
        <v>18469</v>
      </c>
      <c r="F8357" s="4" t="s">
        <v>18470</v>
      </c>
      <c r="G8357" s="5" t="str">
        <f>IFERROR(__xludf.DUMMYFUNCTION("GOOGLETRANSLATE(D8357,""pl"",""es"")"),"dedo del pie")</f>
        <v>dedo del pie</v>
      </c>
      <c r="H8357" s="4" t="s">
        <v>13409</v>
      </c>
      <c r="I8357" s="4" t="s">
        <v>13410</v>
      </c>
      <c r="J8357" s="4" t="s">
        <v>13411</v>
      </c>
    </row>
    <row r="8358">
      <c r="A8358" s="4">
        <v>545.0</v>
      </c>
      <c r="B8358" s="4" t="s">
        <v>17419</v>
      </c>
      <c r="C8358" s="4"/>
      <c r="D8358" s="4" t="s">
        <v>18471</v>
      </c>
      <c r="E8358" s="4" t="s">
        <v>18472</v>
      </c>
      <c r="F8358" s="4" t="s">
        <v>18473</v>
      </c>
      <c r="G8358" s="5" t="str">
        <f>IFERROR(__xludf.DUMMYFUNCTION("GOOGLETRANSLATE(D8358,""pl"",""es"")"),"dedo del pie")</f>
        <v>dedo del pie</v>
      </c>
    </row>
    <row r="8359">
      <c r="A8359" s="4">
        <v>546.0</v>
      </c>
      <c r="B8359" s="4" t="s">
        <v>17419</v>
      </c>
      <c r="C8359" s="4"/>
      <c r="D8359" s="4" t="s">
        <v>18474</v>
      </c>
      <c r="E8359" s="4" t="s">
        <v>18475</v>
      </c>
      <c r="F8359" s="4" t="s">
        <v>18476</v>
      </c>
      <c r="G8359" s="5" t="str">
        <f>IFERROR(__xludf.DUMMYFUNCTION("GOOGLETRANSLATE(D8359,""pl"",""es"")"),"dedo del pie")</f>
        <v>dedo del pie</v>
      </c>
    </row>
    <row r="8360">
      <c r="A8360" s="4">
        <v>547.0</v>
      </c>
      <c r="B8360" s="4" t="s">
        <v>17419</v>
      </c>
      <c r="C8360" s="4"/>
      <c r="D8360" s="4" t="s">
        <v>18477</v>
      </c>
      <c r="E8360" s="4" t="s">
        <v>18478</v>
      </c>
      <c r="F8360" s="4" t="s">
        <v>18477</v>
      </c>
      <c r="G8360" s="5" t="str">
        <f>IFERROR(__xludf.DUMMYFUNCTION("GOOGLETRANSLATE(D8360,""pl"",""es"")"),"dedo del pie")</f>
        <v>dedo del pie</v>
      </c>
    </row>
    <row r="8361">
      <c r="A8361" s="4">
        <v>548.0</v>
      </c>
      <c r="B8361" s="4" t="s">
        <v>17419</v>
      </c>
      <c r="C8361" s="4"/>
      <c r="D8361" s="4" t="s">
        <v>7069</v>
      </c>
      <c r="E8361" s="4" t="s">
        <v>13195</v>
      </c>
      <c r="F8361" s="4" t="s">
        <v>7069</v>
      </c>
      <c r="G8361" s="5" t="str">
        <f>IFERROR(__xludf.DUMMYFUNCTION("GOOGLETRANSLATE(D8361,""pl"",""es"")"),"Señor")</f>
        <v>Señor</v>
      </c>
      <c r="H8361" s="4" t="s">
        <v>18479</v>
      </c>
      <c r="I8361" s="4" t="s">
        <v>18480</v>
      </c>
      <c r="J8361" s="4" t="s">
        <v>18481</v>
      </c>
      <c r="K8361" s="4" t="s">
        <v>9827</v>
      </c>
      <c r="L8361" s="4" t="s">
        <v>9828</v>
      </c>
      <c r="M8361" s="4" t="s">
        <v>9829</v>
      </c>
      <c r="N8361" s="4" t="s">
        <v>9830</v>
      </c>
      <c r="O8361" s="4" t="s">
        <v>9831</v>
      </c>
      <c r="P8361" s="4" t="s">
        <v>9832</v>
      </c>
      <c r="Q8361" s="4" t="s">
        <v>9833</v>
      </c>
      <c r="R8361" s="4" t="s">
        <v>9834</v>
      </c>
      <c r="S8361" s="4" t="s">
        <v>7072</v>
      </c>
      <c r="T8361" s="4" t="s">
        <v>7073</v>
      </c>
      <c r="U8361" s="4" t="s">
        <v>1856</v>
      </c>
      <c r="V8361" s="4" t="s">
        <v>6742</v>
      </c>
      <c r="W8361" s="4" t="s">
        <v>18482</v>
      </c>
      <c r="X8361" s="4" t="s">
        <v>18483</v>
      </c>
    </row>
    <row r="8362">
      <c r="A8362" s="4">
        <v>549.0</v>
      </c>
      <c r="B8362" s="4" t="s">
        <v>17419</v>
      </c>
      <c r="C8362" s="4"/>
      <c r="D8362" s="4" t="s">
        <v>3259</v>
      </c>
      <c r="E8362" s="4" t="s">
        <v>3260</v>
      </c>
      <c r="F8362" s="4" t="s">
        <v>3259</v>
      </c>
      <c r="G8362" s="5" t="str">
        <f>IFERROR(__xludf.DUMMYFUNCTION("GOOGLETRANSLATE(D8362,""pl"",""es"")"),"Señor")</f>
        <v>Señor</v>
      </c>
    </row>
    <row r="8363">
      <c r="A8363" s="4">
        <v>550.0</v>
      </c>
      <c r="B8363" s="4" t="s">
        <v>17419</v>
      </c>
      <c r="C8363" s="4"/>
      <c r="D8363" s="4" t="s">
        <v>18484</v>
      </c>
      <c r="E8363" s="4" t="s">
        <v>18485</v>
      </c>
      <c r="F8363" s="4" t="s">
        <v>18486</v>
      </c>
      <c r="G8363" s="5" t="str">
        <f>IFERROR(__xludf.DUMMYFUNCTION("GOOGLETRANSLATE(D8363,""pl"",""es"")"),"hombres")</f>
        <v>hombres</v>
      </c>
    </row>
    <row r="8364">
      <c r="A8364" s="4">
        <v>551.0</v>
      </c>
      <c r="B8364" s="4" t="s">
        <v>17419</v>
      </c>
      <c r="C8364" s="4"/>
      <c r="D8364" s="4" t="s">
        <v>3265</v>
      </c>
      <c r="E8364" s="4" t="s">
        <v>3264</v>
      </c>
      <c r="F8364" s="4" t="s">
        <v>3265</v>
      </c>
      <c r="G8364" s="5" t="str">
        <f>IFERROR(__xludf.DUMMYFUNCTION("GOOGLETRANSLATE(D8364,""pl"",""es"")"),"Panamá")</f>
        <v>Panamá</v>
      </c>
      <c r="H8364" s="4" t="s">
        <v>3266</v>
      </c>
      <c r="I8364" s="4" t="s">
        <v>3267</v>
      </c>
      <c r="J8364" s="4" t="s">
        <v>3268</v>
      </c>
      <c r="K8364" s="4" t="s">
        <v>3269</v>
      </c>
      <c r="L8364" s="4" t="s">
        <v>2505</v>
      </c>
      <c r="M8364" s="4" t="s">
        <v>3270</v>
      </c>
      <c r="N8364" s="4" t="s">
        <v>3271</v>
      </c>
      <c r="O8364" s="4" t="s">
        <v>3268</v>
      </c>
      <c r="P8364" s="4" t="s">
        <v>3272</v>
      </c>
    </row>
    <row r="8365">
      <c r="A8365" s="4">
        <v>552.0</v>
      </c>
      <c r="B8365" s="4" t="s">
        <v>17419</v>
      </c>
      <c r="C8365" s="4"/>
      <c r="D8365" s="4" t="s">
        <v>18487</v>
      </c>
      <c r="E8365" s="4" t="s">
        <v>18488</v>
      </c>
      <c r="F8365" s="4" t="s">
        <v>18487</v>
      </c>
      <c r="G8365" s="5" t="str">
        <f>IFERROR(__xludf.DUMMYFUNCTION("GOOGLETRANSLATE(D8365,""pl"",""es"")"),"caballeros")</f>
        <v>caballeros</v>
      </c>
    </row>
    <row r="8366">
      <c r="A8366" s="4">
        <v>553.0</v>
      </c>
      <c r="B8366" s="4" t="s">
        <v>17419</v>
      </c>
      <c r="C8366" s="4"/>
      <c r="D8366" s="4" t="s">
        <v>18489</v>
      </c>
      <c r="E8366" s="4" t="s">
        <v>18490</v>
      </c>
      <c r="F8366" s="4" t="s">
        <v>18491</v>
      </c>
      <c r="G8366" s="5" t="str">
        <f>IFERROR(__xludf.DUMMYFUNCTION("GOOGLETRANSLATE(D8366,""pl"",""es"")"),"tú")</f>
        <v>tú</v>
      </c>
      <c r="H8366" s="4" t="s">
        <v>18492</v>
      </c>
    </row>
    <row r="8367">
      <c r="A8367" s="4">
        <v>554.0</v>
      </c>
      <c r="B8367" s="4" t="s">
        <v>17419</v>
      </c>
      <c r="C8367" s="4"/>
      <c r="D8367" s="4" t="s">
        <v>18493</v>
      </c>
      <c r="E8367" s="4" t="s">
        <v>18494</v>
      </c>
      <c r="F8367" s="4" t="s">
        <v>18495</v>
      </c>
      <c r="G8367" s="5" t="str">
        <f>IFERROR(__xludf.DUMMYFUNCTION("GOOGLETRANSLATE(D8367,""pl"",""es"")"),"señoras")</f>
        <v>señoras</v>
      </c>
    </row>
    <row r="8368">
      <c r="A8368" s="4">
        <v>555.0</v>
      </c>
      <c r="B8368" s="4" t="s">
        <v>17419</v>
      </c>
      <c r="C8368" s="4"/>
      <c r="D8368" s="4" t="s">
        <v>18496</v>
      </c>
      <c r="E8368" s="4" t="s">
        <v>18497</v>
      </c>
      <c r="F8368" s="4" t="s">
        <v>18498</v>
      </c>
      <c r="G8368" s="5" t="str">
        <f>IFERROR(__xludf.DUMMYFUNCTION("GOOGLETRANSLATE(D8368,""pl"",""es"")"),"señoras")</f>
        <v>señoras</v>
      </c>
    </row>
    <row r="8369">
      <c r="A8369" s="4">
        <v>556.0</v>
      </c>
      <c r="B8369" s="4" t="s">
        <v>17419</v>
      </c>
      <c r="C8369" s="4"/>
      <c r="D8369" s="4" t="s">
        <v>16838</v>
      </c>
      <c r="E8369" s="4" t="s">
        <v>18499</v>
      </c>
      <c r="F8369" s="4" t="s">
        <v>18500</v>
      </c>
      <c r="G8369" s="5" t="str">
        <f>IFERROR(__xludf.DUMMYFUNCTION("GOOGLETRANSLATE(D8369,""pl"",""es"")"),"pánico")</f>
        <v>pánico</v>
      </c>
      <c r="H8369" s="4" t="s">
        <v>3791</v>
      </c>
      <c r="I8369" s="4" t="s">
        <v>3792</v>
      </c>
      <c r="J8369" s="4" t="s">
        <v>3793</v>
      </c>
    </row>
    <row r="8370">
      <c r="A8370" s="4">
        <v>557.0</v>
      </c>
      <c r="B8370" s="4" t="s">
        <v>17419</v>
      </c>
      <c r="C8370" s="4"/>
      <c r="D8370" s="4" t="s">
        <v>10904</v>
      </c>
      <c r="E8370" s="4" t="s">
        <v>18501</v>
      </c>
      <c r="F8370" s="4" t="s">
        <v>10904</v>
      </c>
      <c r="G8370" s="5" t="str">
        <f>IFERROR(__xludf.DUMMYFUNCTION("GOOGLETRANSLATE(D8370,""pl"",""es"")"),"Caballero")</f>
        <v>Caballero</v>
      </c>
    </row>
    <row r="8371">
      <c r="A8371" s="4">
        <v>558.0</v>
      </c>
      <c r="B8371" s="4" t="s">
        <v>17419</v>
      </c>
      <c r="C8371" s="4"/>
      <c r="D8371" s="4" t="s">
        <v>3292</v>
      </c>
      <c r="E8371" s="4" t="s">
        <v>3293</v>
      </c>
      <c r="F8371" s="4" t="s">
        <v>3292</v>
      </c>
      <c r="G8371" s="5" t="str">
        <f>IFERROR(__xludf.DUMMYFUNCTION("GOOGLETRANSLATE(D8371,""pl"",""es"")"),"adiós")</f>
        <v>adiós</v>
      </c>
      <c r="H8371" s="4" t="s">
        <v>3294</v>
      </c>
      <c r="I8371" s="4" t="s">
        <v>3295</v>
      </c>
      <c r="J8371" s="4" t="s">
        <v>3296</v>
      </c>
      <c r="K8371" s="4" t="s">
        <v>3147</v>
      </c>
      <c r="L8371" s="4" t="s">
        <v>3292</v>
      </c>
      <c r="M8371" s="4" t="s">
        <v>3297</v>
      </c>
      <c r="N8371" s="4" t="s">
        <v>3298</v>
      </c>
      <c r="O8371" s="4" t="s">
        <v>18502</v>
      </c>
      <c r="P8371" s="4" t="s">
        <v>18503</v>
      </c>
    </row>
    <row r="8372">
      <c r="A8372" s="4">
        <v>559.0</v>
      </c>
      <c r="B8372" s="4" t="s">
        <v>17419</v>
      </c>
      <c r="C8372" s="4"/>
      <c r="D8372" s="4" t="s">
        <v>18504</v>
      </c>
      <c r="E8372" s="4" t="s">
        <v>3310</v>
      </c>
      <c r="F8372" s="4" t="s">
        <v>3311</v>
      </c>
      <c r="G8372" s="5" t="str">
        <f>IFERROR(__xludf.DUMMYFUNCTION("GOOGLETRANSLATE(D8372,""pl"",""es"")"),"papaya")</f>
        <v>papaya</v>
      </c>
      <c r="H8372" s="4" t="s">
        <v>3311</v>
      </c>
      <c r="I8372" s="4" t="s">
        <v>3311</v>
      </c>
      <c r="J8372" s="4" t="s">
        <v>3309</v>
      </c>
      <c r="K8372" s="4" t="s">
        <v>3313</v>
      </c>
      <c r="L8372" s="4" t="s">
        <v>13209</v>
      </c>
      <c r="M8372" s="4" t="s">
        <v>13210</v>
      </c>
      <c r="N8372" s="4" t="s">
        <v>13211</v>
      </c>
    </row>
    <row r="8373">
      <c r="A8373" s="4">
        <v>560.0</v>
      </c>
      <c r="B8373" s="4" t="s">
        <v>17419</v>
      </c>
      <c r="C8373" s="4"/>
      <c r="D8373" s="4" t="s">
        <v>3323</v>
      </c>
      <c r="E8373" s="4" t="s">
        <v>3322</v>
      </c>
      <c r="F8373" s="4" t="s">
        <v>3323</v>
      </c>
      <c r="G8373" s="5" t="str">
        <f>IFERROR(__xludf.DUMMYFUNCTION("GOOGLETRANSLATE(D8373,""pl"",""es"")"),"papú")</f>
        <v>papú</v>
      </c>
    </row>
    <row r="8374">
      <c r="A8374" s="4">
        <v>561.0</v>
      </c>
      <c r="B8374" s="4" t="s">
        <v>17419</v>
      </c>
      <c r="C8374" s="4"/>
      <c r="D8374" s="4" t="s">
        <v>3361</v>
      </c>
      <c r="E8374" s="4" t="s">
        <v>3148</v>
      </c>
      <c r="F8374" s="4" t="s">
        <v>3147</v>
      </c>
      <c r="G8374" s="5" t="str">
        <f>IFERROR(__xludf.DUMMYFUNCTION("GOOGLETRANSLATE(D8374,""pl"",""es"")"),"carmesí")</f>
        <v>carmesí</v>
      </c>
      <c r="H8374" s="4" t="s">
        <v>8412</v>
      </c>
      <c r="I8374" s="4" t="s">
        <v>8412</v>
      </c>
    </row>
    <row r="8375">
      <c r="A8375" s="4">
        <v>562.0</v>
      </c>
      <c r="B8375" s="4" t="s">
        <v>17419</v>
      </c>
      <c r="C8375" s="4"/>
      <c r="D8375" s="4" t="s">
        <v>3361</v>
      </c>
      <c r="E8375" s="4" t="s">
        <v>3362</v>
      </c>
      <c r="F8375" s="4" t="s">
        <v>3361</v>
      </c>
      <c r="G8375" s="5" t="str">
        <f>IFERROR(__xludf.DUMMYFUNCTION("GOOGLETRANSLATE(D8375,""pl"",""es"")"),"carmesí")</f>
        <v>carmesí</v>
      </c>
      <c r="H8375" s="4" t="s">
        <v>8412</v>
      </c>
      <c r="I8375" s="4" t="s">
        <v>8412</v>
      </c>
    </row>
    <row r="8376">
      <c r="A8376" s="4">
        <v>563.0</v>
      </c>
      <c r="B8376" s="4" t="s">
        <v>17419</v>
      </c>
      <c r="C8376" s="4"/>
      <c r="D8376" s="4" t="s">
        <v>3387</v>
      </c>
      <c r="E8376" s="4" t="s">
        <v>3386</v>
      </c>
      <c r="F8376" s="4" t="s">
        <v>3387</v>
      </c>
      <c r="G8376" s="5" t="str">
        <f>IFERROR(__xludf.DUMMYFUNCTION("GOOGLETRANSLATE(D8376,""pl"",""es"")"),"cinturón")</f>
        <v>cinturón</v>
      </c>
    </row>
    <row r="8377">
      <c r="A8377" s="4">
        <v>564.0</v>
      </c>
      <c r="B8377" s="4" t="s">
        <v>17419</v>
      </c>
      <c r="C8377" s="4"/>
      <c r="D8377" s="4" t="s">
        <v>18505</v>
      </c>
      <c r="E8377" s="4" t="s">
        <v>18506</v>
      </c>
      <c r="F8377" s="4" t="s">
        <v>18507</v>
      </c>
      <c r="G8377" s="5" t="str">
        <f>IFERROR(__xludf.DUMMYFUNCTION("GOOGLETRANSLATE(D8377,""pl"",""es"")"),"carriles")</f>
        <v>carriles</v>
      </c>
    </row>
    <row r="8378">
      <c r="A8378" s="4">
        <v>565.0</v>
      </c>
      <c r="B8378" s="4" t="s">
        <v>17419</v>
      </c>
      <c r="C8378" s="4"/>
      <c r="D8378" s="4" t="s">
        <v>18508</v>
      </c>
      <c r="E8378" s="4" t="s">
        <v>18509</v>
      </c>
      <c r="F8378" s="4" t="s">
        <v>18510</v>
      </c>
      <c r="G8378" s="5" t="str">
        <f>IFERROR(__xludf.DUMMYFUNCTION("GOOGLETRANSLATE(D8378,""pl"",""es"")"),"banda")</f>
        <v>banda</v>
      </c>
    </row>
    <row r="8379">
      <c r="A8379" s="4">
        <v>566.0</v>
      </c>
      <c r="B8379" s="4" t="s">
        <v>17419</v>
      </c>
      <c r="C8379" s="4"/>
      <c r="D8379" s="4" t="s">
        <v>18511</v>
      </c>
      <c r="E8379" s="4" t="s">
        <v>18512</v>
      </c>
      <c r="F8379" s="4" t="s">
        <v>18511</v>
      </c>
      <c r="G8379" s="5" t="str">
        <f>IFERROR(__xludf.DUMMYFUNCTION("GOOGLETRANSLATE(D8379,""pl"",""es"")"),"pastoreo")</f>
        <v>pastoreo</v>
      </c>
    </row>
    <row r="8380">
      <c r="A8380" s="4">
        <v>567.0</v>
      </c>
      <c r="B8380" s="4" t="s">
        <v>17419</v>
      </c>
      <c r="C8380" s="4"/>
      <c r="D8380" s="4" t="s">
        <v>18513</v>
      </c>
      <c r="E8380" s="4" t="s">
        <v>18514</v>
      </c>
      <c r="F8380" s="4" t="s">
        <v>18513</v>
      </c>
      <c r="G8380" s="5" t="str">
        <f>IFERROR(__xludf.DUMMYFUNCTION("GOOGLETRANSLATE(D8380,""pl"",""es"")"),"pasam")</f>
        <v>pasam</v>
      </c>
    </row>
    <row r="8381">
      <c r="A8381" s="4">
        <v>568.0</v>
      </c>
      <c r="B8381" s="4" t="s">
        <v>17419</v>
      </c>
      <c r="C8381" s="4"/>
      <c r="D8381" s="4" t="s">
        <v>18515</v>
      </c>
      <c r="E8381" s="4" t="s">
        <v>18516</v>
      </c>
      <c r="F8381" s="4" t="s">
        <v>18515</v>
      </c>
      <c r="G8381" s="5" t="str">
        <f>IFERROR(__xludf.DUMMYFUNCTION("GOOGLETRANSLATE(D8381,""pl"",""es"")"),"cinturón")</f>
        <v>cinturón</v>
      </c>
    </row>
    <row r="8382">
      <c r="A8382" s="4">
        <v>569.0</v>
      </c>
      <c r="B8382" s="4" t="s">
        <v>17419</v>
      </c>
      <c r="C8382" s="4"/>
      <c r="D8382" s="4" t="s">
        <v>18517</v>
      </c>
      <c r="E8382" s="4" t="s">
        <v>18518</v>
      </c>
      <c r="F8382" s="4" t="s">
        <v>18517</v>
      </c>
      <c r="G8382" s="5" t="str">
        <f>IFERROR(__xludf.DUMMYFUNCTION("GOOGLETRANSLATE(D8382,""pl"",""es"")"),"pasana")</f>
        <v>pasana</v>
      </c>
    </row>
    <row r="8383">
      <c r="A8383" s="4">
        <v>570.0</v>
      </c>
      <c r="B8383" s="4" t="s">
        <v>17419</v>
      </c>
      <c r="C8383" s="4"/>
      <c r="D8383" s="4" t="s">
        <v>18519</v>
      </c>
      <c r="E8383" s="4" t="s">
        <v>18520</v>
      </c>
      <c r="F8383" s="4" t="s">
        <v>18521</v>
      </c>
      <c r="G8383" s="5" t="str">
        <f>IFERROR(__xludf.DUMMYFUNCTION("GOOGLETRANSLATE(D8383,""pl"",""es"")"),"pasan")</f>
        <v>pasan</v>
      </c>
    </row>
    <row r="8384">
      <c r="A8384" s="4">
        <v>571.0</v>
      </c>
      <c r="B8384" s="4" t="s">
        <v>17419</v>
      </c>
      <c r="C8384" s="4"/>
      <c r="D8384" s="4" t="s">
        <v>18522</v>
      </c>
      <c r="E8384" s="4" t="s">
        <v>18523</v>
      </c>
      <c r="F8384" s="4" t="s">
        <v>18522</v>
      </c>
      <c r="G8384" s="5" t="str">
        <f>IFERROR(__xludf.DUMMYFUNCTION("GOOGLETRANSLATE(D8384,""pl"",""es"")"),"patus")</f>
        <v>patus</v>
      </c>
    </row>
    <row r="8385">
      <c r="A8385" s="4">
        <v>572.0</v>
      </c>
      <c r="B8385" s="4" t="s">
        <v>17419</v>
      </c>
      <c r="C8385" s="4"/>
      <c r="D8385" s="4" t="s">
        <v>18524</v>
      </c>
      <c r="E8385" s="4" t="s">
        <v>3280</v>
      </c>
      <c r="F8385" s="4" t="s">
        <v>3281</v>
      </c>
      <c r="G8385" s="5" t="str">
        <f>IFERROR(__xludf.DUMMYFUNCTION("GOOGLETRANSLATE(D8385,""pl"",""es"")"),"Señor")</f>
        <v>Señor</v>
      </c>
    </row>
    <row r="8386">
      <c r="A8386" s="4">
        <v>573.0</v>
      </c>
      <c r="B8386" s="4" t="s">
        <v>17419</v>
      </c>
      <c r="C8386" s="4"/>
      <c r="D8386" s="4" t="s">
        <v>230</v>
      </c>
      <c r="E8386" s="4" t="s">
        <v>229</v>
      </c>
      <c r="F8386" s="4" t="s">
        <v>230</v>
      </c>
      <c r="G8386" s="5" t="str">
        <f>IFERROR(__xludf.DUMMYFUNCTION("GOOGLETRANSLATE(D8386,""pl"",""es"")"),"Pi")</f>
        <v>Pi</v>
      </c>
      <c r="H8386" s="4" t="s">
        <v>230</v>
      </c>
    </row>
    <row r="8387">
      <c r="A8387" s="4">
        <v>574.0</v>
      </c>
      <c r="B8387" s="4" t="s">
        <v>17419</v>
      </c>
      <c r="C8387" s="4"/>
      <c r="D8387" s="4" t="s">
        <v>18525</v>
      </c>
      <c r="E8387" s="4" t="s">
        <v>265</v>
      </c>
      <c r="F8387" s="4" t="s">
        <v>266</v>
      </c>
      <c r="G8387" s="5" t="str">
        <f>IFERROR(__xludf.DUMMYFUNCTION("GOOGLETRANSLATE(D8387,""pl"",""es"")"),"pichón")</f>
        <v>pichón</v>
      </c>
    </row>
    <row r="8388">
      <c r="A8388" s="4">
        <v>575.0</v>
      </c>
      <c r="B8388" s="4" t="s">
        <v>17419</v>
      </c>
      <c r="C8388" s="4"/>
      <c r="D8388" s="4" t="s">
        <v>18526</v>
      </c>
      <c r="E8388" s="4" t="s">
        <v>232</v>
      </c>
      <c r="F8388" s="4" t="s">
        <v>233</v>
      </c>
      <c r="G8388" s="5" t="str">
        <f>IFERROR(__xludf.DUMMYFUNCTION("GOOGLETRANSLATE(D8388,""pl"",""es"")"),"beber")</f>
        <v>beber</v>
      </c>
    </row>
    <row r="8389">
      <c r="A8389" s="4">
        <v>576.0</v>
      </c>
      <c r="B8389" s="4" t="s">
        <v>17419</v>
      </c>
      <c r="C8389" s="4"/>
      <c r="D8389" s="4" t="s">
        <v>18527</v>
      </c>
      <c r="E8389" s="4" t="s">
        <v>18528</v>
      </c>
      <c r="F8389" s="4" t="s">
        <v>18529</v>
      </c>
      <c r="G8389" s="5" t="str">
        <f>IFERROR(__xludf.DUMMYFUNCTION("GOOGLETRANSLATE(D8389,""pl"",""es"")"),"beber")</f>
        <v>beber</v>
      </c>
    </row>
    <row r="8390">
      <c r="A8390" s="4">
        <v>577.0</v>
      </c>
      <c r="B8390" s="4" t="s">
        <v>17419</v>
      </c>
      <c r="C8390" s="4"/>
      <c r="D8390" s="4" t="s">
        <v>18530</v>
      </c>
      <c r="E8390" s="4" t="s">
        <v>18531</v>
      </c>
      <c r="F8390" s="4" t="s">
        <v>18532</v>
      </c>
      <c r="G8390" s="5" t="str">
        <f>IFERROR(__xludf.DUMMYFUNCTION("GOOGLETRANSLATE(D8390,""pl"",""es"")"),"Borracho")</f>
        <v>Borracho</v>
      </c>
      <c r="H8390" s="4" t="s">
        <v>18533</v>
      </c>
      <c r="I8390" s="4" t="s">
        <v>18534</v>
      </c>
      <c r="J8390" s="4" t="s">
        <v>18535</v>
      </c>
      <c r="K8390" s="4" t="s">
        <v>18536</v>
      </c>
      <c r="L8390" s="4" t="s">
        <v>8497</v>
      </c>
      <c r="M8390" s="4" t="s">
        <v>18537</v>
      </c>
      <c r="N8390" s="4" t="s">
        <v>585</v>
      </c>
      <c r="O8390" s="4" t="s">
        <v>18538</v>
      </c>
      <c r="P8390" s="4" t="s">
        <v>18539</v>
      </c>
      <c r="Q8390" s="4" t="s">
        <v>18540</v>
      </c>
      <c r="R8390" s="4" t="s">
        <v>18541</v>
      </c>
      <c r="S8390" s="4" t="s">
        <v>18542</v>
      </c>
      <c r="T8390" s="4" t="s">
        <v>18543</v>
      </c>
    </row>
    <row r="8391">
      <c r="A8391" s="4">
        <v>578.0</v>
      </c>
      <c r="B8391" s="4" t="s">
        <v>17419</v>
      </c>
      <c r="C8391" s="4"/>
      <c r="D8391" s="4" t="s">
        <v>18544</v>
      </c>
      <c r="E8391" s="4" t="s">
        <v>18545</v>
      </c>
      <c r="F8391" s="4" t="s">
        <v>18546</v>
      </c>
      <c r="G8391" s="5" t="str">
        <f>IFERROR(__xludf.DUMMYFUNCTION("GOOGLETRANSLATE(D8391,""pl"",""es"")"),"Bebo")</f>
        <v>Bebo</v>
      </c>
    </row>
    <row r="8392">
      <c r="A8392" s="4">
        <v>579.0</v>
      </c>
      <c r="B8392" s="4" t="s">
        <v>17419</v>
      </c>
      <c r="C8392" s="4"/>
      <c r="D8392" s="4" t="s">
        <v>18547</v>
      </c>
      <c r="E8392" s="4" t="s">
        <v>18548</v>
      </c>
      <c r="F8392" s="4" t="s">
        <v>18549</v>
      </c>
      <c r="G8392" s="5" t="str">
        <f>IFERROR(__xludf.DUMMYFUNCTION("GOOGLETRANSLATE(D8392,""pl"",""es"")"),"ebrio")</f>
        <v>ebrio</v>
      </c>
    </row>
    <row r="8393">
      <c r="A8393" s="4">
        <v>580.0</v>
      </c>
      <c r="B8393" s="4" t="s">
        <v>17419</v>
      </c>
      <c r="C8393" s="4"/>
      <c r="D8393" s="4" t="s">
        <v>18550</v>
      </c>
      <c r="E8393" s="4" t="s">
        <v>18551</v>
      </c>
      <c r="F8393" s="4" t="s">
        <v>18552</v>
      </c>
      <c r="G8393" s="5" t="str">
        <f>IFERROR(__xludf.DUMMYFUNCTION("GOOGLETRANSLATE(D8393,""pl"",""es"")"),"ebrio")</f>
        <v>ebrio</v>
      </c>
    </row>
    <row r="8394">
      <c r="A8394" s="4">
        <v>581.0</v>
      </c>
      <c r="B8394" s="4" t="s">
        <v>17419</v>
      </c>
      <c r="C8394" s="4"/>
      <c r="D8394" s="4" t="s">
        <v>18553</v>
      </c>
      <c r="E8394" s="4" t="s">
        <v>18554</v>
      </c>
      <c r="F8394" s="4" t="s">
        <v>18555</v>
      </c>
      <c r="G8394" s="5" t="str">
        <f>IFERROR(__xludf.DUMMYFUNCTION("GOOGLETRANSLATE(D8394,""pl"",""es"")"),"ebrio")</f>
        <v>ebrio</v>
      </c>
    </row>
    <row r="8395">
      <c r="A8395" s="4">
        <v>582.0</v>
      </c>
      <c r="B8395" s="4" t="s">
        <v>17419</v>
      </c>
      <c r="C8395" s="4"/>
      <c r="D8395" s="4" t="s">
        <v>18556</v>
      </c>
      <c r="E8395" s="4" t="s">
        <v>18557</v>
      </c>
      <c r="F8395" s="4" t="s">
        <v>18558</v>
      </c>
      <c r="G8395" s="5" t="str">
        <f>IFERROR(__xludf.DUMMYFUNCTION("GOOGLETRANSLATE(D8395,""pl"",""es"")"),"borrachín")</f>
        <v>borrachín</v>
      </c>
    </row>
    <row r="8396">
      <c r="A8396" s="4">
        <v>583.0</v>
      </c>
      <c r="B8396" s="4" t="s">
        <v>17419</v>
      </c>
      <c r="C8396" s="4"/>
      <c r="D8396" s="4" t="s">
        <v>266</v>
      </c>
      <c r="E8396" s="4" t="s">
        <v>3458</v>
      </c>
      <c r="F8396" s="4" t="s">
        <v>266</v>
      </c>
      <c r="G8396" s="5" t="str">
        <f>IFERROR(__xludf.DUMMYFUNCTION("GOOGLETRANSLATE(D8396,""pl"",""es"")"),"cima")</f>
        <v>cima</v>
      </c>
      <c r="H8396" s="4" t="s">
        <v>8226</v>
      </c>
      <c r="I8396" s="4" t="s">
        <v>8224</v>
      </c>
      <c r="J8396" s="4" t="s">
        <v>8225</v>
      </c>
      <c r="K8396" s="4" t="s">
        <v>8226</v>
      </c>
      <c r="L8396" s="4" t="s">
        <v>8221</v>
      </c>
      <c r="M8396" s="4" t="s">
        <v>8227</v>
      </c>
      <c r="N8396" s="4" t="s">
        <v>8228</v>
      </c>
    </row>
    <row r="8397">
      <c r="A8397" s="4">
        <v>584.0</v>
      </c>
      <c r="B8397" s="4" t="s">
        <v>17419</v>
      </c>
      <c r="C8397" s="4"/>
      <c r="D8397" s="4" t="s">
        <v>236</v>
      </c>
      <c r="E8397" s="4" t="s">
        <v>235</v>
      </c>
      <c r="F8397" s="4" t="s">
        <v>236</v>
      </c>
      <c r="G8397" s="5" t="str">
        <f>IFERROR(__xludf.DUMMYFUNCTION("GOOGLETRANSLATE(D8397,""pl"",""es"")"),"piqué")</f>
        <v>piqué</v>
      </c>
      <c r="H8397" s="4" t="s">
        <v>3466</v>
      </c>
    </row>
    <row r="8398">
      <c r="A8398" s="4">
        <v>585.0</v>
      </c>
      <c r="B8398" s="4" t="s">
        <v>17419</v>
      </c>
      <c r="C8398" s="4"/>
      <c r="D8398" s="4" t="s">
        <v>5501</v>
      </c>
      <c r="E8398" s="4" t="s">
        <v>5500</v>
      </c>
      <c r="F8398" s="4" t="s">
        <v>5501</v>
      </c>
      <c r="G8398" s="5" t="str">
        <f>IFERROR(__xludf.DUMMYFUNCTION("GOOGLETRANSLATE(D8398,""pl"",""es"")"),"picap")</f>
        <v>picap</v>
      </c>
    </row>
    <row r="8399">
      <c r="A8399" s="4">
        <v>586.0</v>
      </c>
      <c r="B8399" s="4" t="s">
        <v>17419</v>
      </c>
      <c r="C8399" s="4"/>
      <c r="D8399" s="4" t="s">
        <v>7175</v>
      </c>
      <c r="E8399" s="4" t="s">
        <v>10973</v>
      </c>
      <c r="F8399" s="4" t="s">
        <v>7175</v>
      </c>
      <c r="G8399" s="5" t="str">
        <f>IFERROR(__xludf.DUMMYFUNCTION("GOOGLETRANSLATE(D8399,""pl"",""es"")"),"picos")</f>
        <v>picos</v>
      </c>
    </row>
    <row r="8400">
      <c r="A8400" s="4">
        <v>587.0</v>
      </c>
      <c r="B8400" s="4" t="s">
        <v>17419</v>
      </c>
      <c r="C8400" s="4"/>
      <c r="D8400" s="4" t="s">
        <v>18559</v>
      </c>
      <c r="E8400" s="4" t="s">
        <v>18560</v>
      </c>
      <c r="F8400" s="4" t="s">
        <v>18559</v>
      </c>
      <c r="G8400" s="5" t="str">
        <f>IFERROR(__xludf.DUMMYFUNCTION("GOOGLETRANSLATE(D8400,""pl"",""es"")"),"pikul")</f>
        <v>pikul</v>
      </c>
    </row>
    <row r="8401">
      <c r="A8401" s="4">
        <v>588.0</v>
      </c>
      <c r="B8401" s="4" t="s">
        <v>17419</v>
      </c>
      <c r="C8401" s="4"/>
      <c r="D8401" s="4" t="s">
        <v>18561</v>
      </c>
      <c r="E8401" s="4" t="s">
        <v>18562</v>
      </c>
      <c r="F8401" s="4" t="s">
        <v>18561</v>
      </c>
      <c r="G8401" s="5" t="str">
        <f>IFERROR(__xludf.DUMMYFUNCTION("GOOGLETRANSLATE(D8401,""pl"",""es"")"),"pikula")</f>
        <v>pikula</v>
      </c>
    </row>
    <row r="8402">
      <c r="A8402" s="4">
        <v>589.0</v>
      </c>
      <c r="B8402" s="4" t="s">
        <v>17419</v>
      </c>
      <c r="C8402" s="4"/>
      <c r="D8402" s="4" t="s">
        <v>18563</v>
      </c>
      <c r="E8402" s="4" t="s">
        <v>18564</v>
      </c>
      <c r="F8402" s="4" t="s">
        <v>18563</v>
      </c>
      <c r="G8402" s="5" t="str">
        <f>IFERROR(__xludf.DUMMYFUNCTION("GOOGLETRANSLATE(D8402,""pl"",""es"")"),"pikulik")</f>
        <v>pikulik</v>
      </c>
    </row>
    <row r="8403">
      <c r="A8403" s="4">
        <v>590.0</v>
      </c>
      <c r="B8403" s="4" t="s">
        <v>17419</v>
      </c>
      <c r="C8403" s="4"/>
      <c r="D8403" s="4" t="s">
        <v>18565</v>
      </c>
      <c r="E8403" s="4" t="s">
        <v>18566</v>
      </c>
      <c r="F8403" s="4" t="s">
        <v>18565</v>
      </c>
      <c r="G8403" s="5" t="str">
        <f>IFERROR(__xludf.DUMMYFUNCTION("GOOGLETRANSLATE(D8403,""pl"",""es"")"),"escuderas")</f>
        <v>escuderas</v>
      </c>
    </row>
    <row r="8404">
      <c r="A8404" s="4">
        <v>591.0</v>
      </c>
      <c r="B8404" s="4" t="s">
        <v>17419</v>
      </c>
      <c r="C8404" s="4"/>
      <c r="D8404" s="4" t="s">
        <v>18567</v>
      </c>
      <c r="E8404" s="4" t="s">
        <v>18568</v>
      </c>
      <c r="F8404" s="4" t="s">
        <v>18567</v>
      </c>
      <c r="G8404" s="5" t="str">
        <f>IFERROR(__xludf.DUMMYFUNCTION("GOOGLETRANSLATE(D8404,""pl"",""es"")"),"picut")</f>
        <v>picut</v>
      </c>
    </row>
    <row r="8405">
      <c r="A8405" s="4">
        <v>592.0</v>
      </c>
      <c r="B8405" s="4" t="s">
        <v>17419</v>
      </c>
      <c r="C8405" s="4"/>
      <c r="D8405" s="4" t="s">
        <v>7199</v>
      </c>
      <c r="E8405" s="4" t="s">
        <v>13337</v>
      </c>
      <c r="F8405" s="4" t="s">
        <v>7199</v>
      </c>
      <c r="G8405" s="5" t="str">
        <f>IFERROR(__xludf.DUMMYFUNCTION("GOOGLETRANSLATE(D8405,""pl"",""es"")"),"pilotear")</f>
        <v>pilotear</v>
      </c>
    </row>
    <row r="8406">
      <c r="A8406" s="4">
        <v>593.0</v>
      </c>
      <c r="B8406" s="4" t="s">
        <v>17419</v>
      </c>
      <c r="C8406" s="4"/>
      <c r="D8406" s="4" t="s">
        <v>18569</v>
      </c>
      <c r="E8406" s="4" t="s">
        <v>18570</v>
      </c>
      <c r="F8406" s="4" t="s">
        <v>18569</v>
      </c>
      <c r="G8406" s="5" t="str">
        <f>IFERROR(__xludf.DUMMYFUNCTION("GOOGLETRANSLATE(D8406,""pl"",""es"")"),"pilas")</f>
        <v>pilas</v>
      </c>
    </row>
    <row r="8407">
      <c r="A8407" s="4">
        <v>594.0</v>
      </c>
      <c r="B8407" s="4" t="s">
        <v>17419</v>
      </c>
      <c r="C8407" s="4"/>
      <c r="D8407" s="4" t="s">
        <v>254</v>
      </c>
      <c r="E8407" s="4" t="s">
        <v>253</v>
      </c>
      <c r="F8407" s="4" t="s">
        <v>254</v>
      </c>
      <c r="G8407" s="5" t="str">
        <f>IFERROR(__xludf.DUMMYFUNCTION("GOOGLETRANSLATE(D8407,""pl"",""es"")"),"bebió")</f>
        <v>bebió</v>
      </c>
    </row>
    <row r="8408">
      <c r="A8408" s="4">
        <v>595.0</v>
      </c>
      <c r="B8408" s="4" t="s">
        <v>17419</v>
      </c>
      <c r="C8408" s="4"/>
      <c r="D8408" s="4" t="s">
        <v>18571</v>
      </c>
      <c r="E8408" s="4" t="s">
        <v>18572</v>
      </c>
      <c r="F8408" s="4" t="s">
        <v>18573</v>
      </c>
      <c r="G8408" s="5" t="str">
        <f>IFERROR(__xludf.DUMMYFUNCTION("GOOGLETRANSLATE(D8408,""pl"",""es"")"),"Pilich")</f>
        <v>Pilich</v>
      </c>
    </row>
    <row r="8409">
      <c r="A8409" s="4">
        <v>596.0</v>
      </c>
      <c r="B8409" s="4" t="s">
        <v>17419</v>
      </c>
      <c r="C8409" s="4"/>
      <c r="D8409" s="4" t="s">
        <v>18574</v>
      </c>
      <c r="E8409" s="4" t="s">
        <v>18575</v>
      </c>
      <c r="F8409" s="4" t="s">
        <v>18574</v>
      </c>
      <c r="G8409" s="5" t="str">
        <f>IFERROR(__xludf.DUMMYFUNCTION("GOOGLETRANSLATE(D8409,""pl"",""es"")"),"bebió")</f>
        <v>bebió</v>
      </c>
    </row>
    <row r="8410">
      <c r="A8410" s="4">
        <v>597.0</v>
      </c>
      <c r="B8410" s="4" t="s">
        <v>17419</v>
      </c>
      <c r="C8410" s="4"/>
      <c r="D8410" s="4" t="s">
        <v>18576</v>
      </c>
      <c r="E8410" s="4" t="s">
        <v>18577</v>
      </c>
      <c r="F8410" s="4" t="s">
        <v>18578</v>
      </c>
      <c r="G8410" s="5" t="str">
        <f>IFERROR(__xludf.DUMMYFUNCTION("GOOGLETRANSLATE(D8410,""pl"",""es"")"),"píldora")</f>
        <v>píldora</v>
      </c>
    </row>
    <row r="8411">
      <c r="A8411" s="4">
        <v>598.0</v>
      </c>
      <c r="B8411" s="4" t="s">
        <v>17419</v>
      </c>
      <c r="C8411" s="4"/>
      <c r="D8411" s="4" t="s">
        <v>3553</v>
      </c>
      <c r="E8411" s="4" t="s">
        <v>3554</v>
      </c>
      <c r="F8411" s="4" t="s">
        <v>3553</v>
      </c>
      <c r="G8411" s="5" t="str">
        <f>IFERROR(__xludf.DUMMYFUNCTION("GOOGLETRANSLATE(D8411,""pl"",""es"")"),"pipa")</f>
        <v>pipa</v>
      </c>
      <c r="H8411" s="4" t="s">
        <v>3432</v>
      </c>
      <c r="I8411" s="4" t="s">
        <v>2724</v>
      </c>
      <c r="J8411" s="4" t="s">
        <v>2725</v>
      </c>
      <c r="K8411" s="4" t="s">
        <v>3433</v>
      </c>
      <c r="L8411" s="4" t="s">
        <v>3434</v>
      </c>
      <c r="M8411" s="4" t="s">
        <v>3435</v>
      </c>
    </row>
    <row r="8412">
      <c r="A8412" s="4">
        <v>599.0</v>
      </c>
      <c r="B8412" s="4" t="s">
        <v>17419</v>
      </c>
      <c r="C8412" s="4"/>
      <c r="D8412" s="4" t="s">
        <v>3570</v>
      </c>
      <c r="E8412" s="4" t="s">
        <v>3571</v>
      </c>
      <c r="F8412" s="4" t="s">
        <v>3570</v>
      </c>
      <c r="G8412" s="5" t="str">
        <f>IFERROR(__xludf.DUMMYFUNCTION("GOOGLETRANSLATE(D8412,""pl"",""es"")"),"Pis")</f>
        <v>Pis</v>
      </c>
    </row>
    <row r="8413">
      <c r="A8413" s="4">
        <v>600.0</v>
      </c>
      <c r="B8413" s="4" t="s">
        <v>17419</v>
      </c>
      <c r="C8413" s="4"/>
      <c r="D8413" s="4" t="s">
        <v>263</v>
      </c>
      <c r="E8413" s="4" t="s">
        <v>18579</v>
      </c>
      <c r="F8413" s="4" t="s">
        <v>263</v>
      </c>
      <c r="G8413" s="5" t="str">
        <f>IFERROR(__xludf.DUMMYFUNCTION("GOOGLETRANSLATE(D8413,""pl"",""es"")"),"lápiz")</f>
        <v>lápiz</v>
      </c>
      <c r="H8413" s="4" t="s">
        <v>18580</v>
      </c>
      <c r="I8413" s="4" t="s">
        <v>18581</v>
      </c>
      <c r="J8413" s="4" t="s">
        <v>18582</v>
      </c>
      <c r="K8413" s="4" t="s">
        <v>18583</v>
      </c>
    </row>
    <row r="8414">
      <c r="A8414" s="4">
        <v>601.0</v>
      </c>
      <c r="B8414" s="4" t="s">
        <v>17419</v>
      </c>
      <c r="C8414" s="4"/>
      <c r="D8414" s="4" t="s">
        <v>18584</v>
      </c>
      <c r="E8414" s="4" t="s">
        <v>18585</v>
      </c>
      <c r="F8414" s="4" t="s">
        <v>18586</v>
      </c>
      <c r="G8414" s="5" t="str">
        <f>IFERROR(__xludf.DUMMYFUNCTION("GOOGLETRANSLATE(D8414,""pl"",""es"")"),"escritura")</f>
        <v>escritura</v>
      </c>
    </row>
    <row r="8415">
      <c r="A8415" s="4">
        <v>602.0</v>
      </c>
      <c r="B8415" s="4" t="s">
        <v>17419</v>
      </c>
      <c r="C8415" s="4"/>
      <c r="D8415" s="4" t="s">
        <v>395</v>
      </c>
      <c r="E8415" s="4" t="s">
        <v>394</v>
      </c>
      <c r="F8415" s="4" t="s">
        <v>395</v>
      </c>
      <c r="G8415" s="5" t="str">
        <f>IFERROR(__xludf.DUMMYFUNCTION("GOOGLETRANSLATE(D8415,""pl"",""es"")"),"fosa")</f>
        <v>fosa</v>
      </c>
      <c r="H8415" s="4" t="s">
        <v>395</v>
      </c>
      <c r="I8415" s="4" t="s">
        <v>3587</v>
      </c>
      <c r="J8415" s="4" t="s">
        <v>18587</v>
      </c>
    </row>
    <row r="8416">
      <c r="A8416" s="4">
        <v>603.0</v>
      </c>
      <c r="B8416" s="4" t="s">
        <v>17419</v>
      </c>
      <c r="C8416" s="4"/>
      <c r="D8416" s="4" t="s">
        <v>18588</v>
      </c>
      <c r="E8416" s="4" t="s">
        <v>18589</v>
      </c>
      <c r="F8416" s="4" t="s">
        <v>18590</v>
      </c>
      <c r="G8416" s="5" t="str">
        <f>IFERROR(__xludf.DUMMYFUNCTION("GOOGLETRANSLATE(D8416,""pl"",""es"")"),"pitach")</f>
        <v>pitach</v>
      </c>
    </row>
    <row r="8417">
      <c r="A8417" s="4">
        <v>604.0</v>
      </c>
      <c r="B8417" s="4" t="s">
        <v>17419</v>
      </c>
      <c r="C8417" s="4"/>
      <c r="D8417" s="4" t="s">
        <v>18591</v>
      </c>
      <c r="E8417" s="4" t="s">
        <v>13387</v>
      </c>
      <c r="F8417" s="4" t="s">
        <v>13386</v>
      </c>
      <c r="G8417" s="5" t="str">
        <f>IFERROR(__xludf.DUMMYFUNCTION("GOOGLETRANSLATE(D8417,""pl"",""es"")"),"pitaja")</f>
        <v>pitaja</v>
      </c>
      <c r="H8417" s="4" t="s">
        <v>18592</v>
      </c>
    </row>
    <row r="8418">
      <c r="A8418" s="4">
        <v>605.0</v>
      </c>
      <c r="B8418" s="4" t="s">
        <v>17419</v>
      </c>
      <c r="C8418" s="4"/>
      <c r="D8418" s="4" t="s">
        <v>18593</v>
      </c>
      <c r="E8418" s="4" t="s">
        <v>18594</v>
      </c>
      <c r="F8418" s="4" t="s">
        <v>18593</v>
      </c>
      <c r="G8418" s="5" t="str">
        <f>IFERROR(__xludf.DUMMYFUNCTION("GOOGLETRANSLATE(D8418,""pl"",""es"")"),"lanzamiento")</f>
        <v>lanzamiento</v>
      </c>
    </row>
    <row r="8419">
      <c r="A8419" s="4">
        <v>606.0</v>
      </c>
      <c r="B8419" s="4" t="s">
        <v>17419</v>
      </c>
      <c r="C8419" s="4"/>
      <c r="D8419" s="4" t="s">
        <v>5458</v>
      </c>
      <c r="E8419" s="4" t="s">
        <v>5457</v>
      </c>
      <c r="F8419" s="4" t="s">
        <v>5458</v>
      </c>
      <c r="G8419" s="5" t="str">
        <f>IFERROR(__xludf.DUMMYFUNCTION("GOOGLETRANSLATE(D8419,""pl"",""es"")"),"pitas")</f>
        <v>pitas</v>
      </c>
    </row>
    <row r="8420">
      <c r="A8420" s="4">
        <v>607.0</v>
      </c>
      <c r="B8420" s="4" t="s">
        <v>17419</v>
      </c>
      <c r="C8420" s="4"/>
      <c r="D8420" s="4" t="s">
        <v>18595</v>
      </c>
      <c r="E8420" s="4" t="s">
        <v>18596</v>
      </c>
      <c r="F8420" s="4" t="s">
        <v>18597</v>
      </c>
      <c r="G8420" s="5" t="str">
        <f>IFERROR(__xludf.DUMMYFUNCTION("GOOGLETRANSLATE(D8420,""pl"",""es"")"),"pitucha")</f>
        <v>pitucha</v>
      </c>
    </row>
    <row r="8421">
      <c r="A8421" s="4">
        <v>608.0</v>
      </c>
      <c r="B8421" s="4" t="s">
        <v>17419</v>
      </c>
      <c r="C8421" s="4"/>
      <c r="D8421" s="4" t="s">
        <v>18598</v>
      </c>
      <c r="E8421" s="4" t="s">
        <v>18599</v>
      </c>
      <c r="F8421" s="4" t="s">
        <v>18598</v>
      </c>
      <c r="G8421" s="5" t="str">
        <f>IFERROR(__xludf.DUMMYFUNCTION("GOOGLETRANSLATE(D8421,""pl"",""es"")"),"pítula")</f>
        <v>pítula</v>
      </c>
    </row>
    <row r="8422">
      <c r="A8422" s="4">
        <v>609.0</v>
      </c>
      <c r="B8422" s="4" t="s">
        <v>17419</v>
      </c>
      <c r="C8422" s="4"/>
      <c r="D8422" s="4" t="s">
        <v>18600</v>
      </c>
      <c r="E8422" s="4" t="s">
        <v>13213</v>
      </c>
      <c r="F8422" s="4" t="s">
        <v>7088</v>
      </c>
      <c r="G8422" s="5" t="str">
        <f>IFERROR(__xludf.DUMMYFUNCTION("GOOGLETRANSLATE(D8422,""pl"",""es"")"),"pub")</f>
        <v>pub</v>
      </c>
      <c r="H8422" s="4" t="s">
        <v>18601</v>
      </c>
      <c r="I8422" s="4" t="s">
        <v>18600</v>
      </c>
      <c r="J8422" s="4" t="s">
        <v>18602</v>
      </c>
      <c r="K8422" s="4" t="s">
        <v>18603</v>
      </c>
      <c r="L8422" s="4" t="s">
        <v>18604</v>
      </c>
      <c r="M8422" s="4" t="s">
        <v>18605</v>
      </c>
    </row>
    <row r="8423">
      <c r="A8423" s="4">
        <v>610.0</v>
      </c>
      <c r="B8423" s="4" t="s">
        <v>17419</v>
      </c>
      <c r="C8423" s="4"/>
      <c r="D8423" s="4" t="s">
        <v>18606</v>
      </c>
      <c r="E8423" s="4" t="s">
        <v>18607</v>
      </c>
      <c r="F8423" s="4" t="s">
        <v>3675</v>
      </c>
      <c r="G8423" s="5" t="str">
        <f>IFERROR(__xludf.DUMMYFUNCTION("GOOGLETRANSLATE(D8423,""pl"",""es"")"),"abajo")</f>
        <v>abajo</v>
      </c>
      <c r="H8423" s="4" t="s">
        <v>3624</v>
      </c>
      <c r="I8423" s="4" t="s">
        <v>5351</v>
      </c>
    </row>
    <row r="8424">
      <c r="A8424" s="4">
        <v>611.0</v>
      </c>
      <c r="B8424" s="4" t="s">
        <v>17419</v>
      </c>
      <c r="C8424" s="4"/>
      <c r="D8424" s="4" t="s">
        <v>18608</v>
      </c>
      <c r="E8424" s="4" t="s">
        <v>18609</v>
      </c>
      <c r="F8424" s="4" t="s">
        <v>18610</v>
      </c>
      <c r="G8424" s="5" t="str">
        <f>IFERROR(__xludf.DUMMYFUNCTION("GOOGLETRANSLATE(D8424,""pl"",""es"")"),"taza")</f>
        <v>taza</v>
      </c>
      <c r="H8424" s="4" t="s">
        <v>18611</v>
      </c>
    </row>
    <row r="8425">
      <c r="A8425" s="4">
        <v>612.0</v>
      </c>
      <c r="B8425" s="4" t="s">
        <v>17419</v>
      </c>
      <c r="C8425" s="4"/>
      <c r="D8425" s="4" t="s">
        <v>18612</v>
      </c>
      <c r="E8425" s="4" t="s">
        <v>18613</v>
      </c>
      <c r="F8425" s="4" t="s">
        <v>18614</v>
      </c>
      <c r="G8425" s="5" t="str">
        <f>IFERROR(__xludf.DUMMYFUNCTION("GOOGLETRANSLATE(D8425,""pl"",""es"")"),"ritmo")</f>
        <v>ritmo</v>
      </c>
    </row>
    <row r="8426">
      <c r="A8426" s="4">
        <v>613.0</v>
      </c>
      <c r="B8426" s="4" t="s">
        <v>17419</v>
      </c>
      <c r="C8426" s="4"/>
      <c r="D8426" s="4" t="s">
        <v>18615</v>
      </c>
      <c r="E8426" s="4" t="s">
        <v>18616</v>
      </c>
      <c r="F8426" s="4" t="s">
        <v>11008</v>
      </c>
      <c r="G8426" s="5" t="str">
        <f>IFERROR(__xludf.DUMMYFUNCTION("GOOGLETRANSLATE(D8426,""pl"",""es"")"),"abajo")</f>
        <v>abajo</v>
      </c>
    </row>
    <row r="8427">
      <c r="A8427" s="4">
        <v>614.0</v>
      </c>
      <c r="B8427" s="4" t="s">
        <v>17419</v>
      </c>
      <c r="C8427" s="4"/>
      <c r="D8427" s="4" t="s">
        <v>18610</v>
      </c>
      <c r="E8427" s="4" t="s">
        <v>18617</v>
      </c>
      <c r="F8427" s="4" t="s">
        <v>18610</v>
      </c>
      <c r="G8427" s="5" t="str">
        <f>IFERROR(__xludf.DUMMYFUNCTION("GOOGLETRANSLATE(D8427,""pl"",""es"")"),"golpear")</f>
        <v>golpear</v>
      </c>
    </row>
    <row r="8428">
      <c r="A8428" s="4">
        <v>615.0</v>
      </c>
      <c r="B8428" s="4" t="s">
        <v>17419</v>
      </c>
      <c r="C8428" s="4"/>
      <c r="D8428" s="4" t="s">
        <v>18618</v>
      </c>
      <c r="E8428" s="4" t="s">
        <v>18619</v>
      </c>
      <c r="F8428" s="4" t="s">
        <v>18620</v>
      </c>
      <c r="G8428" s="5" t="str">
        <f>IFERROR(__xludf.DUMMYFUNCTION("GOOGLETRANSLATE(D8428,""pl"",""es"")"),"golpear")</f>
        <v>golpear</v>
      </c>
    </row>
    <row r="8429">
      <c r="A8429" s="4">
        <v>616.0</v>
      </c>
      <c r="B8429" s="4" t="s">
        <v>17419</v>
      </c>
      <c r="C8429" s="4"/>
      <c r="D8429" s="4" t="s">
        <v>18621</v>
      </c>
      <c r="E8429" s="4" t="s">
        <v>18622</v>
      </c>
      <c r="F8429" s="4" t="s">
        <v>18621</v>
      </c>
      <c r="G8429" s="5" t="str">
        <f>IFERROR(__xludf.DUMMYFUNCTION("GOOGLETRANSLATE(D8429,""pl"",""es"")"),"golpear")</f>
        <v>golpear</v>
      </c>
    </row>
    <row r="8430">
      <c r="A8430" s="4">
        <v>617.0</v>
      </c>
      <c r="B8430" s="4" t="s">
        <v>17419</v>
      </c>
      <c r="C8430" s="4"/>
      <c r="D8430" s="4" t="s">
        <v>18623</v>
      </c>
      <c r="E8430" s="4" t="s">
        <v>18624</v>
      </c>
      <c r="F8430" s="4" t="s">
        <v>18623</v>
      </c>
      <c r="G8430" s="5" t="str">
        <f>IFERROR(__xludf.DUMMYFUNCTION("GOOGLETRANSLATE(D8430,""pl"",""es"")"),"golpear")</f>
        <v>golpear</v>
      </c>
    </row>
    <row r="8431">
      <c r="A8431" s="4">
        <v>618.0</v>
      </c>
      <c r="B8431" s="4" t="s">
        <v>17419</v>
      </c>
      <c r="C8431" s="4"/>
      <c r="D8431" s="4" t="s">
        <v>18625</v>
      </c>
      <c r="E8431" s="4" t="s">
        <v>18626</v>
      </c>
      <c r="F8431" s="4" t="s">
        <v>18625</v>
      </c>
      <c r="G8431" s="5" t="str">
        <f>IFERROR(__xludf.DUMMYFUNCTION("GOOGLETRANSLATE(D8431,""pl"",""es"")"),"golpear")</f>
        <v>golpear</v>
      </c>
    </row>
    <row r="8432">
      <c r="A8432" s="4">
        <v>619.0</v>
      </c>
      <c r="B8432" s="4" t="s">
        <v>17419</v>
      </c>
      <c r="C8432" s="4"/>
      <c r="D8432" s="4" t="s">
        <v>18627</v>
      </c>
      <c r="E8432" s="4" t="s">
        <v>18628</v>
      </c>
      <c r="F8432" s="4" t="s">
        <v>18627</v>
      </c>
      <c r="G8432" s="5" t="str">
        <f>IFERROR(__xludf.DUMMYFUNCTION("GOOGLETRANSLATE(D8432,""pl"",""es"")"),"golpear")</f>
        <v>golpear</v>
      </c>
    </row>
    <row r="8433">
      <c r="A8433" s="4">
        <v>620.0</v>
      </c>
      <c r="B8433" s="4" t="s">
        <v>17419</v>
      </c>
      <c r="C8433" s="4"/>
      <c r="D8433" s="4" t="s">
        <v>18629</v>
      </c>
      <c r="E8433" s="4" t="s">
        <v>18630</v>
      </c>
      <c r="F8433" s="4" t="s">
        <v>18629</v>
      </c>
      <c r="G8433" s="5" t="str">
        <f>IFERROR(__xludf.DUMMYFUNCTION("GOOGLETRANSLATE(D8433,""pl"",""es"")"),"bolsillo")</f>
        <v>bolsillo</v>
      </c>
    </row>
    <row r="8434">
      <c r="A8434" s="4">
        <v>621.0</v>
      </c>
      <c r="B8434" s="4" t="s">
        <v>17419</v>
      </c>
      <c r="C8434" s="4"/>
      <c r="D8434" s="4" t="s">
        <v>3608</v>
      </c>
      <c r="E8434" s="4" t="s">
        <v>3607</v>
      </c>
      <c r="F8434" s="4" t="s">
        <v>3608</v>
      </c>
      <c r="G8434" s="5" t="str">
        <f>IFERROR(__xludf.DUMMYFUNCTION("GOOGLETRANSLATE(D8434,""pl"",""es"")"),"piscina")</f>
        <v>piscina</v>
      </c>
      <c r="H8434" s="4" t="s">
        <v>6479</v>
      </c>
      <c r="I8434" s="4" t="s">
        <v>3608</v>
      </c>
    </row>
    <row r="8435">
      <c r="A8435" s="4">
        <v>622.0</v>
      </c>
      <c r="B8435" s="4" t="s">
        <v>17419</v>
      </c>
      <c r="C8435" s="4"/>
      <c r="D8435" s="4" t="s">
        <v>3678</v>
      </c>
      <c r="E8435" s="4" t="s">
        <v>3679</v>
      </c>
      <c r="F8435" s="4" t="s">
        <v>3678</v>
      </c>
      <c r="G8435" s="5" t="str">
        <f>IFERROR(__xludf.DUMMYFUNCTION("GOOGLETRANSLATE(D8435,""pl"",""es"")"),"puma")</f>
        <v>puma</v>
      </c>
      <c r="H8435" s="4" t="s">
        <v>3680</v>
      </c>
      <c r="I8435" s="4" t="s">
        <v>3678</v>
      </c>
      <c r="J8435" s="4" t="s">
        <v>3681</v>
      </c>
      <c r="K8435" s="4" t="s">
        <v>3682</v>
      </c>
      <c r="L8435" s="4" t="s">
        <v>3683</v>
      </c>
      <c r="M8435" s="4" t="s">
        <v>3684</v>
      </c>
      <c r="N8435" s="4" t="s">
        <v>3685</v>
      </c>
    </row>
    <row r="8436">
      <c r="A8436" s="4">
        <v>623.0</v>
      </c>
      <c r="B8436" s="4" t="s">
        <v>17419</v>
      </c>
      <c r="C8436" s="4"/>
      <c r="D8436" s="4" t="s">
        <v>13441</v>
      </c>
      <c r="E8436" s="4" t="s">
        <v>13440</v>
      </c>
      <c r="F8436" s="4" t="s">
        <v>13441</v>
      </c>
      <c r="G8436" s="5" t="str">
        <f>IFERROR(__xludf.DUMMYFUNCTION("GOOGLETRANSLATE(D8436,""pl"",""es"")"),"cachorro")</f>
        <v>cachorro</v>
      </c>
    </row>
    <row r="8437">
      <c r="A8437" s="4">
        <v>624.0</v>
      </c>
      <c r="B8437" s="4" t="s">
        <v>17419</v>
      </c>
      <c r="C8437" s="4"/>
      <c r="D8437" s="4" t="s">
        <v>16232</v>
      </c>
      <c r="E8437" s="4" t="s">
        <v>16233</v>
      </c>
      <c r="F8437" s="4" t="s">
        <v>16232</v>
      </c>
      <c r="G8437" s="5" t="str">
        <f>IFERROR(__xludf.DUMMYFUNCTION("GOOGLETRANSLATE(D8437,""pl"",""es"")"),"abajo")</f>
        <v>abajo</v>
      </c>
      <c r="H8437" s="4" t="s">
        <v>1602</v>
      </c>
      <c r="I8437" s="4" t="s">
        <v>1603</v>
      </c>
      <c r="J8437" s="4" t="s">
        <v>1604</v>
      </c>
      <c r="K8437" s="4" t="s">
        <v>1605</v>
      </c>
      <c r="L8437" s="4" t="s">
        <v>1606</v>
      </c>
      <c r="M8437" s="4" t="s">
        <v>1147</v>
      </c>
      <c r="N8437" s="4" t="s">
        <v>1607</v>
      </c>
      <c r="O8437" s="4" t="s">
        <v>1120</v>
      </c>
      <c r="P8437" s="4" t="s">
        <v>1608</v>
      </c>
      <c r="Q8437" s="4" t="s">
        <v>1609</v>
      </c>
      <c r="R8437" s="4" t="s">
        <v>1610</v>
      </c>
      <c r="S8437" s="4" t="s">
        <v>1611</v>
      </c>
      <c r="T8437" s="4" t="s">
        <v>1612</v>
      </c>
      <c r="U8437" s="4" t="s">
        <v>1613</v>
      </c>
      <c r="V8437" s="4" t="s">
        <v>1614</v>
      </c>
      <c r="W8437" s="4" t="s">
        <v>1615</v>
      </c>
      <c r="X8437" s="4" t="s">
        <v>1616</v>
      </c>
      <c r="Y8437" s="4" t="s">
        <v>1617</v>
      </c>
      <c r="Z8437" s="4" t="s">
        <v>1618</v>
      </c>
      <c r="AA8437" s="4" t="s">
        <v>1619</v>
      </c>
      <c r="AB8437" s="4" t="s">
        <v>1620</v>
      </c>
      <c r="AC8437" s="4" t="s">
        <v>1621</v>
      </c>
      <c r="AD8437" s="4" t="s">
        <v>1622</v>
      </c>
      <c r="AE8437" s="4" t="s">
        <v>1623</v>
      </c>
      <c r="AF8437" s="4" t="s">
        <v>1624</v>
      </c>
      <c r="AG8437" s="4" t="s">
        <v>1625</v>
      </c>
      <c r="AH8437" s="4" t="s">
        <v>1626</v>
      </c>
      <c r="AI8437" s="4" t="s">
        <v>1627</v>
      </c>
    </row>
    <row r="8438">
      <c r="A8438" s="4">
        <v>625.0</v>
      </c>
      <c r="B8438" s="4" t="s">
        <v>17419</v>
      </c>
      <c r="C8438" s="4"/>
      <c r="D8438" s="4" t="s">
        <v>3734</v>
      </c>
      <c r="E8438" s="4" t="s">
        <v>3735</v>
      </c>
      <c r="F8438" s="4" t="s">
        <v>3734</v>
      </c>
      <c r="G8438" s="5" t="str">
        <f>IFERROR(__xludf.DUMMYFUNCTION("GOOGLETRANSLATE(D8438,""pl"",""es"")"),"favorito")</f>
        <v>favorito</v>
      </c>
      <c r="H8438" s="4" t="s">
        <v>5683</v>
      </c>
    </row>
    <row r="8439">
      <c r="A8439" s="4">
        <v>626.0</v>
      </c>
      <c r="B8439" s="4" t="s">
        <v>17419</v>
      </c>
      <c r="C8439" s="4"/>
      <c r="D8439" s="4" t="s">
        <v>18631</v>
      </c>
      <c r="E8439" s="4" t="s">
        <v>18632</v>
      </c>
      <c r="F8439" s="4" t="s">
        <v>18631</v>
      </c>
      <c r="G8439" s="5" t="str">
        <f>IFERROR(__xludf.DUMMYFUNCTION("GOOGLETRANSLATE(D8439,""pl"",""es"")"),"Pusan")</f>
        <v>Pusan</v>
      </c>
    </row>
    <row r="8440">
      <c r="A8440" s="4">
        <v>627.0</v>
      </c>
      <c r="B8440" s="4" t="s">
        <v>17419</v>
      </c>
      <c r="C8440" s="4"/>
      <c r="D8440" s="4" t="s">
        <v>13458</v>
      </c>
      <c r="E8440" s="4" t="s">
        <v>13457</v>
      </c>
      <c r="F8440" s="4" t="s">
        <v>13458</v>
      </c>
      <c r="G8440" s="5" t="str">
        <f>IFERROR(__xludf.DUMMYFUNCTION("GOOGLETRANSLATE(D8440,""pl"",""es"")"),"Putin")</f>
        <v>Putin</v>
      </c>
      <c r="H8440" s="4" t="s">
        <v>13459</v>
      </c>
      <c r="I8440" s="4" t="s">
        <v>13460</v>
      </c>
      <c r="J8440" s="4" t="s">
        <v>13461</v>
      </c>
    </row>
    <row r="8441">
      <c r="A8441" s="4">
        <v>628.0</v>
      </c>
      <c r="B8441" s="4" t="s">
        <v>17419</v>
      </c>
      <c r="C8441" s="4"/>
      <c r="D8441" s="4" t="s">
        <v>18633</v>
      </c>
      <c r="E8441" s="4" t="s">
        <v>13416</v>
      </c>
      <c r="F8441" s="4" t="s">
        <v>13417</v>
      </c>
      <c r="G8441" s="5" t="str">
        <f>IFERROR(__xludf.DUMMYFUNCTION("GOOGLETRANSLATE(D8441,""pl"",""es"")"),"Vamos")</f>
        <v>Vamos</v>
      </c>
    </row>
    <row r="8442">
      <c r="A8442" s="4">
        <v>629.0</v>
      </c>
      <c r="B8442" s="4" t="s">
        <v>17419</v>
      </c>
      <c r="C8442" s="4"/>
      <c r="D8442" s="4" t="s">
        <v>18634</v>
      </c>
      <c r="E8442" s="4" t="s">
        <v>18635</v>
      </c>
      <c r="F8442" s="4" t="s">
        <v>18636</v>
      </c>
      <c r="G8442" s="5" t="str">
        <f>IFERROR(__xludf.DUMMYFUNCTION("GOOGLETRANSLATE(D8442,""pl"",""es"")"),"tiempo")</f>
        <v>tiempo</v>
      </c>
    </row>
    <row r="8443">
      <c r="A8443" s="4">
        <v>630.0</v>
      </c>
      <c r="B8443" s="4" t="s">
        <v>17419</v>
      </c>
      <c r="C8443" s="4"/>
      <c r="D8443" s="4" t="s">
        <v>18637</v>
      </c>
      <c r="E8443" s="4" t="s">
        <v>8671</v>
      </c>
      <c r="F8443" s="4" t="s">
        <v>7296</v>
      </c>
      <c r="G8443" s="5" t="str">
        <f>IFERROR(__xludf.DUMMYFUNCTION("GOOGLETRANSLATE(D8443,""pl"",""es"")"),"mitad")</f>
        <v>mitad</v>
      </c>
    </row>
    <row r="8444">
      <c r="A8444" s="4">
        <v>631.0</v>
      </c>
      <c r="B8444" s="4" t="s">
        <v>17419</v>
      </c>
      <c r="C8444" s="4"/>
      <c r="D8444" s="4" t="s">
        <v>13530</v>
      </c>
      <c r="E8444" s="4" t="s">
        <v>18638</v>
      </c>
      <c r="F8444" s="4" t="s">
        <v>3881</v>
      </c>
      <c r="G8444" s="5" t="str">
        <f>IFERROR(__xludf.DUMMYFUNCTION("GOOGLETRANSLATE(D8444,""pl"",""es"")"),"Sacha")</f>
        <v>Sacha</v>
      </c>
    </row>
    <row r="8445">
      <c r="A8445" s="4">
        <v>632.0</v>
      </c>
      <c r="B8445" s="4" t="s">
        <v>17419</v>
      </c>
      <c r="C8445" s="4"/>
      <c r="D8445" s="4" t="s">
        <v>18639</v>
      </c>
      <c r="E8445" s="4" t="s">
        <v>18640</v>
      </c>
      <c r="F8445" s="4" t="s">
        <v>18641</v>
      </c>
      <c r="G8445" s="5" t="str">
        <f>IFERROR(__xludf.DUMMYFUNCTION("GOOGLETRANSLATE(D8445,""pl"",""es"")"),"Sachaj")</f>
        <v>Sachaj</v>
      </c>
    </row>
    <row r="8446">
      <c r="A8446" s="4">
        <v>633.0</v>
      </c>
      <c r="B8446" s="4" t="s">
        <v>17419</v>
      </c>
      <c r="C8446" s="4"/>
      <c r="D8446" s="4" t="s">
        <v>18642</v>
      </c>
      <c r="E8446" s="4" t="s">
        <v>18643</v>
      </c>
      <c r="F8446" s="4" t="s">
        <v>18644</v>
      </c>
      <c r="G8446" s="5" t="str">
        <f>IFERROR(__xludf.DUMMYFUNCTION("GOOGLETRANSLATE(D8446,""pl"",""es"")"),"Sachalín")</f>
        <v>Sachalín</v>
      </c>
    </row>
    <row r="8447">
      <c r="A8447" s="4">
        <v>634.0</v>
      </c>
      <c r="B8447" s="4" t="s">
        <v>17419</v>
      </c>
      <c r="C8447" s="4"/>
      <c r="D8447" s="4" t="s">
        <v>18645</v>
      </c>
      <c r="E8447" s="4" t="s">
        <v>4855</v>
      </c>
      <c r="F8447" s="4" t="s">
        <v>2407</v>
      </c>
      <c r="G8447" s="5" t="str">
        <f>IFERROR(__xludf.DUMMYFUNCTION("GOOGLETRANSLATE(D8447,""pl"",""es"")"),"Saj")</f>
        <v>Saj</v>
      </c>
    </row>
    <row r="8448">
      <c r="A8448" s="4">
        <v>635.0</v>
      </c>
      <c r="B8448" s="4" t="s">
        <v>17419</v>
      </c>
      <c r="C8448" s="4"/>
      <c r="D8448" s="4" t="s">
        <v>3868</v>
      </c>
      <c r="E8448" s="4" t="s">
        <v>3867</v>
      </c>
      <c r="F8448" s="4" t="s">
        <v>3868</v>
      </c>
      <c r="G8448" s="5" t="str">
        <f>IFERROR(__xludf.DUMMYFUNCTION("GOOGLETRANSLATE(D8448,""pl"",""es"")"),"Sak")</f>
        <v>Sak</v>
      </c>
    </row>
    <row r="8449">
      <c r="A8449" s="4">
        <v>636.0</v>
      </c>
      <c r="B8449" s="4" t="s">
        <v>17419</v>
      </c>
      <c r="C8449" s="4"/>
      <c r="D8449" s="4" t="s">
        <v>18646</v>
      </c>
      <c r="E8449" s="4" t="s">
        <v>18647</v>
      </c>
      <c r="F8449" s="4" t="s">
        <v>18646</v>
      </c>
      <c r="G8449" s="5" t="str">
        <f>IFERROR(__xludf.DUMMYFUNCTION("GOOGLETRANSLATE(D8449,""pl"",""es"")"),"Sakuta")</f>
        <v>Sakuta</v>
      </c>
    </row>
    <row r="8450">
      <c r="A8450" s="4">
        <v>637.0</v>
      </c>
      <c r="B8450" s="4" t="s">
        <v>17419</v>
      </c>
      <c r="C8450" s="4"/>
      <c r="D8450" s="4" t="s">
        <v>3890</v>
      </c>
      <c r="E8450" s="4" t="s">
        <v>3891</v>
      </c>
      <c r="F8450" s="4" t="s">
        <v>3890</v>
      </c>
      <c r="G8450" s="5" t="str">
        <f>IFERROR(__xludf.DUMMYFUNCTION("GOOGLETRANSLATE(D8450,""pl"",""es"")"),"habitación")</f>
        <v>habitación</v>
      </c>
      <c r="H8450" s="4" t="s">
        <v>11094</v>
      </c>
      <c r="I8450" s="4" t="s">
        <v>2130</v>
      </c>
    </row>
    <row r="8451">
      <c r="A8451" s="4">
        <v>638.0</v>
      </c>
      <c r="B8451" s="4" t="s">
        <v>17419</v>
      </c>
      <c r="C8451" s="4"/>
      <c r="D8451" s="4" t="s">
        <v>18648</v>
      </c>
      <c r="E8451" s="4" t="s">
        <v>18649</v>
      </c>
      <c r="F8451" s="4" t="s">
        <v>18650</v>
      </c>
      <c r="G8451" s="5" t="str">
        <f>IFERROR(__xludf.DUMMYFUNCTION("GOOGLETRANSLATE(D8451,""pl"",""es"")"),"salas")</f>
        <v>salas</v>
      </c>
    </row>
    <row r="8452">
      <c r="A8452" s="4">
        <v>639.0</v>
      </c>
      <c r="B8452" s="4" t="s">
        <v>17419</v>
      </c>
      <c r="C8452" s="4"/>
      <c r="D8452" s="4" t="s">
        <v>18651</v>
      </c>
      <c r="E8452" s="4" t="s">
        <v>18652</v>
      </c>
      <c r="F8452" s="4" t="s">
        <v>18653</v>
      </c>
      <c r="G8452" s="5" t="str">
        <f>IFERROR(__xludf.DUMMYFUNCTION("GOOGLETRANSLATE(D8452,""pl"",""es"")"),"ensalada")</f>
        <v>ensalada</v>
      </c>
    </row>
    <row r="8453">
      <c r="A8453" s="4">
        <v>640.0</v>
      </c>
      <c r="B8453" s="4" t="s">
        <v>17419</v>
      </c>
      <c r="C8453" s="4"/>
      <c r="D8453" s="4" t="s">
        <v>3902</v>
      </c>
      <c r="E8453" s="4" t="s">
        <v>3903</v>
      </c>
      <c r="F8453" s="4" t="s">
        <v>3902</v>
      </c>
      <c r="G8453" s="5" t="str">
        <f>IFERROR(__xludf.DUMMYFUNCTION("GOOGLETRANSLATE(D8453,""pl"",""es"")"),"salami")</f>
        <v>salami</v>
      </c>
      <c r="H8453" s="4" t="s">
        <v>3902</v>
      </c>
    </row>
    <row r="8454">
      <c r="A8454" s="4">
        <v>641.0</v>
      </c>
      <c r="B8454" s="4" t="s">
        <v>17419</v>
      </c>
      <c r="C8454" s="4"/>
      <c r="D8454" s="4" t="s">
        <v>18654</v>
      </c>
      <c r="E8454" s="4" t="s">
        <v>18655</v>
      </c>
      <c r="F8454" s="4" t="s">
        <v>18656</v>
      </c>
      <c r="G8454" s="5" t="str">
        <f>IFERROR(__xludf.DUMMYFUNCTION("GOOGLETRANSLATE(D8454,""pl"",""es"")"),"Salij")</f>
        <v>Salij</v>
      </c>
    </row>
    <row r="8455">
      <c r="A8455" s="4">
        <v>642.0</v>
      </c>
      <c r="B8455" s="4" t="s">
        <v>17419</v>
      </c>
      <c r="C8455" s="4"/>
      <c r="D8455" s="4" t="s">
        <v>398</v>
      </c>
      <c r="E8455" s="4" t="s">
        <v>397</v>
      </c>
      <c r="F8455" s="4" t="s">
        <v>398</v>
      </c>
      <c r="G8455" s="5" t="str">
        <f>IFERROR(__xludf.DUMMYFUNCTION("GOOGLETRANSLATE(D8455,""pl"",""es"")"),"solo")</f>
        <v>solo</v>
      </c>
      <c r="H8455" s="4" t="s">
        <v>3019</v>
      </c>
      <c r="I8455" s="4" t="s">
        <v>18657</v>
      </c>
      <c r="J8455" s="4" t="s">
        <v>18658</v>
      </c>
    </row>
    <row r="8456">
      <c r="A8456" s="4">
        <v>643.0</v>
      </c>
      <c r="B8456" s="4" t="s">
        <v>17419</v>
      </c>
      <c r="C8456" s="4"/>
      <c r="D8456" s="4" t="s">
        <v>11096</v>
      </c>
      <c r="E8456" s="4" t="s">
        <v>15364</v>
      </c>
      <c r="F8456" s="4" t="s">
        <v>11096</v>
      </c>
      <c r="G8456" s="5" t="str">
        <f>IFERROR(__xludf.DUMMYFUNCTION("GOOGLETRANSLATE(D8456,""pl"",""es"")"),"solo")</f>
        <v>solo</v>
      </c>
    </row>
    <row r="8457">
      <c r="A8457" s="4">
        <v>644.0</v>
      </c>
      <c r="B8457" s="4" t="s">
        <v>17419</v>
      </c>
      <c r="C8457" s="4"/>
      <c r="D8457" s="4" t="s">
        <v>7398</v>
      </c>
      <c r="E8457" s="4" t="s">
        <v>18659</v>
      </c>
      <c r="F8457" s="4" t="s">
        <v>7398</v>
      </c>
      <c r="G8457" s="5" t="str">
        <f>IFERROR(__xludf.DUMMYFUNCTION("GOOGLETRANSLATE(D8457,""pl"",""es"")"),"ellos mismos")</f>
        <v>ellos mismos</v>
      </c>
    </row>
    <row r="8458">
      <c r="A8458" s="4">
        <v>645.0</v>
      </c>
      <c r="B8458" s="4" t="s">
        <v>17419</v>
      </c>
      <c r="C8458" s="4"/>
      <c r="D8458" s="4" t="s">
        <v>18660</v>
      </c>
      <c r="E8458" s="4" t="s">
        <v>18661</v>
      </c>
      <c r="F8458" s="4" t="s">
        <v>18660</v>
      </c>
      <c r="G8458" s="5" t="str">
        <f>IFERROR(__xludf.DUMMYFUNCTION("GOOGLETRANSLATE(D8458,""pl"",""es"")"),"samul")</f>
        <v>samul</v>
      </c>
    </row>
    <row r="8459">
      <c r="A8459" s="4">
        <v>646.0</v>
      </c>
      <c r="B8459" s="4" t="s">
        <v>17419</v>
      </c>
      <c r="C8459" s="4"/>
      <c r="D8459" s="4" t="s">
        <v>18662</v>
      </c>
      <c r="E8459" s="4" t="s">
        <v>18663</v>
      </c>
      <c r="F8459" s="4" t="s">
        <v>18662</v>
      </c>
      <c r="G8459" s="5" t="str">
        <f>IFERROR(__xludf.DUMMYFUNCTION("GOOGLETRANSLATE(D8459,""pl"",""es"")"),"simún")</f>
        <v>simún</v>
      </c>
      <c r="H8459" s="4" t="s">
        <v>13671</v>
      </c>
      <c r="I8459" s="4" t="s">
        <v>13672</v>
      </c>
      <c r="J8459" s="4" t="s">
        <v>13673</v>
      </c>
    </row>
    <row r="8460">
      <c r="A8460" s="4">
        <v>647.0</v>
      </c>
      <c r="B8460" s="4" t="s">
        <v>17419</v>
      </c>
      <c r="C8460" s="4"/>
      <c r="D8460" s="4" t="s">
        <v>18664</v>
      </c>
      <c r="E8460" s="4" t="s">
        <v>18661</v>
      </c>
      <c r="F8460" s="4" t="s">
        <v>18660</v>
      </c>
      <c r="G8460" s="5" t="str">
        <f>IFERROR(__xludf.DUMMYFUNCTION("GOOGLETRANSLATE(D8460,""pl"",""es"")"),"Samólol")</f>
        <v>Samólol</v>
      </c>
    </row>
    <row r="8461">
      <c r="A8461" s="4">
        <v>648.0</v>
      </c>
      <c r="B8461" s="4" t="s">
        <v>17419</v>
      </c>
      <c r="C8461" s="4"/>
      <c r="D8461" s="4" t="s">
        <v>3937</v>
      </c>
      <c r="E8461" s="4" t="s">
        <v>3938</v>
      </c>
      <c r="F8461" s="4" t="s">
        <v>3937</v>
      </c>
      <c r="G8461" s="5" t="str">
        <f>IFERROR(__xludf.DUMMYFUNCTION("GOOGLETRANSLATE(D8461,""pl"",""es"")"),"san")</f>
        <v>san</v>
      </c>
    </row>
    <row r="8462">
      <c r="A8462" s="4">
        <v>649.0</v>
      </c>
      <c r="B8462" s="4" t="s">
        <v>17419</v>
      </c>
      <c r="C8462" s="4"/>
      <c r="D8462" s="4" t="s">
        <v>3939</v>
      </c>
      <c r="E8462" s="4" t="s">
        <v>3940</v>
      </c>
      <c r="F8462" s="4" t="s">
        <v>3939</v>
      </c>
      <c r="G8462" s="5" t="str">
        <f>IFERROR(__xludf.DUMMYFUNCTION("GOOGLETRANSLATE(D8462,""pl"",""es"")"),"Sana")</f>
        <v>Sana</v>
      </c>
    </row>
    <row r="8463">
      <c r="A8463" s="4">
        <v>650.0</v>
      </c>
      <c r="B8463" s="4" t="s">
        <v>17419</v>
      </c>
      <c r="C8463" s="4"/>
      <c r="D8463" s="4" t="s">
        <v>13594</v>
      </c>
      <c r="E8463" s="4" t="s">
        <v>18665</v>
      </c>
      <c r="F8463" s="4" t="s">
        <v>18666</v>
      </c>
      <c r="G8463" s="5" t="str">
        <f>IFERROR(__xludf.DUMMYFUNCTION("GOOGLETRANSLATE(D8463,""pl"",""es"")"),"trineo")</f>
        <v>trineo</v>
      </c>
    </row>
    <row r="8464">
      <c r="A8464" s="4">
        <v>651.0</v>
      </c>
      <c r="B8464" s="4" t="s">
        <v>17419</v>
      </c>
      <c r="C8464" s="4"/>
      <c r="D8464" s="4" t="s">
        <v>18667</v>
      </c>
      <c r="E8464" s="4" t="s">
        <v>18668</v>
      </c>
      <c r="F8464" s="4" t="s">
        <v>18669</v>
      </c>
      <c r="G8464" s="5" t="str">
        <f>IFERROR(__xludf.DUMMYFUNCTION("GOOGLETRANSLATE(D8464,""pl"",""es"")"),"trineo")</f>
        <v>trineo</v>
      </c>
    </row>
    <row r="8465">
      <c r="A8465" s="4">
        <v>652.0</v>
      </c>
      <c r="B8465" s="4" t="s">
        <v>17419</v>
      </c>
      <c r="C8465" s="4"/>
      <c r="D8465" s="4" t="s">
        <v>18670</v>
      </c>
      <c r="E8465" s="4" t="s">
        <v>18671</v>
      </c>
      <c r="F8465" s="4" t="s">
        <v>18672</v>
      </c>
      <c r="G8465" s="5" t="str">
        <f>IFERROR(__xludf.DUMMYFUNCTION("GOOGLETRANSLATE(D8465,""pl"",""es"")"),"trineo")</f>
        <v>trineo</v>
      </c>
    </row>
    <row r="8466">
      <c r="A8466" s="4">
        <v>653.0</v>
      </c>
      <c r="B8466" s="4" t="s">
        <v>17419</v>
      </c>
      <c r="C8466" s="4"/>
      <c r="D8466" s="4" t="s">
        <v>3951</v>
      </c>
      <c r="E8466" s="4" t="s">
        <v>3952</v>
      </c>
      <c r="F8466" s="4" t="s">
        <v>3951</v>
      </c>
      <c r="G8466" s="5" t="str">
        <f>IFERROR(__xludf.DUMMYFUNCTION("GOOGLETRANSLATE(D8466,""pl"",""es"")"),"savia")</f>
        <v>savia</v>
      </c>
    </row>
    <row r="8467">
      <c r="A8467" s="4">
        <v>654.0</v>
      </c>
      <c r="B8467" s="4" t="s">
        <v>17419</v>
      </c>
      <c r="C8467" s="4"/>
      <c r="D8467" s="4" t="s">
        <v>18673</v>
      </c>
      <c r="E8467" s="4" t="s">
        <v>18674</v>
      </c>
      <c r="F8467" s="4" t="s">
        <v>18673</v>
      </c>
      <c r="G8467" s="5" t="str">
        <f>IFERROR(__xludf.DUMMYFUNCTION("GOOGLETRANSLATE(D8467,""pl"",""es"")"),"Sapali")</f>
        <v>Sapali</v>
      </c>
    </row>
    <row r="8468">
      <c r="A8468" s="4">
        <v>655.0</v>
      </c>
      <c r="B8468" s="4" t="s">
        <v>17419</v>
      </c>
      <c r="C8468" s="4"/>
      <c r="D8468" s="4" t="s">
        <v>18675</v>
      </c>
      <c r="E8468" s="4" t="s">
        <v>18676</v>
      </c>
      <c r="F8468" s="4" t="s">
        <v>18677</v>
      </c>
      <c r="G8468" s="5" t="str">
        <f>IFERROR(__xludf.DUMMYFUNCTION("GOOGLETRANSLATE(D8468,""pl"",""es"")"),"Sapich")</f>
        <v>Sapich</v>
      </c>
    </row>
    <row r="8469">
      <c r="A8469" s="4">
        <v>656.0</v>
      </c>
      <c r="B8469" s="4" t="s">
        <v>17419</v>
      </c>
      <c r="C8469" s="4"/>
      <c r="D8469" s="4" t="s">
        <v>18678</v>
      </c>
      <c r="E8469" s="4" t="s">
        <v>18679</v>
      </c>
      <c r="F8469" s="4" t="s">
        <v>18680</v>
      </c>
      <c r="G8469" s="5" t="str">
        <f>IFERROR(__xludf.DUMMYFUNCTION("GOOGLETRANSLATE(D8469,""pl"",""es"")"),"trineo")</f>
        <v>trineo</v>
      </c>
    </row>
    <row r="8470">
      <c r="A8470" s="4">
        <v>657.0</v>
      </c>
      <c r="B8470" s="4" t="s">
        <v>17419</v>
      </c>
      <c r="C8470" s="4"/>
      <c r="D8470" s="4" t="s">
        <v>409</v>
      </c>
      <c r="E8470" s="4" t="s">
        <v>4002</v>
      </c>
      <c r="F8470" s="4" t="s">
        <v>409</v>
      </c>
      <c r="G8470" s="5" t="str">
        <f>IFERROR(__xludf.DUMMYFUNCTION("GOOGLETRANSLATE(D8470,""pl"",""es"")"),"seno")</f>
        <v>seno</v>
      </c>
      <c r="H8470" s="4" t="s">
        <v>4003</v>
      </c>
      <c r="I8470" s="4" t="s">
        <v>404</v>
      </c>
    </row>
    <row r="8471">
      <c r="A8471" s="4">
        <v>658.0</v>
      </c>
      <c r="B8471" s="4" t="s">
        <v>17419</v>
      </c>
      <c r="C8471" s="4"/>
      <c r="D8471" s="4" t="s">
        <v>4253</v>
      </c>
      <c r="E8471" s="4" t="s">
        <v>414</v>
      </c>
      <c r="F8471" s="4" t="s">
        <v>415</v>
      </c>
      <c r="G8471" s="5" t="str">
        <f>IFERROR(__xludf.DUMMYFUNCTION("GOOGLETRANSLATE(D8471,""pl"",""es"")"),"seco")</f>
        <v>seco</v>
      </c>
    </row>
    <row r="8472">
      <c r="A8472" s="4">
        <v>659.0</v>
      </c>
      <c r="B8472" s="4" t="s">
        <v>17419</v>
      </c>
      <c r="C8472" s="4"/>
      <c r="D8472" s="4" t="s">
        <v>18681</v>
      </c>
      <c r="E8472" s="4" t="s">
        <v>18682</v>
      </c>
      <c r="F8472" s="4" t="s">
        <v>4115</v>
      </c>
      <c r="G8472" s="5" t="str">
        <f>IFERROR(__xludf.DUMMYFUNCTION("GOOGLETRANSLATE(D8472,""pl"",""es"")"),"seco")</f>
        <v>seco</v>
      </c>
    </row>
    <row r="8473">
      <c r="A8473" s="4">
        <v>660.0</v>
      </c>
      <c r="B8473" s="4" t="s">
        <v>17419</v>
      </c>
      <c r="C8473" s="4"/>
      <c r="D8473" s="4" t="s">
        <v>18683</v>
      </c>
      <c r="E8473" s="4" t="s">
        <v>18684</v>
      </c>
      <c r="F8473" s="4" t="s">
        <v>18685</v>
      </c>
      <c r="G8473" s="5" t="str">
        <f>IFERROR(__xludf.DUMMYFUNCTION("GOOGLETRANSLATE(D8473,""pl"",""es"")"),"Tal")</f>
        <v>Tal</v>
      </c>
    </row>
    <row r="8474">
      <c r="A8474" s="4">
        <v>661.0</v>
      </c>
      <c r="B8474" s="4" t="s">
        <v>17419</v>
      </c>
      <c r="C8474" s="4"/>
      <c r="D8474" s="4" t="s">
        <v>18686</v>
      </c>
      <c r="E8474" s="4" t="s">
        <v>18687</v>
      </c>
      <c r="F8474" s="4" t="s">
        <v>18688</v>
      </c>
      <c r="G8474" s="5" t="str">
        <f>IFERROR(__xludf.DUMMYFUNCTION("GOOGLETRANSLATE(D8474,""pl"",""es"")"),"Suchumi")</f>
        <v>Suchumi</v>
      </c>
    </row>
    <row r="8475">
      <c r="A8475" s="4">
        <v>662.0</v>
      </c>
      <c r="B8475" s="4" t="s">
        <v>17419</v>
      </c>
      <c r="C8475" s="4"/>
      <c r="D8475" s="4" t="s">
        <v>18689</v>
      </c>
      <c r="E8475" s="4" t="s">
        <v>18690</v>
      </c>
      <c r="F8475" s="4" t="s">
        <v>18691</v>
      </c>
      <c r="G8475" s="5" t="str">
        <f>IFERROR(__xludf.DUMMYFUNCTION("GOOGLETRANSLATE(D8475,""pl"",""es"")"),"suhak")</f>
        <v>suhak</v>
      </c>
    </row>
    <row r="8476">
      <c r="A8476" s="4">
        <v>663.0</v>
      </c>
      <c r="B8476" s="4" t="s">
        <v>17419</v>
      </c>
      <c r="C8476" s="4"/>
      <c r="D8476" s="4" t="s">
        <v>415</v>
      </c>
      <c r="E8476" s="4" t="s">
        <v>4109</v>
      </c>
      <c r="F8476" s="4" t="s">
        <v>415</v>
      </c>
      <c r="G8476" s="5" t="str">
        <f>IFERROR(__xludf.DUMMYFUNCTION("GOOGLETRANSLATE(D8476,""pl"",""es"")"),"un poco")</f>
        <v>un poco</v>
      </c>
      <c r="H8476" s="4" t="s">
        <v>13714</v>
      </c>
    </row>
    <row r="8477">
      <c r="A8477" s="4">
        <v>664.0</v>
      </c>
      <c r="B8477" s="4" t="s">
        <v>17419</v>
      </c>
      <c r="C8477" s="4"/>
      <c r="D8477" s="4" t="s">
        <v>4115</v>
      </c>
      <c r="E8477" s="4" t="s">
        <v>4114</v>
      </c>
      <c r="F8477" s="4" t="s">
        <v>4115</v>
      </c>
      <c r="G8477" s="5" t="str">
        <f>IFERROR(__xludf.DUMMYFUNCTION("GOOGLETRANSLATE(D8477,""pl"",""es"")"),"perra")</f>
        <v>perra</v>
      </c>
      <c r="H8477" s="4" t="s">
        <v>6411</v>
      </c>
      <c r="I8477" s="4" t="s">
        <v>3432</v>
      </c>
      <c r="J8477" s="4" t="s">
        <v>6411</v>
      </c>
    </row>
    <row r="8478">
      <c r="A8478" s="4">
        <v>665.0</v>
      </c>
      <c r="B8478" s="4" t="s">
        <v>17419</v>
      </c>
      <c r="C8478" s="4"/>
      <c r="D8478" s="4" t="s">
        <v>18692</v>
      </c>
      <c r="E8478" s="4" t="s">
        <v>18693</v>
      </c>
      <c r="F8478" s="4" t="s">
        <v>18691</v>
      </c>
      <c r="G8478" s="5" t="str">
        <f>IFERROR(__xludf.DUMMYFUNCTION("GOOGLETRANSLATE(D8478,""pl"",""es"")"),"tela")</f>
        <v>tela</v>
      </c>
    </row>
    <row r="8479">
      <c r="A8479" s="4">
        <v>666.0</v>
      </c>
      <c r="B8479" s="4" t="s">
        <v>17419</v>
      </c>
      <c r="C8479" s="4"/>
      <c r="D8479" s="4" t="s">
        <v>18694</v>
      </c>
      <c r="E8479" s="4" t="s">
        <v>18695</v>
      </c>
      <c r="F8479" s="4" t="s">
        <v>18694</v>
      </c>
      <c r="G8479" s="5" t="str">
        <f>IFERROR(__xludf.DUMMYFUNCTION("GOOGLETRANSLATE(D8479,""pl"",""es"")"),"perras")</f>
        <v>perras</v>
      </c>
    </row>
    <row r="8480">
      <c r="A8480" s="4">
        <v>667.0</v>
      </c>
      <c r="B8480" s="4" t="s">
        <v>17419</v>
      </c>
      <c r="C8480" s="4"/>
      <c r="D8480" s="4" t="s">
        <v>16955</v>
      </c>
      <c r="E8480" s="4" t="s">
        <v>16954</v>
      </c>
      <c r="F8480" s="4" t="s">
        <v>16955</v>
      </c>
      <c r="G8480" s="5" t="str">
        <f>IFERROR(__xludf.DUMMYFUNCTION("GOOGLETRANSLATE(D8480,""pl"",""es"")"),"perros")</f>
        <v>perros</v>
      </c>
    </row>
    <row r="8481">
      <c r="A8481" s="4">
        <v>668.0</v>
      </c>
      <c r="B8481" s="4" t="s">
        <v>17419</v>
      </c>
      <c r="C8481" s="4"/>
      <c r="D8481" s="4" t="s">
        <v>18696</v>
      </c>
      <c r="E8481" s="4" t="s">
        <v>18697</v>
      </c>
      <c r="F8481" s="4" t="s">
        <v>18698</v>
      </c>
      <c r="G8481" s="5" t="str">
        <f>IFERROR(__xludf.DUMMYFUNCTION("GOOGLETRANSLATE(D8481,""pl"",""es"")"),"Sulich")</f>
        <v>Sulich</v>
      </c>
    </row>
    <row r="8482">
      <c r="A8482" s="4">
        <v>669.0</v>
      </c>
      <c r="B8482" s="4" t="s">
        <v>17419</v>
      </c>
      <c r="C8482" s="4"/>
      <c r="D8482" s="4" t="s">
        <v>18699</v>
      </c>
      <c r="E8482" s="4" t="s">
        <v>18700</v>
      </c>
      <c r="F8482" s="4" t="s">
        <v>18699</v>
      </c>
      <c r="G8482" s="5" t="str">
        <f>IFERROR(__xludf.DUMMYFUNCTION("GOOGLETRANSLATE(D8482,""pl"",""es"")"),"Sulima")</f>
        <v>Sulima</v>
      </c>
    </row>
    <row r="8483">
      <c r="A8483" s="4">
        <v>670.0</v>
      </c>
      <c r="B8483" s="4" t="s">
        <v>17419</v>
      </c>
      <c r="C8483" s="4"/>
      <c r="D8483" s="4" t="s">
        <v>4123</v>
      </c>
      <c r="E8483" s="4" t="s">
        <v>18701</v>
      </c>
      <c r="F8483" s="4" t="s">
        <v>4123</v>
      </c>
      <c r="G8483" s="5" t="str">
        <f>IFERROR(__xludf.DUMMYFUNCTION("GOOGLETRANSLATE(D8483,""pl"",""es"")"),"bagre")</f>
        <v>bagre</v>
      </c>
      <c r="H8483" s="4" t="s">
        <v>18702</v>
      </c>
      <c r="I8483" s="4" t="s">
        <v>18703</v>
      </c>
      <c r="J8483" s="4" t="s">
        <v>18704</v>
      </c>
      <c r="K8483" s="4" t="s">
        <v>18705</v>
      </c>
      <c r="L8483" s="4" t="s">
        <v>18706</v>
      </c>
      <c r="M8483" s="4" t="s">
        <v>18707</v>
      </c>
    </row>
    <row r="8484">
      <c r="A8484" s="4">
        <v>671.0</v>
      </c>
      <c r="B8484" s="4" t="s">
        <v>17419</v>
      </c>
      <c r="C8484" s="4"/>
      <c r="D8484" s="4" t="s">
        <v>4118</v>
      </c>
      <c r="E8484" s="4" t="s">
        <v>4119</v>
      </c>
      <c r="F8484" s="4" t="s">
        <v>4118</v>
      </c>
      <c r="G8484" s="5" t="str">
        <f>IFERROR(__xludf.DUMMYFUNCTION("GOOGLETRANSLATE(D8484,""pl"",""es"")"),"suma")</f>
        <v>suma</v>
      </c>
      <c r="H8484" s="4" t="s">
        <v>4123</v>
      </c>
      <c r="I8484" s="4" t="s">
        <v>4124</v>
      </c>
      <c r="J8484" s="4" t="s">
        <v>4125</v>
      </c>
      <c r="K8484" s="4" t="s">
        <v>4123</v>
      </c>
      <c r="L8484" s="4" t="s">
        <v>4120</v>
      </c>
      <c r="M8484" s="4" t="s">
        <v>4126</v>
      </c>
      <c r="N8484" s="4" t="s">
        <v>18708</v>
      </c>
      <c r="O8484" s="4" t="s">
        <v>18709</v>
      </c>
      <c r="P8484" s="4" t="s">
        <v>18710</v>
      </c>
      <c r="Q8484" s="4" t="s">
        <v>4553</v>
      </c>
    </row>
    <row r="8485">
      <c r="A8485" s="4">
        <v>672.0</v>
      </c>
      <c r="B8485" s="4" t="s">
        <v>17419</v>
      </c>
      <c r="C8485" s="4"/>
      <c r="D8485" s="4" t="s">
        <v>4132</v>
      </c>
      <c r="E8485" s="4" t="s">
        <v>18711</v>
      </c>
      <c r="F8485" s="4" t="s">
        <v>4131</v>
      </c>
      <c r="G8485" s="5" t="str">
        <f>IFERROR(__xludf.DUMMYFUNCTION("GOOGLETRANSLATE(D8485,""pl"",""es"")"),"sumas")</f>
        <v>sumas</v>
      </c>
    </row>
    <row r="8486">
      <c r="A8486" s="4">
        <v>673.0</v>
      </c>
      <c r="B8486" s="4" t="s">
        <v>17419</v>
      </c>
      <c r="C8486" s="4"/>
      <c r="D8486" s="4" t="s">
        <v>18712</v>
      </c>
      <c r="E8486" s="4" t="s">
        <v>18713</v>
      </c>
      <c r="F8486" s="4" t="s">
        <v>18712</v>
      </c>
      <c r="G8486" s="5" t="str">
        <f>IFERROR(__xludf.DUMMYFUNCTION("GOOGLETRANSLATE(D8486,""pl"",""es"")"),"sumas")</f>
        <v>sumas</v>
      </c>
    </row>
    <row r="8487">
      <c r="A8487" s="4">
        <v>674.0</v>
      </c>
      <c r="B8487" s="4" t="s">
        <v>17419</v>
      </c>
      <c r="C8487" s="4"/>
      <c r="D8487" s="4" t="s">
        <v>4061</v>
      </c>
      <c r="E8487" s="4" t="s">
        <v>4060</v>
      </c>
      <c r="F8487" s="4" t="s">
        <v>4061</v>
      </c>
      <c r="G8487" s="5" t="str">
        <f>IFERROR(__xludf.DUMMYFUNCTION("GOOGLETRANSLATE(D8487,""pl"",""es"")"),"Sumado")</f>
        <v>Sumado</v>
      </c>
    </row>
    <row r="8488">
      <c r="A8488" s="4">
        <v>675.0</v>
      </c>
      <c r="B8488" s="4" t="s">
        <v>17419</v>
      </c>
      <c r="C8488" s="4"/>
      <c r="D8488" s="4" t="s">
        <v>18714</v>
      </c>
      <c r="E8488" s="4" t="s">
        <v>18715</v>
      </c>
      <c r="F8488" s="4" t="s">
        <v>18714</v>
      </c>
      <c r="G8488" s="5" t="str">
        <f>IFERROR(__xludf.DUMMYFUNCTION("GOOGLETRANSLATE(D8488,""pl"",""es"")"),"Resumido")</f>
        <v>Resumido</v>
      </c>
      <c r="H8488" s="4" t="s">
        <v>18716</v>
      </c>
    </row>
    <row r="8489">
      <c r="A8489" s="4">
        <v>676.0</v>
      </c>
      <c r="B8489" s="4" t="s">
        <v>17419</v>
      </c>
      <c r="C8489" s="4"/>
      <c r="D8489" s="4" t="s">
        <v>7650</v>
      </c>
      <c r="E8489" s="4" t="s">
        <v>16321</v>
      </c>
      <c r="F8489" s="4" t="s">
        <v>16322</v>
      </c>
      <c r="G8489" s="5" t="str">
        <f>IFERROR(__xludf.DUMMYFUNCTION("GOOGLETRANSLATE(D8489,""pl"",""es"")"),"Sunia")</f>
        <v>Sunia</v>
      </c>
    </row>
    <row r="8490">
      <c r="A8490" s="4">
        <v>677.0</v>
      </c>
      <c r="B8490" s="4" t="s">
        <v>17419</v>
      </c>
      <c r="C8490" s="4"/>
      <c r="D8490" s="4" t="s">
        <v>18717</v>
      </c>
      <c r="E8490" s="4" t="s">
        <v>18718</v>
      </c>
      <c r="F8490" s="4" t="s">
        <v>18719</v>
      </c>
      <c r="G8490" s="5" t="str">
        <f>IFERROR(__xludf.DUMMYFUNCTION("GOOGLETRANSLATE(D8490,""pl"",""es"")"),"perra")</f>
        <v>perra</v>
      </c>
    </row>
    <row r="8491">
      <c r="A8491" s="4">
        <v>678.0</v>
      </c>
      <c r="B8491" s="4" t="s">
        <v>17419</v>
      </c>
      <c r="C8491" s="4"/>
      <c r="D8491" s="4" t="s">
        <v>18720</v>
      </c>
      <c r="E8491" s="4" t="s">
        <v>18721</v>
      </c>
      <c r="F8491" s="4" t="s">
        <v>18722</v>
      </c>
      <c r="G8491" s="5" t="str">
        <f>IFERROR(__xludf.DUMMYFUNCTION("GOOGLETRANSLATE(D8491,""pl"",""es"")"),"chupar")</f>
        <v>chupar</v>
      </c>
    </row>
    <row r="8492">
      <c r="A8492" s="4">
        <v>679.0</v>
      </c>
      <c r="B8492" s="4" t="s">
        <v>17419</v>
      </c>
      <c r="C8492" s="4"/>
      <c r="D8492" s="4" t="s">
        <v>11292</v>
      </c>
      <c r="E8492" s="4" t="s">
        <v>11293</v>
      </c>
      <c r="F8492" s="4" t="s">
        <v>11292</v>
      </c>
      <c r="G8492" s="5" t="str">
        <f>IFERROR(__xludf.DUMMYFUNCTION("GOOGLETRANSLATE(D8492,""pl"",""es"")"),"Susto")</f>
        <v>Susto</v>
      </c>
    </row>
    <row r="8493">
      <c r="A8493" s="4">
        <v>680.0</v>
      </c>
      <c r="B8493" s="4" t="s">
        <v>17419</v>
      </c>
      <c r="C8493" s="4"/>
      <c r="D8493" s="4" t="s">
        <v>18723</v>
      </c>
      <c r="E8493" s="4" t="s">
        <v>18724</v>
      </c>
      <c r="F8493" s="4" t="s">
        <v>18723</v>
      </c>
      <c r="G8493" s="5" t="str">
        <f>IFERROR(__xludf.DUMMYFUNCTION("GOOGLETRANSLATE(D8493,""pl"",""es"")"),"extremo")</f>
        <v>extremo</v>
      </c>
    </row>
    <row r="8494">
      <c r="A8494" s="4">
        <v>681.0</v>
      </c>
      <c r="B8494" s="4" t="s">
        <v>17419</v>
      </c>
      <c r="C8494" s="4"/>
      <c r="D8494" s="4" t="s">
        <v>18725</v>
      </c>
      <c r="E8494" s="4" t="s">
        <v>18726</v>
      </c>
      <c r="F8494" s="4" t="s">
        <v>18727</v>
      </c>
      <c r="G8494" s="5" t="str">
        <f>IFERROR(__xludf.DUMMYFUNCTION("GOOGLETRANSLATE(D8494,""pl"",""es"")"),"suy")</f>
        <v>suy</v>
      </c>
    </row>
    <row r="8495">
      <c r="A8495" s="4">
        <v>682.0</v>
      </c>
      <c r="B8495" s="4" t="s">
        <v>17419</v>
      </c>
      <c r="C8495" s="4"/>
      <c r="D8495" s="4" t="s">
        <v>18728</v>
      </c>
      <c r="E8495" s="4" t="s">
        <v>13597</v>
      </c>
      <c r="F8495" s="4" t="s">
        <v>13598</v>
      </c>
      <c r="G8495" s="5" t="str">
        <f>IFERROR(__xludf.DUMMYFUNCTION("GOOGLETRANSLATE(D8495,""pl"",""es"")"),"sal")</f>
        <v>sal</v>
      </c>
      <c r="H8495" s="4" t="s">
        <v>3887</v>
      </c>
      <c r="I8495" s="4" t="s">
        <v>3888</v>
      </c>
      <c r="J8495" s="4" t="s">
        <v>3889</v>
      </c>
      <c r="K8495" s="4" t="s">
        <v>3887</v>
      </c>
    </row>
    <row r="8496">
      <c r="A8496" s="4">
        <v>683.0</v>
      </c>
      <c r="B8496" s="4" t="s">
        <v>17419</v>
      </c>
      <c r="C8496" s="4"/>
      <c r="D8496" s="4" t="s">
        <v>11522</v>
      </c>
      <c r="E8496" s="4" t="s">
        <v>13750</v>
      </c>
      <c r="F8496" s="4" t="s">
        <v>11522</v>
      </c>
      <c r="G8496" s="5" t="str">
        <f>IFERROR(__xludf.DUMMYFUNCTION("GOOGLETRANSLATE(D8496,""pl"",""es"")"),"este")</f>
        <v>este</v>
      </c>
      <c r="H8496" s="4" t="s">
        <v>7774</v>
      </c>
      <c r="I8496" s="4" t="s">
        <v>7775</v>
      </c>
      <c r="J8496" s="4" t="s">
        <v>7776</v>
      </c>
    </row>
    <row r="8497">
      <c r="A8497" s="4">
        <v>684.0</v>
      </c>
      <c r="B8497" s="4" t="s">
        <v>17419</v>
      </c>
      <c r="C8497" s="4"/>
      <c r="D8497" s="4" t="s">
        <v>18729</v>
      </c>
      <c r="E8497" s="4" t="s">
        <v>5584</v>
      </c>
      <c r="F8497" s="4" t="s">
        <v>4226</v>
      </c>
      <c r="G8497" s="5" t="str">
        <f>IFERROR(__xludf.DUMMYFUNCTION("GOOGLETRANSLATE(D8497,""pl"",""es"")"),"tacha")</f>
        <v>tacha</v>
      </c>
    </row>
    <row r="8498">
      <c r="A8498" s="4">
        <v>685.0</v>
      </c>
      <c r="B8498" s="4" t="s">
        <v>17419</v>
      </c>
      <c r="C8498" s="4"/>
      <c r="D8498" s="4" t="s">
        <v>18730</v>
      </c>
      <c r="E8498" s="4" t="s">
        <v>18731</v>
      </c>
      <c r="F8498" s="4" t="s">
        <v>18732</v>
      </c>
      <c r="G8498" s="5" t="str">
        <f>IFERROR(__xludf.DUMMYFUNCTION("GOOGLETRANSLATE(D8498,""pl"",""es"")"),"Tacham")</f>
        <v>Tacham</v>
      </c>
    </row>
    <row r="8499">
      <c r="A8499" s="4">
        <v>686.0</v>
      </c>
      <c r="B8499" s="4" t="s">
        <v>17419</v>
      </c>
      <c r="C8499" s="4"/>
      <c r="D8499" s="4" t="s">
        <v>17190</v>
      </c>
      <c r="E8499" s="4" t="s">
        <v>4857</v>
      </c>
      <c r="F8499" s="4" t="s">
        <v>4856</v>
      </c>
      <c r="G8499" s="5" t="str">
        <f>IFERROR(__xludf.DUMMYFUNCTION("GOOGLETRANSLATE(D8499,""pl"",""es"")"),"etiqueta")</f>
        <v>etiqueta</v>
      </c>
    </row>
    <row r="8500">
      <c r="A8500" s="4">
        <v>687.0</v>
      </c>
      <c r="B8500" s="4" t="s">
        <v>17419</v>
      </c>
      <c r="C8500" s="4"/>
      <c r="D8500" s="4" t="s">
        <v>18733</v>
      </c>
      <c r="E8500" s="4" t="s">
        <v>13765</v>
      </c>
      <c r="F8500" s="4" t="s">
        <v>13766</v>
      </c>
      <c r="G8500" s="5" t="str">
        <f>IFERROR(__xludf.DUMMYFUNCTION("GOOGLETRANSLATE(D8500,""pl"",""es"")"),"cuento")</f>
        <v>cuento</v>
      </c>
      <c r="H8500" s="4" t="s">
        <v>13831</v>
      </c>
      <c r="I8500" s="4" t="s">
        <v>13832</v>
      </c>
      <c r="J8500" s="4" t="s">
        <v>13833</v>
      </c>
    </row>
    <row r="8501">
      <c r="A8501" s="4">
        <v>688.0</v>
      </c>
      <c r="B8501" s="4" t="s">
        <v>17419</v>
      </c>
      <c r="C8501" s="4"/>
      <c r="D8501" s="4" t="s">
        <v>18734</v>
      </c>
      <c r="E8501" s="4" t="s">
        <v>18735</v>
      </c>
      <c r="F8501" s="4" t="s">
        <v>18736</v>
      </c>
      <c r="G8501" s="5" t="str">
        <f>IFERROR(__xludf.DUMMYFUNCTION("GOOGLETRANSLATE(D8501,""pl"",""es"")"),"crudo")</f>
        <v>crudo</v>
      </c>
    </row>
    <row r="8502">
      <c r="A8502" s="4">
        <v>689.0</v>
      </c>
      <c r="B8502" s="4" t="s">
        <v>17419</v>
      </c>
      <c r="C8502" s="4"/>
      <c r="D8502" s="4" t="s">
        <v>4856</v>
      </c>
      <c r="E8502" s="4" t="s">
        <v>4857</v>
      </c>
      <c r="F8502" s="4" t="s">
        <v>4856</v>
      </c>
      <c r="G8502" s="5" t="str">
        <f>IFERROR(__xludf.DUMMYFUNCTION("GOOGLETRANSLATE(D8502,""pl"",""es"")"),"Sí")</f>
        <v>Sí</v>
      </c>
    </row>
    <row r="8503">
      <c r="A8503" s="4">
        <v>690.0</v>
      </c>
      <c r="B8503" s="4" t="s">
        <v>17419</v>
      </c>
      <c r="C8503" s="4"/>
      <c r="D8503" s="4" t="s">
        <v>4226</v>
      </c>
      <c r="E8503" s="4" t="s">
        <v>4225</v>
      </c>
      <c r="F8503" s="4" t="s">
        <v>4226</v>
      </c>
      <c r="G8503" s="5" t="str">
        <f>IFERROR(__xludf.DUMMYFUNCTION("GOOGLETRANSLATE(D8503,""pl"",""es"")"),"tal")</f>
        <v>tal</v>
      </c>
      <c r="H8503" s="4" t="s">
        <v>4226</v>
      </c>
    </row>
    <row r="8504">
      <c r="A8504" s="4">
        <v>691.0</v>
      </c>
      <c r="B8504" s="4" t="s">
        <v>17419</v>
      </c>
      <c r="C8504" s="4"/>
      <c r="D8504" s="4" t="s">
        <v>7695</v>
      </c>
      <c r="E8504" s="4" t="s">
        <v>18737</v>
      </c>
      <c r="F8504" s="4" t="s">
        <v>7695</v>
      </c>
      <c r="G8504" s="5" t="str">
        <f>IFERROR(__xludf.DUMMYFUNCTION("GOOGLETRANSLATE(D8504,""pl"",""es"")"),"tal")</f>
        <v>tal</v>
      </c>
    </row>
    <row r="8505">
      <c r="A8505" s="4">
        <v>692.0</v>
      </c>
      <c r="B8505" s="4" t="s">
        <v>17419</v>
      </c>
      <c r="C8505" s="4"/>
      <c r="D8505" s="4" t="s">
        <v>18738</v>
      </c>
      <c r="E8505" s="4" t="s">
        <v>18739</v>
      </c>
      <c r="F8505" s="4" t="s">
        <v>18740</v>
      </c>
      <c r="G8505" s="5" t="str">
        <f>IFERROR(__xludf.DUMMYFUNCTION("GOOGLETRANSLATE(D8505,""pl"",""es"")"),"tal")</f>
        <v>tal</v>
      </c>
    </row>
    <row r="8506">
      <c r="A8506" s="4">
        <v>693.0</v>
      </c>
      <c r="B8506" s="4" t="s">
        <v>17419</v>
      </c>
      <c r="C8506" s="4"/>
      <c r="D8506" s="4" t="s">
        <v>18741</v>
      </c>
      <c r="E8506" s="4" t="s">
        <v>18742</v>
      </c>
      <c r="F8506" s="4" t="s">
        <v>18741</v>
      </c>
      <c r="G8506" s="5" t="str">
        <f>IFERROR(__xludf.DUMMYFUNCTION("GOOGLETRANSLATE(D8506,""pl"",""es"")"),"tal")</f>
        <v>tal</v>
      </c>
    </row>
    <row r="8507">
      <c r="A8507" s="4">
        <v>694.0</v>
      </c>
      <c r="B8507" s="4" t="s">
        <v>17419</v>
      </c>
      <c r="C8507" s="4"/>
      <c r="D8507" s="4" t="s">
        <v>18743</v>
      </c>
      <c r="E8507" s="4" t="s">
        <v>18744</v>
      </c>
      <c r="F8507" s="4" t="s">
        <v>18743</v>
      </c>
      <c r="G8507" s="5" t="str">
        <f>IFERROR(__xludf.DUMMYFUNCTION("GOOGLETRANSLATE(D8507,""pl"",""es"")"),"tal")</f>
        <v>tal</v>
      </c>
    </row>
    <row r="8508">
      <c r="A8508" s="4">
        <v>695.0</v>
      </c>
      <c r="B8508" s="4" t="s">
        <v>17419</v>
      </c>
      <c r="C8508" s="4"/>
      <c r="D8508" s="4" t="s">
        <v>4251</v>
      </c>
      <c r="E8508" s="4" t="s">
        <v>4252</v>
      </c>
      <c r="F8508" s="4" t="s">
        <v>4251</v>
      </c>
      <c r="G8508" s="5" t="str">
        <f>IFERROR(__xludf.DUMMYFUNCTION("GOOGLETRANSLATE(D8508,""pl"",""es"")"),"talio")</f>
        <v>talio</v>
      </c>
      <c r="H8508" s="4" t="s">
        <v>18745</v>
      </c>
      <c r="I8508" s="4" t="s">
        <v>18746</v>
      </c>
      <c r="J8508" s="4" t="s">
        <v>18747</v>
      </c>
    </row>
    <row r="8509">
      <c r="A8509" s="4">
        <v>696.0</v>
      </c>
      <c r="B8509" s="4" t="s">
        <v>17419</v>
      </c>
      <c r="C8509" s="4"/>
      <c r="D8509" s="4" t="s">
        <v>18748</v>
      </c>
      <c r="E8509" s="4" t="s">
        <v>18749</v>
      </c>
      <c r="F8509" s="4" t="s">
        <v>18750</v>
      </c>
      <c r="G8509" s="5" t="str">
        <f>IFERROR(__xludf.DUMMYFUNCTION("GOOGLETRANSLATE(D8509,""pl"",""es"")"),"Talibe")</f>
        <v>Talibe</v>
      </c>
    </row>
    <row r="8510">
      <c r="A8510" s="4">
        <v>697.0</v>
      </c>
      <c r="B8510" s="4" t="s">
        <v>17419</v>
      </c>
      <c r="C8510" s="4"/>
      <c r="D8510" s="4" t="s">
        <v>7735</v>
      </c>
      <c r="E8510" s="4" t="s">
        <v>18751</v>
      </c>
      <c r="F8510" s="4" t="s">
        <v>7735</v>
      </c>
      <c r="G8510" s="5" t="str">
        <f>IFERROR(__xludf.DUMMYFUNCTION("GOOGLETRANSLATE(D8510,""pl"",""es"")"),"Por ahí")</f>
        <v>Por ahí</v>
      </c>
    </row>
    <row r="8511">
      <c r="A8511" s="4">
        <v>698.0</v>
      </c>
      <c r="B8511" s="4" t="s">
        <v>17419</v>
      </c>
      <c r="C8511" s="4"/>
      <c r="D8511" s="4" t="s">
        <v>5582</v>
      </c>
      <c r="E8511" s="4" t="s">
        <v>5581</v>
      </c>
      <c r="F8511" s="4" t="s">
        <v>5582</v>
      </c>
      <c r="G8511" s="5" t="str">
        <f>IFERROR(__xludf.DUMMYFUNCTION("GOOGLETRANSLATE(D8511,""pl"",""es"")"),"presa")</f>
        <v>presa</v>
      </c>
      <c r="H8511" s="4" t="s">
        <v>8940</v>
      </c>
      <c r="I8511" s="4" t="s">
        <v>18752</v>
      </c>
      <c r="J8511" s="4" t="s">
        <v>18753</v>
      </c>
      <c r="K8511" s="4" t="s">
        <v>18754</v>
      </c>
      <c r="L8511" s="4" t="s">
        <v>18755</v>
      </c>
    </row>
    <row r="8512">
      <c r="A8512" s="4">
        <v>699.0</v>
      </c>
      <c r="B8512" s="4" t="s">
        <v>17419</v>
      </c>
      <c r="C8512" s="4"/>
      <c r="D8512" s="4" t="s">
        <v>4318</v>
      </c>
      <c r="E8512" s="4" t="s">
        <v>18756</v>
      </c>
      <c r="F8512" s="4" t="s">
        <v>18757</v>
      </c>
      <c r="G8512" s="5" t="str">
        <f>IFERROR(__xludf.DUMMYFUNCTION("GOOGLETRANSLATE(D8512,""pl"",""es"")"),"barato")</f>
        <v>barato</v>
      </c>
      <c r="H8512" s="4" t="s">
        <v>7697</v>
      </c>
      <c r="I8512" s="4" t="s">
        <v>18758</v>
      </c>
    </row>
    <row r="8513">
      <c r="A8513" s="4">
        <v>700.0</v>
      </c>
      <c r="B8513" s="4" t="s">
        <v>17419</v>
      </c>
      <c r="C8513" s="4"/>
      <c r="D8513" s="4" t="s">
        <v>18759</v>
      </c>
      <c r="E8513" s="4" t="s">
        <v>15513</v>
      </c>
      <c r="F8513" s="4" t="s">
        <v>15514</v>
      </c>
      <c r="G8513" s="5" t="str">
        <f>IFERROR(__xludf.DUMMYFUNCTION("GOOGLETRANSLATE(D8513,""pl"",""es"")"),"barato")</f>
        <v>barato</v>
      </c>
    </row>
    <row r="8514">
      <c r="A8514" s="4">
        <v>701.0</v>
      </c>
      <c r="B8514" s="4" t="s">
        <v>17419</v>
      </c>
      <c r="C8514" s="4"/>
      <c r="D8514" s="4" t="s">
        <v>18760</v>
      </c>
      <c r="E8514" s="4" t="s">
        <v>18761</v>
      </c>
      <c r="F8514" s="4" t="s">
        <v>18762</v>
      </c>
      <c r="G8514" s="5" t="str">
        <f>IFERROR(__xludf.DUMMYFUNCTION("GOOGLETRANSLATE(D8514,""pl"",""es"")"),"barato")</f>
        <v>barato</v>
      </c>
    </row>
    <row r="8515">
      <c r="A8515" s="4">
        <v>702.0</v>
      </c>
      <c r="B8515" s="4" t="s">
        <v>17419</v>
      </c>
      <c r="C8515" s="4"/>
      <c r="D8515" s="4" t="s">
        <v>18763</v>
      </c>
      <c r="E8515" s="4" t="s">
        <v>18764</v>
      </c>
      <c r="F8515" s="4" t="s">
        <v>18765</v>
      </c>
      <c r="G8515" s="5" t="str">
        <f>IFERROR(__xludf.DUMMYFUNCTION("GOOGLETRANSLATE(D8515,""pl"",""es"")"),"barato")</f>
        <v>barato</v>
      </c>
    </row>
    <row r="8516">
      <c r="A8516" s="4">
        <v>703.0</v>
      </c>
      <c r="B8516" s="4" t="s">
        <v>17419</v>
      </c>
      <c r="C8516" s="4"/>
      <c r="D8516" s="4" t="s">
        <v>18766</v>
      </c>
      <c r="E8516" s="4" t="s">
        <v>18767</v>
      </c>
      <c r="F8516" s="4" t="s">
        <v>18768</v>
      </c>
      <c r="G8516" s="5" t="str">
        <f>IFERROR(__xludf.DUMMYFUNCTION("GOOGLETRANSLATE(D8516,""pl"",""es"")"),"barato")</f>
        <v>barato</v>
      </c>
    </row>
    <row r="8517">
      <c r="A8517" s="4">
        <v>704.0</v>
      </c>
      <c r="B8517" s="4" t="s">
        <v>17419</v>
      </c>
      <c r="C8517" s="4"/>
      <c r="D8517" s="4" t="s">
        <v>18769</v>
      </c>
      <c r="E8517" s="4" t="s">
        <v>18770</v>
      </c>
      <c r="F8517" s="4" t="s">
        <v>18771</v>
      </c>
      <c r="G8517" s="5" t="str">
        <f>IFERROR(__xludf.DUMMYFUNCTION("GOOGLETRANSLATE(D8517,""pl"",""es"")"),"tanino")</f>
        <v>tanino</v>
      </c>
    </row>
    <row r="8518">
      <c r="A8518" s="4">
        <v>705.0</v>
      </c>
      <c r="B8518" s="4" t="s">
        <v>17419</v>
      </c>
      <c r="C8518" s="4"/>
      <c r="D8518" s="4" t="s">
        <v>18772</v>
      </c>
      <c r="E8518" s="4" t="s">
        <v>18773</v>
      </c>
      <c r="F8518" s="4" t="s">
        <v>18772</v>
      </c>
      <c r="G8518" s="5" t="str">
        <f>IFERROR(__xludf.DUMMYFUNCTION("GOOGLETRANSLATE(D8518,""pl"",""es"")"),"helicóptero")</f>
        <v>helicóptero</v>
      </c>
      <c r="H8518" s="4" t="s">
        <v>18774</v>
      </c>
      <c r="I8518" s="4" t="s">
        <v>18775</v>
      </c>
      <c r="J8518" s="4" t="s">
        <v>18776</v>
      </c>
      <c r="K8518" s="4" t="s">
        <v>18777</v>
      </c>
    </row>
    <row r="8519">
      <c r="A8519" s="4">
        <v>706.0</v>
      </c>
      <c r="B8519" s="4" t="s">
        <v>17419</v>
      </c>
      <c r="C8519" s="4"/>
      <c r="D8519" s="4" t="s">
        <v>13820</v>
      </c>
      <c r="E8519" s="4" t="s">
        <v>13821</v>
      </c>
      <c r="F8519" s="4" t="s">
        <v>13820</v>
      </c>
      <c r="G8519" s="5" t="str">
        <f>IFERROR(__xludf.DUMMYFUNCTION("GOOGLETRANSLATE(D8519,""pl"",""es"")"),"papá")</f>
        <v>papá</v>
      </c>
      <c r="H8519" s="4" t="s">
        <v>18778</v>
      </c>
    </row>
    <row r="8520">
      <c r="A8520" s="4">
        <v>707.0</v>
      </c>
      <c r="B8520" s="4" t="s">
        <v>17419</v>
      </c>
      <c r="C8520" s="4"/>
      <c r="D8520" s="4" t="s">
        <v>18779</v>
      </c>
      <c r="E8520" s="4" t="s">
        <v>18780</v>
      </c>
      <c r="F8520" s="4" t="s">
        <v>18781</v>
      </c>
      <c r="G8520" s="5" t="str">
        <f>IFERROR(__xludf.DUMMYFUNCTION("GOOGLETRANSLATE(D8520,""pl"",""es"")"),"ardilla")</f>
        <v>ardilla</v>
      </c>
    </row>
    <row r="8521">
      <c r="A8521" s="4">
        <v>708.0</v>
      </c>
      <c r="B8521" s="4" t="s">
        <v>17419</v>
      </c>
      <c r="C8521" s="4"/>
      <c r="D8521" s="4" t="s">
        <v>18782</v>
      </c>
      <c r="E8521" s="4" t="s">
        <v>18783</v>
      </c>
      <c r="F8521" s="4" t="s">
        <v>18784</v>
      </c>
      <c r="G8521" s="5" t="str">
        <f>IFERROR(__xludf.DUMMYFUNCTION("GOOGLETRANSLATE(D8521,""pl"",""es"")"),"tataj")</f>
        <v>tataj</v>
      </c>
    </row>
    <row r="8522">
      <c r="A8522" s="4">
        <v>709.0</v>
      </c>
      <c r="B8522" s="4" t="s">
        <v>17419</v>
      </c>
      <c r="C8522" s="4"/>
      <c r="D8522" s="4" t="s">
        <v>9179</v>
      </c>
      <c r="E8522" s="4" t="s">
        <v>9180</v>
      </c>
      <c r="F8522" s="4" t="s">
        <v>9179</v>
      </c>
      <c r="G8522" s="5" t="str">
        <f>IFERROR(__xludf.DUMMYFUNCTION("GOOGLETRANSLATE(D8522,""pl"",""es"")"),"tatami")</f>
        <v>tatami</v>
      </c>
    </row>
    <row r="8523">
      <c r="A8523" s="4">
        <v>710.0</v>
      </c>
      <c r="B8523" s="4" t="s">
        <v>17419</v>
      </c>
      <c r="C8523" s="4"/>
      <c r="D8523" s="4" t="s">
        <v>18785</v>
      </c>
      <c r="E8523" s="4" t="s">
        <v>18786</v>
      </c>
      <c r="F8523" s="4" t="s">
        <v>18787</v>
      </c>
      <c r="G8523" s="5" t="str">
        <f>IFERROR(__xludf.DUMMYFUNCTION("GOOGLETRANSLATE(D8523,""pl"",""es"")"),"chismes")</f>
        <v>chismes</v>
      </c>
    </row>
    <row r="8524">
      <c r="A8524" s="4">
        <v>711.0</v>
      </c>
      <c r="B8524" s="4" t="s">
        <v>17419</v>
      </c>
      <c r="C8524" s="4"/>
      <c r="D8524" s="4" t="s">
        <v>16437</v>
      </c>
      <c r="E8524" s="4" t="s">
        <v>4382</v>
      </c>
      <c r="F8524" s="4" t="s">
        <v>4381</v>
      </c>
      <c r="G8524" s="5" t="str">
        <f>IFERROR(__xludf.DUMMYFUNCTION("GOOGLETRANSLATE(D8524,""pl"",""es"")"),"equipo")</f>
        <v>equipo</v>
      </c>
    </row>
    <row r="8525">
      <c r="A8525" s="4">
        <v>712.0</v>
      </c>
      <c r="B8525" s="4" t="s">
        <v>17419</v>
      </c>
      <c r="C8525" s="4"/>
      <c r="D8525" s="4" t="s">
        <v>438</v>
      </c>
      <c r="E8525" s="4" t="s">
        <v>4380</v>
      </c>
      <c r="F8525" s="4" t="s">
        <v>438</v>
      </c>
      <c r="G8525" s="5" t="str">
        <f>IFERROR(__xludf.DUMMYFUNCTION("GOOGLETRANSLATE(D8525,""pl"",""es"")"),"tic")</f>
        <v>tic</v>
      </c>
      <c r="H8525" s="4" t="s">
        <v>4435</v>
      </c>
      <c r="I8525" s="4" t="s">
        <v>18788</v>
      </c>
      <c r="J8525" s="4" t="s">
        <v>18789</v>
      </c>
    </row>
    <row r="8526">
      <c r="A8526" s="4">
        <v>713.0</v>
      </c>
      <c r="B8526" s="4" t="s">
        <v>17419</v>
      </c>
      <c r="C8526" s="4"/>
      <c r="D8526" s="4" t="s">
        <v>18790</v>
      </c>
      <c r="E8526" s="4" t="s">
        <v>18791</v>
      </c>
      <c r="F8526" s="4" t="s">
        <v>18790</v>
      </c>
      <c r="G8526" s="5" t="str">
        <f>IFERROR(__xludf.DUMMYFUNCTION("GOOGLETRANSLATE(D8526,""pl"",""es"")"),"Tilaka")</f>
        <v>Tilaka</v>
      </c>
    </row>
    <row r="8527">
      <c r="A8527" s="4">
        <v>714.0</v>
      </c>
      <c r="B8527" s="4" t="s">
        <v>17419</v>
      </c>
      <c r="C8527" s="4"/>
      <c r="D8527" s="4" t="s">
        <v>4555</v>
      </c>
      <c r="E8527" s="4" t="s">
        <v>4556</v>
      </c>
      <c r="F8527" s="4" t="s">
        <v>4555</v>
      </c>
      <c r="G8527" s="5" t="str">
        <f>IFERROR(__xludf.DUMMYFUNCTION("GOOGLETRANSLATE(D8527,""pl"",""es"")"),"aquí")</f>
        <v>aquí</v>
      </c>
    </row>
    <row r="8528">
      <c r="A8528" s="4">
        <v>715.0</v>
      </c>
      <c r="B8528" s="4" t="s">
        <v>17419</v>
      </c>
      <c r="C8528" s="4"/>
      <c r="D8528" s="4" t="s">
        <v>18792</v>
      </c>
      <c r="E8528" s="4" t="s">
        <v>18793</v>
      </c>
      <c r="F8528" s="4" t="s">
        <v>18794</v>
      </c>
      <c r="G8528" s="5" t="str">
        <f>IFERROR(__xludf.DUMMYFUNCTION("GOOGLETRANSLATE(D8528,""pl"",""es"")"),"tuchaj")</f>
        <v>tuchaj</v>
      </c>
    </row>
    <row r="8529">
      <c r="A8529" s="4">
        <v>716.0</v>
      </c>
      <c r="B8529" s="4" t="s">
        <v>17419</v>
      </c>
      <c r="C8529" s="4"/>
      <c r="D8529" s="4" t="s">
        <v>18795</v>
      </c>
      <c r="E8529" s="4" t="s">
        <v>18796</v>
      </c>
      <c r="F8529" s="4" t="s">
        <v>18797</v>
      </c>
      <c r="G8529" s="5" t="str">
        <f>IFERROR(__xludf.DUMMYFUNCTION("GOOGLETRANSLATE(D8529,""pl"",""es"")"),"thuja")</f>
        <v>thuja</v>
      </c>
      <c r="H8529" s="4" t="s">
        <v>18798</v>
      </c>
      <c r="I8529" s="4" t="s">
        <v>18799</v>
      </c>
    </row>
    <row r="8530">
      <c r="A8530" s="4">
        <v>717.0</v>
      </c>
      <c r="B8530" s="4" t="s">
        <v>17419</v>
      </c>
      <c r="C8530" s="4"/>
      <c r="D8530" s="4" t="s">
        <v>456</v>
      </c>
      <c r="E8530" s="4" t="s">
        <v>455</v>
      </c>
      <c r="F8530" s="4" t="s">
        <v>456</v>
      </c>
      <c r="G8530" s="5" t="str">
        <f>IFERROR(__xludf.DUMMYFUNCTION("GOOGLETRANSLATE(D8530,""pl"",""es"")"),"touc")</f>
        <v>touc</v>
      </c>
    </row>
    <row r="8531">
      <c r="A8531" s="4">
        <v>718.0</v>
      </c>
      <c r="B8531" s="4" t="s">
        <v>17419</v>
      </c>
      <c r="C8531" s="4"/>
      <c r="D8531" s="4" t="s">
        <v>4494</v>
      </c>
      <c r="E8531" s="4" t="s">
        <v>4493</v>
      </c>
      <c r="F8531" s="4" t="s">
        <v>4494</v>
      </c>
      <c r="G8531" s="5" t="str">
        <f>IFERROR(__xludf.DUMMYFUNCTION("GOOGLETRANSLATE(D8531,""pl"",""es"")"),"tuka")</f>
        <v>tuka</v>
      </c>
    </row>
    <row r="8532">
      <c r="A8532" s="4">
        <v>719.0</v>
      </c>
      <c r="B8532" s="4" t="s">
        <v>17419</v>
      </c>
      <c r="C8532" s="4"/>
      <c r="D8532" s="4" t="s">
        <v>18800</v>
      </c>
      <c r="E8532" s="4" t="s">
        <v>18801</v>
      </c>
      <c r="F8532" s="4" t="s">
        <v>18802</v>
      </c>
      <c r="G8532" s="5" t="str">
        <f>IFERROR(__xludf.DUMMYFUNCTION("GOOGLETRANSLATE(D8532,""pl"",""es"")"),"toques")</f>
        <v>toques</v>
      </c>
    </row>
    <row r="8533">
      <c r="A8533" s="4">
        <v>720.0</v>
      </c>
      <c r="B8533" s="4" t="s">
        <v>17419</v>
      </c>
      <c r="C8533" s="4"/>
      <c r="D8533" s="4" t="s">
        <v>18803</v>
      </c>
      <c r="E8533" s="4" t="s">
        <v>18804</v>
      </c>
      <c r="F8533" s="4" t="s">
        <v>18803</v>
      </c>
      <c r="G8533" s="5" t="str">
        <f>IFERROR(__xludf.DUMMYFUNCTION("GOOGLETRANSLATE(D8533,""pl"",""es"")"),"toucs")</f>
        <v>toucs</v>
      </c>
    </row>
    <row r="8534">
      <c r="A8534" s="4">
        <v>721.0</v>
      </c>
      <c r="B8534" s="4" t="s">
        <v>17419</v>
      </c>
      <c r="C8534" s="4"/>
      <c r="D8534" s="4" t="s">
        <v>459</v>
      </c>
      <c r="E8534" s="4" t="s">
        <v>458</v>
      </c>
      <c r="F8534" s="4" t="s">
        <v>459</v>
      </c>
      <c r="G8534" s="5" t="str">
        <f>IFERROR(__xludf.DUMMYFUNCTION("GOOGLETRANSLATE(D8534,""pl"",""es"")"),"tucán")</f>
        <v>tucán</v>
      </c>
      <c r="H8534" s="4" t="s">
        <v>4566</v>
      </c>
    </row>
    <row r="8535">
      <c r="A8535" s="4">
        <v>722.0</v>
      </c>
      <c r="B8535" s="4" t="s">
        <v>17419</v>
      </c>
      <c r="C8535" s="4"/>
      <c r="D8535" s="4" t="s">
        <v>11447</v>
      </c>
      <c r="E8535" s="4" t="s">
        <v>11448</v>
      </c>
      <c r="F8535" s="4" t="s">
        <v>11447</v>
      </c>
      <c r="G8535" s="5" t="str">
        <f>IFERROR(__xludf.DUMMYFUNCTION("GOOGLETRANSLATE(D8535,""pl"",""es"")"),"tucha")</f>
        <v>tucha</v>
      </c>
    </row>
    <row r="8536">
      <c r="A8536" s="4">
        <v>723.0</v>
      </c>
      <c r="B8536" s="4" t="s">
        <v>17419</v>
      </c>
      <c r="C8536" s="4"/>
      <c r="D8536" s="4" t="s">
        <v>18805</v>
      </c>
      <c r="E8536" s="4" t="s">
        <v>18806</v>
      </c>
      <c r="F8536" s="4" t="s">
        <v>18805</v>
      </c>
      <c r="G8536" s="5" t="str">
        <f>IFERROR(__xludf.DUMMYFUNCTION("GOOGLETRANSLATE(D8536,""pl"",""es"")"),"tuk")</f>
        <v>tuk</v>
      </c>
    </row>
    <row r="8537">
      <c r="A8537" s="4">
        <v>724.0</v>
      </c>
      <c r="B8537" s="4" t="s">
        <v>17419</v>
      </c>
      <c r="C8537" s="4"/>
      <c r="D8537" s="4" t="s">
        <v>13875</v>
      </c>
      <c r="E8537" s="4" t="s">
        <v>13874</v>
      </c>
      <c r="F8537" s="4" t="s">
        <v>13875</v>
      </c>
      <c r="G8537" s="5" t="str">
        <f>IFERROR(__xludf.DUMMYFUNCTION("GOOGLETRANSLATE(D8537,""pl"",""es"")"),"tulio")</f>
        <v>tulio</v>
      </c>
      <c r="H8537" s="4" t="s">
        <v>4569</v>
      </c>
      <c r="I8537" s="4" t="s">
        <v>4570</v>
      </c>
      <c r="J8537" s="4" t="s">
        <v>4571</v>
      </c>
    </row>
    <row r="8538">
      <c r="A8538" s="4">
        <v>725.0</v>
      </c>
      <c r="B8538" s="4" t="s">
        <v>17419</v>
      </c>
      <c r="C8538" s="4"/>
      <c r="D8538" s="4" t="s">
        <v>4567</v>
      </c>
      <c r="E8538" s="4" t="s">
        <v>4568</v>
      </c>
      <c r="F8538" s="4" t="s">
        <v>4567</v>
      </c>
      <c r="G8538" s="5" t="str">
        <f>IFERROR(__xludf.DUMMYFUNCTION("GOOGLETRANSLATE(D8538,""pl"",""es"")"),"mimoso")</f>
        <v>mimoso</v>
      </c>
    </row>
    <row r="8539">
      <c r="A8539" s="4">
        <v>726.0</v>
      </c>
      <c r="B8539" s="4" t="s">
        <v>17419</v>
      </c>
      <c r="C8539" s="4"/>
      <c r="D8539" s="4" t="s">
        <v>18807</v>
      </c>
      <c r="E8539" s="4" t="s">
        <v>18808</v>
      </c>
      <c r="F8539" s="4" t="s">
        <v>18807</v>
      </c>
      <c r="G8539" s="5" t="str">
        <f>IFERROR(__xludf.DUMMYFUNCTION("GOOGLETRANSLATE(D8539,""pl"",""es"")"),"tulipán")</f>
        <v>tulipán</v>
      </c>
      <c r="H8539" s="4" t="s">
        <v>18809</v>
      </c>
      <c r="I8539" s="4" t="s">
        <v>18810</v>
      </c>
    </row>
    <row r="8540">
      <c r="A8540" s="4">
        <v>727.0</v>
      </c>
      <c r="B8540" s="4" t="s">
        <v>17419</v>
      </c>
      <c r="C8540" s="4"/>
      <c r="D8540" s="4" t="s">
        <v>18811</v>
      </c>
      <c r="E8540" s="4" t="s">
        <v>18812</v>
      </c>
      <c r="F8540" s="4" t="s">
        <v>18811</v>
      </c>
      <c r="G8540" s="5" t="str">
        <f>IFERROR(__xludf.DUMMYFUNCTION("GOOGLETRANSLATE(D8540,""pl"",""es"")"),"Tulu")</f>
        <v>Tulu</v>
      </c>
    </row>
    <row r="8541">
      <c r="A8541" s="4">
        <v>728.0</v>
      </c>
      <c r="B8541" s="4" t="s">
        <v>17419</v>
      </c>
      <c r="C8541" s="4"/>
      <c r="D8541" s="4" t="s">
        <v>18813</v>
      </c>
      <c r="E8541" s="4" t="s">
        <v>18814</v>
      </c>
      <c r="F8541" s="4" t="s">
        <v>18813</v>
      </c>
      <c r="G8541" s="5" t="str">
        <f>IFERROR(__xludf.DUMMYFUNCTION("GOOGLETRANSLATE(D8541,""pl"",""es"")"),"nube")</f>
        <v>nube</v>
      </c>
      <c r="H8541" s="4" t="s">
        <v>3237</v>
      </c>
      <c r="I8541" s="4" t="s">
        <v>3238</v>
      </c>
      <c r="J8541" s="4" t="s">
        <v>3239</v>
      </c>
      <c r="K8541" s="4" t="s">
        <v>3240</v>
      </c>
      <c r="L8541" s="4" t="s">
        <v>3241</v>
      </c>
      <c r="M8541" s="4" t="s">
        <v>3242</v>
      </c>
      <c r="N8541" s="4" t="s">
        <v>4057</v>
      </c>
    </row>
    <row r="8542">
      <c r="A8542" s="4">
        <v>729.0</v>
      </c>
      <c r="B8542" s="4" t="s">
        <v>17419</v>
      </c>
      <c r="C8542" s="4"/>
      <c r="D8542" s="4" t="s">
        <v>4609</v>
      </c>
      <c r="E8542" s="4" t="s">
        <v>18815</v>
      </c>
      <c r="F8542" s="4" t="s">
        <v>18816</v>
      </c>
      <c r="G8542" s="5" t="str">
        <f>IFERROR(__xludf.DUMMYFUNCTION("GOOGLETRANSLATE(D8542,""pl"",""es"")"),"sayo")</f>
        <v>sayo</v>
      </c>
      <c r="H8542" s="4" t="s">
        <v>4610</v>
      </c>
    </row>
    <row r="8543">
      <c r="A8543" s="4">
        <v>730.0</v>
      </c>
      <c r="B8543" s="4" t="s">
        <v>17419</v>
      </c>
      <c r="C8543" s="4"/>
      <c r="D8543" s="4" t="s">
        <v>462</v>
      </c>
      <c r="E8543" s="4" t="s">
        <v>18817</v>
      </c>
      <c r="F8543" s="4" t="s">
        <v>18818</v>
      </c>
      <c r="G8543" s="5" t="str">
        <f>IFERROR(__xludf.DUMMYFUNCTION("GOOGLETRANSLATE(D8543,""pl"",""es"")"),"Túnez")</f>
        <v>Túnez</v>
      </c>
      <c r="H8543" s="4" t="s">
        <v>18819</v>
      </c>
      <c r="I8543" s="4" t="s">
        <v>18820</v>
      </c>
    </row>
    <row r="8544">
      <c r="A8544" s="4">
        <v>731.0</v>
      </c>
      <c r="B8544" s="4" t="s">
        <v>17419</v>
      </c>
      <c r="C8544" s="4"/>
      <c r="D8544" s="4" t="s">
        <v>4559</v>
      </c>
      <c r="E8544" s="4" t="s">
        <v>4558</v>
      </c>
      <c r="F8544" s="4" t="s">
        <v>4559</v>
      </c>
      <c r="G8544" s="5" t="str">
        <f>IFERROR(__xludf.DUMMYFUNCTION("GOOGLETRANSLATE(D8544,""pl"",""es"")"),"estampilla")</f>
        <v>estampilla</v>
      </c>
    </row>
    <row r="8545">
      <c r="A8545" s="4">
        <v>732.0</v>
      </c>
      <c r="B8545" s="4" t="s">
        <v>17419</v>
      </c>
      <c r="C8545" s="4"/>
      <c r="D8545" s="4" t="s">
        <v>18821</v>
      </c>
      <c r="E8545" s="4" t="s">
        <v>18822</v>
      </c>
      <c r="F8545" s="4" t="s">
        <v>18823</v>
      </c>
      <c r="G8545" s="5" t="str">
        <f>IFERROR(__xludf.DUMMYFUNCTION("GOOGLETRANSLATE(D8545,""pl"",""es"")"),"estampilla")</f>
        <v>estampilla</v>
      </c>
    </row>
    <row r="8546">
      <c r="A8546" s="4">
        <v>733.0</v>
      </c>
      <c r="B8546" s="4" t="s">
        <v>17419</v>
      </c>
      <c r="C8546" s="4"/>
      <c r="D8546" s="4" t="s">
        <v>18824</v>
      </c>
      <c r="E8546" s="4" t="s">
        <v>18825</v>
      </c>
      <c r="F8546" s="4" t="s">
        <v>18824</v>
      </c>
      <c r="G8546" s="5" t="str">
        <f>IFERROR(__xludf.DUMMYFUNCTION("GOOGLETRANSLATE(D8546,""pl"",""es"")"),"sellos")</f>
        <v>sellos</v>
      </c>
    </row>
    <row r="8547">
      <c r="A8547" s="4">
        <v>734.0</v>
      </c>
      <c r="B8547" s="4" t="s">
        <v>17419</v>
      </c>
      <c r="C8547" s="4"/>
      <c r="D8547" s="4" t="s">
        <v>18826</v>
      </c>
      <c r="E8547" s="4" t="s">
        <v>18827</v>
      </c>
      <c r="F8547" s="4" t="s">
        <v>18828</v>
      </c>
      <c r="G8547" s="5" t="str">
        <f>IFERROR(__xludf.DUMMYFUNCTION("GOOGLETRANSLATE(D8547,""pl"",""es"")"),"aquí")</f>
        <v>aquí</v>
      </c>
    </row>
    <row r="8548">
      <c r="A8548" s="4">
        <v>735.0</v>
      </c>
      <c r="B8548" s="4" t="s">
        <v>17419</v>
      </c>
      <c r="C8548" s="4"/>
      <c r="D8548" s="4" t="s">
        <v>18829</v>
      </c>
      <c r="E8548" s="4" t="s">
        <v>13880</v>
      </c>
      <c r="F8548" s="4" t="s">
        <v>13881</v>
      </c>
      <c r="G8548" s="5" t="str">
        <f>IFERROR(__xludf.DUMMYFUNCTION("GOOGLETRANSLATE(D8548,""pl"",""es"")"),"al lado")</f>
        <v>al lado</v>
      </c>
      <c r="H8548" s="4" t="s">
        <v>18830</v>
      </c>
      <c r="I8548" s="4" t="s">
        <v>18831</v>
      </c>
      <c r="J8548" s="4" t="s">
        <v>18832</v>
      </c>
    </row>
    <row r="8549">
      <c r="A8549" s="4">
        <v>736.0</v>
      </c>
      <c r="B8549" s="4" t="s">
        <v>17419</v>
      </c>
      <c r="C8549" s="4"/>
      <c r="D8549" s="4" t="s">
        <v>18833</v>
      </c>
      <c r="E8549" s="4" t="s">
        <v>455</v>
      </c>
      <c r="F8549" s="4" t="s">
        <v>456</v>
      </c>
      <c r="G8549" s="5" t="str">
        <f>IFERROR(__xludf.DUMMYFUNCTION("GOOGLETRANSLATE(D8549,""pl"",""es"")"),"broncearse")</f>
        <v>broncearse</v>
      </c>
    </row>
    <row r="8550">
      <c r="A8550" s="4">
        <v>737.0</v>
      </c>
      <c r="B8550" s="4" t="s">
        <v>17419</v>
      </c>
      <c r="C8550" s="4"/>
      <c r="D8550" s="4" t="s">
        <v>18834</v>
      </c>
      <c r="E8550" s="4" t="s">
        <v>18835</v>
      </c>
      <c r="F8550" s="4" t="s">
        <v>8033</v>
      </c>
      <c r="G8550" s="5" t="str">
        <f>IFERROR(__xludf.DUMMYFUNCTION("GOOGLETRANSLATE(D8550,""pl"",""es"")"),"resolución")</f>
        <v>resolución</v>
      </c>
    </row>
    <row r="8551">
      <c r="A8551" s="4">
        <v>738.0</v>
      </c>
      <c r="B8551" s="4" t="s">
        <v>17419</v>
      </c>
      <c r="C8551" s="4"/>
      <c r="D8551" s="4" t="s">
        <v>18836</v>
      </c>
      <c r="E8551" s="4" t="s">
        <v>18837</v>
      </c>
      <c r="F8551" s="4" t="s">
        <v>12352</v>
      </c>
      <c r="G8551" s="5" t="str">
        <f>IFERROR(__xludf.DUMMYFUNCTION("GOOGLETRANSLATE(D8551,""pl"",""es"")"),"oído")</f>
        <v>oído</v>
      </c>
    </row>
    <row r="8552">
      <c r="A8552" s="4">
        <v>739.0</v>
      </c>
      <c r="B8552" s="4" t="s">
        <v>17419</v>
      </c>
      <c r="C8552" s="4"/>
      <c r="D8552" s="4" t="s">
        <v>18838</v>
      </c>
      <c r="E8552" s="4" t="s">
        <v>18839</v>
      </c>
      <c r="F8552" s="4" t="s">
        <v>18840</v>
      </c>
      <c r="G8552" s="5" t="str">
        <f>IFERROR(__xludf.DUMMYFUNCTION("GOOGLETRANSLATE(D8552,""pl"",""es"")"),"oído")</f>
        <v>oído</v>
      </c>
    </row>
    <row r="8553">
      <c r="A8553" s="4">
        <v>740.0</v>
      </c>
      <c r="B8553" s="4" t="s">
        <v>17419</v>
      </c>
      <c r="C8553" s="4"/>
      <c r="D8553" s="4" t="s">
        <v>18841</v>
      </c>
      <c r="E8553" s="4" t="s">
        <v>18842</v>
      </c>
      <c r="F8553" s="4" t="s">
        <v>18843</v>
      </c>
      <c r="G8553" s="5" t="str">
        <f>IFERROR(__xludf.DUMMYFUNCTION("GOOGLETRANSLATE(D8553,""pl"",""es"")"),"oído")</f>
        <v>oído</v>
      </c>
    </row>
    <row r="8554">
      <c r="A8554" s="4">
        <v>741.0</v>
      </c>
      <c r="B8554" s="4" t="s">
        <v>17419</v>
      </c>
      <c r="C8554" s="4"/>
      <c r="D8554" s="4" t="s">
        <v>18844</v>
      </c>
      <c r="E8554" s="4" t="s">
        <v>18845</v>
      </c>
      <c r="F8554" s="4" t="s">
        <v>18846</v>
      </c>
      <c r="G8554" s="5" t="str">
        <f>IFERROR(__xludf.DUMMYFUNCTION("GOOGLETRANSLATE(D8554,""pl"",""es"")"),"oído")</f>
        <v>oído</v>
      </c>
    </row>
    <row r="8555">
      <c r="A8555" s="4">
        <v>742.0</v>
      </c>
      <c r="B8555" s="4" t="s">
        <v>17419</v>
      </c>
      <c r="C8555" s="4"/>
      <c r="D8555" s="4" t="s">
        <v>18847</v>
      </c>
      <c r="E8555" s="4" t="s">
        <v>18848</v>
      </c>
      <c r="F8555" s="4" t="s">
        <v>18847</v>
      </c>
      <c r="G8555" s="5" t="str">
        <f>IFERROR(__xludf.DUMMYFUNCTION("GOOGLETRANSLATE(D8555,""pl"",""es"")"),"cocido")</f>
        <v>cocido</v>
      </c>
    </row>
    <row r="8556">
      <c r="A8556" s="4">
        <v>743.0</v>
      </c>
      <c r="B8556" s="4" t="s">
        <v>17419</v>
      </c>
      <c r="C8556" s="4"/>
      <c r="D8556" s="4" t="s">
        <v>12366</v>
      </c>
      <c r="E8556" s="4" t="s">
        <v>12365</v>
      </c>
      <c r="F8556" s="4" t="s">
        <v>12366</v>
      </c>
      <c r="G8556" s="5" t="str">
        <f>IFERROR(__xludf.DUMMYFUNCTION("GOOGLETRANSLATE(D8556,""pl"",""es"")"),"colmena")</f>
        <v>colmena</v>
      </c>
      <c r="H8556" s="4" t="s">
        <v>18849</v>
      </c>
      <c r="I8556" s="4" t="s">
        <v>18850</v>
      </c>
    </row>
    <row r="8557">
      <c r="A8557" s="4">
        <v>744.0</v>
      </c>
      <c r="B8557" s="4" t="s">
        <v>17419</v>
      </c>
      <c r="C8557" s="4"/>
      <c r="D8557" s="4" t="s">
        <v>18851</v>
      </c>
      <c r="E8557" s="4" t="s">
        <v>18852</v>
      </c>
      <c r="F8557" s="4" t="s">
        <v>18851</v>
      </c>
      <c r="G8557" s="5" t="str">
        <f>IFERROR(__xludf.DUMMYFUNCTION("GOOGLETRANSLATE(D8557,""pl"",""es"")"),"colmena")</f>
        <v>colmena</v>
      </c>
    </row>
    <row r="8558">
      <c r="A8558" s="4">
        <v>745.0</v>
      </c>
      <c r="B8558" s="4" t="s">
        <v>17419</v>
      </c>
      <c r="C8558" s="4"/>
      <c r="D8558" s="4" t="s">
        <v>18853</v>
      </c>
      <c r="E8558" s="4" t="s">
        <v>18854</v>
      </c>
      <c r="F8558" s="4" t="s">
        <v>18855</v>
      </c>
      <c r="G8558" s="5" t="str">
        <f>IFERROR(__xludf.DUMMYFUNCTION("GOOGLETRANSLATE(D8558,""pl"",""es"")"),"urticaria")</f>
        <v>urticaria</v>
      </c>
    </row>
    <row r="8559">
      <c r="A8559" s="4">
        <v>746.0</v>
      </c>
      <c r="B8559" s="4" t="s">
        <v>17419</v>
      </c>
      <c r="C8559" s="4"/>
      <c r="D8559" s="4" t="s">
        <v>18856</v>
      </c>
      <c r="E8559" s="4" t="s">
        <v>18857</v>
      </c>
      <c r="F8559" s="4" t="s">
        <v>18856</v>
      </c>
      <c r="G8559" s="5" t="str">
        <f>IFERROR(__xludf.DUMMYFUNCTION("GOOGLETRANSLATE(D8559,""pl"",""es"")"),"calle")</f>
        <v>calle</v>
      </c>
    </row>
    <row r="8560">
      <c r="A8560" s="4">
        <v>747.0</v>
      </c>
      <c r="B8560" s="4" t="s">
        <v>17419</v>
      </c>
      <c r="C8560" s="4"/>
      <c r="D8560" s="4" t="s">
        <v>18858</v>
      </c>
      <c r="E8560" s="4" t="s">
        <v>18859</v>
      </c>
      <c r="F8560" s="4" t="s">
        <v>18858</v>
      </c>
      <c r="G8560" s="5" t="str">
        <f>IFERROR(__xludf.DUMMYFUNCTION("GOOGLETRANSLATE(D8560,""pl"",""es"")"),"Ulaz")</f>
        <v>Ulaz</v>
      </c>
    </row>
    <row r="8561">
      <c r="A8561" s="4">
        <v>748.0</v>
      </c>
      <c r="B8561" s="4" t="s">
        <v>17419</v>
      </c>
      <c r="C8561" s="4"/>
      <c r="D8561" s="4" t="s">
        <v>5433</v>
      </c>
      <c r="E8561" s="4" t="s">
        <v>5432</v>
      </c>
      <c r="F8561" s="4" t="s">
        <v>5433</v>
      </c>
      <c r="G8561" s="5" t="str">
        <f>IFERROR(__xludf.DUMMYFUNCTION("GOOGLETRANSLATE(D8561,""pl"",""es"")"),"urticaria")</f>
        <v>urticaria</v>
      </c>
    </row>
    <row r="8562">
      <c r="A8562" s="4">
        <v>749.0</v>
      </c>
      <c r="B8562" s="4" t="s">
        <v>17419</v>
      </c>
      <c r="C8562" s="4"/>
      <c r="D8562" s="4" t="s">
        <v>18860</v>
      </c>
      <c r="E8562" s="4" t="s">
        <v>18861</v>
      </c>
      <c r="F8562" s="4" t="s">
        <v>18860</v>
      </c>
      <c r="G8562" s="5" t="str">
        <f>IFERROR(__xludf.DUMMYFUNCTION("GOOGLETRANSLATE(D8562,""pl"",""es"")"),"colmena")</f>
        <v>colmena</v>
      </c>
    </row>
    <row r="8563">
      <c r="A8563" s="4">
        <v>750.0</v>
      </c>
      <c r="B8563" s="4" t="s">
        <v>17419</v>
      </c>
      <c r="C8563" s="4"/>
      <c r="D8563" s="4" t="s">
        <v>18862</v>
      </c>
      <c r="E8563" s="4" t="s">
        <v>18863</v>
      </c>
      <c r="F8563" s="4" t="s">
        <v>18862</v>
      </c>
      <c r="G8563" s="5" t="str">
        <f>IFERROR(__xludf.DUMMYFUNCTION("GOOGLETRANSLATE(D8563,""pl"",""es"")"),"centro")</f>
        <v>centro</v>
      </c>
    </row>
    <row r="8564">
      <c r="A8564" s="4">
        <v>751.0</v>
      </c>
      <c r="B8564" s="4" t="s">
        <v>17419</v>
      </c>
      <c r="C8564" s="4"/>
      <c r="D8564" s="4" t="s">
        <v>18864</v>
      </c>
      <c r="E8564" s="4" t="s">
        <v>18865</v>
      </c>
      <c r="F8564" s="4" t="s">
        <v>18866</v>
      </c>
      <c r="G8564" s="5" t="str">
        <f>IFERROR(__xludf.DUMMYFUNCTION("GOOGLETRANSLATE(D8564,""pl"",""es"")"),"Ululaj")</f>
        <v>Ululaj</v>
      </c>
    </row>
    <row r="8565">
      <c r="A8565" s="4">
        <v>752.0</v>
      </c>
      <c r="B8565" s="4" t="s">
        <v>17419</v>
      </c>
      <c r="C8565" s="4"/>
      <c r="D8565" s="4" t="s">
        <v>18867</v>
      </c>
      <c r="E8565" s="4" t="s">
        <v>18868</v>
      </c>
      <c r="F8565" s="4" t="s">
        <v>18867</v>
      </c>
      <c r="G8565" s="5" t="str">
        <f>IFERROR(__xludf.DUMMYFUNCTION("GOOGLETRANSLATE(D8565,""pl"",""es"")"),"centro")</f>
        <v>centro</v>
      </c>
    </row>
    <row r="8566">
      <c r="A8566" s="4">
        <v>753.0</v>
      </c>
      <c r="B8566" s="4" t="s">
        <v>17419</v>
      </c>
      <c r="C8566" s="4"/>
      <c r="D8566" s="4" t="s">
        <v>18869</v>
      </c>
      <c r="E8566" s="4" t="s">
        <v>18870</v>
      </c>
      <c r="F8566" s="4" t="s">
        <v>18869</v>
      </c>
      <c r="G8566" s="5" t="str">
        <f>IFERROR(__xludf.DUMMYFUNCTION("GOOGLETRANSLATE(D8566,""pl"",""es"")"),"urbano")</f>
        <v>urbano</v>
      </c>
    </row>
    <row r="8567">
      <c r="A8567" s="4">
        <v>754.0</v>
      </c>
      <c r="B8567" s="4" t="s">
        <v>17419</v>
      </c>
      <c r="C8567" s="4"/>
      <c r="D8567" s="4" t="s">
        <v>18871</v>
      </c>
      <c r="E8567" s="4" t="s">
        <v>18872</v>
      </c>
      <c r="F8567" s="4" t="s">
        <v>18873</v>
      </c>
      <c r="G8567" s="5" t="str">
        <f>IFERROR(__xludf.DUMMYFUNCTION("GOOGLETRANSLATE(D8567,""pl"",""es"")"),"urbano")</f>
        <v>urbano</v>
      </c>
    </row>
    <row r="8568">
      <c r="A8568" s="4">
        <v>755.0</v>
      </c>
      <c r="B8568" s="4" t="s">
        <v>17419</v>
      </c>
      <c r="C8568" s="4"/>
      <c r="D8568" s="4" t="s">
        <v>1833</v>
      </c>
      <c r="E8568" s="4" t="s">
        <v>1832</v>
      </c>
      <c r="F8568" s="4" t="s">
        <v>1833</v>
      </c>
      <c r="G8568" s="5" t="str">
        <f>IFERROR(__xludf.DUMMYFUNCTION("GOOGLETRANSLATE(D8568,""pl"",""es"")"),"Umil")</f>
        <v>Umil</v>
      </c>
    </row>
    <row r="8569">
      <c r="A8569" s="4">
        <v>756.0</v>
      </c>
      <c r="B8569" s="4" t="s">
        <v>17419</v>
      </c>
      <c r="C8569" s="4"/>
      <c r="D8569" s="4" t="s">
        <v>18874</v>
      </c>
      <c r="E8569" s="4" t="s">
        <v>18875</v>
      </c>
      <c r="F8569" s="4" t="s">
        <v>18874</v>
      </c>
      <c r="G8569" s="5" t="str">
        <f>IFERROR(__xludf.DUMMYFUNCTION("GOOGLETRANSLATE(D8569,""pl"",""es"")"),"se vuelve más agradable")</f>
        <v>se vuelve más agradable</v>
      </c>
    </row>
    <row r="8570">
      <c r="A8570" s="4">
        <v>757.0</v>
      </c>
      <c r="B8570" s="4" t="s">
        <v>17419</v>
      </c>
      <c r="C8570" s="4"/>
      <c r="D8570" s="4" t="s">
        <v>18876</v>
      </c>
      <c r="E8570" s="4" t="s">
        <v>18877</v>
      </c>
      <c r="F8570" s="4" t="s">
        <v>18878</v>
      </c>
      <c r="G8570" s="5" t="str">
        <f>IFERROR(__xludf.DUMMYFUNCTION("GOOGLETRANSLATE(D8570,""pl"",""es"")"),"hacer más agradable")</f>
        <v>hacer más agradable</v>
      </c>
    </row>
    <row r="8571">
      <c r="A8571" s="4">
        <v>758.0</v>
      </c>
      <c r="B8571" s="4" t="s">
        <v>17419</v>
      </c>
      <c r="C8571" s="4"/>
      <c r="D8571" s="4" t="s">
        <v>18879</v>
      </c>
      <c r="E8571" s="4" t="s">
        <v>18880</v>
      </c>
      <c r="F8571" s="4" t="s">
        <v>18879</v>
      </c>
      <c r="G8571" s="5" t="str">
        <f>IFERROR(__xludf.DUMMYFUNCTION("GOOGLETRANSLATE(D8571,""pl"",""es"")"),"mas agradable")</f>
        <v>mas agradable</v>
      </c>
    </row>
    <row r="8572">
      <c r="A8572" s="4">
        <v>759.0</v>
      </c>
      <c r="B8572" s="4" t="s">
        <v>17419</v>
      </c>
      <c r="C8572" s="4"/>
      <c r="D8572" s="4" t="s">
        <v>4786</v>
      </c>
      <c r="E8572" s="4" t="s">
        <v>18881</v>
      </c>
      <c r="F8572" s="4" t="s">
        <v>18882</v>
      </c>
      <c r="G8572" s="5" t="str">
        <f>IFERROR(__xludf.DUMMYFUNCTION("GOOGLETRANSLATE(D8572,""pl"",""es"")"),"esquivar")</f>
        <v>esquivar</v>
      </c>
      <c r="H8572" s="4" t="s">
        <v>18883</v>
      </c>
    </row>
    <row r="8573">
      <c r="A8573" s="4">
        <v>760.0</v>
      </c>
      <c r="B8573" s="4" t="s">
        <v>17419</v>
      </c>
      <c r="C8573" s="4"/>
      <c r="D8573" s="4" t="s">
        <v>16998</v>
      </c>
      <c r="E8573" s="4" t="s">
        <v>18884</v>
      </c>
      <c r="F8573" s="4" t="s">
        <v>18885</v>
      </c>
      <c r="G8573" s="5" t="str">
        <f>IFERROR(__xludf.DUMMYFUNCTION("GOOGLETRANSLATE(D8573,""pl"",""es"")"),"evita")</f>
        <v>evita</v>
      </c>
    </row>
    <row r="8574">
      <c r="A8574" s="4">
        <v>761.0</v>
      </c>
      <c r="B8574" s="4" t="s">
        <v>17419</v>
      </c>
      <c r="C8574" s="4"/>
      <c r="D8574" s="4" t="s">
        <v>18886</v>
      </c>
      <c r="E8574" s="4" t="s">
        <v>18887</v>
      </c>
      <c r="F8574" s="4" t="s">
        <v>18888</v>
      </c>
      <c r="G8574" s="5" t="str">
        <f>IFERROR(__xludf.DUMMYFUNCTION("GOOGLETRANSLATE(D8574,""pl"",""es"")"),"evitar")</f>
        <v>evitar</v>
      </c>
    </row>
    <row r="8575">
      <c r="A8575" s="4">
        <v>762.0</v>
      </c>
      <c r="B8575" s="4" t="s">
        <v>17419</v>
      </c>
      <c r="C8575" s="4"/>
      <c r="D8575" s="4" t="s">
        <v>18889</v>
      </c>
      <c r="E8575" s="4" t="s">
        <v>18890</v>
      </c>
      <c r="F8575" s="4" t="s">
        <v>18891</v>
      </c>
      <c r="G8575" s="5" t="str">
        <f>IFERROR(__xludf.DUMMYFUNCTION("GOOGLETRANSLATE(D8575,""pl"",""es"")"),"evitado")</f>
        <v>evitado</v>
      </c>
    </row>
    <row r="8576">
      <c r="A8576" s="4">
        <v>763.0</v>
      </c>
      <c r="B8576" s="4" t="s">
        <v>17419</v>
      </c>
      <c r="C8576" s="4"/>
      <c r="D8576" s="4" t="s">
        <v>18892</v>
      </c>
      <c r="E8576" s="4" t="s">
        <v>18893</v>
      </c>
      <c r="F8576" s="4" t="s">
        <v>18894</v>
      </c>
      <c r="G8576" s="5" t="str">
        <f>IFERROR(__xludf.DUMMYFUNCTION("GOOGLETRANSLATE(D8576,""pl"",""es"")"),"yo evito")</f>
        <v>yo evito</v>
      </c>
    </row>
    <row r="8577">
      <c r="A8577" s="4">
        <v>764.0</v>
      </c>
      <c r="B8577" s="4" t="s">
        <v>17419</v>
      </c>
      <c r="C8577" s="4"/>
      <c r="D8577" s="4" t="s">
        <v>18895</v>
      </c>
      <c r="E8577" s="4" t="s">
        <v>18896</v>
      </c>
      <c r="F8577" s="4" t="s">
        <v>18895</v>
      </c>
      <c r="G8577" s="5" t="str">
        <f>IFERROR(__xludf.DUMMYFUNCTION("GOOGLETRANSLATE(D8577,""pl"",""es"")"),"calor")</f>
        <v>calor</v>
      </c>
    </row>
    <row r="8578">
      <c r="A8578" s="4">
        <v>765.0</v>
      </c>
      <c r="B8578" s="4" t="s">
        <v>17419</v>
      </c>
      <c r="C8578" s="4"/>
      <c r="D8578" s="4" t="s">
        <v>18897</v>
      </c>
      <c r="E8578" s="4" t="s">
        <v>18898</v>
      </c>
      <c r="F8578" s="4" t="s">
        <v>18897</v>
      </c>
      <c r="G8578" s="5" t="str">
        <f>IFERROR(__xludf.DUMMYFUNCTION("GOOGLETRANSLATE(D8578,""pl"",""es"")"),"calor")</f>
        <v>calor</v>
      </c>
    </row>
    <row r="8579">
      <c r="A8579" s="4">
        <v>766.0</v>
      </c>
      <c r="B8579" s="4" t="s">
        <v>17419</v>
      </c>
      <c r="C8579" s="4"/>
      <c r="D8579" s="4" t="s">
        <v>18899</v>
      </c>
      <c r="E8579" s="4" t="s">
        <v>18900</v>
      </c>
      <c r="F8579" s="4" t="s">
        <v>18901</v>
      </c>
      <c r="G8579" s="5" t="str">
        <f>IFERROR(__xludf.DUMMYFUNCTION("GOOGLETRANSLATE(D8579,""pl"",""es"")"),"retirar")</f>
        <v>retirar</v>
      </c>
    </row>
    <row r="8580">
      <c r="A8580" s="4">
        <v>767.0</v>
      </c>
      <c r="B8580" s="4" t="s">
        <v>17419</v>
      </c>
      <c r="C8580" s="4"/>
      <c r="D8580" s="4" t="s">
        <v>17005</v>
      </c>
      <c r="E8580" s="4" t="s">
        <v>17006</v>
      </c>
      <c r="F8580" s="4" t="s">
        <v>17007</v>
      </c>
      <c r="G8580" s="5" t="str">
        <f>IFERROR(__xludf.DUMMYFUNCTION("GOOGLETRANSLATE(D8580,""pl"",""es"")"),"Utah")</f>
        <v>Utah</v>
      </c>
    </row>
    <row r="8581">
      <c r="A8581" s="4">
        <v>768.0</v>
      </c>
      <c r="B8581" s="4" t="s">
        <v>17419</v>
      </c>
      <c r="C8581" s="4"/>
      <c r="D8581" s="4" t="s">
        <v>18902</v>
      </c>
      <c r="E8581" s="4" t="s">
        <v>18903</v>
      </c>
      <c r="F8581" s="4" t="s">
        <v>18902</v>
      </c>
      <c r="G8581" s="5" t="str">
        <f>IFERROR(__xludf.DUMMYFUNCTION("GOOGLETRANSLATE(D8581,""pl"",""es"")"),"nuez")</f>
        <v>nuez</v>
      </c>
    </row>
    <row r="8582">
      <c r="A8582" s="4">
        <v>769.0</v>
      </c>
      <c r="B8582" s="4" t="s">
        <v>17419</v>
      </c>
      <c r="C8582" s="4"/>
      <c r="D8582" s="4" t="s">
        <v>18904</v>
      </c>
      <c r="E8582" s="4" t="s">
        <v>18905</v>
      </c>
      <c r="F8582" s="4" t="s">
        <v>18904</v>
      </c>
      <c r="G8582" s="5" t="str">
        <f>IFERROR(__xludf.DUMMYFUNCTION("GOOGLETRANSLATE(D8582,""pl"",""es"")"),"El sillado")</f>
        <v>El sillado</v>
      </c>
    </row>
    <row r="8583">
      <c r="A8583" s="4">
        <v>770.0</v>
      </c>
      <c r="B8583" s="4" t="s">
        <v>17419</v>
      </c>
      <c r="C8583" s="4"/>
      <c r="D8583" s="4" t="s">
        <v>18906</v>
      </c>
      <c r="E8583" s="4" t="s">
        <v>18907</v>
      </c>
      <c r="F8583" s="4" t="s">
        <v>18906</v>
      </c>
      <c r="G8583" s="5" t="str">
        <f>IFERROR(__xludf.DUMMYFUNCTION("GOOGLETRANSLATE(D8583,""pl"",""es"")"),"abrazo")</f>
        <v>abrazo</v>
      </c>
    </row>
    <row r="8584">
      <c r="A8584" s="4">
        <v>771.0</v>
      </c>
      <c r="B8584" s="4" t="s">
        <v>17419</v>
      </c>
      <c r="C8584" s="4"/>
      <c r="D8584" s="4" t="s">
        <v>18908</v>
      </c>
      <c r="E8584" s="4" t="s">
        <v>18909</v>
      </c>
      <c r="F8584" s="4" t="s">
        <v>18910</v>
      </c>
      <c r="G8584" s="5" t="str">
        <f>IFERROR(__xludf.DUMMYFUNCTION("GOOGLETRANSLATE(D8584,""pl"",""es"")"),"u")</f>
        <v>u</v>
      </c>
    </row>
    <row r="8585">
      <c r="A8585" s="4">
        <v>772.0</v>
      </c>
      <c r="B8585" s="4" t="s">
        <v>17419</v>
      </c>
      <c r="C8585" s="4"/>
      <c r="D8585" s="4" t="s">
        <v>18911</v>
      </c>
      <c r="E8585" s="4" t="s">
        <v>18912</v>
      </c>
      <c r="F8585" s="4" t="s">
        <v>18913</v>
      </c>
      <c r="G8585" s="5" t="str">
        <f>IFERROR(__xludf.DUMMYFUNCTION("GOOGLETRANSLATE(D8585,""pl"",""es"")"),"Youtube")</f>
        <v>Youtube</v>
      </c>
    </row>
    <row r="8586">
      <c r="A8586" s="4">
        <v>773.0</v>
      </c>
      <c r="B8586" s="4" t="s">
        <v>17419</v>
      </c>
      <c r="C8586" s="4"/>
      <c r="D8586" s="4" t="s">
        <v>18914</v>
      </c>
      <c r="E8586" s="4" t="s">
        <v>4669</v>
      </c>
      <c r="F8586" s="4" t="s">
        <v>4668</v>
      </c>
      <c r="G8586" s="5" t="str">
        <f>IFERROR(__xludf.DUMMYFUNCTION("GOOGLETRANSLATE(D8586,""pl"",""es"")"),"eje")</f>
        <v>eje</v>
      </c>
    </row>
    <row r="8587">
      <c r="A8587" s="4">
        <v>1.0</v>
      </c>
      <c r="B8587" s="4" t="s">
        <v>18915</v>
      </c>
      <c r="C8587" s="4"/>
      <c r="D8587" s="4" t="s">
        <v>18916</v>
      </c>
      <c r="E8587" s="4" t="s">
        <v>18917</v>
      </c>
      <c r="F8587" s="4" t="s">
        <v>18918</v>
      </c>
      <c r="G8587" s="5" t="str">
        <f>IFERROR(__xludf.DUMMYFUNCTION("GOOGLETRANSLATE(D8587,""pt"",""es"")"),"piensa eso")</f>
        <v>piensa eso</v>
      </c>
    </row>
    <row r="8588">
      <c r="A8588" s="4">
        <v>2.0</v>
      </c>
      <c r="B8588" s="4" t="s">
        <v>18915</v>
      </c>
      <c r="C8588" s="4"/>
      <c r="D8588" s="4" t="s">
        <v>18919</v>
      </c>
      <c r="E8588" s="4" t="s">
        <v>18920</v>
      </c>
      <c r="F8588" s="4" t="s">
        <v>18921</v>
      </c>
      <c r="G8588" s="5" t="str">
        <f>IFERROR(__xludf.DUMMYFUNCTION("GOOGLETRANSLATE(D8588,""pt"",""es"")"),"pensar")</f>
        <v>pensar</v>
      </c>
    </row>
    <row r="8589">
      <c r="A8589" s="4">
        <v>3.0</v>
      </c>
      <c r="B8589" s="4" t="s">
        <v>18915</v>
      </c>
      <c r="C8589" s="4"/>
      <c r="D8589" s="4" t="s">
        <v>503</v>
      </c>
      <c r="E8589" s="4" t="s">
        <v>504</v>
      </c>
      <c r="F8589" s="4" t="s">
        <v>505</v>
      </c>
      <c r="G8589" s="5" t="str">
        <f>IFERROR(__xludf.DUMMYFUNCTION("GOOGLETRANSLATE(D8589,""pt"",""es"")"),"allá")</f>
        <v>allá</v>
      </c>
      <c r="H8589" s="4" t="s">
        <v>6489</v>
      </c>
      <c r="I8589" s="4" t="s">
        <v>6490</v>
      </c>
      <c r="J8589" s="4" t="s">
        <v>6491</v>
      </c>
      <c r="K8589" s="4" t="s">
        <v>6492</v>
      </c>
      <c r="L8589" s="4" t="s">
        <v>6493</v>
      </c>
      <c r="M8589" s="4" t="s">
        <v>6494</v>
      </c>
      <c r="N8589" s="4" t="s">
        <v>6495</v>
      </c>
      <c r="O8589" s="4" t="s">
        <v>6496</v>
      </c>
      <c r="P8589" s="4" t="s">
        <v>6497</v>
      </c>
      <c r="Q8589" s="4" t="s">
        <v>6498</v>
      </c>
      <c r="R8589" s="4" t="s">
        <v>6499</v>
      </c>
      <c r="S8589" s="4" t="s">
        <v>6500</v>
      </c>
      <c r="T8589" s="4" t="s">
        <v>6488</v>
      </c>
      <c r="U8589" s="4" t="s">
        <v>6501</v>
      </c>
      <c r="V8589" s="4" t="s">
        <v>6502</v>
      </c>
      <c r="W8589" s="4" t="s">
        <v>6503</v>
      </c>
      <c r="X8589" s="4" t="s">
        <v>6504</v>
      </c>
      <c r="Y8589" s="4" t="s">
        <v>6505</v>
      </c>
      <c r="Z8589" s="4" t="s">
        <v>6506</v>
      </c>
      <c r="AA8589" s="4" t="s">
        <v>6507</v>
      </c>
      <c r="AB8589" s="4" t="s">
        <v>6508</v>
      </c>
      <c r="AC8589" s="4" t="s">
        <v>6509</v>
      </c>
      <c r="AD8589" s="4" t="s">
        <v>6510</v>
      </c>
    </row>
    <row r="8590">
      <c r="A8590" s="4">
        <v>4.0</v>
      </c>
      <c r="B8590" s="4" t="s">
        <v>18915</v>
      </c>
      <c r="C8590" s="4"/>
      <c r="D8590" s="4" t="s">
        <v>14299</v>
      </c>
      <c r="E8590" s="4" t="s">
        <v>11785</v>
      </c>
      <c r="F8590" s="4" t="s">
        <v>9204</v>
      </c>
      <c r="G8590" s="5" t="str">
        <f>IFERROR(__xludf.DUMMYFUNCTION("GOOGLETRANSLATE(D8590,""pt"",""es"")"),"AIO")</f>
        <v>AIO</v>
      </c>
    </row>
    <row r="8591">
      <c r="A8591" s="4">
        <v>5.0</v>
      </c>
      <c r="B8591" s="4" t="s">
        <v>18915</v>
      </c>
      <c r="C8591" s="4"/>
      <c r="D8591" s="4" t="s">
        <v>18922</v>
      </c>
      <c r="E8591" s="4" t="s">
        <v>18923</v>
      </c>
      <c r="F8591" s="4" t="s">
        <v>14308</v>
      </c>
      <c r="G8591" s="5" t="str">
        <f>IFERROR(__xludf.DUMMYFUNCTION("GOOGLETRANSLATE(D8591,""pt"",""es"")"),"ajo")</f>
        <v>ajo</v>
      </c>
      <c r="H8591" s="4" t="s">
        <v>526</v>
      </c>
      <c r="I8591" s="4" t="s">
        <v>527</v>
      </c>
      <c r="J8591" s="4" t="s">
        <v>18924</v>
      </c>
      <c r="K8591" s="4" t="s">
        <v>18925</v>
      </c>
      <c r="L8591" s="4" t="s">
        <v>18926</v>
      </c>
      <c r="M8591" s="4" t="s">
        <v>18927</v>
      </c>
      <c r="N8591" s="4" t="s">
        <v>18928</v>
      </c>
      <c r="O8591" s="4" t="s">
        <v>18929</v>
      </c>
      <c r="P8591" s="4" t="s">
        <v>18930</v>
      </c>
      <c r="Q8591" s="4" t="s">
        <v>526</v>
      </c>
      <c r="R8591" s="4" t="s">
        <v>528</v>
      </c>
      <c r="S8591" s="4" t="s">
        <v>526</v>
      </c>
      <c r="T8591" s="4" t="s">
        <v>528</v>
      </c>
    </row>
    <row r="8592">
      <c r="A8592" s="4">
        <v>6.0</v>
      </c>
      <c r="B8592" s="4" t="s">
        <v>18915</v>
      </c>
      <c r="C8592" s="4"/>
      <c r="D8592" s="4" t="s">
        <v>5793</v>
      </c>
      <c r="E8592" s="4" t="s">
        <v>14076</v>
      </c>
      <c r="F8592" s="4" t="s">
        <v>5793</v>
      </c>
      <c r="G8592" s="5" t="str">
        <f>IFERROR(__xludf.DUMMYFUNCTION("GOOGLETRANSLATE(D8592,""pt"",""es"")"),"allá")</f>
        <v>allá</v>
      </c>
      <c r="H8592" s="4" t="s">
        <v>8911</v>
      </c>
      <c r="I8592" s="4" t="s">
        <v>8910</v>
      </c>
      <c r="J8592" s="4" t="s">
        <v>12670</v>
      </c>
      <c r="K8592" s="4" t="s">
        <v>12671</v>
      </c>
      <c r="L8592" s="4" t="s">
        <v>12672</v>
      </c>
    </row>
    <row r="8593">
      <c r="A8593" s="4">
        <v>7.0</v>
      </c>
      <c r="B8593" s="4" t="s">
        <v>18915</v>
      </c>
      <c r="C8593" s="4"/>
      <c r="D8593" s="4" t="s">
        <v>5799</v>
      </c>
      <c r="E8593" s="4" t="s">
        <v>18931</v>
      </c>
      <c r="F8593" s="4" t="s">
        <v>18932</v>
      </c>
      <c r="G8593" s="5" t="str">
        <f>IFERROR(__xludf.DUMMYFUNCTION("GOOGLETRANSLATE(D8593,""pt"",""es"")"),"Alicia")</f>
        <v>Alicia</v>
      </c>
    </row>
    <row r="8594">
      <c r="A8594" s="4">
        <v>8.0</v>
      </c>
      <c r="B8594" s="4" t="s">
        <v>18915</v>
      </c>
      <c r="C8594" s="4"/>
      <c r="D8594" s="4" t="s">
        <v>11619</v>
      </c>
      <c r="E8594" s="4" t="s">
        <v>18933</v>
      </c>
      <c r="F8594" s="4" t="s">
        <v>18934</v>
      </c>
      <c r="G8594" s="5" t="str">
        <f>IFERROR(__xludf.DUMMYFUNCTION("GOOGLETRANSLATE(D8594,""pt"",""es"")"),"Alinear")</f>
        <v>Alinear</v>
      </c>
    </row>
    <row r="8595">
      <c r="A8595" s="4">
        <v>9.0</v>
      </c>
      <c r="B8595" s="4" t="s">
        <v>18915</v>
      </c>
      <c r="C8595" s="4"/>
      <c r="D8595" s="4" t="s">
        <v>18935</v>
      </c>
      <c r="E8595" s="4" t="s">
        <v>509</v>
      </c>
      <c r="F8595" s="4" t="s">
        <v>508</v>
      </c>
      <c r="G8595" s="5" t="str">
        <f>IFERROR(__xludf.DUMMYFUNCTION("GOOGLETRANSLATE(D8595,""pt"",""es"")"),"Alá")</f>
        <v>Alá</v>
      </c>
      <c r="H8595" s="4" t="s">
        <v>18936</v>
      </c>
    </row>
    <row r="8596">
      <c r="A8596" s="4">
        <v>10.0</v>
      </c>
      <c r="B8596" s="4" t="s">
        <v>18915</v>
      </c>
      <c r="C8596" s="4"/>
      <c r="D8596" s="4" t="s">
        <v>17442</v>
      </c>
      <c r="E8596" s="4" t="s">
        <v>18937</v>
      </c>
      <c r="F8596" s="4" t="s">
        <v>17442</v>
      </c>
      <c r="G8596" s="5" t="str">
        <f>IFERROR(__xludf.DUMMYFUNCTION("GOOGLETRANSLATE(D8596,""pt"",""es"")"),"anilina")</f>
        <v>anilina</v>
      </c>
      <c r="H8596" s="4" t="s">
        <v>17445</v>
      </c>
      <c r="I8596" s="4" t="s">
        <v>17446</v>
      </c>
      <c r="J8596" s="4" t="s">
        <v>17447</v>
      </c>
      <c r="K8596" s="4" t="s">
        <v>17448</v>
      </c>
    </row>
    <row r="8597">
      <c r="A8597" s="4">
        <v>11.0</v>
      </c>
      <c r="B8597" s="4" t="s">
        <v>18915</v>
      </c>
      <c r="C8597" s="4"/>
      <c r="D8597" s="4" t="s">
        <v>11685</v>
      </c>
      <c r="E8597" s="4" t="s">
        <v>18938</v>
      </c>
      <c r="F8597" s="4" t="s">
        <v>18939</v>
      </c>
      <c r="G8597" s="5" t="str">
        <f>IFERROR(__xludf.DUMMYFUNCTION("GOOGLETRANSLATE(D8597,""pt"",""es"")"),"anime")</f>
        <v>anime</v>
      </c>
    </row>
    <row r="8598">
      <c r="A8598" s="4">
        <v>12.0</v>
      </c>
      <c r="B8598" s="4" t="s">
        <v>18915</v>
      </c>
      <c r="C8598" s="4"/>
      <c r="D8598" s="4" t="s">
        <v>18940</v>
      </c>
      <c r="E8598" s="4" t="s">
        <v>18941</v>
      </c>
      <c r="F8598" s="4" t="s">
        <v>18942</v>
      </c>
      <c r="G8598" s="5" t="str">
        <f>IFERROR(__xludf.DUMMYFUNCTION("GOOGLETRANSLATE(D8598,""pt"",""es"")"),"apalaches")</f>
        <v>apalaches</v>
      </c>
      <c r="H8598" s="4" t="s">
        <v>11712</v>
      </c>
      <c r="I8598" s="4" t="s">
        <v>11713</v>
      </c>
    </row>
    <row r="8599">
      <c r="A8599" s="4">
        <v>13.0</v>
      </c>
      <c r="B8599" s="4" t="s">
        <v>18915</v>
      </c>
      <c r="C8599" s="4"/>
      <c r="D8599" s="4" t="s">
        <v>18943</v>
      </c>
      <c r="E8599" s="4" t="s">
        <v>18944</v>
      </c>
      <c r="F8599" s="4" t="s">
        <v>18945</v>
      </c>
      <c r="G8599" s="5" t="str">
        <f>IFERROR(__xludf.DUMMYFUNCTION("GOOGLETRANSLATE(D8599,""pt"",""es"")"),"aparato")</f>
        <v>aparato</v>
      </c>
      <c r="H8599" s="4" t="s">
        <v>18946</v>
      </c>
      <c r="I8599" s="4" t="s">
        <v>18947</v>
      </c>
      <c r="J8599" s="4" t="s">
        <v>9811</v>
      </c>
    </row>
    <row r="8600">
      <c r="A8600" s="4">
        <v>14.0</v>
      </c>
      <c r="B8600" s="4" t="s">
        <v>18915</v>
      </c>
      <c r="C8600" s="4"/>
      <c r="D8600" s="4" t="s">
        <v>793</v>
      </c>
      <c r="E8600" s="4" t="s">
        <v>794</v>
      </c>
      <c r="F8600" s="4" t="s">
        <v>793</v>
      </c>
      <c r="G8600" s="5" t="str">
        <f>IFERROR(__xludf.DUMMYFUNCTION("GOOGLETRANSLATE(D8600,""pt"",""es"")"),"investigar")</f>
        <v>investigar</v>
      </c>
      <c r="H8600" s="4" t="s">
        <v>18948</v>
      </c>
      <c r="I8600" s="4" t="s">
        <v>18949</v>
      </c>
      <c r="J8600" s="4" t="s">
        <v>18950</v>
      </c>
      <c r="K8600" s="4" t="s">
        <v>18951</v>
      </c>
    </row>
    <row r="8601">
      <c r="A8601" s="4">
        <v>15.0</v>
      </c>
      <c r="B8601" s="4" t="s">
        <v>18915</v>
      </c>
      <c r="C8601" s="4"/>
      <c r="D8601" s="4" t="s">
        <v>18952</v>
      </c>
      <c r="E8601" s="4" t="s">
        <v>18953</v>
      </c>
      <c r="F8601" s="4" t="s">
        <v>18954</v>
      </c>
      <c r="G8601" s="5" t="str">
        <f>IFERROR(__xludf.DUMMYFUNCTION("GOOGLETRANSLATE(D8601,""pt"",""es"")"),"abuso")</f>
        <v>abuso</v>
      </c>
      <c r="H8601" s="4" t="s">
        <v>18955</v>
      </c>
      <c r="I8601" s="4" t="s">
        <v>18956</v>
      </c>
      <c r="J8601" s="4" t="s">
        <v>18957</v>
      </c>
    </row>
    <row r="8602">
      <c r="A8602" s="4">
        <v>16.0</v>
      </c>
      <c r="B8602" s="4" t="s">
        <v>18915</v>
      </c>
      <c r="C8602" s="4"/>
      <c r="D8602" s="4" t="s">
        <v>18958</v>
      </c>
      <c r="E8602" s="4" t="s">
        <v>18959</v>
      </c>
      <c r="F8602" s="4" t="s">
        <v>18960</v>
      </c>
      <c r="G8602" s="5" t="str">
        <f>IFERROR(__xludf.DUMMYFUNCTION("GOOGLETRANSLATE(D8602,""pt"",""es"")"),"aquí no")</f>
        <v>aquí no</v>
      </c>
    </row>
    <row r="8603">
      <c r="A8603" s="4">
        <v>17.0</v>
      </c>
      <c r="B8603" s="4" t="s">
        <v>18915</v>
      </c>
      <c r="C8603" s="4"/>
      <c r="D8603" s="4" t="s">
        <v>18961</v>
      </c>
      <c r="E8603" s="4" t="s">
        <v>18962</v>
      </c>
      <c r="F8603" s="4" t="s">
        <v>18963</v>
      </c>
      <c r="G8603" s="5" t="str">
        <f>IFERROR(__xludf.DUMMYFUNCTION("GOOGLETRANSLATE(D8603,""pt"",""es"")"),"borde")</f>
        <v>borde</v>
      </c>
      <c r="H8603" s="4" t="s">
        <v>18964</v>
      </c>
      <c r="I8603" s="4" t="s">
        <v>18965</v>
      </c>
      <c r="J8603" s="4" t="s">
        <v>9512</v>
      </c>
      <c r="K8603" s="4" t="s">
        <v>9512</v>
      </c>
    </row>
    <row r="8604">
      <c r="A8604" s="4">
        <v>18.0</v>
      </c>
      <c r="B8604" s="4" t="s">
        <v>18915</v>
      </c>
      <c r="C8604" s="4"/>
      <c r="D8604" s="4" t="s">
        <v>18966</v>
      </c>
      <c r="E8604" s="4" t="s">
        <v>18967</v>
      </c>
      <c r="F8604" s="4" t="s">
        <v>18968</v>
      </c>
      <c r="G8604" s="5" t="str">
        <f>IFERROR(__xludf.DUMMYFUNCTION("GOOGLETRANSLATE(D8604,""pt"",""es"")"),"asesinato")</f>
        <v>asesinato</v>
      </c>
      <c r="H8604" s="4" t="s">
        <v>6420</v>
      </c>
      <c r="I8604" s="4" t="s">
        <v>2570</v>
      </c>
      <c r="J8604" s="4" t="s">
        <v>6421</v>
      </c>
      <c r="K8604" s="4" t="s">
        <v>854</v>
      </c>
      <c r="L8604" s="4" t="s">
        <v>11744</v>
      </c>
      <c r="M8604" s="4" t="s">
        <v>11745</v>
      </c>
      <c r="N8604" s="4" t="s">
        <v>11746</v>
      </c>
      <c r="O8604" s="4" t="s">
        <v>18969</v>
      </c>
      <c r="P8604" s="4" t="s">
        <v>18970</v>
      </c>
      <c r="Q8604" s="4" t="s">
        <v>18971</v>
      </c>
      <c r="R8604" s="4" t="s">
        <v>16066</v>
      </c>
      <c r="S8604" s="4" t="s">
        <v>18972</v>
      </c>
      <c r="T8604" s="4" t="s">
        <v>18973</v>
      </c>
      <c r="U8604" s="4" t="s">
        <v>18974</v>
      </c>
      <c r="V8604" s="4" t="s">
        <v>18975</v>
      </c>
      <c r="W8604" s="4" t="s">
        <v>18976</v>
      </c>
      <c r="X8604" s="4" t="s">
        <v>12255</v>
      </c>
    </row>
    <row r="8605">
      <c r="A8605" s="4">
        <v>19.0</v>
      </c>
      <c r="B8605" s="4" t="s">
        <v>18915</v>
      </c>
      <c r="C8605" s="4"/>
      <c r="D8605" s="4" t="s">
        <v>18977</v>
      </c>
      <c r="E8605" s="4" t="s">
        <v>15678</v>
      </c>
      <c r="F8605" s="4" t="s">
        <v>9347</v>
      </c>
      <c r="G8605" s="5" t="str">
        <f>IFERROR(__xludf.DUMMYFUNCTION("GOOGLETRANSLATE(D8605,""pt"",""es"")"),"roca")</f>
        <v>roca</v>
      </c>
    </row>
    <row r="8606">
      <c r="A8606" s="4">
        <v>20.0</v>
      </c>
      <c r="B8606" s="4" t="s">
        <v>18915</v>
      </c>
      <c r="C8606" s="4"/>
      <c r="D8606" s="4" t="s">
        <v>18978</v>
      </c>
      <c r="E8606" s="4" t="s">
        <v>18979</v>
      </c>
      <c r="F8606" s="4" t="s">
        <v>18980</v>
      </c>
      <c r="G8606" s="5" t="str">
        <f>IFERROR(__xludf.DUMMYFUNCTION("GOOGLETRANSLATE(D8606,""pt"",""es"")"),"atribuir")</f>
        <v>atribuir</v>
      </c>
      <c r="H8606" s="4" t="s">
        <v>18981</v>
      </c>
      <c r="I8606" s="4" t="s">
        <v>18982</v>
      </c>
      <c r="J8606" s="4" t="s">
        <v>18983</v>
      </c>
    </row>
    <row r="8607">
      <c r="A8607" s="4">
        <v>21.0</v>
      </c>
      <c r="B8607" s="4" t="s">
        <v>18915</v>
      </c>
      <c r="C8607" s="4"/>
      <c r="D8607" s="4" t="s">
        <v>18984</v>
      </c>
      <c r="E8607" s="4" t="s">
        <v>11761</v>
      </c>
      <c r="F8607" s="4" t="s">
        <v>11762</v>
      </c>
      <c r="G8607" s="5" t="str">
        <f>IFERROR(__xludf.DUMMYFUNCTION("GOOGLETRANSLATE(D8607,""pt"",""es"")"),"Actuar")</f>
        <v>Actuar</v>
      </c>
      <c r="H8607" s="4" t="s">
        <v>3993</v>
      </c>
      <c r="I8607" s="4" t="s">
        <v>15704</v>
      </c>
      <c r="J8607" s="4" t="s">
        <v>15705</v>
      </c>
      <c r="K8607" s="4" t="s">
        <v>15706</v>
      </c>
      <c r="L8607" s="4" t="s">
        <v>18985</v>
      </c>
      <c r="M8607" s="4" t="s">
        <v>9219</v>
      </c>
      <c r="N8607" s="4" t="s">
        <v>18986</v>
      </c>
      <c r="O8607" s="4" t="s">
        <v>18987</v>
      </c>
      <c r="P8607" s="4" t="s">
        <v>3993</v>
      </c>
      <c r="Q8607" s="4" t="s">
        <v>10236</v>
      </c>
      <c r="R8607" s="4" t="s">
        <v>15704</v>
      </c>
      <c r="S8607" s="4" t="s">
        <v>18988</v>
      </c>
      <c r="T8607" s="4" t="s">
        <v>4599</v>
      </c>
      <c r="U8607" s="4" t="s">
        <v>3993</v>
      </c>
    </row>
    <row r="8608">
      <c r="A8608" s="4">
        <v>22.0</v>
      </c>
      <c r="B8608" s="4" t="s">
        <v>18915</v>
      </c>
      <c r="C8608" s="4"/>
      <c r="D8608" s="4" t="s">
        <v>18989</v>
      </c>
      <c r="E8608" s="4" t="s">
        <v>18990</v>
      </c>
      <c r="F8608" s="4" t="s">
        <v>18991</v>
      </c>
      <c r="G8608" s="5" t="str">
        <f>IFERROR(__xludf.DUMMYFUNCTION("GOOGLETRANSLATE(D8608,""pt"",""es"")"),"tuler")</f>
        <v>tuler</v>
      </c>
    </row>
    <row r="8609">
      <c r="A8609" s="4">
        <v>23.0</v>
      </c>
      <c r="B8609" s="4" t="s">
        <v>18915</v>
      </c>
      <c r="C8609" s="4"/>
      <c r="D8609" s="4" t="s">
        <v>18992</v>
      </c>
      <c r="E8609" s="4" t="s">
        <v>15678</v>
      </c>
      <c r="F8609" s="4" t="s">
        <v>9347</v>
      </c>
      <c r="G8609" s="5" t="str">
        <f>IFERROR(__xludf.DUMMYFUNCTION("GOOGLETRANSLATE(D8609,""pt"",""es"")"),"acero")</f>
        <v>acero</v>
      </c>
      <c r="H8609" s="4" t="s">
        <v>16711</v>
      </c>
      <c r="I8609" s="4" t="s">
        <v>16711</v>
      </c>
    </row>
    <row r="8610">
      <c r="A8610" s="4">
        <v>24.0</v>
      </c>
      <c r="B8610" s="4" t="s">
        <v>18915</v>
      </c>
      <c r="C8610" s="4"/>
      <c r="D8610" s="4" t="s">
        <v>18993</v>
      </c>
      <c r="E8610" s="4" t="s">
        <v>504</v>
      </c>
      <c r="F8610" s="4" t="s">
        <v>505</v>
      </c>
      <c r="G8610" s="5" t="str">
        <f>IFERROR(__xludf.DUMMYFUNCTION("GOOGLETRANSLATE(D8610,""pt"",""es"")"),"poner")</f>
        <v>poner</v>
      </c>
    </row>
    <row r="8611">
      <c r="A8611" s="4">
        <v>25.0</v>
      </c>
      <c r="B8611" s="4" t="s">
        <v>18915</v>
      </c>
      <c r="C8611" s="4"/>
      <c r="D8611" s="4" t="s">
        <v>18994</v>
      </c>
      <c r="E8611" s="4" t="s">
        <v>18995</v>
      </c>
      <c r="F8611" s="4" t="s">
        <v>18996</v>
      </c>
      <c r="G8611" s="5" t="str">
        <f>IFERROR(__xludf.DUMMYFUNCTION("GOOGLETRANSLATE(D8611,""pt"",""es"")"),"espíritu")</f>
        <v>espíritu</v>
      </c>
      <c r="H8611" s="4" t="s">
        <v>18997</v>
      </c>
    </row>
    <row r="8612">
      <c r="A8612" s="4">
        <v>26.0</v>
      </c>
      <c r="B8612" s="4" t="s">
        <v>18915</v>
      </c>
      <c r="C8612" s="4"/>
      <c r="D8612" s="4" t="s">
        <v>496</v>
      </c>
      <c r="E8612" s="4" t="s">
        <v>18998</v>
      </c>
      <c r="F8612" s="4" t="s">
        <v>18999</v>
      </c>
      <c r="G8612" s="5" t="str">
        <f>IFERROR(__xludf.DUMMYFUNCTION("GOOGLETRANSLATE(D8612,""pt"",""es"")"),"cache")</f>
        <v>cache</v>
      </c>
      <c r="H8612" s="4" t="s">
        <v>496</v>
      </c>
      <c r="I8612" s="4" t="s">
        <v>5925</v>
      </c>
      <c r="J8612" s="4" t="s">
        <v>5989</v>
      </c>
      <c r="K8612" s="4" t="s">
        <v>5990</v>
      </c>
      <c r="L8612" s="4" t="s">
        <v>5991</v>
      </c>
    </row>
    <row r="8613">
      <c r="A8613" s="4">
        <v>27.0</v>
      </c>
      <c r="B8613" s="4" t="s">
        <v>18915</v>
      </c>
      <c r="C8613" s="4"/>
      <c r="D8613" s="4" t="s">
        <v>19000</v>
      </c>
      <c r="E8613" s="4" t="s">
        <v>19001</v>
      </c>
      <c r="F8613" s="4" t="s">
        <v>19002</v>
      </c>
      <c r="G8613" s="5" t="str">
        <f>IFERROR(__xludf.DUMMYFUNCTION("GOOGLETRANSLATE(D8613,""pt"",""es"")"),"racimo")</f>
        <v>racimo</v>
      </c>
      <c r="H8613" s="4" t="s">
        <v>3282</v>
      </c>
      <c r="I8613" s="4" t="s">
        <v>8445</v>
      </c>
      <c r="J8613" s="4" t="s">
        <v>8446</v>
      </c>
      <c r="K8613" s="4" t="s">
        <v>8447</v>
      </c>
      <c r="L8613" s="4" t="s">
        <v>19003</v>
      </c>
      <c r="M8613" s="4" t="s">
        <v>19004</v>
      </c>
      <c r="N8613" s="4" t="s">
        <v>7299</v>
      </c>
      <c r="O8613" s="4" t="s">
        <v>19005</v>
      </c>
    </row>
    <row r="8614">
      <c r="A8614" s="4">
        <v>28.0</v>
      </c>
      <c r="B8614" s="4" t="s">
        <v>18915</v>
      </c>
      <c r="C8614" s="4"/>
      <c r="D8614" s="4" t="s">
        <v>19006</v>
      </c>
      <c r="E8614" s="4" t="s">
        <v>19007</v>
      </c>
      <c r="F8614" s="4" t="s">
        <v>19008</v>
      </c>
      <c r="G8614" s="5" t="str">
        <f>IFERROR(__xludf.DUMMYFUNCTION("GOOGLETRANSLATE(D8614,""pt"",""es"")"),"agudo")</f>
        <v>agudo</v>
      </c>
      <c r="H8614" s="4" t="s">
        <v>19009</v>
      </c>
      <c r="I8614" s="4" t="s">
        <v>19010</v>
      </c>
      <c r="J8614" s="4" t="s">
        <v>19011</v>
      </c>
    </row>
    <row r="8615">
      <c r="A8615" s="4">
        <v>29.0</v>
      </c>
      <c r="B8615" s="4" t="s">
        <v>18915</v>
      </c>
      <c r="C8615" s="4"/>
      <c r="D8615" s="4" t="s">
        <v>14116</v>
      </c>
      <c r="E8615" s="4" t="s">
        <v>11951</v>
      </c>
      <c r="F8615" s="4" t="s">
        <v>11811</v>
      </c>
      <c r="G8615" s="5" t="str">
        <f>IFERROR(__xludf.DUMMYFUNCTION("GOOGLETRANSLATE(D8615,""pt"",""es"")"),"caídas")</f>
        <v>caídas</v>
      </c>
    </row>
    <row r="8616">
      <c r="A8616" s="4">
        <v>30.0</v>
      </c>
      <c r="B8616" s="4" t="s">
        <v>18915</v>
      </c>
      <c r="C8616" s="4"/>
      <c r="D8616" s="4" t="s">
        <v>19012</v>
      </c>
      <c r="E8616" s="4" t="s">
        <v>11814</v>
      </c>
      <c r="F8616" s="4" t="s">
        <v>11815</v>
      </c>
      <c r="G8616" s="5" t="str">
        <f>IFERROR(__xludf.DUMMYFUNCTION("GOOGLETRANSLATE(D8616,""pt"",""es"")"),"jaula")</f>
        <v>jaula</v>
      </c>
      <c r="H8616" s="4" t="s">
        <v>19013</v>
      </c>
      <c r="I8616" s="4" t="s">
        <v>19014</v>
      </c>
      <c r="J8616" s="4" t="s">
        <v>19015</v>
      </c>
    </row>
    <row r="8617">
      <c r="A8617" s="4">
        <v>31.0</v>
      </c>
      <c r="B8617" s="4" t="s">
        <v>18915</v>
      </c>
      <c r="C8617" s="4"/>
      <c r="D8617" s="4" t="s">
        <v>1033</v>
      </c>
      <c r="E8617" s="4" t="s">
        <v>1034</v>
      </c>
      <c r="F8617" s="4" t="s">
        <v>1035</v>
      </c>
      <c r="G8617" s="5" t="str">
        <f>IFERROR(__xludf.DUMMYFUNCTION("GOOGLETRANSLATE(D8617,""pt"",""es"")"),"callo")</f>
        <v>callo</v>
      </c>
      <c r="H8617" s="4" t="s">
        <v>1013</v>
      </c>
      <c r="I8617" s="4" t="s">
        <v>1013</v>
      </c>
      <c r="J8617" s="4" t="s">
        <v>11820</v>
      </c>
      <c r="K8617" s="4" t="s">
        <v>1013</v>
      </c>
    </row>
    <row r="8618">
      <c r="A8618" s="4">
        <v>32.0</v>
      </c>
      <c r="B8618" s="4" t="s">
        <v>18915</v>
      </c>
      <c r="C8618" s="4"/>
      <c r="D8618" s="4" t="s">
        <v>11868</v>
      </c>
      <c r="E8618" s="4" t="s">
        <v>19016</v>
      </c>
      <c r="F8618" s="4" t="s">
        <v>19017</v>
      </c>
      <c r="G8618" s="5" t="str">
        <f>IFERROR(__xludf.DUMMYFUNCTION("GOOGLETRANSLATE(D8618,""pt"",""es"")"),"canaca")</f>
        <v>canaca</v>
      </c>
    </row>
    <row r="8619">
      <c r="A8619" s="4">
        <v>33.0</v>
      </c>
      <c r="B8619" s="4" t="s">
        <v>18915</v>
      </c>
      <c r="C8619" s="4"/>
      <c r="D8619" s="4" t="s">
        <v>19018</v>
      </c>
      <c r="E8619" s="4" t="s">
        <v>19019</v>
      </c>
      <c r="F8619" s="4" t="s">
        <v>19020</v>
      </c>
      <c r="G8619" s="5" t="str">
        <f>IFERROR(__xludf.DUMMYFUNCTION("GOOGLETRANSLATE(D8619,""pt"",""es"")"),"Jack")</f>
        <v>Jack</v>
      </c>
    </row>
    <row r="8620">
      <c r="A8620" s="4">
        <v>34.0</v>
      </c>
      <c r="B8620" s="4" t="s">
        <v>18915</v>
      </c>
      <c r="C8620" s="4"/>
      <c r="D8620" s="4" t="s">
        <v>19021</v>
      </c>
      <c r="E8620" s="4" t="s">
        <v>19022</v>
      </c>
      <c r="F8620" s="4" t="s">
        <v>19023</v>
      </c>
      <c r="G8620" s="5" t="str">
        <f>IFERROR(__xludf.DUMMYFUNCTION("GOOGLETRANSLATE(D8620,""pt"",""es"")"),"capucha")</f>
        <v>capucha</v>
      </c>
      <c r="H8620" s="4" t="s">
        <v>17136</v>
      </c>
      <c r="I8620" s="4" t="s">
        <v>5977</v>
      </c>
      <c r="J8620" s="4" t="s">
        <v>17135</v>
      </c>
      <c r="K8620" s="4" t="s">
        <v>17136</v>
      </c>
      <c r="L8620" s="4" t="s">
        <v>17137</v>
      </c>
      <c r="M8620" s="4" t="s">
        <v>5977</v>
      </c>
    </row>
    <row r="8621">
      <c r="A8621" s="4">
        <v>35.0</v>
      </c>
      <c r="B8621" s="4" t="s">
        <v>18915</v>
      </c>
      <c r="C8621" s="4"/>
      <c r="D8621" s="4" t="s">
        <v>1295</v>
      </c>
      <c r="E8621" s="4" t="s">
        <v>1296</v>
      </c>
      <c r="F8621" s="4" t="s">
        <v>1297</v>
      </c>
      <c r="G8621" s="5" t="str">
        <f>IFERROR(__xludf.DUMMYFUNCTION("GOOGLETRANSLATE(D8621,""pt"",""es"")"),"caqui")</f>
        <v>caqui</v>
      </c>
      <c r="H8621" s="4" t="s">
        <v>1299</v>
      </c>
      <c r="I8621" s="4" t="s">
        <v>1299</v>
      </c>
      <c r="J8621" s="4" t="s">
        <v>1300</v>
      </c>
      <c r="K8621" s="4" t="s">
        <v>6396</v>
      </c>
      <c r="L8621" s="4" t="s">
        <v>1297</v>
      </c>
      <c r="M8621" s="4" t="s">
        <v>6397</v>
      </c>
      <c r="N8621" s="4" t="s">
        <v>6396</v>
      </c>
      <c r="O8621" s="4" t="s">
        <v>1297</v>
      </c>
      <c r="P8621" s="4" t="s">
        <v>6397</v>
      </c>
    </row>
    <row r="8622">
      <c r="A8622" s="4">
        <v>36.0</v>
      </c>
      <c r="B8622" s="4" t="s">
        <v>18915</v>
      </c>
      <c r="C8622" s="4"/>
      <c r="D8622" s="4" t="s">
        <v>1322</v>
      </c>
      <c r="E8622" s="4" t="s">
        <v>1323</v>
      </c>
      <c r="F8622" s="4" t="s">
        <v>1324</v>
      </c>
      <c r="G8622" s="5" t="str">
        <f>IFERROR(__xludf.DUMMYFUNCTION("GOOGLETRANSLATE(D8622,""pt"",""es"")"),"caricatura")</f>
        <v>caricatura</v>
      </c>
      <c r="H8622" s="4" t="s">
        <v>1325</v>
      </c>
      <c r="I8622" s="4" t="s">
        <v>1326</v>
      </c>
      <c r="J8622" s="4" t="s">
        <v>1327</v>
      </c>
      <c r="K8622" s="4" t="s">
        <v>1325</v>
      </c>
      <c r="L8622" s="4" t="s">
        <v>1326</v>
      </c>
      <c r="M8622" s="4" t="s">
        <v>1327</v>
      </c>
      <c r="N8622" s="4" t="s">
        <v>14828</v>
      </c>
      <c r="O8622" s="4" t="s">
        <v>14831</v>
      </c>
    </row>
    <row r="8623">
      <c r="A8623" s="4">
        <v>37.0</v>
      </c>
      <c r="B8623" s="4" t="s">
        <v>18915</v>
      </c>
      <c r="C8623" s="4"/>
      <c r="D8623" s="4" t="s">
        <v>14351</v>
      </c>
      <c r="E8623" s="4" t="s">
        <v>19024</v>
      </c>
      <c r="F8623" s="4" t="s">
        <v>14353</v>
      </c>
      <c r="G8623" s="5" t="str">
        <f>IFERROR(__xludf.DUMMYFUNCTION("GOOGLETRANSLATE(D8623,""pt"",""es"")"),"caro")</f>
        <v>caro</v>
      </c>
      <c r="H8623" s="4" t="s">
        <v>1304</v>
      </c>
      <c r="I8623" s="4" t="s">
        <v>13997</v>
      </c>
      <c r="J8623" s="4" t="s">
        <v>6556</v>
      </c>
      <c r="K8623" s="4" t="s">
        <v>13998</v>
      </c>
      <c r="L8623" s="4" t="s">
        <v>13999</v>
      </c>
      <c r="M8623" s="4" t="s">
        <v>14000</v>
      </c>
      <c r="N8623" s="4" t="s">
        <v>14001</v>
      </c>
      <c r="O8623" s="4" t="s">
        <v>13997</v>
      </c>
      <c r="P8623" s="4" t="s">
        <v>14002</v>
      </c>
      <c r="Q8623" s="4" t="s">
        <v>5680</v>
      </c>
      <c r="R8623" s="4" t="s">
        <v>6556</v>
      </c>
    </row>
    <row r="8624">
      <c r="A8624" s="4">
        <v>38.0</v>
      </c>
      <c r="B8624" s="4" t="s">
        <v>18915</v>
      </c>
      <c r="C8624" s="4"/>
      <c r="D8624" s="4" t="s">
        <v>19025</v>
      </c>
      <c r="E8624" s="4" t="s">
        <v>1306</v>
      </c>
      <c r="F8624" s="4" t="s">
        <v>1307</v>
      </c>
      <c r="G8624" s="5" t="str">
        <f>IFERROR(__xludf.DUMMYFUNCTION("GOOGLETRANSLATE(D8624,""pt"",""es"")"),"cara")</f>
        <v>cara</v>
      </c>
    </row>
    <row r="8625">
      <c r="A8625" s="4">
        <v>39.0</v>
      </c>
      <c r="B8625" s="4" t="s">
        <v>18915</v>
      </c>
      <c r="C8625" s="4"/>
      <c r="D8625" s="4" t="s">
        <v>1334</v>
      </c>
      <c r="E8625" s="4" t="s">
        <v>1335</v>
      </c>
      <c r="F8625" s="4" t="s">
        <v>1336</v>
      </c>
      <c r="G8625" s="5" t="str">
        <f>IFERROR(__xludf.DUMMYFUNCTION("GOOGLETRANSLATE(D8625,""pt"",""es"")"),"casta")</f>
        <v>casta</v>
      </c>
    </row>
    <row r="8626">
      <c r="A8626" s="4">
        <v>40.0</v>
      </c>
      <c r="B8626" s="4" t="s">
        <v>18915</v>
      </c>
      <c r="C8626" s="4"/>
      <c r="D8626" s="4" t="s">
        <v>19026</v>
      </c>
      <c r="E8626" s="4" t="s">
        <v>19027</v>
      </c>
      <c r="F8626" s="4" t="s">
        <v>19028</v>
      </c>
      <c r="G8626" s="5" t="str">
        <f>IFERROR(__xludf.DUMMYFUNCTION("GOOGLETRANSLATE(D8626,""pt"",""es"")"),"casino")</f>
        <v>casino</v>
      </c>
      <c r="H8626" s="4" t="s">
        <v>19029</v>
      </c>
      <c r="I8626" s="4" t="s">
        <v>19030</v>
      </c>
    </row>
    <row r="8627">
      <c r="A8627" s="4">
        <v>41.0</v>
      </c>
      <c r="B8627" s="4" t="s">
        <v>18915</v>
      </c>
      <c r="C8627" s="4"/>
      <c r="D8627" s="4" t="s">
        <v>19031</v>
      </c>
      <c r="E8627" s="4" t="s">
        <v>9104</v>
      </c>
      <c r="F8627" s="4" t="s">
        <v>9103</v>
      </c>
      <c r="G8627" s="5" t="str">
        <f>IFERROR(__xludf.DUMMYFUNCTION("GOOGLETRANSLATE(D8627,""pt"",""es"")"),"Cato")</f>
        <v>Cato</v>
      </c>
    </row>
    <row r="8628">
      <c r="A8628" s="4">
        <v>42.0</v>
      </c>
      <c r="B8628" s="4" t="s">
        <v>18915</v>
      </c>
      <c r="C8628" s="4"/>
      <c r="D8628" s="4" t="s">
        <v>1376</v>
      </c>
      <c r="E8628" s="4" t="s">
        <v>1377</v>
      </c>
      <c r="F8628" s="4" t="s">
        <v>1378</v>
      </c>
      <c r="G8628" s="5" t="str">
        <f>IFERROR(__xludf.DUMMYFUNCTION("GOOGLETRANSLATE(D8628,""pt"",""es"")"),"esquina")</f>
        <v>esquina</v>
      </c>
    </row>
    <row r="8629">
      <c r="A8629" s="4">
        <v>43.0</v>
      </c>
      <c r="B8629" s="4" t="s">
        <v>18915</v>
      </c>
      <c r="C8629" s="4"/>
      <c r="D8629" s="4" t="s">
        <v>19032</v>
      </c>
      <c r="E8629" s="4" t="s">
        <v>19033</v>
      </c>
      <c r="F8629" s="4" t="s">
        <v>19034</v>
      </c>
      <c r="G8629" s="5" t="str">
        <f>IFERROR(__xludf.DUMMYFUNCTION("GOOGLETRANSLATE(D8629,""pt"",""es"")"),"sacrificio")</f>
        <v>sacrificio</v>
      </c>
    </row>
    <row r="8630">
      <c r="A8630" s="4">
        <v>44.0</v>
      </c>
      <c r="B8630" s="4" t="s">
        <v>18915</v>
      </c>
      <c r="C8630" s="4"/>
      <c r="D8630" s="4" t="s">
        <v>19035</v>
      </c>
      <c r="E8630" s="4" t="s">
        <v>4684</v>
      </c>
      <c r="F8630" s="4" t="s">
        <v>4685</v>
      </c>
      <c r="G8630" s="5" t="str">
        <f>IFERROR(__xludf.DUMMYFUNCTION("GOOGLETRANSLATE(D8630,""pt"",""es"")"),"irritante")</f>
        <v>irritante</v>
      </c>
      <c r="H8630" s="4" t="s">
        <v>19036</v>
      </c>
      <c r="I8630" s="4" t="s">
        <v>19037</v>
      </c>
      <c r="J8630" s="4" t="s">
        <v>3225</v>
      </c>
      <c r="K8630" s="4" t="s">
        <v>19038</v>
      </c>
      <c r="L8630" s="4" t="s">
        <v>19039</v>
      </c>
      <c r="M8630" s="4" t="s">
        <v>3228</v>
      </c>
      <c r="N8630" s="4" t="s">
        <v>19040</v>
      </c>
      <c r="O8630" s="4" t="s">
        <v>19041</v>
      </c>
      <c r="P8630" s="4" t="s">
        <v>19042</v>
      </c>
      <c r="Q8630" s="4" t="s">
        <v>2339</v>
      </c>
      <c r="R8630" s="4" t="s">
        <v>19043</v>
      </c>
      <c r="S8630" s="4" t="s">
        <v>19044</v>
      </c>
    </row>
    <row r="8631">
      <c r="A8631" s="4">
        <v>45.0</v>
      </c>
      <c r="B8631" s="4" t="s">
        <v>18915</v>
      </c>
      <c r="C8631" s="4"/>
      <c r="D8631" s="4" t="s">
        <v>19045</v>
      </c>
      <c r="E8631" s="4" t="s">
        <v>19046</v>
      </c>
      <c r="F8631" s="4" t="s">
        <v>19047</v>
      </c>
      <c r="G8631" s="5" t="str">
        <f>IFERROR(__xludf.DUMMYFUNCTION("GOOGLETRANSLATE(D8631,""pt"",""es"")"),"chicho")</f>
        <v>chicho</v>
      </c>
    </row>
    <row r="8632">
      <c r="A8632" s="4">
        <v>46.0</v>
      </c>
      <c r="B8632" s="4" t="s">
        <v>18915</v>
      </c>
      <c r="C8632" s="4"/>
      <c r="D8632" s="4" t="s">
        <v>19048</v>
      </c>
      <c r="E8632" s="4" t="s">
        <v>19049</v>
      </c>
      <c r="F8632" s="4" t="s">
        <v>19050</v>
      </c>
      <c r="G8632" s="5" t="str">
        <f>IFERROR(__xludf.DUMMYFUNCTION("GOOGLETRANSLATE(D8632,""pt"",""es"")"),"Chico")</f>
        <v>Chico</v>
      </c>
    </row>
    <row r="8633">
      <c r="A8633" s="4">
        <v>47.0</v>
      </c>
      <c r="B8633" s="4" t="s">
        <v>18915</v>
      </c>
      <c r="C8633" s="4"/>
      <c r="D8633" s="4" t="s">
        <v>19051</v>
      </c>
      <c r="E8633" s="4" t="s">
        <v>19052</v>
      </c>
      <c r="F8633" s="4" t="s">
        <v>12114</v>
      </c>
      <c r="G8633" s="5" t="str">
        <f>IFERROR(__xludf.DUMMYFUNCTION("GOOGLETRANSLATE(D8633,""pt"",""es"")"),"chuca")</f>
        <v>chuca</v>
      </c>
    </row>
    <row r="8634">
      <c r="A8634" s="4">
        <v>48.0</v>
      </c>
      <c r="B8634" s="4" t="s">
        <v>18915</v>
      </c>
      <c r="C8634" s="4"/>
      <c r="D8634" s="4" t="s">
        <v>19053</v>
      </c>
      <c r="E8634" s="4" t="s">
        <v>19054</v>
      </c>
      <c r="F8634" s="4" t="s">
        <v>19055</v>
      </c>
      <c r="G8634" s="5" t="str">
        <f>IFERROR(__xludf.DUMMYFUNCTION("GOOGLETRANSLATE(D8634,""pt"",""es"")"),"Pendiente")</f>
        <v>Pendiente</v>
      </c>
      <c r="H8634" s="4" t="s">
        <v>19056</v>
      </c>
      <c r="I8634" s="4" t="s">
        <v>19057</v>
      </c>
      <c r="J8634" s="4" t="s">
        <v>19058</v>
      </c>
      <c r="K8634" s="4" t="s">
        <v>19059</v>
      </c>
      <c r="L8634" s="4" t="s">
        <v>19060</v>
      </c>
      <c r="M8634" s="4" t="s">
        <v>19061</v>
      </c>
      <c r="N8634" s="4" t="s">
        <v>19062</v>
      </c>
    </row>
    <row r="8635">
      <c r="A8635" s="4">
        <v>49.0</v>
      </c>
      <c r="B8635" s="4" t="s">
        <v>18915</v>
      </c>
      <c r="C8635" s="4"/>
      <c r="D8635" s="4" t="s">
        <v>19063</v>
      </c>
      <c r="E8635" s="4" t="s">
        <v>19064</v>
      </c>
      <c r="F8635" s="4" t="s">
        <v>19065</v>
      </c>
      <c r="G8635" s="5" t="str">
        <f>IFERROR(__xludf.DUMMYFUNCTION("GOOGLETRANSLATE(D8635,""pt"",""es"")"),"taco")</f>
        <v>taco</v>
      </c>
      <c r="H8635" s="4" t="s">
        <v>19066</v>
      </c>
      <c r="I8635" s="4" t="s">
        <v>19067</v>
      </c>
      <c r="J8635" s="4" t="s">
        <v>19068</v>
      </c>
    </row>
    <row r="8636">
      <c r="A8636" s="4">
        <v>50.0</v>
      </c>
      <c r="B8636" s="4" t="s">
        <v>18915</v>
      </c>
      <c r="C8636" s="4"/>
      <c r="D8636" s="4" t="s">
        <v>19069</v>
      </c>
      <c r="E8636" s="4" t="s">
        <v>19070</v>
      </c>
      <c r="F8636" s="4" t="s">
        <v>19071</v>
      </c>
      <c r="G8636" s="5" t="str">
        <f>IFERROR(__xludf.DUMMYFUNCTION("GOOGLETRANSLATE(D8636,""pt"",""es"")"),"patada")</f>
        <v>patada</v>
      </c>
    </row>
    <row r="8637">
      <c r="A8637" s="4">
        <v>51.0</v>
      </c>
      <c r="B8637" s="4" t="s">
        <v>18915</v>
      </c>
      <c r="C8637" s="4"/>
      <c r="D8637" s="4" t="s">
        <v>19072</v>
      </c>
      <c r="E8637" s="4" t="s">
        <v>19073</v>
      </c>
      <c r="F8637" s="4" t="s">
        <v>19074</v>
      </c>
      <c r="G8637" s="5" t="str">
        <f>IFERROR(__xludf.DUMMYFUNCTION("GOOGLETRANSLATE(D8637,""pt"",""es"")"),"espinilla")</f>
        <v>espinilla</v>
      </c>
      <c r="H8637" s="4" t="s">
        <v>3466</v>
      </c>
    </row>
    <row r="8638">
      <c r="A8638" s="4">
        <v>52.0</v>
      </c>
      <c r="B8638" s="4" t="s">
        <v>18915</v>
      </c>
      <c r="C8638" s="4"/>
      <c r="D8638" s="4" t="s">
        <v>19075</v>
      </c>
      <c r="E8638" s="4" t="s">
        <v>4671</v>
      </c>
      <c r="F8638" s="4" t="s">
        <v>4672</v>
      </c>
      <c r="G8638" s="5" t="str">
        <f>IFERROR(__xludf.DUMMYFUNCTION("GOOGLETRANSLATE(D8638,""pt"",""es"")"),"té")</f>
        <v>té</v>
      </c>
      <c r="H8638" s="4" t="s">
        <v>8821</v>
      </c>
      <c r="I8638" s="4" t="s">
        <v>8825</v>
      </c>
      <c r="J8638" s="4" t="s">
        <v>8821</v>
      </c>
      <c r="K8638" s="4" t="s">
        <v>19076</v>
      </c>
      <c r="L8638" s="4" t="s">
        <v>19077</v>
      </c>
      <c r="M8638" s="4" t="s">
        <v>19078</v>
      </c>
      <c r="N8638" s="4" t="s">
        <v>19079</v>
      </c>
      <c r="O8638" s="4" t="s">
        <v>19080</v>
      </c>
      <c r="P8638" s="4" t="s">
        <v>19081</v>
      </c>
    </row>
    <row r="8639">
      <c r="A8639" s="4">
        <v>53.0</v>
      </c>
      <c r="B8639" s="4" t="s">
        <v>18915</v>
      </c>
      <c r="C8639" s="4"/>
      <c r="D8639" s="4" t="s">
        <v>19082</v>
      </c>
      <c r="E8639" s="4" t="s">
        <v>19083</v>
      </c>
      <c r="F8639" s="4" t="s">
        <v>19084</v>
      </c>
      <c r="G8639" s="5" t="str">
        <f>IFERROR(__xludf.DUMMYFUNCTION("GOOGLETRANSLATE(D8639,""pt"",""es"")"),"Cirilo")</f>
        <v>Cirilo</v>
      </c>
    </row>
    <row r="8640">
      <c r="A8640" s="4">
        <v>54.0</v>
      </c>
      <c r="B8640" s="4" t="s">
        <v>18915</v>
      </c>
      <c r="C8640" s="4"/>
      <c r="D8640" s="4" t="s">
        <v>1446</v>
      </c>
      <c r="E8640" s="4" t="s">
        <v>1447</v>
      </c>
      <c r="F8640" s="4" t="s">
        <v>1448</v>
      </c>
      <c r="G8640" s="5" t="str">
        <f>IFERROR(__xludf.DUMMYFUNCTION("GOOGLETRANSLATE(D8640,""pt"",""es"")"),"citado")</f>
        <v>citado</v>
      </c>
    </row>
    <row r="8641">
      <c r="A8641" s="4">
        <v>55.0</v>
      </c>
      <c r="B8641" s="4" t="s">
        <v>18915</v>
      </c>
      <c r="C8641" s="4"/>
      <c r="D8641" s="4" t="s">
        <v>19085</v>
      </c>
      <c r="E8641" s="4" t="s">
        <v>19086</v>
      </c>
      <c r="F8641" s="4" t="s">
        <v>19087</v>
      </c>
      <c r="G8641" s="5" t="str">
        <f>IFERROR(__xludf.DUMMYFUNCTION("GOOGLETRANSLATE(D8641,""pt"",""es"")"),"susurro")</f>
        <v>susurro</v>
      </c>
      <c r="H8641" s="4" t="s">
        <v>9876</v>
      </c>
      <c r="I8641" s="4" t="s">
        <v>9877</v>
      </c>
      <c r="J8641" s="4" t="s">
        <v>19088</v>
      </c>
      <c r="K8641" s="4" t="s">
        <v>19089</v>
      </c>
    </row>
    <row r="8642">
      <c r="A8642" s="4">
        <v>56.0</v>
      </c>
      <c r="B8642" s="4" t="s">
        <v>18915</v>
      </c>
      <c r="C8642" s="4"/>
      <c r="D8642" s="4" t="s">
        <v>1554</v>
      </c>
      <c r="E8642" s="4" t="s">
        <v>1555</v>
      </c>
      <c r="F8642" s="4" t="s">
        <v>1556</v>
      </c>
      <c r="G8642" s="5" t="str">
        <f>IFERROR(__xludf.DUMMYFUNCTION("GOOGLETRANSLATE(D8642,""pt"",""es"")"),"Galleta")</f>
        <v>Galleta</v>
      </c>
      <c r="H8642" s="4" t="s">
        <v>1554</v>
      </c>
      <c r="I8642" s="4" t="s">
        <v>6087</v>
      </c>
      <c r="J8642" s="4" t="s">
        <v>6088</v>
      </c>
    </row>
    <row r="8643">
      <c r="A8643" s="4">
        <v>57.0</v>
      </c>
      <c r="B8643" s="4" t="s">
        <v>18915</v>
      </c>
      <c r="C8643" s="4"/>
      <c r="D8643" s="4" t="s">
        <v>8245</v>
      </c>
      <c r="E8643" s="4" t="s">
        <v>1674</v>
      </c>
      <c r="F8643" s="4" t="s">
        <v>1675</v>
      </c>
      <c r="G8643" s="5" t="str">
        <f>IFERROR(__xludf.DUMMYFUNCTION("GOOGLETRANSLATE(D8643,""pt"",""es"")"),"pretina")</f>
        <v>pretina</v>
      </c>
    </row>
    <row r="8644">
      <c r="A8644" s="4">
        <v>58.0</v>
      </c>
      <c r="B8644" s="4" t="s">
        <v>18915</v>
      </c>
      <c r="C8644" s="4"/>
      <c r="D8644" s="4" t="s">
        <v>1580</v>
      </c>
      <c r="E8644" s="4" t="s">
        <v>1581</v>
      </c>
      <c r="F8644" s="4" t="s">
        <v>1582</v>
      </c>
      <c r="G8644" s="5" t="str">
        <f>IFERROR(__xludf.DUMMYFUNCTION("GOOGLETRANSLATE(D8644,""pt"",""es"")"),"culo")</f>
        <v>culo</v>
      </c>
      <c r="H8644" s="4" t="s">
        <v>1602</v>
      </c>
      <c r="I8644" s="4" t="s">
        <v>1603</v>
      </c>
      <c r="J8644" s="4" t="s">
        <v>1604</v>
      </c>
      <c r="K8644" s="4" t="s">
        <v>1605</v>
      </c>
      <c r="L8644" s="4" t="s">
        <v>1606</v>
      </c>
      <c r="M8644" s="4" t="s">
        <v>1147</v>
      </c>
      <c r="N8644" s="4" t="s">
        <v>1607</v>
      </c>
      <c r="O8644" s="4" t="s">
        <v>1120</v>
      </c>
      <c r="P8644" s="4" t="s">
        <v>1608</v>
      </c>
      <c r="Q8644" s="4" t="s">
        <v>1609</v>
      </c>
      <c r="R8644" s="4" t="s">
        <v>1610</v>
      </c>
      <c r="S8644" s="4" t="s">
        <v>1611</v>
      </c>
      <c r="T8644" s="4" t="s">
        <v>1612</v>
      </c>
      <c r="U8644" s="4" t="s">
        <v>1613</v>
      </c>
      <c r="V8644" s="4" t="s">
        <v>1614</v>
      </c>
      <c r="W8644" s="4" t="s">
        <v>1615</v>
      </c>
      <c r="X8644" s="4" t="s">
        <v>1616</v>
      </c>
      <c r="Y8644" s="4" t="s">
        <v>1617</v>
      </c>
      <c r="Z8644" s="4" t="s">
        <v>1618</v>
      </c>
      <c r="AA8644" s="4" t="s">
        <v>1619</v>
      </c>
      <c r="AB8644" s="4" t="s">
        <v>1620</v>
      </c>
      <c r="AC8644" s="4" t="s">
        <v>1621</v>
      </c>
      <c r="AD8644" s="4" t="s">
        <v>1622</v>
      </c>
      <c r="AE8644" s="4" t="s">
        <v>1623</v>
      </c>
      <c r="AF8644" s="4" t="s">
        <v>1624</v>
      </c>
      <c r="AG8644" s="4" t="s">
        <v>1625</v>
      </c>
      <c r="AH8644" s="4" t="s">
        <v>1626</v>
      </c>
      <c r="AI8644" s="4" t="s">
        <v>1627</v>
      </c>
    </row>
    <row r="8645">
      <c r="A8645" s="4">
        <v>59.0</v>
      </c>
      <c r="B8645" s="4" t="s">
        <v>18915</v>
      </c>
      <c r="C8645" s="4"/>
      <c r="D8645" s="4" t="s">
        <v>19090</v>
      </c>
      <c r="E8645" s="4" t="s">
        <v>19091</v>
      </c>
      <c r="F8645" s="4" t="s">
        <v>19092</v>
      </c>
      <c r="G8645" s="5" t="str">
        <f>IFERROR(__xludf.DUMMYFUNCTION("GOOGLETRANSLATE(D8645,""pt"",""es"")"),"curar")</f>
        <v>curar</v>
      </c>
    </row>
    <row r="8646">
      <c r="A8646" s="4">
        <v>60.0</v>
      </c>
      <c r="B8646" s="4" t="s">
        <v>18915</v>
      </c>
      <c r="C8646" s="4"/>
      <c r="D8646" s="4" t="s">
        <v>1690</v>
      </c>
      <c r="E8646" s="4" t="s">
        <v>1674</v>
      </c>
      <c r="F8646" s="4" t="s">
        <v>1675</v>
      </c>
      <c r="G8646" s="5" t="str">
        <f>IFERROR(__xludf.DUMMYFUNCTION("GOOGLETRANSLATE(D8646,""pt"",""es"")"),"costo")</f>
        <v>costo</v>
      </c>
    </row>
    <row r="8647">
      <c r="A8647" s="4">
        <v>61.0</v>
      </c>
      <c r="B8647" s="4" t="s">
        <v>18915</v>
      </c>
      <c r="C8647" s="4"/>
      <c r="D8647" s="4" t="s">
        <v>19093</v>
      </c>
      <c r="E8647" s="4" t="s">
        <v>961</v>
      </c>
      <c r="F8647" s="4" t="s">
        <v>962</v>
      </c>
      <c r="G8647" s="5" t="str">
        <f>IFERROR(__xludf.DUMMYFUNCTION("GOOGLETRANSLATE(D8647,""pt"",""es"")"),"aquí")</f>
        <v>aquí</v>
      </c>
      <c r="H8647" s="4" t="s">
        <v>12448</v>
      </c>
      <c r="I8647" s="4" t="s">
        <v>12389</v>
      </c>
    </row>
    <row r="8648">
      <c r="A8648" s="4">
        <v>62.0</v>
      </c>
      <c r="B8648" s="4" t="s">
        <v>18915</v>
      </c>
      <c r="C8648" s="4"/>
      <c r="D8648" s="4" t="s">
        <v>19094</v>
      </c>
      <c r="E8648" s="4" t="s">
        <v>1296</v>
      </c>
      <c r="F8648" s="4" t="s">
        <v>1297</v>
      </c>
      <c r="G8648" s="5" t="str">
        <f>IFERROR(__xludf.DUMMYFUNCTION("GOOGLETRANSLATE(D8648,""pt"",""es"")"),"caqui")</f>
        <v>caqui</v>
      </c>
    </row>
    <row r="8649">
      <c r="A8649" s="4">
        <v>63.0</v>
      </c>
      <c r="B8649" s="4" t="s">
        <v>18915</v>
      </c>
      <c r="C8649" s="4"/>
      <c r="D8649" s="4" t="s">
        <v>19095</v>
      </c>
      <c r="E8649" s="4" t="s">
        <v>19096</v>
      </c>
      <c r="F8649" s="4" t="s">
        <v>19097</v>
      </c>
      <c r="G8649" s="5" t="str">
        <f>IFERROR(__xludf.DUMMYFUNCTION("GOOGLETRANSLATE(D8649,""pt"",""es"")"),"caries")</f>
        <v>caries</v>
      </c>
      <c r="H8649" s="4" t="s">
        <v>19098</v>
      </c>
      <c r="I8649" s="4" t="s">
        <v>19099</v>
      </c>
      <c r="J8649" s="4" t="s">
        <v>19100</v>
      </c>
      <c r="K8649" s="4" t="s">
        <v>19101</v>
      </c>
    </row>
    <row r="8650">
      <c r="A8650" s="4">
        <v>64.0</v>
      </c>
      <c r="B8650" s="4" t="s">
        <v>18915</v>
      </c>
      <c r="C8650" s="4"/>
      <c r="D8650" s="4" t="s">
        <v>19102</v>
      </c>
      <c r="E8650" s="4" t="s">
        <v>19103</v>
      </c>
      <c r="F8650" s="4" t="s">
        <v>14399</v>
      </c>
      <c r="G8650" s="5" t="str">
        <f>IFERROR(__xludf.DUMMYFUNCTION("GOOGLETRANSLATE(D8650,""pt"",""es"")"),"himno")</f>
        <v>himno</v>
      </c>
      <c r="H8650" s="4" t="s">
        <v>6321</v>
      </c>
      <c r="I8650" s="4" t="s">
        <v>6322</v>
      </c>
      <c r="J8650" s="4" t="s">
        <v>6322</v>
      </c>
    </row>
    <row r="8651">
      <c r="A8651" s="4">
        <v>65.0</v>
      </c>
      <c r="B8651" s="4" t="s">
        <v>18915</v>
      </c>
      <c r="C8651" s="4"/>
      <c r="D8651" s="4" t="s">
        <v>19104</v>
      </c>
      <c r="E8651" s="4" t="s">
        <v>19105</v>
      </c>
      <c r="F8651" s="4" t="s">
        <v>19106</v>
      </c>
      <c r="G8651" s="5" t="str">
        <f>IFERROR(__xludf.DUMMYFUNCTION("GOOGLETRANSLATE(D8651,""pt"",""es"")"),"humor")</f>
        <v>humor</v>
      </c>
    </row>
    <row r="8652">
      <c r="A8652" s="4">
        <v>66.0</v>
      </c>
      <c r="B8652" s="4" t="s">
        <v>18915</v>
      </c>
      <c r="C8652" s="4"/>
      <c r="D8652" s="4" t="s">
        <v>19107</v>
      </c>
      <c r="E8652" s="4" t="s">
        <v>12375</v>
      </c>
      <c r="F8652" s="4" t="s">
        <v>12376</v>
      </c>
      <c r="G8652" s="5" t="str">
        <f>IFERROR(__xludf.DUMMYFUNCTION("GOOGLETRANSLATE(D8652,""pt"",""es"")"),"humus")</f>
        <v>humus</v>
      </c>
      <c r="H8652" s="4" t="s">
        <v>9554</v>
      </c>
    </row>
    <row r="8653">
      <c r="A8653" s="4">
        <v>67.0</v>
      </c>
      <c r="B8653" s="4" t="s">
        <v>18915</v>
      </c>
      <c r="C8653" s="4"/>
      <c r="D8653" s="4" t="s">
        <v>19107</v>
      </c>
      <c r="E8653" s="4" t="s">
        <v>19108</v>
      </c>
      <c r="F8653" s="4" t="s">
        <v>19109</v>
      </c>
      <c r="G8653" s="5" t="str">
        <f>IFERROR(__xludf.DUMMYFUNCTION("GOOGLETRANSLATE(D8653,""pt"",""es"")"),"humus")</f>
        <v>humus</v>
      </c>
      <c r="H8653" s="4" t="s">
        <v>9554</v>
      </c>
    </row>
    <row r="8654">
      <c r="A8654" s="4">
        <v>68.0</v>
      </c>
      <c r="B8654" s="4" t="s">
        <v>18915</v>
      </c>
      <c r="C8654" s="4"/>
      <c r="D8654" s="4" t="s">
        <v>19110</v>
      </c>
      <c r="E8654" s="4" t="s">
        <v>1984</v>
      </c>
      <c r="F8654" s="4" t="s">
        <v>1983</v>
      </c>
      <c r="G8654" s="5" t="str">
        <f>IFERROR(__xludf.DUMMYFUNCTION("GOOGLETRANSLATE(D8654,""pt"",""es"")"),"voluntad")</f>
        <v>voluntad</v>
      </c>
    </row>
    <row r="8655">
      <c r="A8655" s="4">
        <v>69.0</v>
      </c>
      <c r="B8655" s="4" t="s">
        <v>18915</v>
      </c>
      <c r="C8655" s="4"/>
      <c r="D8655" s="4" t="s">
        <v>301</v>
      </c>
      <c r="E8655" s="4" t="s">
        <v>300</v>
      </c>
      <c r="F8655" s="4" t="s">
        <v>301</v>
      </c>
      <c r="G8655" s="5" t="str">
        <f>IFERROR(__xludf.DUMMYFUNCTION("GOOGLETRANSLATE(D8655,""pt"",""es"")"),"es")</f>
        <v>es</v>
      </c>
    </row>
    <row r="8656">
      <c r="A8656" s="4">
        <v>70.0</v>
      </c>
      <c r="B8656" s="4" t="s">
        <v>18915</v>
      </c>
      <c r="C8656" s="4"/>
      <c r="D8656" s="4" t="s">
        <v>19111</v>
      </c>
      <c r="E8656" s="4" t="s">
        <v>19112</v>
      </c>
      <c r="F8656" s="4" t="s">
        <v>14416</v>
      </c>
      <c r="G8656" s="5" t="str">
        <f>IFERROR(__xludf.DUMMYFUNCTION("GOOGLETRANSLATE(D8656,""pt"",""es"")"),"eso")</f>
        <v>eso</v>
      </c>
    </row>
    <row r="8657">
      <c r="A8657" s="4">
        <v>71.0</v>
      </c>
      <c r="B8657" s="4" t="s">
        <v>18915</v>
      </c>
      <c r="C8657" s="4"/>
      <c r="D8657" s="4" t="s">
        <v>19113</v>
      </c>
      <c r="E8657" s="4" t="s">
        <v>19112</v>
      </c>
      <c r="F8657" s="4" t="s">
        <v>14416</v>
      </c>
      <c r="G8657" s="5" t="str">
        <f>IFERROR(__xludf.DUMMYFUNCTION("GOOGLETRANSLATE(D8657,""pt"",""es"")"),"co")</f>
        <v>co</v>
      </c>
    </row>
    <row r="8658">
      <c r="A8658" s="4">
        <v>72.0</v>
      </c>
      <c r="B8658" s="4" t="s">
        <v>18915</v>
      </c>
      <c r="C8658" s="4"/>
      <c r="D8658" s="4" t="s">
        <v>2627</v>
      </c>
      <c r="E8658" s="4" t="s">
        <v>961</v>
      </c>
      <c r="F8658" s="4" t="s">
        <v>962</v>
      </c>
      <c r="G8658" s="5" t="str">
        <f>IFERROR(__xludf.DUMMYFUNCTION("GOOGLETRANSLATE(D8658,""pt"",""es"")"),"K")</f>
        <v>K</v>
      </c>
      <c r="H8658" s="4" t="s">
        <v>2629</v>
      </c>
      <c r="I8658" s="4" t="s">
        <v>2627</v>
      </c>
    </row>
    <row r="8659">
      <c r="A8659" s="4">
        <v>73.0</v>
      </c>
      <c r="B8659" s="4" t="s">
        <v>18915</v>
      </c>
      <c r="C8659" s="4"/>
      <c r="D8659" s="4" t="s">
        <v>1122</v>
      </c>
      <c r="E8659" s="4" t="s">
        <v>1121</v>
      </c>
      <c r="F8659" s="4" t="s">
        <v>1122</v>
      </c>
      <c r="G8659" s="5" t="str">
        <f>IFERROR(__xludf.DUMMYFUNCTION("GOOGLETRANSLATE(D8659,""pt"",""es"")"),"kan")</f>
        <v>kan</v>
      </c>
    </row>
    <row r="8660">
      <c r="A8660" s="4">
        <v>74.0</v>
      </c>
      <c r="B8660" s="4" t="s">
        <v>18915</v>
      </c>
      <c r="C8660" s="4"/>
      <c r="D8660" s="4" t="s">
        <v>2015</v>
      </c>
      <c r="E8660" s="4" t="s">
        <v>2016</v>
      </c>
      <c r="F8660" s="4" t="s">
        <v>2015</v>
      </c>
      <c r="G8660" s="5" t="str">
        <f>IFERROR(__xludf.DUMMYFUNCTION("GOOGLETRANSLATE(D8660,""pt"",""es"")"),"allí")</f>
        <v>allí</v>
      </c>
    </row>
    <row r="8661">
      <c r="A8661" s="4">
        <v>75.0</v>
      </c>
      <c r="B8661" s="4" t="s">
        <v>18915</v>
      </c>
      <c r="C8661" s="4"/>
      <c r="D8661" s="4" t="s">
        <v>10257</v>
      </c>
      <c r="E8661" s="4" t="s">
        <v>12506</v>
      </c>
      <c r="F8661" s="4" t="s">
        <v>10257</v>
      </c>
      <c r="G8661" s="5" t="str">
        <f>IFERROR(__xludf.DUMMYFUNCTION("GOOGLETRANSLATE(D8661,""pt"",""es"")"),"vuelta")</f>
        <v>vuelta</v>
      </c>
      <c r="H8661" s="4" t="s">
        <v>19114</v>
      </c>
    </row>
    <row r="8662">
      <c r="A8662" s="4">
        <v>76.0</v>
      </c>
      <c r="B8662" s="4" t="s">
        <v>18915</v>
      </c>
      <c r="C8662" s="4"/>
      <c r="D8662" s="4" t="s">
        <v>2146</v>
      </c>
      <c r="E8662" s="4" t="s">
        <v>17980</v>
      </c>
      <c r="F8662" s="4" t="s">
        <v>8430</v>
      </c>
      <c r="G8662" s="5" t="str">
        <f>IFERROR(__xludf.DUMMYFUNCTION("GOOGLETRANSLATE(D8662,""pt"",""es"")"),"lazo")</f>
        <v>lazo</v>
      </c>
      <c r="H8662" s="4" t="s">
        <v>19115</v>
      </c>
      <c r="I8662" s="4" t="s">
        <v>2760</v>
      </c>
      <c r="J8662" s="4" t="s">
        <v>19115</v>
      </c>
      <c r="K8662" s="4" t="s">
        <v>19115</v>
      </c>
    </row>
    <row r="8663">
      <c r="A8663" s="4">
        <v>77.0</v>
      </c>
      <c r="B8663" s="4" t="s">
        <v>18915</v>
      </c>
      <c r="C8663" s="4"/>
      <c r="D8663" s="4" t="s">
        <v>19116</v>
      </c>
      <c r="E8663" s="4" t="s">
        <v>17998</v>
      </c>
      <c r="F8663" s="4" t="s">
        <v>10277</v>
      </c>
      <c r="G8663" s="5" t="str">
        <f>IFERROR(__xludf.DUMMYFUNCTION("GOOGLETRANSLATE(D8663,""pt"",""es"")"),"listón")</f>
        <v>listón</v>
      </c>
    </row>
    <row r="8664">
      <c r="A8664" s="4">
        <v>78.0</v>
      </c>
      <c r="B8664" s="4" t="s">
        <v>18915</v>
      </c>
      <c r="C8664" s="4"/>
      <c r="D8664" s="4" t="s">
        <v>19117</v>
      </c>
      <c r="E8664" s="4" t="s">
        <v>17980</v>
      </c>
      <c r="F8664" s="4" t="s">
        <v>8430</v>
      </c>
      <c r="G8664" s="5" t="str">
        <f>IFERROR(__xludf.DUMMYFUNCTION("GOOGLETRANSLATE(D8664,""pt"",""es"")"),"Enlace")</f>
        <v>Enlace</v>
      </c>
      <c r="H8664" s="4" t="s">
        <v>19118</v>
      </c>
      <c r="I8664" s="4" t="s">
        <v>19119</v>
      </c>
      <c r="J8664" s="4" t="s">
        <v>19120</v>
      </c>
      <c r="K8664" s="4" t="s">
        <v>19121</v>
      </c>
      <c r="L8664" s="4" t="s">
        <v>2146</v>
      </c>
      <c r="M8664" s="4" t="s">
        <v>2147</v>
      </c>
      <c r="N8664" s="4" t="s">
        <v>2148</v>
      </c>
      <c r="O8664" s="4" t="s">
        <v>2149</v>
      </c>
      <c r="P8664" s="4" t="s">
        <v>19122</v>
      </c>
      <c r="Q8664" s="4" t="s">
        <v>19123</v>
      </c>
      <c r="R8664" s="4" t="s">
        <v>19124</v>
      </c>
    </row>
    <row r="8665">
      <c r="A8665" s="4">
        <v>79.0</v>
      </c>
      <c r="B8665" s="4" t="s">
        <v>18915</v>
      </c>
      <c r="C8665" s="4"/>
      <c r="D8665" s="4" t="s">
        <v>19125</v>
      </c>
      <c r="E8665" s="4" t="s">
        <v>12537</v>
      </c>
      <c r="F8665" s="4" t="s">
        <v>12538</v>
      </c>
      <c r="G8665" s="5" t="str">
        <f>IFERROR(__xludf.DUMMYFUNCTION("GOOGLETRANSLATE(D8665,""pt"",""es"")"),"a ellos")</f>
        <v>a ellos</v>
      </c>
    </row>
    <row r="8666">
      <c r="A8666" s="4">
        <v>80.0</v>
      </c>
      <c r="B8666" s="4" t="s">
        <v>18915</v>
      </c>
      <c r="C8666" s="4"/>
      <c r="D8666" s="4" t="s">
        <v>19125</v>
      </c>
      <c r="E8666" s="4" t="s">
        <v>2183</v>
      </c>
      <c r="F8666" s="4" t="s">
        <v>2182</v>
      </c>
      <c r="G8666" s="5" t="str">
        <f>IFERROR(__xludf.DUMMYFUNCTION("GOOGLETRANSLATE(D8666,""pt"",""es"")"),"a ellos")</f>
        <v>a ellos</v>
      </c>
    </row>
    <row r="8667">
      <c r="A8667" s="4">
        <v>81.0</v>
      </c>
      <c r="B8667" s="4" t="s">
        <v>18915</v>
      </c>
      <c r="C8667" s="4"/>
      <c r="D8667" s="4" t="s">
        <v>2037</v>
      </c>
      <c r="E8667" s="4" t="s">
        <v>2038</v>
      </c>
      <c r="F8667" s="4" t="s">
        <v>2037</v>
      </c>
      <c r="G8667" s="5" t="str">
        <f>IFERROR(__xludf.DUMMYFUNCTION("GOOGLETRANSLATE(D8667,""pt"",""es"")"),"Li")</f>
        <v>Li</v>
      </c>
    </row>
    <row r="8668">
      <c r="A8668" s="4">
        <v>82.0</v>
      </c>
      <c r="B8668" s="4" t="s">
        <v>18915</v>
      </c>
      <c r="C8668" s="4"/>
      <c r="D8668" s="4" t="s">
        <v>10313</v>
      </c>
      <c r="E8668" s="4" t="s">
        <v>12589</v>
      </c>
      <c r="F8668" s="4" t="s">
        <v>10313</v>
      </c>
      <c r="G8668" s="5" t="str">
        <f>IFERROR(__xludf.DUMMYFUNCTION("GOOGLETRANSLATE(D8668,""pt"",""es"")"),"Lima")</f>
        <v>Lima</v>
      </c>
      <c r="H8668" s="4" t="s">
        <v>1</v>
      </c>
      <c r="I8668" s="4" t="s">
        <v>2166</v>
      </c>
      <c r="J8668" s="4" t="s">
        <v>10319</v>
      </c>
      <c r="K8668" s="4" t="s">
        <v>10320</v>
      </c>
    </row>
    <row r="8669">
      <c r="A8669" s="4">
        <v>83.0</v>
      </c>
      <c r="B8669" s="4" t="s">
        <v>18915</v>
      </c>
      <c r="C8669" s="4"/>
      <c r="D8669" s="4" t="s">
        <v>19126</v>
      </c>
      <c r="E8669" s="4" t="s">
        <v>19127</v>
      </c>
      <c r="F8669" s="4" t="s">
        <v>19128</v>
      </c>
      <c r="G8669" s="5" t="str">
        <f>IFERROR(__xludf.DUMMYFUNCTION("GOOGLETRANSLATE(D8669,""pt"",""es"")"),"lino")</f>
        <v>lino</v>
      </c>
      <c r="H8669" s="4" t="s">
        <v>6643</v>
      </c>
      <c r="I8669" s="4" t="s">
        <v>2152</v>
      </c>
      <c r="J8669" s="4" t="s">
        <v>2152</v>
      </c>
    </row>
    <row r="8670">
      <c r="A8670" s="4">
        <v>84.0</v>
      </c>
      <c r="B8670" s="4" t="s">
        <v>18915</v>
      </c>
      <c r="C8670" s="4"/>
      <c r="D8670" s="4" t="s">
        <v>19129</v>
      </c>
      <c r="E8670" s="4" t="s">
        <v>19130</v>
      </c>
      <c r="F8670" s="4" t="s">
        <v>19131</v>
      </c>
      <c r="G8670" s="5" t="str">
        <f>IFERROR(__xludf.DUMMYFUNCTION("GOOGLETRANSLATE(D8670,""pt"",""es"")"),"basura")</f>
        <v>basura</v>
      </c>
      <c r="H8670" s="4" t="s">
        <v>19132</v>
      </c>
      <c r="I8670" s="4" t="s">
        <v>19133</v>
      </c>
      <c r="J8670" s="4" t="s">
        <v>19134</v>
      </c>
      <c r="K8670" s="4" t="s">
        <v>19135</v>
      </c>
      <c r="L8670" s="4" t="s">
        <v>3189</v>
      </c>
      <c r="M8670" s="4" t="s">
        <v>3192</v>
      </c>
      <c r="N8670" s="4" t="s">
        <v>2606</v>
      </c>
    </row>
    <row r="8671">
      <c r="A8671" s="4">
        <v>85.0</v>
      </c>
      <c r="B8671" s="4" t="s">
        <v>18915</v>
      </c>
      <c r="C8671" s="4"/>
      <c r="D8671" s="4" t="s">
        <v>2239</v>
      </c>
      <c r="E8671" s="4" t="s">
        <v>2240</v>
      </c>
      <c r="F8671" s="4" t="s">
        <v>2241</v>
      </c>
      <c r="G8671" s="5" t="str">
        <f>IFERROR(__xludf.DUMMYFUNCTION("GOOGLETRANSLATE(D8671,""pt"",""es"")"),"eso")</f>
        <v>eso</v>
      </c>
    </row>
    <row r="8672">
      <c r="A8672" s="4">
        <v>86.0</v>
      </c>
      <c r="B8672" s="4" t="s">
        <v>18915</v>
      </c>
      <c r="C8672" s="4"/>
      <c r="D8672" s="4" t="s">
        <v>19136</v>
      </c>
      <c r="E8672" s="4" t="s">
        <v>14439</v>
      </c>
      <c r="F8672" s="4" t="s">
        <v>14440</v>
      </c>
      <c r="G8672" s="5" t="str">
        <f>IFERROR(__xludf.DUMMYFUNCTION("GOOGLETRANSLATE(D8672,""pt"",""es"")"),"Loss")</f>
        <v>Loss</v>
      </c>
    </row>
    <row r="8673">
      <c r="A8673" s="4">
        <v>87.0</v>
      </c>
      <c r="B8673" s="4" t="s">
        <v>18915</v>
      </c>
      <c r="C8673" s="4"/>
      <c r="D8673" s="4" t="s">
        <v>19136</v>
      </c>
      <c r="E8673" s="4" t="s">
        <v>8496</v>
      </c>
      <c r="F8673" s="4" t="s">
        <v>8497</v>
      </c>
      <c r="G8673" s="5" t="str">
        <f>IFERROR(__xludf.DUMMYFUNCTION("GOOGLETRANSLATE(D8673,""pt"",""es"")"),"Loss")</f>
        <v>Loss</v>
      </c>
    </row>
    <row r="8674">
      <c r="A8674" s="4">
        <v>88.0</v>
      </c>
      <c r="B8674" s="4" t="s">
        <v>18915</v>
      </c>
      <c r="C8674" s="4"/>
      <c r="D8674" s="4" t="s">
        <v>18061</v>
      </c>
      <c r="E8674" s="4" t="s">
        <v>18062</v>
      </c>
      <c r="F8674" s="4" t="s">
        <v>18061</v>
      </c>
      <c r="G8674" s="5" t="str">
        <f>IFERROR(__xludf.DUMMYFUNCTION("GOOGLETRANSLATE(D8674,""pt"",""es"")"),"calamar")</f>
        <v>calamar</v>
      </c>
      <c r="H8674" s="4" t="s">
        <v>987</v>
      </c>
      <c r="I8674" s="4" t="s">
        <v>19137</v>
      </c>
      <c r="J8674" s="4" t="s">
        <v>19138</v>
      </c>
      <c r="K8674" s="4" t="s">
        <v>19139</v>
      </c>
      <c r="L8674" s="4" t="s">
        <v>19140</v>
      </c>
      <c r="M8674" s="4" t="s">
        <v>19141</v>
      </c>
    </row>
    <row r="8675">
      <c r="A8675" s="4">
        <v>89.0</v>
      </c>
      <c r="B8675" s="4" t="s">
        <v>18915</v>
      </c>
      <c r="C8675" s="4"/>
      <c r="D8675" s="4" t="s">
        <v>19142</v>
      </c>
      <c r="E8675" s="4" t="s">
        <v>18093</v>
      </c>
      <c r="F8675" s="4" t="s">
        <v>18092</v>
      </c>
      <c r="G8675" s="5" t="str">
        <f>IFERROR(__xludf.DUMMYFUNCTION("GOOGLETRANSLATE(D8675,""pt"",""es"")"),"luto")</f>
        <v>luto</v>
      </c>
      <c r="H8675" s="4" t="s">
        <v>19143</v>
      </c>
      <c r="I8675" s="4" t="s">
        <v>19144</v>
      </c>
      <c r="J8675" s="4" t="s">
        <v>19145</v>
      </c>
    </row>
    <row r="8676">
      <c r="A8676" s="4">
        <v>90.0</v>
      </c>
      <c r="B8676" s="4" t="s">
        <v>18915</v>
      </c>
      <c r="C8676" s="4"/>
      <c r="D8676" s="4" t="s">
        <v>19146</v>
      </c>
      <c r="E8676" s="4" t="s">
        <v>19147</v>
      </c>
      <c r="F8676" s="4" t="s">
        <v>19148</v>
      </c>
      <c r="G8676" s="5" t="str">
        <f>IFERROR(__xludf.DUMMYFUNCTION("GOOGLETRANSLATE(D8676,""pt"",""es"")"),"Lux")</f>
        <v>Lux</v>
      </c>
      <c r="H8676" s="4" t="s">
        <v>19149</v>
      </c>
      <c r="I8676" s="4" t="s">
        <v>19150</v>
      </c>
      <c r="J8676" s="4" t="s">
        <v>19149</v>
      </c>
      <c r="K8676" s="4" t="s">
        <v>19151</v>
      </c>
      <c r="L8676" s="4" t="s">
        <v>19152</v>
      </c>
      <c r="M8676" s="4" t="s">
        <v>19149</v>
      </c>
      <c r="N8676" s="4" t="s">
        <v>19153</v>
      </c>
      <c r="O8676" s="4" t="s">
        <v>19154</v>
      </c>
      <c r="P8676" s="4" t="s">
        <v>19152</v>
      </c>
    </row>
    <row r="8677">
      <c r="A8677" s="4">
        <v>91.0</v>
      </c>
      <c r="B8677" s="4" t="s">
        <v>18915</v>
      </c>
      <c r="C8677" s="4"/>
      <c r="D8677" s="4" t="s">
        <v>19155</v>
      </c>
      <c r="E8677" s="4" t="s">
        <v>2016</v>
      </c>
      <c r="F8677" s="4" t="s">
        <v>2015</v>
      </c>
      <c r="G8677" s="5" t="str">
        <f>IFERROR(__xludf.DUMMYFUNCTION("GOOGLETRANSLATE(D8677,""pt"",""es"")"),"allí")</f>
        <v>allí</v>
      </c>
      <c r="H8677" s="4" t="s">
        <v>8911</v>
      </c>
      <c r="I8677" s="4" t="s">
        <v>8910</v>
      </c>
      <c r="J8677" s="4" t="s">
        <v>2015</v>
      </c>
      <c r="K8677" s="4" t="s">
        <v>2017</v>
      </c>
    </row>
    <row r="8678">
      <c r="A8678" s="4">
        <v>92.0</v>
      </c>
      <c r="B8678" s="4" t="s">
        <v>18915</v>
      </c>
      <c r="C8678" s="4"/>
      <c r="D8678" s="4" t="s">
        <v>19156</v>
      </c>
      <c r="E8678" s="4" t="s">
        <v>14176</v>
      </c>
      <c r="F8678" s="4" t="s">
        <v>6569</v>
      </c>
      <c r="G8678" s="5" t="str">
        <f>IFERROR(__xludf.DUMMYFUNCTION("GOOGLETRANSLATE(D8678,""pt"",""es"")"),"lápiz")</f>
        <v>lápiz</v>
      </c>
      <c r="H8678" s="4" t="s">
        <v>19157</v>
      </c>
      <c r="I8678" s="4" t="s">
        <v>2118</v>
      </c>
      <c r="J8678" s="4" t="s">
        <v>2118</v>
      </c>
      <c r="K8678" s="4" t="s">
        <v>2118</v>
      </c>
    </row>
    <row r="8679">
      <c r="A8679" s="4">
        <v>93.0</v>
      </c>
      <c r="B8679" s="4" t="s">
        <v>18915</v>
      </c>
      <c r="C8679" s="4"/>
      <c r="D8679" s="4" t="s">
        <v>19158</v>
      </c>
      <c r="E8679" s="4" t="s">
        <v>19159</v>
      </c>
      <c r="F8679" s="4" t="s">
        <v>19160</v>
      </c>
      <c r="G8679" s="5" t="str">
        <f>IFERROR(__xludf.DUMMYFUNCTION("GOOGLETRANSLATE(D8679,""pt"",""es"")"),"lírico")</f>
        <v>lírico</v>
      </c>
      <c r="H8679" s="4" t="s">
        <v>19161</v>
      </c>
      <c r="I8679" s="4" t="s">
        <v>19162</v>
      </c>
      <c r="J8679" s="4" t="s">
        <v>19161</v>
      </c>
      <c r="K8679" s="4" t="s">
        <v>19162</v>
      </c>
      <c r="L8679" s="4" t="s">
        <v>19161</v>
      </c>
      <c r="M8679" s="4" t="s">
        <v>19161</v>
      </c>
    </row>
    <row r="8680">
      <c r="A8680" s="4">
        <v>94.0</v>
      </c>
      <c r="B8680" s="4" t="s">
        <v>18915</v>
      </c>
      <c r="C8680" s="4"/>
      <c r="D8680" s="4" t="s">
        <v>19163</v>
      </c>
      <c r="E8680" s="4" t="s">
        <v>19164</v>
      </c>
      <c r="F8680" s="4" t="s">
        <v>19165</v>
      </c>
      <c r="G8680" s="5" t="str">
        <f>IFERROR(__xludf.DUMMYFUNCTION("GOOGLETRANSLATE(D8680,""pt"",""es"")"),"saltar")</f>
        <v>saltar</v>
      </c>
      <c r="H8680" s="4" t="s">
        <v>3924</v>
      </c>
      <c r="I8680" s="4" t="s">
        <v>3924</v>
      </c>
      <c r="J8680" s="4" t="s">
        <v>8344</v>
      </c>
      <c r="K8680" s="4" t="s">
        <v>9539</v>
      </c>
      <c r="L8680" s="4" t="s">
        <v>9540</v>
      </c>
      <c r="M8680" s="4" t="s">
        <v>9541</v>
      </c>
      <c r="N8680" s="4" t="s">
        <v>9542</v>
      </c>
      <c r="O8680" s="4" t="s">
        <v>9543</v>
      </c>
    </row>
    <row r="8681">
      <c r="A8681" s="4">
        <v>95.0</v>
      </c>
      <c r="B8681" s="4" t="s">
        <v>18915</v>
      </c>
      <c r="C8681" s="4"/>
      <c r="D8681" s="4" t="s">
        <v>19166</v>
      </c>
      <c r="E8681" s="4" t="s">
        <v>14745</v>
      </c>
      <c r="F8681" s="4" t="s">
        <v>14746</v>
      </c>
      <c r="G8681" s="5" t="str">
        <f>IFERROR(__xludf.DUMMYFUNCTION("GOOGLETRANSLATE(D8681,""pt"",""es"")"),"masculino")</f>
        <v>masculino</v>
      </c>
      <c r="H8681" s="4" t="s">
        <v>13033</v>
      </c>
      <c r="I8681" s="4" t="s">
        <v>13036</v>
      </c>
      <c r="J8681" s="4" t="s">
        <v>13034</v>
      </c>
      <c r="K8681" s="4" t="s">
        <v>13035</v>
      </c>
      <c r="L8681" s="4" t="s">
        <v>13033</v>
      </c>
      <c r="M8681" s="4" t="s">
        <v>13038</v>
      </c>
      <c r="N8681" s="4" t="s">
        <v>13033</v>
      </c>
      <c r="O8681" s="4" t="s">
        <v>13034</v>
      </c>
      <c r="P8681" s="4" t="s">
        <v>13035</v>
      </c>
      <c r="Q8681" s="4" t="s">
        <v>13036</v>
      </c>
      <c r="R8681" s="4" t="s">
        <v>13037</v>
      </c>
      <c r="S8681" s="4" t="s">
        <v>8234</v>
      </c>
      <c r="T8681" s="4" t="s">
        <v>13033</v>
      </c>
      <c r="U8681" s="4" t="s">
        <v>13040</v>
      </c>
      <c r="V8681" s="4" t="s">
        <v>4282</v>
      </c>
      <c r="W8681" s="4" t="s">
        <v>9152</v>
      </c>
      <c r="X8681" s="4" t="s">
        <v>19167</v>
      </c>
      <c r="Y8681" s="4" t="s">
        <v>19168</v>
      </c>
      <c r="Z8681" s="4" t="s">
        <v>19169</v>
      </c>
      <c r="AA8681" s="4" t="s">
        <v>19170</v>
      </c>
      <c r="AB8681" s="4" t="s">
        <v>19171</v>
      </c>
      <c r="AC8681" s="4" t="s">
        <v>19172</v>
      </c>
      <c r="AD8681" s="4" t="s">
        <v>19173</v>
      </c>
      <c r="AE8681" s="4" t="s">
        <v>1856</v>
      </c>
      <c r="AF8681" s="4" t="s">
        <v>6742</v>
      </c>
      <c r="AG8681" s="4" t="s">
        <v>1856</v>
      </c>
      <c r="AH8681" s="4" t="s">
        <v>19174</v>
      </c>
      <c r="AI8681" s="4" t="s">
        <v>19175</v>
      </c>
      <c r="AJ8681" s="4" t="s">
        <v>19176</v>
      </c>
    </row>
    <row r="8682">
      <c r="A8682" s="4">
        <v>96.0</v>
      </c>
      <c r="B8682" s="4" t="s">
        <v>18915</v>
      </c>
      <c r="C8682" s="4"/>
      <c r="D8682" s="4" t="s">
        <v>19177</v>
      </c>
      <c r="E8682" s="4" t="s">
        <v>18136</v>
      </c>
      <c r="F8682" s="4" t="s">
        <v>18137</v>
      </c>
      <c r="G8682" s="5" t="str">
        <f>IFERROR(__xludf.DUMMYFUNCTION("GOOGLETRANSLATE(D8682,""pt"",""es"")"),"Mayo")</f>
        <v>Mayo</v>
      </c>
      <c r="H8682" s="4" t="s">
        <v>18128</v>
      </c>
      <c r="I8682" s="4" t="s">
        <v>18128</v>
      </c>
    </row>
    <row r="8683">
      <c r="A8683" s="4">
        <v>97.0</v>
      </c>
      <c r="B8683" s="4" t="s">
        <v>18915</v>
      </c>
      <c r="C8683" s="4"/>
      <c r="D8683" s="4" t="s">
        <v>19178</v>
      </c>
      <c r="E8683" s="4" t="s">
        <v>19179</v>
      </c>
      <c r="F8683" s="4" t="s">
        <v>19180</v>
      </c>
      <c r="G8683" s="5" t="str">
        <f>IFERROR(__xludf.DUMMYFUNCTION("GOOGLETRANSLATE(D8683,""pt"",""es"")"),"mazo")</f>
        <v>mazo</v>
      </c>
      <c r="H8683" s="4" t="s">
        <v>9997</v>
      </c>
      <c r="I8683" s="4" t="s">
        <v>19181</v>
      </c>
      <c r="J8683" s="4" t="s">
        <v>2367</v>
      </c>
      <c r="K8683" s="4" t="s">
        <v>2368</v>
      </c>
      <c r="L8683" s="4" t="s">
        <v>2369</v>
      </c>
    </row>
    <row r="8684">
      <c r="A8684" s="4">
        <v>98.0</v>
      </c>
      <c r="B8684" s="4" t="s">
        <v>18915</v>
      </c>
      <c r="C8684" s="4"/>
      <c r="D8684" s="4" t="s">
        <v>5314</v>
      </c>
      <c r="E8684" s="4" t="s">
        <v>5313</v>
      </c>
      <c r="F8684" s="4" t="s">
        <v>5314</v>
      </c>
      <c r="G8684" s="5" t="str">
        <f>IFERROR(__xludf.DUMMYFUNCTION("GOOGLETRANSLATE(D8684,""pt"",""es"")"),"Malí")</f>
        <v>Malí</v>
      </c>
      <c r="H8684" s="4" t="s">
        <v>5347</v>
      </c>
      <c r="I8684" s="4" t="s">
        <v>5348</v>
      </c>
      <c r="J8684" s="4" t="s">
        <v>5349</v>
      </c>
    </row>
    <row r="8685">
      <c r="A8685" s="4">
        <v>99.0</v>
      </c>
      <c r="B8685" s="4" t="s">
        <v>18915</v>
      </c>
      <c r="C8685" s="4"/>
      <c r="D8685" s="4" t="s">
        <v>19182</v>
      </c>
      <c r="E8685" s="4" t="s">
        <v>19183</v>
      </c>
      <c r="F8685" s="4" t="s">
        <v>14198</v>
      </c>
      <c r="G8685" s="5" t="str">
        <f>IFERROR(__xludf.DUMMYFUNCTION("GOOGLETRANSLATE(D8685,""pt"",""es"")"),"marina")</f>
        <v>marina</v>
      </c>
      <c r="H8685" s="4" t="s">
        <v>2500</v>
      </c>
      <c r="I8685" s="4" t="s">
        <v>2500</v>
      </c>
      <c r="J8685" s="4" t="s">
        <v>2501</v>
      </c>
      <c r="K8685" s="4" t="s">
        <v>2502</v>
      </c>
      <c r="L8685" s="4" t="s">
        <v>2500</v>
      </c>
    </row>
    <row r="8686">
      <c r="A8686" s="4">
        <v>100.0</v>
      </c>
      <c r="B8686" s="4" t="s">
        <v>18915</v>
      </c>
      <c r="C8686" s="4"/>
      <c r="D8686" s="4" t="s">
        <v>19184</v>
      </c>
      <c r="E8686" s="4" t="s">
        <v>19185</v>
      </c>
      <c r="F8686" s="4" t="s">
        <v>19186</v>
      </c>
      <c r="G8686" s="5" t="str">
        <f>IFERROR(__xludf.DUMMYFUNCTION("GOOGLETRANSLATE(D8686,""pt"",""es"")"),"mata Mata")</f>
        <v>mata Mata</v>
      </c>
    </row>
    <row r="8687">
      <c r="A8687" s="4">
        <v>101.0</v>
      </c>
      <c r="B8687" s="4" t="s">
        <v>18915</v>
      </c>
      <c r="C8687" s="4"/>
      <c r="D8687" s="4" t="s">
        <v>19187</v>
      </c>
      <c r="E8687" s="4" t="s">
        <v>12866</v>
      </c>
      <c r="F8687" s="4" t="s">
        <v>12867</v>
      </c>
      <c r="G8687" s="5" t="str">
        <f>IFERROR(__xludf.DUMMYFUNCTION("GOOGLETRANSLATE(D8687,""pt"",""es"")"),"Arbusto")</f>
        <v>Arbusto</v>
      </c>
      <c r="H8687" s="4" t="s">
        <v>14974</v>
      </c>
      <c r="I8687" s="4" t="s">
        <v>2956</v>
      </c>
      <c r="J8687" s="4" t="s">
        <v>2555</v>
      </c>
      <c r="K8687" s="4" t="s">
        <v>2556</v>
      </c>
    </row>
    <row r="8688">
      <c r="A8688" s="4">
        <v>102.0</v>
      </c>
      <c r="B8688" s="4" t="s">
        <v>18915</v>
      </c>
      <c r="C8688" s="4"/>
      <c r="D8688" s="4" t="s">
        <v>19188</v>
      </c>
      <c r="E8688" s="4" t="s">
        <v>19189</v>
      </c>
      <c r="F8688" s="4" t="s">
        <v>10530</v>
      </c>
      <c r="G8688" s="5" t="str">
        <f>IFERROR(__xludf.DUMMYFUNCTION("GOOGLETRANSLATE(D8688,""pt"",""es"")"),"paquete")</f>
        <v>paquete</v>
      </c>
      <c r="H8688" s="4" t="s">
        <v>1736</v>
      </c>
    </row>
    <row r="8689">
      <c r="A8689" s="4">
        <v>103.0</v>
      </c>
      <c r="B8689" s="4" t="s">
        <v>18915</v>
      </c>
      <c r="C8689" s="4"/>
      <c r="D8689" s="4" t="s">
        <v>19190</v>
      </c>
      <c r="E8689" s="4" t="s">
        <v>19191</v>
      </c>
      <c r="F8689" s="4" t="s">
        <v>19192</v>
      </c>
      <c r="G8689" s="5" t="str">
        <f>IFERROR(__xludf.DUMMYFUNCTION("GOOGLETRANSLATE(D8689,""pt"",""es"")"),"chico")</f>
        <v>chico</v>
      </c>
      <c r="H8689" s="4" t="s">
        <v>2283</v>
      </c>
      <c r="I8689" s="4" t="s">
        <v>2284</v>
      </c>
      <c r="J8689" s="4" t="s">
        <v>19193</v>
      </c>
      <c r="K8689" s="4" t="s">
        <v>1583</v>
      </c>
      <c r="L8689" s="4" t="s">
        <v>19169</v>
      </c>
      <c r="M8689" s="4" t="s">
        <v>19194</v>
      </c>
      <c r="N8689" s="4" t="s">
        <v>19195</v>
      </c>
      <c r="O8689" s="4" t="s">
        <v>19196</v>
      </c>
      <c r="P8689" s="4" t="s">
        <v>4282</v>
      </c>
      <c r="Q8689" s="4" t="s">
        <v>9152</v>
      </c>
      <c r="R8689" s="4" t="s">
        <v>19167</v>
      </c>
      <c r="S8689" s="4" t="s">
        <v>19168</v>
      </c>
      <c r="T8689" s="4" t="s">
        <v>19169</v>
      </c>
      <c r="U8689" s="4" t="s">
        <v>19170</v>
      </c>
      <c r="V8689" s="4" t="s">
        <v>19171</v>
      </c>
      <c r="W8689" s="4" t="s">
        <v>19172</v>
      </c>
      <c r="X8689" s="4" t="s">
        <v>19173</v>
      </c>
      <c r="Y8689" s="4" t="s">
        <v>4701</v>
      </c>
      <c r="Z8689" s="4" t="s">
        <v>4702</v>
      </c>
      <c r="AA8689" s="4" t="s">
        <v>4703</v>
      </c>
      <c r="AB8689" s="4" t="s">
        <v>4704</v>
      </c>
      <c r="AC8689" s="4" t="s">
        <v>4705</v>
      </c>
      <c r="AD8689" s="4" t="s">
        <v>4706</v>
      </c>
      <c r="AE8689" s="4" t="s">
        <v>4707</v>
      </c>
      <c r="AF8689" s="4" t="s">
        <v>4708</v>
      </c>
      <c r="AG8689" s="4" t="s">
        <v>3256</v>
      </c>
      <c r="AH8689" s="4" t="s">
        <v>3255</v>
      </c>
      <c r="AI8689" s="4" t="s">
        <v>4709</v>
      </c>
      <c r="AJ8689" s="4" t="s">
        <v>4710</v>
      </c>
      <c r="AK8689" s="4" t="s">
        <v>4701</v>
      </c>
      <c r="AL8689" s="4" t="s">
        <v>4702</v>
      </c>
      <c r="AM8689" s="4" t="s">
        <v>4701</v>
      </c>
      <c r="AN8689" s="4" t="s">
        <v>2283</v>
      </c>
      <c r="AO8689" s="4" t="s">
        <v>14809</v>
      </c>
      <c r="AP8689" s="4" t="s">
        <v>6861</v>
      </c>
      <c r="AQ8689" s="4" t="s">
        <v>4711</v>
      </c>
      <c r="AR8689" s="4" t="s">
        <v>4712</v>
      </c>
      <c r="AS8689" s="4" t="s">
        <v>19197</v>
      </c>
      <c r="AT8689" s="4" t="s">
        <v>19198</v>
      </c>
      <c r="AU8689" s="4" t="s">
        <v>19199</v>
      </c>
      <c r="AV8689" s="4" t="s">
        <v>4712</v>
      </c>
    </row>
    <row r="8690">
      <c r="A8690" s="4">
        <v>104.0</v>
      </c>
      <c r="B8690" s="4" t="s">
        <v>18915</v>
      </c>
      <c r="C8690" s="4"/>
      <c r="D8690" s="4" t="s">
        <v>342</v>
      </c>
      <c r="E8690" s="4" t="s">
        <v>341</v>
      </c>
      <c r="F8690" s="4" t="s">
        <v>342</v>
      </c>
      <c r="G8690" s="5" t="str">
        <f>IFERROR(__xludf.DUMMYFUNCTION("GOOGLETRANSLATE(D8690,""pt"",""es"")"),"mi")</f>
        <v>mi</v>
      </c>
      <c r="H8690" s="4" t="s">
        <v>367</v>
      </c>
    </row>
    <row r="8691">
      <c r="A8691" s="4">
        <v>105.0</v>
      </c>
      <c r="B8691" s="4" t="s">
        <v>18915</v>
      </c>
      <c r="C8691" s="4"/>
      <c r="D8691" s="4" t="s">
        <v>19200</v>
      </c>
      <c r="E8691" s="4" t="s">
        <v>14647</v>
      </c>
      <c r="F8691" s="4" t="s">
        <v>14648</v>
      </c>
      <c r="G8691" s="5" t="str">
        <f>IFERROR(__xludf.DUMMYFUNCTION("GOOGLETRANSLATE(D8691,""pt"",""es"")"),"Micé")</f>
        <v>Micé</v>
      </c>
    </row>
    <row r="8692">
      <c r="A8692" s="4">
        <v>106.0</v>
      </c>
      <c r="B8692" s="4" t="s">
        <v>18915</v>
      </c>
      <c r="C8692" s="4"/>
      <c r="D8692" s="4" t="s">
        <v>2614</v>
      </c>
      <c r="E8692" s="4" t="s">
        <v>2615</v>
      </c>
      <c r="F8692" s="4" t="s">
        <v>2616</v>
      </c>
      <c r="G8692" s="5" t="str">
        <f>IFERROR(__xludf.DUMMYFUNCTION("GOOGLETRANSLATE(D8692,""pt"",""es"")"),"masculino")</f>
        <v>masculino</v>
      </c>
    </row>
    <row r="8693">
      <c r="A8693" s="4">
        <v>107.0</v>
      </c>
      <c r="B8693" s="4" t="s">
        <v>18915</v>
      </c>
      <c r="C8693" s="4"/>
      <c r="D8693" s="4" t="s">
        <v>6811</v>
      </c>
      <c r="E8693" s="4" t="s">
        <v>10550</v>
      </c>
      <c r="F8693" s="4" t="s">
        <v>6811</v>
      </c>
      <c r="G8693" s="5" t="str">
        <f>IFERROR(__xludf.DUMMYFUNCTION("GOOGLETRANSLATE(D8693,""pt"",""es"")"),"Miki")</f>
        <v>Miki</v>
      </c>
    </row>
    <row r="8694">
      <c r="A8694" s="4">
        <v>108.0</v>
      </c>
      <c r="B8694" s="4" t="s">
        <v>18915</v>
      </c>
      <c r="C8694" s="4"/>
      <c r="D8694" s="4" t="s">
        <v>19201</v>
      </c>
      <c r="E8694" s="4" t="s">
        <v>19202</v>
      </c>
      <c r="F8694" s="4" t="s">
        <v>19203</v>
      </c>
      <c r="G8694" s="5" t="str">
        <f>IFERROR(__xludf.DUMMYFUNCTION("GOOGLETRANSLATE(D8694,""pt"",""es"")"),"Mikiko")</f>
        <v>Mikiko</v>
      </c>
    </row>
    <row r="8695">
      <c r="A8695" s="4">
        <v>109.0</v>
      </c>
      <c r="B8695" s="4" t="s">
        <v>18915</v>
      </c>
      <c r="C8695" s="4"/>
      <c r="D8695" s="4" t="s">
        <v>19204</v>
      </c>
      <c r="E8695" s="4" t="s">
        <v>19205</v>
      </c>
      <c r="F8695" s="4" t="s">
        <v>19206</v>
      </c>
      <c r="G8695" s="5" t="str">
        <f>IFERROR(__xludf.DUMMYFUNCTION("GOOGLETRANSLATE(D8695,""pt"",""es"")"),"miles")</f>
        <v>miles</v>
      </c>
    </row>
    <row r="8696">
      <c r="A8696" s="4">
        <v>110.0</v>
      </c>
      <c r="B8696" s="4" t="s">
        <v>18915</v>
      </c>
      <c r="C8696" s="4"/>
      <c r="D8696" s="4" t="s">
        <v>19207</v>
      </c>
      <c r="E8696" s="4" t="s">
        <v>19208</v>
      </c>
      <c r="F8696" s="4" t="s">
        <v>14476</v>
      </c>
      <c r="G8696" s="5" t="str">
        <f>IFERROR(__xludf.DUMMYFUNCTION("GOOGLETRANSLATE(D8696,""pt"",""es"")"),"maíz")</f>
        <v>maíz</v>
      </c>
      <c r="H8696" s="4" t="s">
        <v>3288</v>
      </c>
      <c r="I8696" s="4" t="s">
        <v>19209</v>
      </c>
      <c r="J8696" s="4" t="s">
        <v>3286</v>
      </c>
      <c r="K8696" s="4" t="s">
        <v>3287</v>
      </c>
      <c r="L8696" s="4" t="s">
        <v>2650</v>
      </c>
      <c r="M8696" s="4" t="s">
        <v>3288</v>
      </c>
      <c r="N8696" s="4" t="s">
        <v>3289</v>
      </c>
      <c r="O8696" s="4" t="s">
        <v>3290</v>
      </c>
      <c r="P8696" s="4" t="s">
        <v>3291</v>
      </c>
      <c r="Q8696" s="4" t="s">
        <v>3288</v>
      </c>
      <c r="R8696" s="4" t="s">
        <v>3289</v>
      </c>
      <c r="S8696" s="4" t="s">
        <v>3290</v>
      </c>
      <c r="T8696" s="4" t="s">
        <v>3291</v>
      </c>
      <c r="U8696" s="4" t="s">
        <v>3288</v>
      </c>
      <c r="V8696" s="4" t="s">
        <v>3288</v>
      </c>
    </row>
    <row r="8697">
      <c r="A8697" s="4">
        <v>111.0</v>
      </c>
      <c r="B8697" s="4" t="s">
        <v>18915</v>
      </c>
      <c r="C8697" s="4"/>
      <c r="D8697" s="4" t="s">
        <v>19210</v>
      </c>
      <c r="E8697" s="4" t="s">
        <v>19211</v>
      </c>
      <c r="F8697" s="4" t="s">
        <v>19210</v>
      </c>
      <c r="G8697" s="5" t="str">
        <f>IFERROR(__xludf.DUMMYFUNCTION("GOOGLETRANSLATE(D8697,""pt"",""es"")"),"mimimi")</f>
        <v>mimimi</v>
      </c>
    </row>
    <row r="8698">
      <c r="A8698" s="4">
        <v>112.0</v>
      </c>
      <c r="B8698" s="4" t="s">
        <v>18915</v>
      </c>
      <c r="C8698" s="4"/>
      <c r="D8698" s="4" t="s">
        <v>19212</v>
      </c>
      <c r="E8698" s="4" t="s">
        <v>19213</v>
      </c>
      <c r="F8698" s="4" t="s">
        <v>19214</v>
      </c>
      <c r="G8698" s="5" t="str">
        <f>IFERROR(__xludf.DUMMYFUNCTION("GOOGLETRANSLATE(D8698,""pt"",""es"")"),"mimar")</f>
        <v>mimar</v>
      </c>
    </row>
    <row r="8699">
      <c r="A8699" s="4">
        <v>113.0</v>
      </c>
      <c r="B8699" s="4" t="s">
        <v>18915</v>
      </c>
      <c r="C8699" s="4"/>
      <c r="D8699" s="4" t="s">
        <v>19215</v>
      </c>
      <c r="E8699" s="4" t="s">
        <v>19216</v>
      </c>
      <c r="F8699" s="4" t="s">
        <v>19217</v>
      </c>
      <c r="G8699" s="5" t="str">
        <f>IFERROR(__xludf.DUMMYFUNCTION("GOOGLETRANSLATE(D8699,""pt"",""es"")"),"minuko")</f>
        <v>minuko</v>
      </c>
    </row>
    <row r="8700">
      <c r="A8700" s="4">
        <v>114.0</v>
      </c>
      <c r="B8700" s="4" t="s">
        <v>18915</v>
      </c>
      <c r="C8700" s="4"/>
      <c r="D8700" s="4" t="s">
        <v>19218</v>
      </c>
      <c r="E8700" s="4" t="s">
        <v>19219</v>
      </c>
      <c r="F8700" s="4" t="s">
        <v>19220</v>
      </c>
      <c r="G8700" s="5" t="str">
        <f>IFERROR(__xludf.DUMMYFUNCTION("GOOGLETRANSLATE(D8700,""pt"",""es"")"),"minuto")</f>
        <v>minuto</v>
      </c>
      <c r="H8700" s="4" t="s">
        <v>15991</v>
      </c>
      <c r="I8700" s="4" t="s">
        <v>6843</v>
      </c>
      <c r="J8700" s="4" t="s">
        <v>6843</v>
      </c>
      <c r="K8700" s="4" t="s">
        <v>18286</v>
      </c>
      <c r="L8700" s="4" t="s">
        <v>18287</v>
      </c>
      <c r="M8700" s="4" t="s">
        <v>6843</v>
      </c>
      <c r="N8700" s="4" t="s">
        <v>6841</v>
      </c>
      <c r="O8700" s="4" t="s">
        <v>15994</v>
      </c>
      <c r="P8700" s="4" t="s">
        <v>15995</v>
      </c>
      <c r="Q8700" s="4" t="s">
        <v>6843</v>
      </c>
      <c r="R8700" s="4" t="s">
        <v>15996</v>
      </c>
      <c r="S8700" s="4" t="s">
        <v>2602</v>
      </c>
    </row>
    <row r="8701">
      <c r="A8701" s="4">
        <v>115.0</v>
      </c>
      <c r="B8701" s="4" t="s">
        <v>18915</v>
      </c>
      <c r="C8701" s="4"/>
      <c r="D8701" s="4" t="s">
        <v>19221</v>
      </c>
      <c r="E8701" s="4" t="s">
        <v>19222</v>
      </c>
      <c r="F8701" s="4" t="s">
        <v>19223</v>
      </c>
      <c r="G8701" s="5" t="str">
        <f>IFERROR(__xludf.DUMMYFUNCTION("GOOGLETRANSLATE(D8701,""pt"",""es"")"),"rodar")</f>
        <v>rodar</v>
      </c>
    </row>
    <row r="8702">
      <c r="A8702" s="4">
        <v>116.0</v>
      </c>
      <c r="B8702" s="4" t="s">
        <v>18915</v>
      </c>
      <c r="C8702" s="4"/>
      <c r="D8702" s="4" t="s">
        <v>8517</v>
      </c>
      <c r="E8702" s="4" t="s">
        <v>2717</v>
      </c>
      <c r="F8702" s="4" t="s">
        <v>2718</v>
      </c>
      <c r="G8702" s="5" t="str">
        <f>IFERROR(__xludf.DUMMYFUNCTION("GOOGLETRANSLATE(D8702,""pt"",""es"")"),"Misisipí")</f>
        <v>Misisipí</v>
      </c>
      <c r="H8702" s="4" t="s">
        <v>8519</v>
      </c>
      <c r="I8702" s="4" t="s">
        <v>8521</v>
      </c>
      <c r="J8702" s="4" t="s">
        <v>8522</v>
      </c>
      <c r="K8702" s="4" t="s">
        <v>8519</v>
      </c>
      <c r="L8702" s="4" t="s">
        <v>8520</v>
      </c>
    </row>
    <row r="8703">
      <c r="A8703" s="4">
        <v>117.0</v>
      </c>
      <c r="B8703" s="4" t="s">
        <v>18915</v>
      </c>
      <c r="C8703" s="4"/>
      <c r="D8703" s="4" t="s">
        <v>19224</v>
      </c>
      <c r="E8703" s="4" t="s">
        <v>18301</v>
      </c>
      <c r="F8703" s="4" t="s">
        <v>18300</v>
      </c>
      <c r="G8703" s="5" t="str">
        <f>IFERROR(__xludf.DUMMYFUNCTION("GOOGLETRANSLATE(D8703,""pt"",""es"")"),"mito")</f>
        <v>mito</v>
      </c>
      <c r="H8703" s="4" t="s">
        <v>6917</v>
      </c>
    </row>
    <row r="8704">
      <c r="A8704" s="4">
        <v>118.0</v>
      </c>
      <c r="B8704" s="4" t="s">
        <v>18915</v>
      </c>
      <c r="C8704" s="4"/>
      <c r="D8704" s="4" t="s">
        <v>19225</v>
      </c>
      <c r="E8704" s="4" t="s">
        <v>19226</v>
      </c>
      <c r="F8704" s="4" t="s">
        <v>19227</v>
      </c>
      <c r="G8704" s="5" t="str">
        <f>IFERROR(__xludf.DUMMYFUNCTION("GOOGLETRANSLATE(D8704,""pt"",""es"")"),"mixuruca")</f>
        <v>mixuruca</v>
      </c>
    </row>
    <row r="8705">
      <c r="A8705" s="4">
        <v>119.0</v>
      </c>
      <c r="B8705" s="4" t="s">
        <v>18915</v>
      </c>
      <c r="C8705" s="4"/>
      <c r="D8705" s="4" t="s">
        <v>12940</v>
      </c>
      <c r="E8705" s="4" t="s">
        <v>12941</v>
      </c>
      <c r="F8705" s="4" t="s">
        <v>12940</v>
      </c>
      <c r="G8705" s="5" t="str">
        <f>IFERROR(__xludf.DUMMYFUNCTION("GOOGLETRANSLATE(D8705,""pt"",""es"")"),"miyuki")</f>
        <v>miyuki</v>
      </c>
    </row>
    <row r="8706">
      <c r="A8706" s="4">
        <v>120.0</v>
      </c>
      <c r="B8706" s="4" t="s">
        <v>18915</v>
      </c>
      <c r="C8706" s="4"/>
      <c r="D8706" s="4" t="s">
        <v>15995</v>
      </c>
      <c r="E8706" s="4" t="s">
        <v>366</v>
      </c>
      <c r="F8706" s="4" t="s">
        <v>367</v>
      </c>
      <c r="G8706" s="5" t="str">
        <f>IFERROR(__xludf.DUMMYFUNCTION("GOOGLETRANSLATE(D8706,""pt"",""es"")"),"mes")</f>
        <v>mes</v>
      </c>
    </row>
    <row r="8707">
      <c r="A8707" s="4">
        <v>121.0</v>
      </c>
      <c r="B8707" s="4" t="s">
        <v>18915</v>
      </c>
      <c r="C8707" s="4"/>
      <c r="D8707" s="4" t="s">
        <v>19228</v>
      </c>
      <c r="E8707" s="4" t="s">
        <v>12970</v>
      </c>
      <c r="F8707" s="4" t="s">
        <v>12971</v>
      </c>
      <c r="G8707" s="5" t="str">
        <f>IFERROR(__xludf.DUMMYFUNCTION("GOOGLETRANSLATE(D8707,""pt"",""es"")"),"Mui")</f>
        <v>Mui</v>
      </c>
      <c r="H8707" s="4" t="s">
        <v>19229</v>
      </c>
      <c r="I8707" s="4" t="s">
        <v>1762</v>
      </c>
      <c r="J8707" s="4" t="s">
        <v>19230</v>
      </c>
      <c r="K8707" s="4" t="s">
        <v>19231</v>
      </c>
      <c r="L8707" s="4" t="s">
        <v>18305</v>
      </c>
      <c r="M8707" s="4" t="s">
        <v>19232</v>
      </c>
    </row>
    <row r="8708">
      <c r="A8708" s="4">
        <v>122.0</v>
      </c>
      <c r="B8708" s="4" t="s">
        <v>18915</v>
      </c>
      <c r="C8708" s="4"/>
      <c r="D8708" s="4" t="s">
        <v>2786</v>
      </c>
      <c r="E8708" s="4" t="s">
        <v>2787</v>
      </c>
      <c r="F8708" s="4" t="s">
        <v>2786</v>
      </c>
      <c r="G8708" s="5" t="str">
        <f>IFERROR(__xludf.DUMMYFUNCTION("GOOGLETRANSLATE(D8708,""pt"",""es"")"),"mula")</f>
        <v>mula</v>
      </c>
      <c r="H8708" s="4" t="s">
        <v>2785</v>
      </c>
      <c r="I8708" s="4" t="s">
        <v>6237</v>
      </c>
    </row>
    <row r="8709">
      <c r="A8709" s="4">
        <v>123.0</v>
      </c>
      <c r="B8709" s="4" t="s">
        <v>18915</v>
      </c>
      <c r="C8709" s="4"/>
      <c r="D8709" s="4" t="s">
        <v>19233</v>
      </c>
      <c r="E8709" s="4" t="s">
        <v>19234</v>
      </c>
      <c r="F8709" s="4" t="s">
        <v>19235</v>
      </c>
      <c r="G8709" s="5" t="str">
        <f>IFERROR(__xludf.DUMMYFUNCTION("GOOGLETRANSLATE(D8709,""pt"",""es"")"),"mulato")</f>
        <v>mulato</v>
      </c>
      <c r="H8709" s="4" t="s">
        <v>19236</v>
      </c>
    </row>
    <row r="8710">
      <c r="A8710" s="4">
        <v>124.0</v>
      </c>
      <c r="B8710" s="4" t="s">
        <v>18915</v>
      </c>
      <c r="C8710" s="4"/>
      <c r="D8710" s="4" t="s">
        <v>19237</v>
      </c>
      <c r="E8710" s="4" t="s">
        <v>19238</v>
      </c>
      <c r="F8710" s="4" t="s">
        <v>19237</v>
      </c>
      <c r="G8710" s="5" t="str">
        <f>IFERROR(__xludf.DUMMYFUNCTION("GOOGLETRANSLATE(D8710,""pt"",""es"")"),"munir")</f>
        <v>munir</v>
      </c>
    </row>
    <row r="8711">
      <c r="A8711" s="4">
        <v>125.0</v>
      </c>
      <c r="B8711" s="4" t="s">
        <v>18915</v>
      </c>
      <c r="C8711" s="4"/>
      <c r="D8711" s="4" t="s">
        <v>19239</v>
      </c>
      <c r="E8711" s="4" t="s">
        <v>19240</v>
      </c>
      <c r="F8711" s="4" t="s">
        <v>19241</v>
      </c>
      <c r="G8711" s="5" t="str">
        <f>IFERROR(__xludf.DUMMYFUNCTION("GOOGLETRANSLATE(D8711,""pt"",""es"")"),"pared")</f>
        <v>pared</v>
      </c>
      <c r="H8711" s="4" t="s">
        <v>2835</v>
      </c>
      <c r="I8711" s="4" t="s">
        <v>2835</v>
      </c>
    </row>
    <row r="8712">
      <c r="A8712" s="4">
        <v>126.0</v>
      </c>
      <c r="B8712" s="4" t="s">
        <v>18915</v>
      </c>
      <c r="C8712" s="4"/>
      <c r="D8712" s="4" t="s">
        <v>2848</v>
      </c>
      <c r="E8712" s="4" t="s">
        <v>2852</v>
      </c>
      <c r="F8712" s="4" t="s">
        <v>2848</v>
      </c>
      <c r="G8712" s="5" t="str">
        <f>IFERROR(__xludf.DUMMYFUNCTION("GOOGLETRANSLATE(D8712,""pt"",""es"")"),"mudar")</f>
        <v>mudar</v>
      </c>
    </row>
    <row r="8713">
      <c r="A8713" s="4">
        <v>127.0</v>
      </c>
      <c r="B8713" s="4" t="s">
        <v>18915</v>
      </c>
      <c r="C8713" s="4"/>
      <c r="D8713" s="4" t="s">
        <v>19242</v>
      </c>
      <c r="E8713" s="4" t="s">
        <v>2279</v>
      </c>
      <c r="F8713" s="4" t="s">
        <v>2278</v>
      </c>
      <c r="G8713" s="5" t="str">
        <f>IFERROR(__xludf.DUMMYFUNCTION("GOOGLETRANSLATE(D8713,""pt"",""es"")"),"malo")</f>
        <v>malo</v>
      </c>
      <c r="H8713" s="4" t="s">
        <v>2332</v>
      </c>
    </row>
    <row r="8714">
      <c r="A8714" s="4">
        <v>128.0</v>
      </c>
      <c r="B8714" s="4" t="s">
        <v>18915</v>
      </c>
      <c r="C8714" s="4"/>
      <c r="D8714" s="4" t="s">
        <v>19243</v>
      </c>
      <c r="E8714" s="4" t="s">
        <v>2872</v>
      </c>
      <c r="F8714" s="4" t="s">
        <v>2873</v>
      </c>
      <c r="G8714" s="5" t="str">
        <f>IFERROR(__xludf.DUMMYFUNCTION("GOOGLETRANSLATE(D8714,""pt"",""es"")"),"máquina")</f>
        <v>máquina</v>
      </c>
      <c r="H8714" s="4" t="s">
        <v>1301</v>
      </c>
      <c r="I8714" s="4" t="s">
        <v>19244</v>
      </c>
      <c r="J8714" s="4" t="s">
        <v>19245</v>
      </c>
      <c r="K8714" s="4" t="s">
        <v>2874</v>
      </c>
      <c r="L8714" s="4" t="s">
        <v>19246</v>
      </c>
      <c r="M8714" s="4" t="s">
        <v>19247</v>
      </c>
      <c r="N8714" s="4" t="s">
        <v>19248</v>
      </c>
      <c r="O8714" s="4" t="s">
        <v>19247</v>
      </c>
      <c r="P8714" s="4" t="s">
        <v>19249</v>
      </c>
      <c r="Q8714" s="4" t="s">
        <v>19250</v>
      </c>
      <c r="R8714" s="4" t="s">
        <v>2874</v>
      </c>
      <c r="S8714" s="4" t="s">
        <v>2874</v>
      </c>
      <c r="T8714" s="4" t="s">
        <v>2875</v>
      </c>
      <c r="U8714" s="4" t="s">
        <v>12712</v>
      </c>
      <c r="V8714" s="4" t="s">
        <v>19251</v>
      </c>
      <c r="W8714" s="4" t="s">
        <v>2874</v>
      </c>
    </row>
    <row r="8715">
      <c r="A8715" s="4">
        <v>129.0</v>
      </c>
      <c r="B8715" s="4" t="s">
        <v>18915</v>
      </c>
      <c r="C8715" s="4"/>
      <c r="D8715" s="4" t="s">
        <v>19252</v>
      </c>
      <c r="E8715" s="4" t="s">
        <v>19253</v>
      </c>
      <c r="F8715" s="4" t="s">
        <v>19254</v>
      </c>
      <c r="G8715" s="5" t="str">
        <f>IFERROR(__xludf.DUMMYFUNCTION("GOOGLETRANSLATE(D8715,""pt"",""es"")"),"máximo")</f>
        <v>máximo</v>
      </c>
      <c r="H8715" s="4" t="s">
        <v>19255</v>
      </c>
      <c r="I8715" s="4" t="s">
        <v>19256</v>
      </c>
      <c r="J8715" s="4" t="s">
        <v>19257</v>
      </c>
      <c r="K8715" s="4" t="s">
        <v>19258</v>
      </c>
      <c r="L8715" s="4" t="s">
        <v>19257</v>
      </c>
      <c r="M8715" s="4" t="s">
        <v>19259</v>
      </c>
      <c r="N8715" s="4" t="s">
        <v>1400</v>
      </c>
      <c r="O8715" s="4" t="s">
        <v>19257</v>
      </c>
      <c r="P8715" s="4" t="s">
        <v>19260</v>
      </c>
    </row>
    <row r="8716">
      <c r="A8716" s="4">
        <v>130.0</v>
      </c>
      <c r="B8716" s="4" t="s">
        <v>18915</v>
      </c>
      <c r="C8716" s="4"/>
      <c r="D8716" s="4" t="s">
        <v>19261</v>
      </c>
      <c r="E8716" s="4" t="s">
        <v>19262</v>
      </c>
      <c r="F8716" s="4" t="s">
        <v>10688</v>
      </c>
      <c r="G8716" s="5" t="str">
        <f>IFERROR(__xludf.DUMMYFUNCTION("GOOGLETRANSLATE(D8716,""pt"",""es"")"),"naco")</f>
        <v>naco</v>
      </c>
      <c r="H8716" s="4" t="s">
        <v>10892</v>
      </c>
      <c r="I8716" s="4" t="s">
        <v>10893</v>
      </c>
    </row>
    <row r="8717">
      <c r="A8717" s="4">
        <v>131.0</v>
      </c>
      <c r="B8717" s="4" t="s">
        <v>18915</v>
      </c>
      <c r="C8717" s="4"/>
      <c r="D8717" s="4" t="s">
        <v>19263</v>
      </c>
      <c r="E8717" s="4" t="s">
        <v>19264</v>
      </c>
      <c r="F8717" s="4" t="s">
        <v>19265</v>
      </c>
      <c r="G8717" s="5" t="str">
        <f>IFERROR(__xludf.DUMMYFUNCTION("GOOGLETRANSLATE(D8717,""pt"",""es"")"),"en ese")</f>
        <v>en ese</v>
      </c>
    </row>
    <row r="8718">
      <c r="A8718" s="4">
        <v>132.0</v>
      </c>
      <c r="B8718" s="4" t="s">
        <v>18915</v>
      </c>
      <c r="C8718" s="4"/>
      <c r="D8718" s="4" t="s">
        <v>19266</v>
      </c>
      <c r="E8718" s="4" t="s">
        <v>19267</v>
      </c>
      <c r="F8718" s="4" t="s">
        <v>19266</v>
      </c>
      <c r="G8718" s="5" t="str">
        <f>IFERROR(__xludf.DUMMYFUNCTION("GOOGLETRANSLATE(D8718,""pt"",""es"")"),"fosa nasal")</f>
        <v>fosa nasal</v>
      </c>
      <c r="H8718" s="4" t="s">
        <v>19268</v>
      </c>
      <c r="I8718" s="4" t="s">
        <v>19269</v>
      </c>
    </row>
    <row r="8719">
      <c r="A8719" s="4">
        <v>133.0</v>
      </c>
      <c r="B8719" s="4" t="s">
        <v>18915</v>
      </c>
      <c r="C8719" s="4"/>
      <c r="D8719" s="4" t="s">
        <v>19270</v>
      </c>
      <c r="E8719" s="4" t="s">
        <v>19271</v>
      </c>
      <c r="F8719" s="4" t="s">
        <v>19272</v>
      </c>
      <c r="G8719" s="5" t="str">
        <f>IFERROR(__xludf.DUMMYFUNCTION("GOOGLETRANSLATE(D8719,""pt"",""es"")"),"desequilibrado")</f>
        <v>desequilibrado</v>
      </c>
      <c r="H8719" s="4" t="s">
        <v>19273</v>
      </c>
    </row>
    <row r="8720">
      <c r="A8720" s="4">
        <v>134.0</v>
      </c>
      <c r="B8720" s="4" t="s">
        <v>18915</v>
      </c>
      <c r="C8720" s="4"/>
      <c r="D8720" s="4" t="s">
        <v>19274</v>
      </c>
      <c r="E8720" s="4" t="s">
        <v>19275</v>
      </c>
      <c r="F8720" s="4" t="s">
        <v>10743</v>
      </c>
      <c r="G8720" s="5" t="str">
        <f>IFERROR(__xludf.DUMMYFUNCTION("GOOGLETRANSLATE(D8720,""pt"",""es"")"),"soy")</f>
        <v>soy</v>
      </c>
    </row>
    <row r="8721">
      <c r="A8721" s="4">
        <v>135.0</v>
      </c>
      <c r="B8721" s="4" t="s">
        <v>18915</v>
      </c>
      <c r="C8721" s="4"/>
      <c r="D8721" s="4" t="s">
        <v>19276</v>
      </c>
      <c r="E8721" s="4" t="s">
        <v>19277</v>
      </c>
      <c r="F8721" s="4" t="s">
        <v>19278</v>
      </c>
      <c r="G8721" s="5" t="str">
        <f>IFERROR(__xludf.DUMMYFUNCTION("GOOGLETRANSLATE(D8721,""pt"",""es"")"),"Navidad")</f>
        <v>Navidad</v>
      </c>
    </row>
    <row r="8722">
      <c r="A8722" s="4">
        <v>136.0</v>
      </c>
      <c r="B8722" s="4" t="s">
        <v>18915</v>
      </c>
      <c r="C8722" s="4"/>
      <c r="D8722" s="4" t="s">
        <v>19279</v>
      </c>
      <c r="E8722" s="4" t="s">
        <v>19280</v>
      </c>
      <c r="F8722" s="4" t="s">
        <v>19281</v>
      </c>
      <c r="G8722" s="5" t="str">
        <f>IFERROR(__xludf.DUMMYFUNCTION("GOOGLETRANSLATE(D8722,""pt"",""es"")"),"nicho")</f>
        <v>nicho</v>
      </c>
      <c r="H8722" s="4" t="s">
        <v>19282</v>
      </c>
      <c r="I8722" s="4" t="s">
        <v>11390</v>
      </c>
      <c r="J8722" s="4" t="s">
        <v>983</v>
      </c>
      <c r="K8722" s="4" t="s">
        <v>8556</v>
      </c>
      <c r="L8722" s="4" t="s">
        <v>983</v>
      </c>
      <c r="M8722" s="4" t="s">
        <v>8559</v>
      </c>
      <c r="N8722" s="4" t="s">
        <v>8556</v>
      </c>
      <c r="O8722" s="4" t="s">
        <v>7029</v>
      </c>
    </row>
    <row r="8723">
      <c r="A8723" s="4">
        <v>137.0</v>
      </c>
      <c r="B8723" s="4" t="s">
        <v>18915</v>
      </c>
      <c r="C8723" s="4"/>
      <c r="D8723" s="4" t="s">
        <v>19283</v>
      </c>
      <c r="E8723" s="4" t="s">
        <v>19284</v>
      </c>
      <c r="F8723" s="4" t="s">
        <v>19285</v>
      </c>
      <c r="G8723" s="5" t="str">
        <f>IFERROR(__xludf.DUMMYFUNCTION("GOOGLETRANSLATE(D8723,""pt"",""es"")"),"Nilo")</f>
        <v>Nilo</v>
      </c>
      <c r="H8723" s="4" t="s">
        <v>2978</v>
      </c>
      <c r="I8723" s="4" t="s">
        <v>2979</v>
      </c>
    </row>
    <row r="8724">
      <c r="A8724" s="4">
        <v>138.0</v>
      </c>
      <c r="B8724" s="4" t="s">
        <v>18915</v>
      </c>
      <c r="C8724" s="4"/>
      <c r="D8724" s="4" t="s">
        <v>19286</v>
      </c>
      <c r="E8724" s="4" t="s">
        <v>19287</v>
      </c>
      <c r="F8724" s="4" t="s">
        <v>19288</v>
      </c>
      <c r="G8724" s="5" t="str">
        <f>IFERROR(__xludf.DUMMYFUNCTION("GOOGLETRANSLATE(D8724,""pt"",""es"")"),"niño")</f>
        <v>niño</v>
      </c>
      <c r="H8724" s="4" t="s">
        <v>13082</v>
      </c>
    </row>
    <row r="8725">
      <c r="A8725" s="4">
        <v>139.0</v>
      </c>
      <c r="B8725" s="4" t="s">
        <v>18915</v>
      </c>
      <c r="C8725" s="4"/>
      <c r="D8725" s="4" t="s">
        <v>19289</v>
      </c>
      <c r="E8725" s="4" t="s">
        <v>10767</v>
      </c>
      <c r="F8725" s="4" t="s">
        <v>10766</v>
      </c>
      <c r="G8725" s="5" t="str">
        <f>IFERROR(__xludf.DUMMYFUNCTION("GOOGLETRANSLATE(D8725,""pt"",""es"")"),"en eso")</f>
        <v>en eso</v>
      </c>
    </row>
    <row r="8726">
      <c r="A8726" s="4">
        <v>140.0</v>
      </c>
      <c r="B8726" s="4" t="s">
        <v>18915</v>
      </c>
      <c r="C8726" s="4"/>
      <c r="D8726" s="4" t="s">
        <v>13239</v>
      </c>
      <c r="E8726" s="4" t="s">
        <v>3018</v>
      </c>
      <c r="F8726" s="4" t="s">
        <v>2972</v>
      </c>
      <c r="G8726" s="5" t="str">
        <f>IFERROR(__xludf.DUMMYFUNCTION("GOOGLETRANSLATE(D8726,""pt"",""es"")"),"en el")</f>
        <v>en el</v>
      </c>
      <c r="H8726" s="4" t="s">
        <v>19290</v>
      </c>
      <c r="I8726" s="4" t="s">
        <v>19291</v>
      </c>
      <c r="J8726" s="4" t="s">
        <v>19292</v>
      </c>
    </row>
    <row r="8727">
      <c r="A8727" s="4">
        <v>141.0</v>
      </c>
      <c r="B8727" s="4" t="s">
        <v>18915</v>
      </c>
      <c r="C8727" s="4"/>
      <c r="D8727" s="4" t="s">
        <v>2972</v>
      </c>
      <c r="E8727" s="4" t="s">
        <v>3018</v>
      </c>
      <c r="F8727" s="4" t="s">
        <v>2972</v>
      </c>
      <c r="G8727" s="5" t="str">
        <f>IFERROR(__xludf.DUMMYFUNCTION("GOOGLETRANSLATE(D8727,""pt"",""es"")"),"desnudo")</f>
        <v>desnudo</v>
      </c>
      <c r="H8727" s="4" t="s">
        <v>3019</v>
      </c>
      <c r="I8727" s="4" t="s">
        <v>3020</v>
      </c>
      <c r="J8727" s="4" t="s">
        <v>3021</v>
      </c>
      <c r="K8727" s="4" t="s">
        <v>3022</v>
      </c>
      <c r="L8727" s="4" t="s">
        <v>19293</v>
      </c>
      <c r="M8727" s="4" t="s">
        <v>19294</v>
      </c>
    </row>
    <row r="8728">
      <c r="A8728" s="4">
        <v>142.0</v>
      </c>
      <c r="B8728" s="4" t="s">
        <v>18915</v>
      </c>
      <c r="C8728" s="4"/>
      <c r="D8728" s="4" t="s">
        <v>8580</v>
      </c>
      <c r="E8728" s="4" t="s">
        <v>4669</v>
      </c>
      <c r="F8728" s="4" t="s">
        <v>4668</v>
      </c>
      <c r="G8728" s="5" t="str">
        <f>IFERROR(__xludf.DUMMYFUNCTION("GOOGLETRANSLATE(D8728,""pt"",""es"")"),"tú")</f>
        <v>tú</v>
      </c>
    </row>
    <row r="8729">
      <c r="A8729" s="4">
        <v>143.0</v>
      </c>
      <c r="B8729" s="4" t="s">
        <v>18915</v>
      </c>
      <c r="C8729" s="4"/>
      <c r="D8729" s="4" t="s">
        <v>14238</v>
      </c>
      <c r="E8729" s="4" t="s">
        <v>4850</v>
      </c>
      <c r="F8729" s="4" t="s">
        <v>3910</v>
      </c>
      <c r="G8729" s="5" t="str">
        <f>IFERROR(__xludf.DUMMYFUNCTION("GOOGLETRANSLATE(D8729,""pt"",""es"")"),"papá")</f>
        <v>papá</v>
      </c>
      <c r="H8729" s="4" t="s">
        <v>9713</v>
      </c>
      <c r="I8729" s="4" t="s">
        <v>9714</v>
      </c>
      <c r="J8729" s="4" t="s">
        <v>9715</v>
      </c>
      <c r="K8729" s="4" t="s">
        <v>3294</v>
      </c>
      <c r="L8729" s="4" t="s">
        <v>3295</v>
      </c>
      <c r="M8729" s="4" t="s">
        <v>3296</v>
      </c>
      <c r="N8729" s="4" t="s">
        <v>3147</v>
      </c>
      <c r="O8729" s="4" t="s">
        <v>3292</v>
      </c>
      <c r="P8729" s="4" t="s">
        <v>3297</v>
      </c>
      <c r="Q8729" s="4" t="s">
        <v>3298</v>
      </c>
      <c r="R8729" s="4" t="s">
        <v>3299</v>
      </c>
      <c r="S8729" s="4" t="s">
        <v>3300</v>
      </c>
      <c r="T8729" s="4" t="s">
        <v>3301</v>
      </c>
      <c r="U8729" s="4" t="s">
        <v>19295</v>
      </c>
      <c r="V8729" s="4" t="s">
        <v>9723</v>
      </c>
    </row>
    <row r="8730">
      <c r="A8730" s="4">
        <v>144.0</v>
      </c>
      <c r="B8730" s="4" t="s">
        <v>18915</v>
      </c>
      <c r="C8730" s="4"/>
      <c r="D8730" s="4" t="s">
        <v>3158</v>
      </c>
      <c r="E8730" s="4" t="s">
        <v>3159</v>
      </c>
      <c r="F8730" s="4" t="s">
        <v>3160</v>
      </c>
      <c r="G8730" s="5" t="str">
        <f>IFERROR(__xludf.DUMMYFUNCTION("GOOGLETRANSLATE(D8730,""pt"",""es"")"),"paio")</f>
        <v>paio</v>
      </c>
    </row>
    <row r="8731">
      <c r="A8731" s="4">
        <v>145.0</v>
      </c>
      <c r="B8731" s="4" t="s">
        <v>18915</v>
      </c>
      <c r="C8731" s="4"/>
      <c r="D8731" s="4" t="s">
        <v>19296</v>
      </c>
      <c r="E8731" s="4" t="s">
        <v>19297</v>
      </c>
      <c r="F8731" s="4" t="s">
        <v>19298</v>
      </c>
      <c r="G8731" s="5" t="str">
        <f>IFERROR(__xludf.DUMMYFUNCTION("GOOGLETRANSLATE(D8731,""pt"",""es"")"),"paladar")</f>
        <v>paladar</v>
      </c>
      <c r="H8731" s="4" t="s">
        <v>19299</v>
      </c>
      <c r="I8731" s="4" t="s">
        <v>19300</v>
      </c>
    </row>
    <row r="8732">
      <c r="A8732" s="4">
        <v>146.0</v>
      </c>
      <c r="B8732" s="4" t="s">
        <v>18915</v>
      </c>
      <c r="C8732" s="4"/>
      <c r="D8732" s="4" t="s">
        <v>19301</v>
      </c>
      <c r="E8732" s="4" t="s">
        <v>19302</v>
      </c>
      <c r="F8732" s="4" t="s">
        <v>19303</v>
      </c>
      <c r="G8732" s="5" t="str">
        <f>IFERROR(__xludf.DUMMYFUNCTION("GOOGLETRANSLATE(D8732,""pt"",""es"")"),"palillo de dientes")</f>
        <v>palillo de dientes</v>
      </c>
      <c r="H8732" s="4" t="s">
        <v>19304</v>
      </c>
    </row>
    <row r="8733">
      <c r="A8733" s="4">
        <v>147.0</v>
      </c>
      <c r="B8733" s="4" t="s">
        <v>18915</v>
      </c>
      <c r="C8733" s="4"/>
      <c r="D8733" s="4" t="s">
        <v>19305</v>
      </c>
      <c r="E8733" s="4" t="s">
        <v>13207</v>
      </c>
      <c r="F8733" s="4" t="s">
        <v>13208</v>
      </c>
      <c r="G8733" s="5" t="str">
        <f>IFERROR(__xludf.DUMMYFUNCTION("GOOGLETRANSLATE(D8733,""pt"",""es"")"),"papá")</f>
        <v>papá</v>
      </c>
      <c r="H8733" s="4" t="s">
        <v>3294</v>
      </c>
      <c r="I8733" s="4" t="s">
        <v>3295</v>
      </c>
      <c r="J8733" s="4" t="s">
        <v>3296</v>
      </c>
      <c r="K8733" s="4" t="s">
        <v>3147</v>
      </c>
      <c r="L8733" s="4" t="s">
        <v>3292</v>
      </c>
      <c r="M8733" s="4" t="s">
        <v>3297</v>
      </c>
      <c r="N8733" s="4" t="s">
        <v>3298</v>
      </c>
      <c r="O8733" s="4" t="s">
        <v>3299</v>
      </c>
      <c r="P8733" s="4" t="s">
        <v>3300</v>
      </c>
      <c r="Q8733" s="4" t="s">
        <v>3301</v>
      </c>
    </row>
    <row r="8734">
      <c r="A8734" s="4">
        <v>148.0</v>
      </c>
      <c r="B8734" s="4" t="s">
        <v>18915</v>
      </c>
      <c r="C8734" s="4"/>
      <c r="D8734" s="4" t="s">
        <v>19306</v>
      </c>
      <c r="E8734" s="4" t="s">
        <v>19307</v>
      </c>
      <c r="F8734" s="4" t="s">
        <v>19308</v>
      </c>
      <c r="G8734" s="5" t="str">
        <f>IFERROR(__xludf.DUMMYFUNCTION("GOOGLETRANSLATE(D8734,""pt"",""es"")"),"papárico")</f>
        <v>papárico</v>
      </c>
    </row>
    <row r="8735">
      <c r="A8735" s="4">
        <v>149.0</v>
      </c>
      <c r="B8735" s="4" t="s">
        <v>18915</v>
      </c>
      <c r="C8735" s="4"/>
      <c r="D8735" s="4" t="s">
        <v>19309</v>
      </c>
      <c r="E8735" s="4" t="s">
        <v>3322</v>
      </c>
      <c r="F8735" s="4" t="s">
        <v>3323</v>
      </c>
      <c r="G8735" s="5" t="str">
        <f>IFERROR(__xludf.DUMMYFUNCTION("GOOGLETRANSLATE(D8735,""pt"",""es"")"),"charlar")</f>
        <v>charlar</v>
      </c>
      <c r="H8735" s="4" t="s">
        <v>8799</v>
      </c>
    </row>
    <row r="8736">
      <c r="A8736" s="4">
        <v>150.0</v>
      </c>
      <c r="B8736" s="4" t="s">
        <v>18915</v>
      </c>
      <c r="C8736" s="4"/>
      <c r="D8736" s="4" t="s">
        <v>19310</v>
      </c>
      <c r="E8736" s="4" t="s">
        <v>19311</v>
      </c>
      <c r="F8736" s="4" t="s">
        <v>19312</v>
      </c>
      <c r="G8736" s="5" t="str">
        <f>IFERROR(__xludf.DUMMYFUNCTION("GOOGLETRANSLATE(D8736,""pt"",""es"")"),"Deténgase")</f>
        <v>Deténgase</v>
      </c>
    </row>
    <row r="8737">
      <c r="A8737" s="4">
        <v>151.0</v>
      </c>
      <c r="B8737" s="4" t="s">
        <v>18915</v>
      </c>
      <c r="C8737" s="4"/>
      <c r="D8737" s="4" t="s">
        <v>3427</v>
      </c>
      <c r="E8737" s="4" t="s">
        <v>3428</v>
      </c>
      <c r="F8737" s="4" t="s">
        <v>3429</v>
      </c>
      <c r="G8737" s="5" t="str">
        <f>IFERROR(__xludf.DUMMYFUNCTION("GOOGLETRANSLATE(D8737,""pt"",""es"")"),"paso")</f>
        <v>paso</v>
      </c>
      <c r="H8737" s="4" t="s">
        <v>639</v>
      </c>
      <c r="I8737" s="4" t="s">
        <v>3365</v>
      </c>
      <c r="J8737" s="4" t="s">
        <v>3366</v>
      </c>
      <c r="K8737" s="4" t="s">
        <v>3367</v>
      </c>
      <c r="L8737" s="4" t="s">
        <v>3368</v>
      </c>
      <c r="M8737" s="4" t="s">
        <v>13236</v>
      </c>
      <c r="N8737" s="4" t="s">
        <v>3365</v>
      </c>
      <c r="O8737" s="4" t="s">
        <v>3366</v>
      </c>
      <c r="P8737" s="4" t="s">
        <v>3372</v>
      </c>
      <c r="Q8737" s="4" t="s">
        <v>3381</v>
      </c>
      <c r="R8737" s="4" t="s">
        <v>3366</v>
      </c>
      <c r="S8737" s="4" t="s">
        <v>3365</v>
      </c>
      <c r="T8737" s="4" t="s">
        <v>3367</v>
      </c>
    </row>
    <row r="8738">
      <c r="A8738" s="4">
        <v>152.0</v>
      </c>
      <c r="B8738" s="4" t="s">
        <v>18915</v>
      </c>
      <c r="C8738" s="4"/>
      <c r="D8738" s="4" t="s">
        <v>14516</v>
      </c>
      <c r="E8738" s="4" t="s">
        <v>19313</v>
      </c>
      <c r="F8738" s="4" t="s">
        <v>14518</v>
      </c>
      <c r="G8738" s="5" t="str">
        <f>IFERROR(__xludf.DUMMYFUNCTION("GOOGLETRANSLATE(D8738,""pt"",""es"")"),"pato")</f>
        <v>pato</v>
      </c>
      <c r="H8738" s="4" t="s">
        <v>11872</v>
      </c>
      <c r="I8738" s="4" t="s">
        <v>19314</v>
      </c>
      <c r="J8738" s="4" t="s">
        <v>11872</v>
      </c>
    </row>
    <row r="8739">
      <c r="A8739" s="4">
        <v>153.0</v>
      </c>
      <c r="B8739" s="4" t="s">
        <v>18915</v>
      </c>
      <c r="C8739" s="4"/>
      <c r="D8739" s="4" t="s">
        <v>19315</v>
      </c>
      <c r="E8739" s="4" t="s">
        <v>3428</v>
      </c>
      <c r="F8739" s="4" t="s">
        <v>3429</v>
      </c>
      <c r="G8739" s="5" t="str">
        <f>IFERROR(__xludf.DUMMYFUNCTION("GOOGLETRANSLATE(D8739,""pt"",""es"")"),"ritmo")</f>
        <v>ritmo</v>
      </c>
    </row>
    <row r="8740">
      <c r="A8740" s="4">
        <v>154.0</v>
      </c>
      <c r="B8740" s="4" t="s">
        <v>18915</v>
      </c>
      <c r="C8740" s="4"/>
      <c r="D8740" s="4" t="s">
        <v>19316</v>
      </c>
      <c r="E8740" s="4" t="s">
        <v>19317</v>
      </c>
      <c r="F8740" s="4" t="s">
        <v>19318</v>
      </c>
      <c r="G8740" s="5" t="str">
        <f>IFERROR(__xludf.DUMMYFUNCTION("GOOGLETRANSLATE(D8740,""pt"",""es"")"),"pelaje")</f>
        <v>pelaje</v>
      </c>
      <c r="H8740" s="4" t="s">
        <v>1239</v>
      </c>
      <c r="I8740" s="4" t="s">
        <v>17116</v>
      </c>
      <c r="J8740" s="4" t="s">
        <v>5354</v>
      </c>
    </row>
    <row r="8741">
      <c r="A8741" s="4">
        <v>155.0</v>
      </c>
      <c r="B8741" s="4" t="s">
        <v>18915</v>
      </c>
      <c r="C8741" s="4"/>
      <c r="D8741" s="4" t="s">
        <v>14528</v>
      </c>
      <c r="E8741" s="4" t="s">
        <v>19319</v>
      </c>
      <c r="F8741" s="4" t="s">
        <v>14530</v>
      </c>
      <c r="G8741" s="5" t="str">
        <f>IFERROR(__xludf.DUMMYFUNCTION("GOOGLETRANSLATE(D8741,""pt"",""es"")"),"plumas")</f>
        <v>plumas</v>
      </c>
      <c r="H8741" s="4" t="s">
        <v>19320</v>
      </c>
      <c r="I8741" s="4" t="s">
        <v>5951</v>
      </c>
      <c r="J8741" s="4" t="s">
        <v>19321</v>
      </c>
      <c r="K8741" s="4" t="s">
        <v>19322</v>
      </c>
    </row>
    <row r="8742">
      <c r="A8742" s="4">
        <v>156.0</v>
      </c>
      <c r="B8742" s="4" t="s">
        <v>18915</v>
      </c>
      <c r="C8742" s="4"/>
      <c r="D8742" s="4" t="s">
        <v>19323</v>
      </c>
      <c r="E8742" s="4" t="s">
        <v>19324</v>
      </c>
      <c r="F8742" s="4" t="s">
        <v>19325</v>
      </c>
      <c r="G8742" s="5" t="str">
        <f>IFERROR(__xludf.DUMMYFUNCTION("GOOGLETRANSLATE(D8742,""pt"",""es"")"),"Perú")</f>
        <v>Perú</v>
      </c>
      <c r="H8742" s="4" t="s">
        <v>19326</v>
      </c>
      <c r="I8742" s="4" t="s">
        <v>19327</v>
      </c>
      <c r="J8742" s="4" t="s">
        <v>19326</v>
      </c>
      <c r="K8742" s="4" t="s">
        <v>19328</v>
      </c>
      <c r="L8742" s="4" t="s">
        <v>19329</v>
      </c>
    </row>
    <row r="8743">
      <c r="A8743" s="4">
        <v>157.0</v>
      </c>
      <c r="B8743" s="4" t="s">
        <v>18915</v>
      </c>
      <c r="C8743" s="4"/>
      <c r="D8743" s="4" t="s">
        <v>230</v>
      </c>
      <c r="E8743" s="4" t="s">
        <v>229</v>
      </c>
      <c r="F8743" s="4" t="s">
        <v>230</v>
      </c>
      <c r="G8743" s="5" t="str">
        <f>IFERROR(__xludf.DUMMYFUNCTION("GOOGLETRANSLATE(D8743,""pt"",""es"")"),"Pi")</f>
        <v>Pi</v>
      </c>
      <c r="H8743" s="4" t="s">
        <v>230</v>
      </c>
      <c r="I8743" s="4" t="s">
        <v>230</v>
      </c>
    </row>
    <row r="8744">
      <c r="A8744" s="4">
        <v>158.0</v>
      </c>
      <c r="B8744" s="4" t="s">
        <v>18915</v>
      </c>
      <c r="C8744" s="4"/>
      <c r="D8744" s="4" t="s">
        <v>19330</v>
      </c>
      <c r="E8744" s="4" t="s">
        <v>268</v>
      </c>
      <c r="F8744" s="4" t="s">
        <v>269</v>
      </c>
      <c r="G8744" s="5" t="str">
        <f>IFERROR(__xludf.DUMMYFUNCTION("GOOGLETRANSLATE(D8744,""pt"",""es"")"),"picé")</f>
        <v>picé</v>
      </c>
      <c r="H8744" s="4" t="s">
        <v>10974</v>
      </c>
      <c r="I8744" s="4" t="s">
        <v>2509</v>
      </c>
    </row>
    <row r="8745">
      <c r="A8745" s="4">
        <v>159.0</v>
      </c>
      <c r="B8745" s="4" t="s">
        <v>18915</v>
      </c>
      <c r="C8745" s="4"/>
      <c r="D8745" s="4" t="s">
        <v>19331</v>
      </c>
      <c r="E8745" s="4" t="s">
        <v>19332</v>
      </c>
      <c r="F8745" s="4" t="s">
        <v>14538</v>
      </c>
      <c r="G8745" s="5" t="str">
        <f>IFERROR(__xludf.DUMMYFUNCTION("GOOGLETRANSLATE(D8745,""pt"",""es"")"),"pichu")</f>
        <v>pichu</v>
      </c>
    </row>
    <row r="8746">
      <c r="A8746" s="4">
        <v>160.0</v>
      </c>
      <c r="B8746" s="4" t="s">
        <v>18915</v>
      </c>
      <c r="C8746" s="4"/>
      <c r="D8746" s="4" t="s">
        <v>3511</v>
      </c>
      <c r="E8746" s="4" t="s">
        <v>3512</v>
      </c>
      <c r="F8746" s="4" t="s">
        <v>3513</v>
      </c>
      <c r="G8746" s="5" t="str">
        <f>IFERROR(__xludf.DUMMYFUNCTION("GOOGLETRANSLATE(D8746,""pt"",""es"")"),"cima")</f>
        <v>cima</v>
      </c>
      <c r="H8746" s="4" t="s">
        <v>1400</v>
      </c>
      <c r="I8746" s="4" t="s">
        <v>1401</v>
      </c>
      <c r="J8746" s="4" t="s">
        <v>1402</v>
      </c>
      <c r="K8746" s="4" t="s">
        <v>1403</v>
      </c>
      <c r="L8746" s="4" t="s">
        <v>425</v>
      </c>
      <c r="M8746" s="4" t="s">
        <v>1404</v>
      </c>
      <c r="N8746" s="4" t="s">
        <v>425</v>
      </c>
    </row>
    <row r="8747">
      <c r="A8747" s="4">
        <v>161.0</v>
      </c>
      <c r="B8747" s="4" t="s">
        <v>18915</v>
      </c>
      <c r="C8747" s="4"/>
      <c r="D8747" s="4" t="s">
        <v>19333</v>
      </c>
      <c r="E8747" s="4" t="s">
        <v>19317</v>
      </c>
      <c r="F8747" s="4" t="s">
        <v>19318</v>
      </c>
      <c r="G8747" s="5" t="str">
        <f>IFERROR(__xludf.DUMMYFUNCTION("GOOGLETRANSLATE(D8747,""pt"",""es"")"),"píldora")</f>
        <v>píldora</v>
      </c>
    </row>
    <row r="8748">
      <c r="A8748" s="4">
        <v>162.0</v>
      </c>
      <c r="B8748" s="4" t="s">
        <v>18915</v>
      </c>
      <c r="C8748" s="4"/>
      <c r="D8748" s="4" t="s">
        <v>3553</v>
      </c>
      <c r="E8748" s="4" t="s">
        <v>3554</v>
      </c>
      <c r="F8748" s="4" t="s">
        <v>3553</v>
      </c>
      <c r="G8748" s="5" t="str">
        <f>IFERROR(__xludf.DUMMYFUNCTION("GOOGLETRANSLATE(D8748,""pt"",""es"")"),"Cometa")</f>
        <v>Cometa</v>
      </c>
      <c r="H8748" s="4" t="s">
        <v>2687</v>
      </c>
    </row>
    <row r="8749">
      <c r="A8749" s="4">
        <v>163.0</v>
      </c>
      <c r="B8749" s="4" t="s">
        <v>18915</v>
      </c>
      <c r="C8749" s="4"/>
      <c r="D8749" s="4" t="s">
        <v>5504</v>
      </c>
      <c r="E8749" s="4" t="s">
        <v>5503</v>
      </c>
      <c r="F8749" s="4" t="s">
        <v>5504</v>
      </c>
      <c r="G8749" s="5" t="str">
        <f>IFERROR(__xludf.DUMMYFUNCTION("GOOGLETRANSLATE(D8749,""pt"",""es"")"),"pipi")</f>
        <v>pipi</v>
      </c>
      <c r="H8749" s="4" t="s">
        <v>7246</v>
      </c>
      <c r="I8749" s="4" t="s">
        <v>7242</v>
      </c>
      <c r="J8749" s="4" t="s">
        <v>7247</v>
      </c>
      <c r="K8749" s="4" t="s">
        <v>7239</v>
      </c>
      <c r="L8749" s="4" t="s">
        <v>7241</v>
      </c>
      <c r="M8749" s="4" t="s">
        <v>7239</v>
      </c>
      <c r="N8749" s="4" t="s">
        <v>7242</v>
      </c>
      <c r="O8749" s="4" t="s">
        <v>7243</v>
      </c>
      <c r="P8749" s="4" t="s">
        <v>7244</v>
      </c>
      <c r="Q8749" s="4" t="s">
        <v>7245</v>
      </c>
    </row>
    <row r="8750">
      <c r="A8750" s="4">
        <v>164.0</v>
      </c>
      <c r="B8750" s="4" t="s">
        <v>18915</v>
      </c>
      <c r="C8750" s="4"/>
      <c r="D8750" s="4" t="s">
        <v>919</v>
      </c>
      <c r="E8750" s="4" t="s">
        <v>10973</v>
      </c>
      <c r="F8750" s="4" t="s">
        <v>7175</v>
      </c>
      <c r="G8750" s="5" t="str">
        <f>IFERROR(__xludf.DUMMYFUNCTION("GOOGLETRANSLATE(D8750,""pt"",""es"")"),"recogedor")</f>
        <v>recogedor</v>
      </c>
      <c r="H8750" s="4" t="s">
        <v>3466</v>
      </c>
      <c r="I8750" s="4" t="s">
        <v>3466</v>
      </c>
    </row>
    <row r="8751">
      <c r="A8751" s="4">
        <v>165.0</v>
      </c>
      <c r="B8751" s="4" t="s">
        <v>18915</v>
      </c>
      <c r="C8751" s="4"/>
      <c r="D8751" s="4" t="s">
        <v>19334</v>
      </c>
      <c r="E8751" s="4" t="s">
        <v>19335</v>
      </c>
      <c r="F8751" s="4" t="s">
        <v>19336</v>
      </c>
      <c r="G8751" s="5" t="str">
        <f>IFERROR(__xludf.DUMMYFUNCTION("GOOGLETRANSLATE(D8751,""pt"",""es"")"),"platillo")</f>
        <v>platillo</v>
      </c>
      <c r="H8751" s="4" t="s">
        <v>13706</v>
      </c>
      <c r="I8751" s="4" t="s">
        <v>13706</v>
      </c>
    </row>
    <row r="8752">
      <c r="A8752" s="4">
        <v>166.0</v>
      </c>
      <c r="B8752" s="4" t="s">
        <v>18915</v>
      </c>
      <c r="C8752" s="4"/>
      <c r="D8752" s="4" t="s">
        <v>19337</v>
      </c>
      <c r="E8752" s="4" t="s">
        <v>19338</v>
      </c>
      <c r="F8752" s="4" t="s">
        <v>19337</v>
      </c>
      <c r="G8752" s="5" t="str">
        <f>IFERROR(__xludf.DUMMYFUNCTION("GOOGLETRANSLATE(D8752,""pt"",""es"")"),"piriri")</f>
        <v>piriri</v>
      </c>
    </row>
    <row r="8753">
      <c r="A8753" s="4">
        <v>167.0</v>
      </c>
      <c r="B8753" s="4" t="s">
        <v>18915</v>
      </c>
      <c r="C8753" s="4"/>
      <c r="D8753" s="4" t="s">
        <v>19325</v>
      </c>
      <c r="E8753" s="4" t="s">
        <v>19324</v>
      </c>
      <c r="F8753" s="4" t="s">
        <v>19325</v>
      </c>
      <c r="G8753" s="5" t="str">
        <f>IFERROR(__xludf.DUMMYFUNCTION("GOOGLETRANSLATE(D8753,""pt"",""es"")"),"pirus")</f>
        <v>pirus</v>
      </c>
    </row>
    <row r="8754">
      <c r="A8754" s="4">
        <v>168.0</v>
      </c>
      <c r="B8754" s="4" t="s">
        <v>18915</v>
      </c>
      <c r="C8754" s="4"/>
      <c r="D8754" s="4" t="s">
        <v>19339</v>
      </c>
      <c r="E8754" s="4" t="s">
        <v>19340</v>
      </c>
      <c r="F8754" s="4" t="s">
        <v>19341</v>
      </c>
      <c r="G8754" s="5" t="str">
        <f>IFERROR(__xludf.DUMMYFUNCTION("GOOGLETRANSLATE(D8754,""pt"",""es"")"),"chupete")</f>
        <v>chupete</v>
      </c>
      <c r="H8754" s="4" t="s">
        <v>8475</v>
      </c>
      <c r="I8754" s="4" t="s">
        <v>3234</v>
      </c>
      <c r="J8754" s="4" t="s">
        <v>8481</v>
      </c>
    </row>
    <row r="8755">
      <c r="A8755" s="4">
        <v>169.0</v>
      </c>
      <c r="B8755" s="4" t="s">
        <v>18915</v>
      </c>
      <c r="C8755" s="4"/>
      <c r="D8755" s="4" t="s">
        <v>19342</v>
      </c>
      <c r="E8755" s="4" t="s">
        <v>19343</v>
      </c>
      <c r="F8755" s="4" t="s">
        <v>19344</v>
      </c>
      <c r="G8755" s="5" t="str">
        <f>IFERROR(__xludf.DUMMYFUNCTION("GOOGLETRANSLATE(D8755,""pt"",""es"")"),"pitaco")</f>
        <v>pitaco</v>
      </c>
    </row>
    <row r="8756">
      <c r="A8756" s="4">
        <v>170.0</v>
      </c>
      <c r="B8756" s="4" t="s">
        <v>18915</v>
      </c>
      <c r="C8756" s="4"/>
      <c r="D8756" s="4" t="s">
        <v>19345</v>
      </c>
      <c r="E8756" s="4" t="s">
        <v>13389</v>
      </c>
      <c r="F8756" s="4" t="s">
        <v>13390</v>
      </c>
      <c r="G8756" s="5" t="str">
        <f>IFERROR(__xludf.DUMMYFUNCTION("GOOGLETRANSLATE(D8756,""pt"",""es"")"),"pito")</f>
        <v>pito</v>
      </c>
    </row>
    <row r="8757">
      <c r="A8757" s="4">
        <v>171.0</v>
      </c>
      <c r="B8757" s="4" t="s">
        <v>18915</v>
      </c>
      <c r="C8757" s="4"/>
      <c r="D8757" s="4" t="s">
        <v>13390</v>
      </c>
      <c r="E8757" s="4" t="s">
        <v>13389</v>
      </c>
      <c r="F8757" s="4" t="s">
        <v>13390</v>
      </c>
      <c r="G8757" s="5" t="str">
        <f>IFERROR(__xludf.DUMMYFUNCTION("GOOGLETRANSLATE(D8757,""pt"",""es"")"),"pitú")</f>
        <v>pitú</v>
      </c>
    </row>
    <row r="8758">
      <c r="A8758" s="4">
        <v>172.0</v>
      </c>
      <c r="B8758" s="4" t="s">
        <v>18915</v>
      </c>
      <c r="C8758" s="4"/>
      <c r="D8758" s="4" t="s">
        <v>19346</v>
      </c>
      <c r="E8758" s="4" t="s">
        <v>19347</v>
      </c>
      <c r="F8758" s="4" t="s">
        <v>19348</v>
      </c>
      <c r="G8758" s="5" t="str">
        <f>IFERROR(__xludf.DUMMYFUNCTION("GOOGLETRANSLATE(D8758,""pt"",""es"")"),"psíquico")</f>
        <v>psíquico</v>
      </c>
      <c r="H8758" s="4" t="s">
        <v>19349</v>
      </c>
      <c r="I8758" s="4" t="s">
        <v>19350</v>
      </c>
      <c r="J8758" s="4" t="s">
        <v>19349</v>
      </c>
      <c r="K8758" s="4" t="s">
        <v>19350</v>
      </c>
    </row>
    <row r="8759">
      <c r="A8759" s="4">
        <v>173.0</v>
      </c>
      <c r="B8759" s="4" t="s">
        <v>18915</v>
      </c>
      <c r="C8759" s="4"/>
      <c r="D8759" s="4" t="s">
        <v>19351</v>
      </c>
      <c r="E8759" s="4" t="s">
        <v>19352</v>
      </c>
      <c r="F8759" s="4" t="s">
        <v>19353</v>
      </c>
      <c r="G8759" s="5" t="str">
        <f>IFERROR(__xludf.DUMMYFUNCTION("GOOGLETRANSLATE(D8759,""pt"",""es"")"),"puro")</f>
        <v>puro</v>
      </c>
      <c r="H8759" s="4" t="s">
        <v>19354</v>
      </c>
      <c r="I8759" s="4" t="s">
        <v>3739</v>
      </c>
      <c r="J8759" s="4" t="s">
        <v>3739</v>
      </c>
      <c r="K8759" s="4" t="s">
        <v>3739</v>
      </c>
      <c r="L8759" s="4" t="s">
        <v>6415</v>
      </c>
      <c r="M8759" s="4" t="s">
        <v>16125</v>
      </c>
      <c r="N8759" s="4" t="s">
        <v>19355</v>
      </c>
      <c r="O8759" s="4" t="s">
        <v>19356</v>
      </c>
    </row>
    <row r="8760">
      <c r="A8760" s="4">
        <v>174.0</v>
      </c>
      <c r="B8760" s="4" t="s">
        <v>18915</v>
      </c>
      <c r="C8760" s="4"/>
      <c r="D8760" s="4" t="s">
        <v>19357</v>
      </c>
      <c r="E8760" s="4" t="s">
        <v>11052</v>
      </c>
      <c r="F8760" s="4" t="s">
        <v>11051</v>
      </c>
      <c r="G8760" s="5" t="str">
        <f>IFERROR(__xludf.DUMMYFUNCTION("GOOGLETRANSLATE(D8760,""pt"",""es"")"),"Molesto")</f>
        <v>Molesto</v>
      </c>
      <c r="H8760" s="4" t="s">
        <v>19358</v>
      </c>
      <c r="I8760" s="4" t="s">
        <v>19359</v>
      </c>
      <c r="J8760" s="4" t="s">
        <v>19360</v>
      </c>
      <c r="K8760" s="4" t="s">
        <v>19361</v>
      </c>
      <c r="L8760" s="4" t="s">
        <v>19362</v>
      </c>
      <c r="M8760" s="4" t="s">
        <v>11480</v>
      </c>
      <c r="N8760" s="4" t="s">
        <v>5892</v>
      </c>
      <c r="O8760" s="4" t="s">
        <v>19363</v>
      </c>
      <c r="P8760" s="4" t="s">
        <v>19364</v>
      </c>
    </row>
    <row r="8761">
      <c r="A8761" s="4">
        <v>175.0</v>
      </c>
      <c r="B8761" s="4" t="s">
        <v>18915</v>
      </c>
      <c r="C8761" s="4"/>
      <c r="D8761" s="4" t="s">
        <v>19365</v>
      </c>
      <c r="E8761" s="4" t="s">
        <v>3148</v>
      </c>
      <c r="F8761" s="4" t="s">
        <v>3147</v>
      </c>
      <c r="G8761" s="5" t="str">
        <f>IFERROR(__xludf.DUMMYFUNCTION("GOOGLETRANSLATE(D8761,""pt"",""es"")"),"pala")</f>
        <v>pala</v>
      </c>
      <c r="H8761" s="4" t="s">
        <v>19366</v>
      </c>
      <c r="I8761" s="4" t="s">
        <v>19367</v>
      </c>
      <c r="J8761" s="4" t="s">
        <v>13178</v>
      </c>
      <c r="K8761" s="4" t="s">
        <v>19368</v>
      </c>
      <c r="L8761" s="4" t="s">
        <v>3175</v>
      </c>
      <c r="M8761" s="4" t="s">
        <v>3175</v>
      </c>
      <c r="N8761" s="4" t="s">
        <v>8226</v>
      </c>
    </row>
    <row r="8762">
      <c r="A8762" s="4">
        <v>176.0</v>
      </c>
      <c r="B8762" s="4" t="s">
        <v>18915</v>
      </c>
      <c r="C8762" s="4"/>
      <c r="D8762" s="4" t="s">
        <v>19369</v>
      </c>
      <c r="E8762" s="4" t="s">
        <v>3185</v>
      </c>
      <c r="F8762" s="4" t="s">
        <v>3184</v>
      </c>
      <c r="G8762" s="5" t="str">
        <f>IFERROR(__xludf.DUMMYFUNCTION("GOOGLETRANSLATE(D8762,""pt"",""es"")"),"Pali")</f>
        <v>Pali</v>
      </c>
      <c r="H8762" s="4" t="s">
        <v>19370</v>
      </c>
      <c r="I8762" s="4" t="s">
        <v>19370</v>
      </c>
    </row>
    <row r="8763">
      <c r="A8763" s="4">
        <v>177.0</v>
      </c>
      <c r="B8763" s="4" t="s">
        <v>18915</v>
      </c>
      <c r="C8763" s="4"/>
      <c r="D8763" s="4" t="s">
        <v>19371</v>
      </c>
      <c r="E8763" s="4" t="s">
        <v>19372</v>
      </c>
      <c r="F8763" s="4" t="s">
        <v>19373</v>
      </c>
      <c r="G8763" s="5" t="str">
        <f>IFERROR(__xludf.DUMMYFUNCTION("GOOGLETRANSLATE(D8763,""pt"",""es"")"),"pucárico")</f>
        <v>pucárico</v>
      </c>
    </row>
    <row r="8764">
      <c r="A8764" s="4">
        <v>178.0</v>
      </c>
      <c r="B8764" s="4" t="s">
        <v>18915</v>
      </c>
      <c r="C8764" s="4"/>
      <c r="D8764" s="4" t="s">
        <v>3806</v>
      </c>
      <c r="E8764" s="4" t="s">
        <v>3807</v>
      </c>
      <c r="F8764" s="4" t="s">
        <v>3808</v>
      </c>
      <c r="G8764" s="5" t="str">
        <f>IFERROR(__xludf.DUMMYFUNCTION("GOOGLETRANSLATE(D8764,""pt"",""es"")"),"kilo")</f>
        <v>kilo</v>
      </c>
      <c r="H8764" s="4" t="s">
        <v>3809</v>
      </c>
      <c r="I8764" s="4" t="s">
        <v>3810</v>
      </c>
      <c r="J8764" s="4" t="s">
        <v>3811</v>
      </c>
    </row>
    <row r="8765">
      <c r="A8765" s="4">
        <v>179.0</v>
      </c>
      <c r="B8765" s="4" t="s">
        <v>18915</v>
      </c>
      <c r="C8765" s="4"/>
      <c r="D8765" s="4" t="s">
        <v>19374</v>
      </c>
      <c r="E8765" s="4" t="s">
        <v>12476</v>
      </c>
      <c r="F8765" s="4" t="s">
        <v>12477</v>
      </c>
      <c r="G8765" s="5" t="str">
        <f>IFERROR(__xludf.DUMMYFUNCTION("GOOGLETRANSLATE(D8765,""pt"",""es"")"),"quipá")</f>
        <v>quipá</v>
      </c>
    </row>
    <row r="8766">
      <c r="A8766" s="4">
        <v>180.0</v>
      </c>
      <c r="B8766" s="4" t="s">
        <v>18915</v>
      </c>
      <c r="C8766" s="4"/>
      <c r="D8766" s="4" t="s">
        <v>19375</v>
      </c>
      <c r="E8766" s="4" t="s">
        <v>3831</v>
      </c>
      <c r="F8766" s="4" t="s">
        <v>3832</v>
      </c>
      <c r="G8766" s="5" t="str">
        <f>IFERROR(__xludf.DUMMYFUNCTION("GOOGLETRANSLATE(D8766,""pt"",""es"")"),"quizás")</f>
        <v>quizás</v>
      </c>
      <c r="H8766" s="4" t="s">
        <v>19376</v>
      </c>
      <c r="I8766" s="4" t="s">
        <v>19377</v>
      </c>
      <c r="J8766" s="4" t="s">
        <v>19378</v>
      </c>
      <c r="K8766" s="4" t="s">
        <v>19379</v>
      </c>
      <c r="L8766" s="4" t="s">
        <v>19380</v>
      </c>
      <c r="M8766" s="4" t="s">
        <v>19381</v>
      </c>
    </row>
    <row r="8767">
      <c r="A8767" s="4">
        <v>181.0</v>
      </c>
      <c r="B8767" s="4" t="s">
        <v>18915</v>
      </c>
      <c r="C8767" s="4"/>
      <c r="D8767" s="4" t="s">
        <v>3854</v>
      </c>
      <c r="E8767" s="4" t="s">
        <v>3855</v>
      </c>
      <c r="F8767" s="4" t="s">
        <v>3856</v>
      </c>
      <c r="G8767" s="5" t="str">
        <f>IFERROR(__xludf.DUMMYFUNCTION("GOOGLETRANSLATE(D8767,""pt"",""es"")"),"química")</f>
        <v>química</v>
      </c>
      <c r="H8767" s="4" t="s">
        <v>3851</v>
      </c>
      <c r="I8767" s="4" t="s">
        <v>3852</v>
      </c>
      <c r="J8767" s="4" t="s">
        <v>3851</v>
      </c>
      <c r="K8767" s="4" t="s">
        <v>3857</v>
      </c>
      <c r="L8767" s="4" t="s">
        <v>3858</v>
      </c>
      <c r="M8767" s="4" t="s">
        <v>3857</v>
      </c>
      <c r="N8767" s="4" t="s">
        <v>3859</v>
      </c>
      <c r="O8767" s="4" t="s">
        <v>3860</v>
      </c>
      <c r="P8767" s="4" t="s">
        <v>3857</v>
      </c>
      <c r="Q8767" s="4" t="s">
        <v>3851</v>
      </c>
      <c r="R8767" s="4" t="s">
        <v>12048</v>
      </c>
    </row>
    <row r="8768">
      <c r="A8768" s="4">
        <v>182.0</v>
      </c>
      <c r="B8768" s="4" t="s">
        <v>18915</v>
      </c>
      <c r="C8768" s="4"/>
      <c r="D8768" s="4" t="s">
        <v>19382</v>
      </c>
      <c r="E8768" s="4" t="s">
        <v>19383</v>
      </c>
      <c r="F8768" s="4" t="s">
        <v>19384</v>
      </c>
      <c r="G8768" s="5" t="str">
        <f>IFERROR(__xludf.DUMMYFUNCTION("GOOGLETRANSLATE(D8768,""pt"",""es"")"),"químico")</f>
        <v>químico</v>
      </c>
      <c r="H8768" s="4" t="s">
        <v>3851</v>
      </c>
      <c r="I8768" s="4" t="s">
        <v>3852</v>
      </c>
      <c r="J8768" s="4" t="s">
        <v>3851</v>
      </c>
      <c r="K8768" s="4" t="s">
        <v>3853</v>
      </c>
    </row>
    <row r="8769">
      <c r="A8769" s="4">
        <v>183.0</v>
      </c>
      <c r="B8769" s="4" t="s">
        <v>18915</v>
      </c>
      <c r="C8769" s="4"/>
      <c r="D8769" s="4" t="s">
        <v>19385</v>
      </c>
      <c r="E8769" s="4" t="s">
        <v>19386</v>
      </c>
      <c r="F8769" s="4" t="s">
        <v>19387</v>
      </c>
      <c r="G8769" s="5" t="str">
        <f>IFERROR(__xludf.DUMMYFUNCTION("GOOGLETRANSLATE(D8769,""pt"",""es"")"),"azada")</f>
        <v>azada</v>
      </c>
    </row>
    <row r="8770">
      <c r="A8770" s="4">
        <v>184.0</v>
      </c>
      <c r="B8770" s="4" t="s">
        <v>18915</v>
      </c>
      <c r="C8770" s="4"/>
      <c r="D8770" s="4" t="s">
        <v>19388</v>
      </c>
      <c r="E8770" s="4" t="s">
        <v>16261</v>
      </c>
      <c r="F8770" s="4" t="s">
        <v>11075</v>
      </c>
      <c r="G8770" s="5" t="str">
        <f>IFERROR(__xludf.DUMMYFUNCTION("GOOGLETRANSLATE(D8770,""pt"",""es"")"),"bolsa")</f>
        <v>bolsa</v>
      </c>
      <c r="H8770" s="4" t="s">
        <v>3869</v>
      </c>
      <c r="I8770" s="4" t="s">
        <v>7361</v>
      </c>
      <c r="J8770" s="4" t="s">
        <v>3866</v>
      </c>
      <c r="K8770" s="4" t="s">
        <v>1785</v>
      </c>
      <c r="L8770" s="4" t="s">
        <v>7362</v>
      </c>
    </row>
    <row r="8771">
      <c r="A8771" s="4">
        <v>185.0</v>
      </c>
      <c r="B8771" s="4" t="s">
        <v>18915</v>
      </c>
      <c r="C8771" s="4"/>
      <c r="D8771" s="4" t="s">
        <v>19389</v>
      </c>
      <c r="E8771" s="4" t="s">
        <v>4855</v>
      </c>
      <c r="F8771" s="4" t="s">
        <v>2407</v>
      </c>
      <c r="G8771" s="5" t="str">
        <f>IFERROR(__xludf.DUMMYFUNCTION("GOOGLETRANSLATE(D8771,""pt"",""es"")"),"hojas")</f>
        <v>hojas</v>
      </c>
    </row>
    <row r="8772">
      <c r="A8772" s="4">
        <v>186.0</v>
      </c>
      <c r="B8772" s="4" t="s">
        <v>18915</v>
      </c>
      <c r="C8772" s="4"/>
      <c r="D8772" s="4" t="s">
        <v>14550</v>
      </c>
      <c r="E8772" s="4" t="s">
        <v>19390</v>
      </c>
      <c r="F8772" s="4" t="s">
        <v>14552</v>
      </c>
      <c r="G8772" s="5" t="str">
        <f>IFERROR(__xludf.DUMMYFUNCTION("GOOGLETRANSLATE(D8772,""pt"",""es"")"),"saio")</f>
        <v>saio</v>
      </c>
    </row>
    <row r="8773">
      <c r="A8773" s="4">
        <v>187.0</v>
      </c>
      <c r="B8773" s="4" t="s">
        <v>18915</v>
      </c>
      <c r="C8773" s="4"/>
      <c r="D8773" s="4" t="s">
        <v>19391</v>
      </c>
      <c r="E8773" s="4" t="s">
        <v>19392</v>
      </c>
      <c r="F8773" s="4" t="s">
        <v>11099</v>
      </c>
      <c r="G8773" s="5" t="str">
        <f>IFERROR(__xludf.DUMMYFUNCTION("GOOGLETRANSLATE(D8773,""pt"",""es"")"),"samo")</f>
        <v>samo</v>
      </c>
    </row>
    <row r="8774">
      <c r="A8774" s="4">
        <v>188.0</v>
      </c>
      <c r="B8774" s="4" t="s">
        <v>18915</v>
      </c>
      <c r="C8774" s="4"/>
      <c r="D8774" s="4" t="s">
        <v>19393</v>
      </c>
      <c r="E8774" s="4" t="s">
        <v>19394</v>
      </c>
      <c r="F8774" s="4" t="s">
        <v>19395</v>
      </c>
      <c r="G8774" s="5" t="str">
        <f>IFERROR(__xludf.DUMMYFUNCTION("GOOGLETRANSLATE(D8774,""pt"",""es"")"),"samurai")</f>
        <v>samurai</v>
      </c>
      <c r="H8774" s="4" t="s">
        <v>19393</v>
      </c>
    </row>
    <row r="8775">
      <c r="A8775" s="4">
        <v>189.0</v>
      </c>
      <c r="B8775" s="4" t="s">
        <v>18915</v>
      </c>
      <c r="C8775" s="4"/>
      <c r="D8775" s="4" t="s">
        <v>19396</v>
      </c>
      <c r="E8775" s="4" t="s">
        <v>19397</v>
      </c>
      <c r="F8775" s="4" t="s">
        <v>19396</v>
      </c>
      <c r="G8775" s="5" t="str">
        <f>IFERROR(__xludf.DUMMYFUNCTION("GOOGLETRANSLATE(D8775,""pt"",""es"")"),"zapato")</f>
        <v>zapato</v>
      </c>
      <c r="H8775" s="4" t="s">
        <v>19398</v>
      </c>
      <c r="I8775" s="4" t="s">
        <v>19399</v>
      </c>
      <c r="J8775" s="4" t="s">
        <v>19400</v>
      </c>
    </row>
    <row r="8776">
      <c r="A8776" s="4">
        <v>190.0</v>
      </c>
      <c r="B8776" s="4" t="s">
        <v>18915</v>
      </c>
      <c r="C8776" s="4"/>
      <c r="D8776" s="4" t="s">
        <v>19401</v>
      </c>
      <c r="E8776" s="4" t="s">
        <v>19402</v>
      </c>
      <c r="F8776" s="4" t="s">
        <v>19403</v>
      </c>
      <c r="G8776" s="5" t="str">
        <f>IFERROR(__xludf.DUMMYFUNCTION("GOOGLETRANSLATE(D8776,""pt"",""es"")"),"zapato")</f>
        <v>zapato</v>
      </c>
      <c r="H8776" s="4" t="s">
        <v>19404</v>
      </c>
      <c r="I8776" s="4" t="s">
        <v>19399</v>
      </c>
    </row>
    <row r="8777">
      <c r="A8777" s="4">
        <v>191.0</v>
      </c>
      <c r="B8777" s="4" t="s">
        <v>18915</v>
      </c>
      <c r="C8777" s="4"/>
      <c r="D8777" s="4" t="s">
        <v>19405</v>
      </c>
      <c r="E8777" s="4" t="s">
        <v>19406</v>
      </c>
      <c r="F8777" s="4" t="s">
        <v>19407</v>
      </c>
      <c r="G8777" s="5" t="str">
        <f>IFERROR(__xludf.DUMMYFUNCTION("GOOGLETRANSLATE(D8777,""pt"",""es"")"),"rana")</f>
        <v>rana</v>
      </c>
      <c r="H8777" s="4" t="s">
        <v>19408</v>
      </c>
      <c r="I8777" s="4" t="s">
        <v>19409</v>
      </c>
      <c r="J8777" s="4" t="s">
        <v>19410</v>
      </c>
      <c r="K8777" s="4" t="s">
        <v>19411</v>
      </c>
      <c r="L8777" s="4" t="s">
        <v>19412</v>
      </c>
      <c r="M8777" s="4" t="s">
        <v>19413</v>
      </c>
      <c r="N8777" s="4" t="s">
        <v>19414</v>
      </c>
      <c r="O8777" s="4" t="s">
        <v>19415</v>
      </c>
      <c r="P8777" s="4" t="s">
        <v>19414</v>
      </c>
      <c r="Q8777" s="4" t="s">
        <v>19415</v>
      </c>
      <c r="R8777" s="4" t="s">
        <v>19416</v>
      </c>
    </row>
    <row r="8778">
      <c r="A8778" s="4">
        <v>192.0</v>
      </c>
      <c r="B8778" s="4" t="s">
        <v>18915</v>
      </c>
      <c r="C8778" s="4"/>
      <c r="D8778" s="4" t="s">
        <v>19417</v>
      </c>
      <c r="E8778" s="4" t="s">
        <v>19418</v>
      </c>
      <c r="F8778" s="4" t="s">
        <v>19419</v>
      </c>
      <c r="G8778" s="5" t="str">
        <f>IFERROR(__xludf.DUMMYFUNCTION("GOOGLETRANSLATE(D8778,""pt"",""es"")"),"sarilho")</f>
        <v>sarilho</v>
      </c>
    </row>
    <row r="8779">
      <c r="A8779" s="4">
        <v>193.0</v>
      </c>
      <c r="B8779" s="4" t="s">
        <v>18915</v>
      </c>
      <c r="C8779" s="4"/>
      <c r="D8779" s="4" t="s">
        <v>7428</v>
      </c>
      <c r="E8779" s="4" t="s">
        <v>16274</v>
      </c>
      <c r="F8779" s="4" t="s">
        <v>7428</v>
      </c>
      <c r="G8779" s="5" t="str">
        <f>IFERROR(__xludf.DUMMYFUNCTION("GOOGLETRANSLATE(D8779,""pt"",""es"")"),"Sashimi")</f>
        <v>Sashimi</v>
      </c>
      <c r="H8779" s="4" t="s">
        <v>7428</v>
      </c>
    </row>
    <row r="8780">
      <c r="A8780" s="4">
        <v>194.0</v>
      </c>
      <c r="B8780" s="4" t="s">
        <v>18915</v>
      </c>
      <c r="C8780" s="4"/>
      <c r="D8780" s="4" t="s">
        <v>8724</v>
      </c>
      <c r="E8780" s="4" t="s">
        <v>19420</v>
      </c>
      <c r="F8780" s="4" t="s">
        <v>8726</v>
      </c>
      <c r="G8780" s="5" t="str">
        <f>IFERROR(__xludf.DUMMYFUNCTION("GOOGLETRANSLATE(D8780,""pt"",""es"")"),"shiitake")</f>
        <v>shiitake</v>
      </c>
      <c r="H8780" s="4" t="s">
        <v>8724</v>
      </c>
      <c r="I8780" s="4" t="s">
        <v>8727</v>
      </c>
      <c r="J8780" s="4" t="s">
        <v>8728</v>
      </c>
      <c r="K8780" s="4" t="s">
        <v>8729</v>
      </c>
      <c r="L8780" s="4" t="s">
        <v>8730</v>
      </c>
      <c r="M8780" s="4" t="s">
        <v>8731</v>
      </c>
    </row>
    <row r="8781">
      <c r="A8781" s="4">
        <v>195.0</v>
      </c>
      <c r="B8781" s="4" t="s">
        <v>18915</v>
      </c>
      <c r="C8781" s="4"/>
      <c r="D8781" s="4" t="s">
        <v>401</v>
      </c>
      <c r="E8781" s="4" t="s">
        <v>400</v>
      </c>
      <c r="F8781" s="4" t="s">
        <v>401</v>
      </c>
      <c r="G8781" s="5" t="str">
        <f>IFERROR(__xludf.DUMMYFUNCTION("GOOGLETRANSLATE(D8781,""pt"",""es"")"),"si")</f>
        <v>si</v>
      </c>
      <c r="H8781" s="4" t="s">
        <v>422</v>
      </c>
      <c r="I8781" s="4" t="s">
        <v>3975</v>
      </c>
      <c r="J8781" s="4" t="s">
        <v>401</v>
      </c>
    </row>
    <row r="8782">
      <c r="A8782" s="4">
        <v>196.0</v>
      </c>
      <c r="B8782" s="4" t="s">
        <v>18915</v>
      </c>
      <c r="C8782" s="4"/>
      <c r="D8782" s="4" t="s">
        <v>19421</v>
      </c>
      <c r="E8782" s="4" t="s">
        <v>19422</v>
      </c>
      <c r="F8782" s="4" t="s">
        <v>19423</v>
      </c>
      <c r="G8782" s="5" t="str">
        <f>IFERROR(__xludf.DUMMYFUNCTION("GOOGLETRANSLATE(D8782,""pt"",""es"")"),"sipaio")</f>
        <v>sipaio</v>
      </c>
    </row>
    <row r="8783">
      <c r="A8783" s="4">
        <v>197.0</v>
      </c>
      <c r="B8783" s="4" t="s">
        <v>18915</v>
      </c>
      <c r="C8783" s="4"/>
      <c r="D8783" s="4" t="s">
        <v>19424</v>
      </c>
      <c r="E8783" s="4" t="s">
        <v>19425</v>
      </c>
      <c r="F8783" s="4" t="s">
        <v>19426</v>
      </c>
      <c r="G8783" s="5" t="str">
        <f>IFERROR(__xludf.DUMMYFUNCTION("GOOGLETRANSLATE(D8783,""pt"",""es"")"),"siririca")</f>
        <v>siririca</v>
      </c>
    </row>
    <row r="8784">
      <c r="A8784" s="4">
        <v>198.0</v>
      </c>
      <c r="B8784" s="4" t="s">
        <v>18915</v>
      </c>
      <c r="C8784" s="4"/>
      <c r="D8784" s="4" t="s">
        <v>19427</v>
      </c>
      <c r="E8784" s="4" t="s">
        <v>11234</v>
      </c>
      <c r="F8784" s="4" t="s">
        <v>11233</v>
      </c>
      <c r="G8784" s="5" t="str">
        <f>IFERROR(__xludf.DUMMYFUNCTION("GOOGLETRANSLATE(D8784,""pt"",""es"")"),"jugo")</f>
        <v>jugo</v>
      </c>
      <c r="H8784" s="4" t="s">
        <v>4110</v>
      </c>
      <c r="I8784" s="4" t="s">
        <v>4111</v>
      </c>
      <c r="J8784" s="4" t="s">
        <v>4112</v>
      </c>
    </row>
    <row r="8785">
      <c r="A8785" s="4">
        <v>199.0</v>
      </c>
      <c r="B8785" s="4" t="s">
        <v>18915</v>
      </c>
      <c r="C8785" s="4"/>
      <c r="D8785" s="4" t="s">
        <v>19428</v>
      </c>
      <c r="E8785" s="4" t="s">
        <v>19429</v>
      </c>
      <c r="F8785" s="4" t="s">
        <v>19430</v>
      </c>
      <c r="G8785" s="5" t="str">
        <f>IFERROR(__xludf.DUMMYFUNCTION("GOOGLETRANSLATE(D8785,""pt"",""es"")"),"Sumiko")</f>
        <v>Sumiko</v>
      </c>
    </row>
    <row r="8786">
      <c r="A8786" s="4">
        <v>200.0</v>
      </c>
      <c r="B8786" s="4" t="s">
        <v>18915</v>
      </c>
      <c r="C8786" s="4"/>
      <c r="D8786" s="4" t="s">
        <v>19431</v>
      </c>
      <c r="E8786" s="4" t="s">
        <v>19432</v>
      </c>
      <c r="F8786" s="4" t="s">
        <v>19433</v>
      </c>
      <c r="G8786" s="5" t="str">
        <f>IFERROR(__xludf.DUMMYFUNCTION("GOOGLETRANSLATE(D8786,""pt"",""es"")"),"desaparición")</f>
        <v>desaparición</v>
      </c>
    </row>
    <row r="8787">
      <c r="A8787" s="4">
        <v>201.0</v>
      </c>
      <c r="B8787" s="4" t="s">
        <v>18915</v>
      </c>
      <c r="C8787" s="4"/>
      <c r="D8787" s="4" t="s">
        <v>19434</v>
      </c>
      <c r="E8787" s="4" t="s">
        <v>19435</v>
      </c>
      <c r="F8787" s="4" t="s">
        <v>19436</v>
      </c>
      <c r="G8787" s="5" t="str">
        <f>IFERROR(__xludf.DUMMYFUNCTION("GOOGLETRANSLATE(D8787,""pt"",""es"")"),"excedente")</f>
        <v>excedente</v>
      </c>
    </row>
    <row r="8788">
      <c r="A8788" s="4">
        <v>202.0</v>
      </c>
      <c r="B8788" s="4" t="s">
        <v>18915</v>
      </c>
      <c r="C8788" s="4"/>
      <c r="D8788" s="4" t="s">
        <v>19437</v>
      </c>
      <c r="E8788" s="4" t="s">
        <v>19438</v>
      </c>
      <c r="F8788" s="4" t="s">
        <v>19439</v>
      </c>
      <c r="G8788" s="5" t="str">
        <f>IFERROR(__xludf.DUMMYFUNCTION("GOOGLETRANSLATE(D8788,""pt"",""es"")"),"tacho")</f>
        <v>tacho</v>
      </c>
      <c r="H8788" s="4" t="s">
        <v>19440</v>
      </c>
    </row>
    <row r="8789">
      <c r="A8789" s="4">
        <v>203.0</v>
      </c>
      <c r="B8789" s="4" t="s">
        <v>18915</v>
      </c>
      <c r="C8789" s="4"/>
      <c r="D8789" s="4" t="s">
        <v>4247</v>
      </c>
      <c r="E8789" s="4" t="s">
        <v>4248</v>
      </c>
      <c r="F8789" s="4" t="s">
        <v>4249</v>
      </c>
      <c r="G8789" s="5" t="str">
        <f>IFERROR(__xludf.DUMMYFUNCTION("GOOGLETRANSLATE(D8789,""pt"",""es"")"),"taco")</f>
        <v>taco</v>
      </c>
      <c r="H8789" s="4" t="s">
        <v>6604</v>
      </c>
      <c r="I8789" s="4" t="s">
        <v>19441</v>
      </c>
      <c r="J8789" s="4" t="s">
        <v>19442</v>
      </c>
      <c r="K8789" s="4" t="s">
        <v>19443</v>
      </c>
      <c r="L8789" s="4" t="s">
        <v>19444</v>
      </c>
      <c r="M8789" s="4" t="s">
        <v>3164</v>
      </c>
      <c r="N8789" s="4" t="s">
        <v>3165</v>
      </c>
      <c r="O8789" s="4" t="s">
        <v>3166</v>
      </c>
      <c r="P8789" s="4" t="s">
        <v>4247</v>
      </c>
    </row>
    <row r="8790">
      <c r="A8790" s="4">
        <v>204.0</v>
      </c>
      <c r="B8790" s="4" t="s">
        <v>18915</v>
      </c>
      <c r="C8790" s="4"/>
      <c r="D8790" s="4" t="s">
        <v>19445</v>
      </c>
      <c r="E8790" s="4" t="s">
        <v>19446</v>
      </c>
      <c r="F8790" s="4" t="s">
        <v>19447</v>
      </c>
      <c r="G8790" s="5" t="str">
        <f>IFERROR(__xludf.DUMMYFUNCTION("GOOGLETRANSLATE(D8790,""pt"",""es"")"),"Tahin")</f>
        <v>Tahin</v>
      </c>
      <c r="H8790" s="4" t="s">
        <v>19447</v>
      </c>
    </row>
    <row r="8791">
      <c r="A8791" s="4">
        <v>205.0</v>
      </c>
      <c r="B8791" s="4" t="s">
        <v>18915</v>
      </c>
      <c r="C8791" s="4"/>
      <c r="D8791" s="4" t="s">
        <v>19448</v>
      </c>
      <c r="E8791" s="4" t="s">
        <v>19449</v>
      </c>
      <c r="F8791" s="4" t="s">
        <v>19450</v>
      </c>
      <c r="G8791" s="5" t="str">
        <f>IFERROR(__xludf.DUMMYFUNCTION("GOOGLETRANSLATE(D8791,""pt"",""es"")"),"tallado")</f>
        <v>tallado</v>
      </c>
      <c r="H8791" s="4" t="s">
        <v>13767</v>
      </c>
      <c r="I8791" s="4" t="s">
        <v>13773</v>
      </c>
    </row>
    <row r="8792">
      <c r="A8792" s="4">
        <v>206.0</v>
      </c>
      <c r="B8792" s="4" t="s">
        <v>18915</v>
      </c>
      <c r="C8792" s="4"/>
      <c r="D8792" s="4" t="s">
        <v>19451</v>
      </c>
      <c r="E8792" s="4" t="s">
        <v>19452</v>
      </c>
      <c r="F8792" s="4" t="s">
        <v>19453</v>
      </c>
      <c r="G8792" s="5" t="str">
        <f>IFERROR(__xludf.DUMMYFUNCTION("GOOGLETRANSLATE(D8792,""pt"",""es"")"),"carnicero")</f>
        <v>carnicero</v>
      </c>
      <c r="H8792" s="4" t="s">
        <v>19454</v>
      </c>
      <c r="I8792" s="4" t="s">
        <v>19455</v>
      </c>
    </row>
    <row r="8793">
      <c r="A8793" s="4">
        <v>207.0</v>
      </c>
      <c r="B8793" s="4" t="s">
        <v>18915</v>
      </c>
      <c r="C8793" s="4"/>
      <c r="D8793" s="4" t="s">
        <v>19456</v>
      </c>
      <c r="E8793" s="4" t="s">
        <v>19457</v>
      </c>
      <c r="F8793" s="4" t="s">
        <v>19458</v>
      </c>
      <c r="G8793" s="5" t="str">
        <f>IFERROR(__xludf.DUMMYFUNCTION("GOOGLETRANSLATE(D8793,""pt"",""es"")"),"acechar")</f>
        <v>acechar</v>
      </c>
      <c r="H8793" s="4" t="s">
        <v>19459</v>
      </c>
    </row>
    <row r="8794">
      <c r="A8794" s="4">
        <v>208.0</v>
      </c>
      <c r="B8794" s="4" t="s">
        <v>18915</v>
      </c>
      <c r="C8794" s="4"/>
      <c r="D8794" s="4" t="s">
        <v>2509</v>
      </c>
      <c r="E8794" s="4" t="s">
        <v>13750</v>
      </c>
      <c r="F8794" s="4" t="s">
        <v>11522</v>
      </c>
      <c r="G8794" s="5" t="str">
        <f>IFERROR(__xludf.DUMMYFUNCTION("GOOGLETRANSLATE(D8794,""pt"",""es"")"),"alquitrán")</f>
        <v>alquitrán</v>
      </c>
      <c r="H8794" s="4" t="s">
        <v>2509</v>
      </c>
    </row>
    <row r="8795">
      <c r="A8795" s="4">
        <v>209.0</v>
      </c>
      <c r="B8795" s="4" t="s">
        <v>18915</v>
      </c>
      <c r="C8795" s="4"/>
      <c r="D8795" s="4" t="s">
        <v>19460</v>
      </c>
      <c r="E8795" s="4" t="s">
        <v>13825</v>
      </c>
      <c r="F8795" s="4" t="s">
        <v>11378</v>
      </c>
      <c r="G8795" s="5" t="str">
        <f>IFERROR(__xludf.DUMMYFUNCTION("GOOGLETRANSLATE(D8795,""pt"",""es"")"),"tacto")</f>
        <v>tacto</v>
      </c>
      <c r="H8795" s="4" t="s">
        <v>19461</v>
      </c>
      <c r="I8795" s="4" t="s">
        <v>19462</v>
      </c>
    </row>
    <row r="8796">
      <c r="A8796" s="4">
        <v>210.0</v>
      </c>
      <c r="B8796" s="4" t="s">
        <v>18915</v>
      </c>
      <c r="C8796" s="4"/>
      <c r="D8796" s="4" t="s">
        <v>11378</v>
      </c>
      <c r="E8796" s="4" t="s">
        <v>13825</v>
      </c>
      <c r="F8796" s="4" t="s">
        <v>11378</v>
      </c>
      <c r="G8796" s="5" t="str">
        <f>IFERROR(__xludf.DUMMYFUNCTION("GOOGLETRANSLATE(D8796,""pt"",""es"")"),"armadillo")</f>
        <v>armadillo</v>
      </c>
      <c r="H8796" s="4" t="s">
        <v>13826</v>
      </c>
    </row>
    <row r="8797">
      <c r="A8797" s="4">
        <v>211.0</v>
      </c>
      <c r="B8797" s="4" t="s">
        <v>18915</v>
      </c>
      <c r="C8797" s="4"/>
      <c r="D8797" s="4" t="s">
        <v>19463</v>
      </c>
      <c r="E8797" s="4" t="s">
        <v>19438</v>
      </c>
      <c r="F8797" s="4" t="s">
        <v>19439</v>
      </c>
      <c r="G8797" s="5" t="str">
        <f>IFERROR(__xludf.DUMMYFUNCTION("GOOGLETRANSLATE(D8797,""pt"",""es"")"),"agotador")</f>
        <v>agotador</v>
      </c>
    </row>
    <row r="8798">
      <c r="A8798" s="4">
        <v>212.0</v>
      </c>
      <c r="B8798" s="4" t="s">
        <v>18915</v>
      </c>
      <c r="C8798" s="4"/>
      <c r="D8798" s="4" t="s">
        <v>3975</v>
      </c>
      <c r="E8798" s="4" t="s">
        <v>421</v>
      </c>
      <c r="F8798" s="4" t="s">
        <v>422</v>
      </c>
      <c r="G8798" s="5" t="str">
        <f>IFERROR(__xludf.DUMMYFUNCTION("GOOGLETRANSLATE(D8798,""pt"",""es"")"),"tú")</f>
        <v>tú</v>
      </c>
    </row>
    <row r="8799">
      <c r="A8799" s="4">
        <v>213.0</v>
      </c>
      <c r="B8799" s="4" t="s">
        <v>18915</v>
      </c>
      <c r="C8799" s="4"/>
      <c r="D8799" s="4" t="s">
        <v>3975</v>
      </c>
      <c r="E8799" s="4" t="s">
        <v>19464</v>
      </c>
      <c r="F8799" s="4" t="s">
        <v>422</v>
      </c>
      <c r="G8799" s="5" t="str">
        <f>IFERROR(__xludf.DUMMYFUNCTION("GOOGLETRANSLATE(D8799,""pt"",""es"")"),"tú")</f>
        <v>tú</v>
      </c>
    </row>
    <row r="8800">
      <c r="A8800" s="4">
        <v>214.0</v>
      </c>
      <c r="B8800" s="4" t="s">
        <v>18915</v>
      </c>
      <c r="C8800" s="4"/>
      <c r="D8800" s="4" t="s">
        <v>4555</v>
      </c>
      <c r="E8800" s="4" t="s">
        <v>4556</v>
      </c>
      <c r="F8800" s="4" t="s">
        <v>4555</v>
      </c>
      <c r="G8800" s="5" t="str">
        <f>IFERROR(__xludf.DUMMYFUNCTION("GOOGLETRANSLATE(D8800,""pt"",""es"")"),"tú")</f>
        <v>tú</v>
      </c>
    </row>
    <row r="8801">
      <c r="A8801" s="4">
        <v>215.0</v>
      </c>
      <c r="B8801" s="4" t="s">
        <v>18915</v>
      </c>
      <c r="C8801" s="4"/>
      <c r="D8801" s="4" t="s">
        <v>19465</v>
      </c>
      <c r="E8801" s="4" t="s">
        <v>19466</v>
      </c>
      <c r="F8801" s="4" t="s">
        <v>19467</v>
      </c>
      <c r="G8801" s="5" t="str">
        <f>IFERROR(__xludf.DUMMYFUNCTION("GOOGLETRANSLATE(D8801,""pt"",""es"")"),"tucux")</f>
        <v>tucux</v>
      </c>
    </row>
    <row r="8802">
      <c r="A8802" s="4">
        <v>216.0</v>
      </c>
      <c r="B8802" s="4" t="s">
        <v>18915</v>
      </c>
      <c r="C8802" s="4"/>
      <c r="D8802" s="4" t="s">
        <v>19468</v>
      </c>
      <c r="E8802" s="4" t="s">
        <v>452</v>
      </c>
      <c r="F8802" s="4" t="s">
        <v>453</v>
      </c>
      <c r="G8802" s="5" t="str">
        <f>IFERROR(__xludf.DUMMYFUNCTION("GOOGLETRANSLATE(D8802,""pt"",""es"")"),"tui")</f>
        <v>tui</v>
      </c>
    </row>
    <row r="8803">
      <c r="A8803" s="4">
        <v>217.0</v>
      </c>
      <c r="B8803" s="4" t="s">
        <v>18915</v>
      </c>
      <c r="C8803" s="4"/>
      <c r="D8803" s="4" t="s">
        <v>19469</v>
      </c>
      <c r="E8803" s="4" t="s">
        <v>19470</v>
      </c>
      <c r="F8803" s="4" t="s">
        <v>19471</v>
      </c>
      <c r="G8803" s="5" t="str">
        <f>IFERROR(__xludf.DUMMYFUNCTION("GOOGLETRANSLATE(D8803,""pt"",""es"")"),"tuiuiu")</f>
        <v>tuiuiu</v>
      </c>
      <c r="H8803" s="4" t="s">
        <v>19472</v>
      </c>
      <c r="I8803" s="4" t="s">
        <v>19473</v>
      </c>
    </row>
    <row r="8804">
      <c r="A8804" s="4">
        <v>218.0</v>
      </c>
      <c r="B8804" s="4" t="s">
        <v>18915</v>
      </c>
      <c r="C8804" s="4"/>
      <c r="D8804" s="4" t="s">
        <v>4523</v>
      </c>
      <c r="E8804" s="4" t="s">
        <v>4522</v>
      </c>
      <c r="F8804" s="4" t="s">
        <v>4523</v>
      </c>
      <c r="G8804" s="5" t="str">
        <f>IFERROR(__xludf.DUMMYFUNCTION("GOOGLETRANSLATE(D8804,""pt"",""es"")"),"Tupi")</f>
        <v>Tupi</v>
      </c>
      <c r="H8804" s="4" t="s">
        <v>13912</v>
      </c>
      <c r="I8804" s="4" t="s">
        <v>13912</v>
      </c>
    </row>
    <row r="8805">
      <c r="A8805" s="4">
        <v>219.0</v>
      </c>
      <c r="B8805" s="4" t="s">
        <v>18915</v>
      </c>
      <c r="C8805" s="4"/>
      <c r="D8805" s="4" t="s">
        <v>19474</v>
      </c>
      <c r="E8805" s="4" t="s">
        <v>19475</v>
      </c>
      <c r="F8805" s="4" t="s">
        <v>19474</v>
      </c>
      <c r="G8805" s="5" t="str">
        <f>IFERROR(__xludf.DUMMYFUNCTION("GOOGLETRANSLATE(D8805,""pt"",""es"")"),"turu")</f>
        <v>turu</v>
      </c>
    </row>
    <row r="8806">
      <c r="A8806" s="4">
        <v>220.0</v>
      </c>
      <c r="B8806" s="4" t="s">
        <v>18915</v>
      </c>
      <c r="C8806" s="4"/>
      <c r="D8806" s="4" t="s">
        <v>19476</v>
      </c>
      <c r="E8806" s="4" t="s">
        <v>13750</v>
      </c>
      <c r="F8806" s="4" t="s">
        <v>11522</v>
      </c>
      <c r="G8806" s="5" t="str">
        <f>IFERROR(__xludf.DUMMYFUNCTION("GOOGLETRANSLATE(D8806,""pt"",""es"")"),"OK")</f>
        <v>OK</v>
      </c>
    </row>
    <row r="8807">
      <c r="A8807" s="4">
        <v>221.0</v>
      </c>
      <c r="B8807" s="4" t="s">
        <v>18915</v>
      </c>
      <c r="C8807" s="4"/>
      <c r="D8807" s="4" t="s">
        <v>19477</v>
      </c>
      <c r="E8807" s="4" t="s">
        <v>19478</v>
      </c>
      <c r="F8807" s="4" t="s">
        <v>19479</v>
      </c>
      <c r="G8807" s="5" t="str">
        <f>IFERROR(__xludf.DUMMYFUNCTION("GOOGLETRANSLATE(D8807,""pt"",""es"")"),"tácito")</f>
        <v>tácito</v>
      </c>
      <c r="H8807" s="4" t="s">
        <v>16326</v>
      </c>
      <c r="I8807" s="4" t="s">
        <v>19480</v>
      </c>
      <c r="J8807" s="4" t="s">
        <v>19481</v>
      </c>
    </row>
    <row r="8808">
      <c r="A8808" s="4">
        <v>222.0</v>
      </c>
      <c r="B8808" s="4" t="s">
        <v>18915</v>
      </c>
      <c r="C8808" s="4"/>
      <c r="D8808" s="4" t="s">
        <v>19482</v>
      </c>
      <c r="E8808" s="4" t="s">
        <v>19483</v>
      </c>
      <c r="F8808" s="4" t="s">
        <v>19484</v>
      </c>
      <c r="G8808" s="5" t="str">
        <f>IFERROR(__xludf.DUMMYFUNCTION("GOOGLETRANSLATE(D8808,""pt"",""es"")"),"talón")</f>
        <v>talón</v>
      </c>
      <c r="H8808" s="4" t="s">
        <v>19485</v>
      </c>
      <c r="I8808" s="4" t="s">
        <v>19486</v>
      </c>
      <c r="J8808" s="4" t="s">
        <v>19487</v>
      </c>
      <c r="K8808" s="4" t="s">
        <v>19484</v>
      </c>
      <c r="L8808" s="4" t="s">
        <v>19485</v>
      </c>
      <c r="M8808" s="4" t="s">
        <v>19486</v>
      </c>
      <c r="N8808" s="4" t="s">
        <v>19487</v>
      </c>
      <c r="O8808" s="4" t="s">
        <v>19484</v>
      </c>
    </row>
    <row r="8809">
      <c r="A8809" s="4">
        <v>223.0</v>
      </c>
      <c r="B8809" s="4" t="s">
        <v>18915</v>
      </c>
      <c r="C8809" s="4"/>
      <c r="D8809" s="4" t="s">
        <v>19488</v>
      </c>
      <c r="E8809" s="4" t="s">
        <v>19489</v>
      </c>
      <c r="F8809" s="4" t="s">
        <v>19490</v>
      </c>
      <c r="G8809" s="5" t="str">
        <f>IFERROR(__xludf.DUMMYFUNCTION("GOOGLETRANSLATE(D8809,""pt"",""es"")"),"tumba")</f>
        <v>tumba</v>
      </c>
      <c r="H8809" s="4" t="s">
        <v>19491</v>
      </c>
      <c r="I8809" s="4" t="s">
        <v>19492</v>
      </c>
      <c r="J8809" s="4" t="s">
        <v>19493</v>
      </c>
      <c r="K8809" s="4" t="s">
        <v>19494</v>
      </c>
      <c r="L8809" s="4" t="s">
        <v>8848</v>
      </c>
      <c r="M8809" s="4" t="s">
        <v>8845</v>
      </c>
    </row>
    <row r="8810">
      <c r="A8810" s="4">
        <v>224.0</v>
      </c>
      <c r="B8810" s="4" t="s">
        <v>18915</v>
      </c>
      <c r="C8810" s="4"/>
      <c r="D8810" s="4" t="s">
        <v>19495</v>
      </c>
      <c r="E8810" s="4" t="s">
        <v>19496</v>
      </c>
      <c r="F8810" s="4" t="s">
        <v>19497</v>
      </c>
      <c r="G8810" s="5" t="str">
        <f>IFERROR(__xludf.DUMMYFUNCTION("GOOGLETRANSLATE(D8810,""pt"",""es"")"),"uña")</f>
        <v>uña</v>
      </c>
    </row>
    <row r="8811">
      <c r="A8811" s="4">
        <v>225.0</v>
      </c>
      <c r="B8811" s="4" t="s">
        <v>18915</v>
      </c>
      <c r="C8811" s="4"/>
      <c r="D8811" s="4" t="s">
        <v>19498</v>
      </c>
      <c r="E8811" s="4" t="s">
        <v>19499</v>
      </c>
      <c r="F8811" s="4" t="s">
        <v>19500</v>
      </c>
      <c r="G8811" s="5" t="str">
        <f>IFERROR(__xludf.DUMMYFUNCTION("GOOGLETRANSLATE(D8811,""pt"",""es"")"),"uRO")</f>
        <v>uRO</v>
      </c>
    </row>
    <row r="8812">
      <c r="A8812" s="4">
        <v>226.0</v>
      </c>
      <c r="B8812" s="4" t="s">
        <v>18915</v>
      </c>
      <c r="C8812" s="4"/>
      <c r="D8812" s="4" t="s">
        <v>19501</v>
      </c>
      <c r="E8812" s="4" t="s">
        <v>14671</v>
      </c>
      <c r="F8812" s="4" t="s">
        <v>14672</v>
      </c>
      <c r="G8812" s="5" t="str">
        <f>IFERROR(__xludf.DUMMYFUNCTION("GOOGLETRANSLATE(D8812,""pt"",""es"")"),"USSO")</f>
        <v>USSO</v>
      </c>
    </row>
    <row r="8813">
      <c r="A8813" s="4">
        <v>227.0</v>
      </c>
      <c r="B8813" s="4" t="s">
        <v>18915</v>
      </c>
      <c r="C8813" s="4"/>
      <c r="D8813" s="4" t="s">
        <v>17005</v>
      </c>
      <c r="E8813" s="4" t="s">
        <v>17006</v>
      </c>
      <c r="F8813" s="4" t="s">
        <v>17007</v>
      </c>
      <c r="G8813" s="5" t="str">
        <f>IFERROR(__xludf.DUMMYFUNCTION("GOOGLETRANSLATE(D8813,""pt"",""es"")"),"Utah")</f>
        <v>Utah</v>
      </c>
      <c r="H8813" s="4" t="s">
        <v>19502</v>
      </c>
      <c r="I8813" s="4" t="s">
        <v>19503</v>
      </c>
      <c r="J8813" s="4" t="s">
        <v>19504</v>
      </c>
      <c r="K8813" s="4" t="s">
        <v>19505</v>
      </c>
    </row>
    <row r="8814">
      <c r="A8814" s="4">
        <v>228.0</v>
      </c>
      <c r="B8814" s="4" t="s">
        <v>18915</v>
      </c>
      <c r="C8814" s="4"/>
      <c r="D8814" s="4" t="s">
        <v>19506</v>
      </c>
      <c r="E8814" s="4" t="s">
        <v>4671</v>
      </c>
      <c r="F8814" s="4" t="s">
        <v>4672</v>
      </c>
      <c r="G8814" s="5" t="str">
        <f>IFERROR(__xludf.DUMMYFUNCTION("GOOGLETRANSLATE(D8814,""pt"",""es"")"),"cha")</f>
        <v>cha</v>
      </c>
      <c r="H8814" s="4" t="s">
        <v>4673</v>
      </c>
      <c r="I8814" s="4" t="s">
        <v>4674</v>
      </c>
      <c r="J8814" s="4" t="s">
        <v>4673</v>
      </c>
      <c r="K8814" s="4" t="s">
        <v>4674</v>
      </c>
    </row>
    <row r="8815">
      <c r="A8815" s="4">
        <v>229.0</v>
      </c>
      <c r="B8815" s="4" t="s">
        <v>18915</v>
      </c>
      <c r="C8815" s="4"/>
      <c r="D8815" s="4" t="s">
        <v>19507</v>
      </c>
      <c r="E8815" s="4" t="s">
        <v>19508</v>
      </c>
      <c r="F8815" s="4" t="s">
        <v>19509</v>
      </c>
      <c r="G8815" s="5" t="str">
        <f>IFERROR(__xludf.DUMMYFUNCTION("GOOGLETRANSLATE(D8815,""pt"",""es"")"),"taza")</f>
        <v>taza</v>
      </c>
      <c r="H8815" s="4" t="s">
        <v>4378</v>
      </c>
    </row>
    <row r="8816">
      <c r="A8816" s="4">
        <v>230.0</v>
      </c>
      <c r="B8816" s="4" t="s">
        <v>18915</v>
      </c>
      <c r="C8816" s="4"/>
      <c r="D8816" s="4" t="s">
        <v>19510</v>
      </c>
      <c r="E8816" s="4" t="s">
        <v>19511</v>
      </c>
      <c r="F8816" s="4" t="s">
        <v>19512</v>
      </c>
      <c r="G8816" s="5" t="str">
        <f>IFERROR(__xludf.DUMMYFUNCTION("GOOGLETRANSLATE(D8816,""pt"",""es"")"),"Yukiko")</f>
        <v>Yukiko</v>
      </c>
    </row>
    <row r="8817">
      <c r="A8817" s="4">
        <v>231.0</v>
      </c>
      <c r="B8817" s="4" t="s">
        <v>18915</v>
      </c>
      <c r="C8817" s="4"/>
      <c r="D8817" s="4" t="s">
        <v>19513</v>
      </c>
      <c r="E8817" s="4" t="s">
        <v>19514</v>
      </c>
      <c r="F8817" s="4" t="s">
        <v>19515</v>
      </c>
      <c r="G8817" s="5" t="str">
        <f>IFERROR(__xludf.DUMMYFUNCTION("GOOGLETRANSLATE(D8817,""pt"",""es"")"),"yuko")</f>
        <v>yuko</v>
      </c>
    </row>
    <row r="8818">
      <c r="A8818" s="4">
        <v>232.0</v>
      </c>
      <c r="B8818" s="4" t="s">
        <v>18915</v>
      </c>
      <c r="C8818" s="4"/>
      <c r="D8818" s="4" t="s">
        <v>19516</v>
      </c>
      <c r="E8818" s="4" t="s">
        <v>19517</v>
      </c>
      <c r="F8818" s="4" t="s">
        <v>19516</v>
      </c>
      <c r="G8818" s="5" t="str">
        <f>IFERROR(__xludf.DUMMYFUNCTION("GOOGLETRANSLATE(D8818,""pt"",""es"")"),"Yuri")</f>
        <v>Yuri</v>
      </c>
    </row>
    <row r="8819">
      <c r="A8819" s="4">
        <v>233.0</v>
      </c>
      <c r="B8819" s="4" t="s">
        <v>18915</v>
      </c>
      <c r="C8819" s="4"/>
      <c r="D8819" s="4" t="s">
        <v>19518</v>
      </c>
      <c r="E8819" s="4" t="s">
        <v>19519</v>
      </c>
      <c r="F8819" s="4" t="s">
        <v>19520</v>
      </c>
      <c r="G8819" s="5" t="str">
        <f>IFERROR(__xludf.DUMMYFUNCTION("GOOGLETRANSLATE(D8819,""pt"",""es"")"),"Yuriko")</f>
        <v>Yuriko</v>
      </c>
    </row>
    <row r="8820">
      <c r="A8820" s="4">
        <v>234.0</v>
      </c>
      <c r="B8820" s="4" t="s">
        <v>18915</v>
      </c>
      <c r="C8820" s="4"/>
      <c r="D8820" s="4" t="s">
        <v>19521</v>
      </c>
      <c r="E8820" s="4" t="s">
        <v>19522</v>
      </c>
      <c r="F8820" s="4" t="s">
        <v>19523</v>
      </c>
      <c r="G8820" s="5" t="str">
        <f>IFERROR(__xludf.DUMMYFUNCTION("GOOGLETRANSLATE(D8820,""pt"",""es"")"),"Aquél")</f>
        <v>Aquél</v>
      </c>
    </row>
    <row r="8821">
      <c r="A8821" s="4">
        <v>235.0</v>
      </c>
      <c r="B8821" s="4" t="s">
        <v>18915</v>
      </c>
      <c r="C8821" s="4"/>
      <c r="D8821" s="4" t="s">
        <v>19524</v>
      </c>
      <c r="E8821" s="4" t="s">
        <v>19525</v>
      </c>
      <c r="F8821" s="4" t="s">
        <v>19526</v>
      </c>
      <c r="G8821" s="5" t="str">
        <f>IFERROR(__xludf.DUMMYFUNCTION("GOOGLETRANSLATE(D8821,""pt"",""es"")"),"álamo")</f>
        <v>álamo</v>
      </c>
      <c r="H8821" s="4" t="s">
        <v>19527</v>
      </c>
    </row>
    <row r="8822">
      <c r="A8822" s="4">
        <v>236.0</v>
      </c>
      <c r="B8822" s="4" t="s">
        <v>18915</v>
      </c>
      <c r="C8822" s="4"/>
      <c r="D8822" s="4" t="s">
        <v>14284</v>
      </c>
      <c r="E8822" s="4" t="s">
        <v>294</v>
      </c>
      <c r="F8822" s="4" t="s">
        <v>295</v>
      </c>
      <c r="G8822" s="5" t="str">
        <f>IFERROR(__xludf.DUMMYFUNCTION("GOOGLETRANSLATE(D8822,""pt"",""es"")"),"a")</f>
        <v>a</v>
      </c>
      <c r="H8822" s="4" t="s">
        <v>833</v>
      </c>
      <c r="I8822" s="4" t="s">
        <v>833</v>
      </c>
    </row>
    <row r="8823">
      <c r="A8823" s="4">
        <v>237.0</v>
      </c>
      <c r="B8823" s="4" t="s">
        <v>18915</v>
      </c>
      <c r="C8823" s="4"/>
      <c r="D8823" s="4" t="s">
        <v>19528</v>
      </c>
      <c r="E8823" s="4" t="s">
        <v>19529</v>
      </c>
      <c r="F8823" s="4" t="s">
        <v>19530</v>
      </c>
      <c r="G8823" s="5" t="str">
        <f>IFERROR(__xludf.DUMMYFUNCTION("GOOGLETRANSLATE(D8823,""pt"",""es"")"),"único")</f>
        <v>único</v>
      </c>
      <c r="H8823" s="4" t="s">
        <v>4792</v>
      </c>
      <c r="I8823" s="4" t="s">
        <v>4787</v>
      </c>
      <c r="J8823" s="4" t="s">
        <v>4788</v>
      </c>
      <c r="K8823" s="4" t="s">
        <v>4789</v>
      </c>
      <c r="L8823" s="4" t="s">
        <v>4790</v>
      </c>
      <c r="M8823" s="4" t="s">
        <v>4791</v>
      </c>
      <c r="N8823" s="4" t="s">
        <v>19531</v>
      </c>
      <c r="O8823" s="4" t="s">
        <v>6955</v>
      </c>
      <c r="P8823" s="4" t="s">
        <v>19532</v>
      </c>
      <c r="Q8823" s="4" t="s">
        <v>19533</v>
      </c>
      <c r="R8823" s="4" t="s">
        <v>19534</v>
      </c>
      <c r="S8823" s="4" t="s">
        <v>19535</v>
      </c>
      <c r="T8823" s="4" t="s">
        <v>8181</v>
      </c>
      <c r="U8823" s="4" t="s">
        <v>16288</v>
      </c>
      <c r="V8823" s="4" t="s">
        <v>15564</v>
      </c>
      <c r="W8823" s="4" t="s">
        <v>2489</v>
      </c>
      <c r="X8823" s="4" t="s">
        <v>19536</v>
      </c>
      <c r="Y8823" s="4" t="s">
        <v>18540</v>
      </c>
      <c r="Z8823" s="4" t="s">
        <v>4792</v>
      </c>
      <c r="AA8823" s="4" t="s">
        <v>4037</v>
      </c>
      <c r="AB8823" s="4" t="s">
        <v>4038</v>
      </c>
      <c r="AC8823" s="4" t="s">
        <v>4039</v>
      </c>
      <c r="AD8823" s="4" t="s">
        <v>4040</v>
      </c>
      <c r="AE8823" s="4" t="s">
        <v>4030</v>
      </c>
      <c r="AF8823" s="4" t="s">
        <v>4792</v>
      </c>
      <c r="AG8823" s="4" t="s">
        <v>4788</v>
      </c>
    </row>
    <row r="8824">
      <c r="A8824" s="4">
        <v>1.0</v>
      </c>
      <c r="B8824" s="4" t="s">
        <v>19537</v>
      </c>
      <c r="C8824" s="4"/>
      <c r="D8824" s="4" t="s">
        <v>18916</v>
      </c>
      <c r="E8824" s="4" t="s">
        <v>18917</v>
      </c>
      <c r="F8824" s="4" t="s">
        <v>18918</v>
      </c>
      <c r="G8824" s="5" t="str">
        <f>IFERROR(__xludf.DUMMYFUNCTION("GOOGLETRANSLATE(D8824,""pt"",""es"")"),"piensa eso")</f>
        <v>piensa eso</v>
      </c>
    </row>
    <row r="8825">
      <c r="A8825" s="4">
        <v>2.0</v>
      </c>
      <c r="B8825" s="4" t="s">
        <v>19537</v>
      </c>
      <c r="C8825" s="4"/>
      <c r="D8825" s="4" t="s">
        <v>18919</v>
      </c>
      <c r="E8825" s="4" t="s">
        <v>18920</v>
      </c>
      <c r="F8825" s="4" t="s">
        <v>18921</v>
      </c>
      <c r="G8825" s="5" t="str">
        <f>IFERROR(__xludf.DUMMYFUNCTION("GOOGLETRANSLATE(D8825,""pt"",""es"")"),"pensar")</f>
        <v>pensar</v>
      </c>
    </row>
    <row r="8826">
      <c r="A8826" s="4">
        <v>3.0</v>
      </c>
      <c r="B8826" s="4" t="s">
        <v>19537</v>
      </c>
      <c r="C8826" s="4"/>
      <c r="D8826" s="4" t="s">
        <v>503</v>
      </c>
      <c r="E8826" s="4" t="s">
        <v>504</v>
      </c>
      <c r="F8826" s="4" t="s">
        <v>505</v>
      </c>
      <c r="G8826" s="5" t="str">
        <f>IFERROR(__xludf.DUMMYFUNCTION("GOOGLETRANSLATE(D8826,""pt"",""es"")"),"allá")</f>
        <v>allá</v>
      </c>
      <c r="H8826" s="4" t="s">
        <v>6489</v>
      </c>
      <c r="I8826" s="4" t="s">
        <v>6490</v>
      </c>
      <c r="J8826" s="4" t="s">
        <v>6491</v>
      </c>
      <c r="K8826" s="4" t="s">
        <v>6492</v>
      </c>
      <c r="L8826" s="4" t="s">
        <v>6493</v>
      </c>
      <c r="M8826" s="4" t="s">
        <v>6494</v>
      </c>
      <c r="N8826" s="4" t="s">
        <v>6495</v>
      </c>
      <c r="O8826" s="4" t="s">
        <v>6496</v>
      </c>
      <c r="P8826" s="4" t="s">
        <v>6497</v>
      </c>
      <c r="Q8826" s="4" t="s">
        <v>6498</v>
      </c>
      <c r="R8826" s="4" t="s">
        <v>6499</v>
      </c>
      <c r="S8826" s="4" t="s">
        <v>6500</v>
      </c>
      <c r="T8826" s="4" t="s">
        <v>6488</v>
      </c>
      <c r="U8826" s="4" t="s">
        <v>6501</v>
      </c>
      <c r="V8826" s="4" t="s">
        <v>6502</v>
      </c>
      <c r="W8826" s="4" t="s">
        <v>6503</v>
      </c>
      <c r="X8826" s="4" t="s">
        <v>6504</v>
      </c>
      <c r="Y8826" s="4" t="s">
        <v>6505</v>
      </c>
      <c r="Z8826" s="4" t="s">
        <v>6506</v>
      </c>
      <c r="AA8826" s="4" t="s">
        <v>6507</v>
      </c>
      <c r="AB8826" s="4" t="s">
        <v>6508</v>
      </c>
      <c r="AC8826" s="4" t="s">
        <v>6509</v>
      </c>
      <c r="AD8826" s="4" t="s">
        <v>6510</v>
      </c>
    </row>
    <row r="8827">
      <c r="A8827" s="4">
        <v>4.0</v>
      </c>
      <c r="B8827" s="4" t="s">
        <v>19537</v>
      </c>
      <c r="C8827" s="4"/>
      <c r="D8827" s="4" t="s">
        <v>14299</v>
      </c>
      <c r="E8827" s="4" t="s">
        <v>11785</v>
      </c>
      <c r="F8827" s="4" t="s">
        <v>9204</v>
      </c>
      <c r="G8827" s="5" t="str">
        <f>IFERROR(__xludf.DUMMYFUNCTION("GOOGLETRANSLATE(D8827,""pt"",""es"")"),"AIO")</f>
        <v>AIO</v>
      </c>
    </row>
    <row r="8828">
      <c r="A8828" s="4">
        <v>5.0</v>
      </c>
      <c r="B8828" s="4" t="s">
        <v>19537</v>
      </c>
      <c r="C8828" s="4"/>
      <c r="D8828" s="4" t="s">
        <v>18922</v>
      </c>
      <c r="E8828" s="4" t="s">
        <v>18923</v>
      </c>
      <c r="F8828" s="4" t="s">
        <v>14308</v>
      </c>
      <c r="G8828" s="5" t="str">
        <f>IFERROR(__xludf.DUMMYFUNCTION("GOOGLETRANSLATE(D8828,""pt"",""es"")"),"ajo")</f>
        <v>ajo</v>
      </c>
      <c r="H8828" s="4" t="s">
        <v>526</v>
      </c>
      <c r="I8828" s="4" t="s">
        <v>527</v>
      </c>
      <c r="J8828" s="4" t="s">
        <v>18924</v>
      </c>
      <c r="K8828" s="4" t="s">
        <v>18925</v>
      </c>
      <c r="L8828" s="4" t="s">
        <v>18926</v>
      </c>
      <c r="M8828" s="4" t="s">
        <v>18927</v>
      </c>
      <c r="N8828" s="4" t="s">
        <v>18928</v>
      </c>
      <c r="O8828" s="4" t="s">
        <v>18929</v>
      </c>
      <c r="P8828" s="4" t="s">
        <v>18930</v>
      </c>
      <c r="Q8828" s="4" t="s">
        <v>526</v>
      </c>
      <c r="R8828" s="4" t="s">
        <v>528</v>
      </c>
      <c r="S8828" s="4" t="s">
        <v>526</v>
      </c>
      <c r="T8828" s="4" t="s">
        <v>528</v>
      </c>
    </row>
    <row r="8829">
      <c r="A8829" s="4">
        <v>6.0</v>
      </c>
      <c r="B8829" s="4" t="s">
        <v>19537</v>
      </c>
      <c r="C8829" s="4"/>
      <c r="D8829" s="4" t="s">
        <v>5793</v>
      </c>
      <c r="E8829" s="4" t="s">
        <v>14076</v>
      </c>
      <c r="F8829" s="4" t="s">
        <v>5793</v>
      </c>
      <c r="G8829" s="5" t="str">
        <f>IFERROR(__xludf.DUMMYFUNCTION("GOOGLETRANSLATE(D8829,""pt"",""es"")"),"allá")</f>
        <v>allá</v>
      </c>
      <c r="H8829" s="4" t="s">
        <v>8911</v>
      </c>
      <c r="I8829" s="4" t="s">
        <v>8910</v>
      </c>
      <c r="J8829" s="4" t="s">
        <v>12670</v>
      </c>
      <c r="K8829" s="4" t="s">
        <v>12671</v>
      </c>
      <c r="L8829" s="4" t="s">
        <v>12672</v>
      </c>
    </row>
    <row r="8830">
      <c r="A8830" s="4">
        <v>7.0</v>
      </c>
      <c r="B8830" s="4" t="s">
        <v>19537</v>
      </c>
      <c r="C8830" s="4"/>
      <c r="D8830" s="4" t="s">
        <v>5799</v>
      </c>
      <c r="E8830" s="4" t="s">
        <v>18931</v>
      </c>
      <c r="F8830" s="4" t="s">
        <v>18932</v>
      </c>
      <c r="G8830" s="5" t="str">
        <f>IFERROR(__xludf.DUMMYFUNCTION("GOOGLETRANSLATE(D8830,""pt"",""es"")"),"Alicia")</f>
        <v>Alicia</v>
      </c>
    </row>
    <row r="8831">
      <c r="A8831" s="4">
        <v>8.0</v>
      </c>
      <c r="B8831" s="4" t="s">
        <v>19537</v>
      </c>
      <c r="C8831" s="4"/>
      <c r="D8831" s="4" t="s">
        <v>11619</v>
      </c>
      <c r="E8831" s="4" t="s">
        <v>18933</v>
      </c>
      <c r="F8831" s="4" t="s">
        <v>18934</v>
      </c>
      <c r="G8831" s="5" t="str">
        <f>IFERROR(__xludf.DUMMYFUNCTION("GOOGLETRANSLATE(D8831,""pt"",""es"")"),"Alinear")</f>
        <v>Alinear</v>
      </c>
    </row>
    <row r="8832">
      <c r="A8832" s="4">
        <v>9.0</v>
      </c>
      <c r="B8832" s="4" t="s">
        <v>19537</v>
      </c>
      <c r="C8832" s="4"/>
      <c r="D8832" s="4" t="s">
        <v>18935</v>
      </c>
      <c r="E8832" s="4" t="s">
        <v>509</v>
      </c>
      <c r="F8832" s="4" t="s">
        <v>508</v>
      </c>
      <c r="G8832" s="5" t="str">
        <f>IFERROR(__xludf.DUMMYFUNCTION("GOOGLETRANSLATE(D8832,""pt"",""es"")"),"Alá")</f>
        <v>Alá</v>
      </c>
      <c r="H8832" s="4" t="s">
        <v>18936</v>
      </c>
    </row>
    <row r="8833">
      <c r="A8833" s="4">
        <v>10.0</v>
      </c>
      <c r="B8833" s="4" t="s">
        <v>19537</v>
      </c>
      <c r="C8833" s="4"/>
      <c r="D8833" s="4" t="s">
        <v>17442</v>
      </c>
      <c r="E8833" s="4" t="s">
        <v>18937</v>
      </c>
      <c r="F8833" s="4" t="s">
        <v>17442</v>
      </c>
      <c r="G8833" s="5" t="str">
        <f>IFERROR(__xludf.DUMMYFUNCTION("GOOGLETRANSLATE(D8833,""pt"",""es"")"),"anilina")</f>
        <v>anilina</v>
      </c>
      <c r="H8833" s="4" t="s">
        <v>17445</v>
      </c>
      <c r="I8833" s="4" t="s">
        <v>17446</v>
      </c>
      <c r="J8833" s="4" t="s">
        <v>17447</v>
      </c>
      <c r="K8833" s="4" t="s">
        <v>17448</v>
      </c>
    </row>
    <row r="8834">
      <c r="A8834" s="4">
        <v>11.0</v>
      </c>
      <c r="B8834" s="4" t="s">
        <v>19537</v>
      </c>
      <c r="C8834" s="4"/>
      <c r="D8834" s="4" t="s">
        <v>11685</v>
      </c>
      <c r="E8834" s="4" t="s">
        <v>18938</v>
      </c>
      <c r="F8834" s="4" t="s">
        <v>18939</v>
      </c>
      <c r="G8834" s="5" t="str">
        <f>IFERROR(__xludf.DUMMYFUNCTION("GOOGLETRANSLATE(D8834,""pt"",""es"")"),"anime")</f>
        <v>anime</v>
      </c>
    </row>
    <row r="8835">
      <c r="A8835" s="4">
        <v>12.0</v>
      </c>
      <c r="B8835" s="4" t="s">
        <v>19537</v>
      </c>
      <c r="C8835" s="4"/>
      <c r="D8835" s="4" t="s">
        <v>18940</v>
      </c>
      <c r="E8835" s="4" t="s">
        <v>18941</v>
      </c>
      <c r="F8835" s="4" t="s">
        <v>18942</v>
      </c>
      <c r="G8835" s="5" t="str">
        <f>IFERROR(__xludf.DUMMYFUNCTION("GOOGLETRANSLATE(D8835,""pt"",""es"")"),"apalaches")</f>
        <v>apalaches</v>
      </c>
      <c r="H8835" s="4" t="s">
        <v>11712</v>
      </c>
      <c r="I8835" s="4" t="s">
        <v>11713</v>
      </c>
    </row>
    <row r="8836">
      <c r="A8836" s="4">
        <v>13.0</v>
      </c>
      <c r="B8836" s="4" t="s">
        <v>19537</v>
      </c>
      <c r="C8836" s="4"/>
      <c r="D8836" s="4" t="s">
        <v>18943</v>
      </c>
      <c r="E8836" s="4" t="s">
        <v>18944</v>
      </c>
      <c r="F8836" s="4" t="s">
        <v>18945</v>
      </c>
      <c r="G8836" s="5" t="str">
        <f>IFERROR(__xludf.DUMMYFUNCTION("GOOGLETRANSLATE(D8836,""pt"",""es"")"),"aparato")</f>
        <v>aparato</v>
      </c>
      <c r="H8836" s="4" t="s">
        <v>18946</v>
      </c>
      <c r="I8836" s="4" t="s">
        <v>18947</v>
      </c>
      <c r="J8836" s="4" t="s">
        <v>9811</v>
      </c>
    </row>
    <row r="8837">
      <c r="A8837" s="4">
        <v>14.0</v>
      </c>
      <c r="B8837" s="4" t="s">
        <v>19537</v>
      </c>
      <c r="C8837" s="4"/>
      <c r="D8837" s="4" t="s">
        <v>793</v>
      </c>
      <c r="E8837" s="4" t="s">
        <v>794</v>
      </c>
      <c r="F8837" s="4" t="s">
        <v>793</v>
      </c>
      <c r="G8837" s="5" t="str">
        <f>IFERROR(__xludf.DUMMYFUNCTION("GOOGLETRANSLATE(D8837,""pt"",""es"")"),"investigar")</f>
        <v>investigar</v>
      </c>
      <c r="H8837" s="4" t="s">
        <v>18948</v>
      </c>
      <c r="I8837" s="4" t="s">
        <v>18949</v>
      </c>
      <c r="J8837" s="4" t="s">
        <v>18950</v>
      </c>
      <c r="K8837" s="4" t="s">
        <v>18951</v>
      </c>
    </row>
    <row r="8838">
      <c r="A8838" s="4">
        <v>15.0</v>
      </c>
      <c r="B8838" s="4" t="s">
        <v>19537</v>
      </c>
      <c r="C8838" s="4"/>
      <c r="D8838" s="4" t="s">
        <v>18952</v>
      </c>
      <c r="E8838" s="4" t="s">
        <v>18953</v>
      </c>
      <c r="F8838" s="4" t="s">
        <v>18954</v>
      </c>
      <c r="G8838" s="5" t="str">
        <f>IFERROR(__xludf.DUMMYFUNCTION("GOOGLETRANSLATE(D8838,""pt"",""es"")"),"abuso")</f>
        <v>abuso</v>
      </c>
      <c r="H8838" s="4" t="s">
        <v>18955</v>
      </c>
      <c r="I8838" s="4" t="s">
        <v>18956</v>
      </c>
      <c r="J8838" s="4" t="s">
        <v>18957</v>
      </c>
    </row>
    <row r="8839">
      <c r="A8839" s="4">
        <v>16.0</v>
      </c>
      <c r="B8839" s="4" t="s">
        <v>19537</v>
      </c>
      <c r="C8839" s="4"/>
      <c r="D8839" s="4" t="s">
        <v>18958</v>
      </c>
      <c r="E8839" s="4" t="s">
        <v>18959</v>
      </c>
      <c r="F8839" s="4" t="s">
        <v>18960</v>
      </c>
      <c r="G8839" s="5" t="str">
        <f>IFERROR(__xludf.DUMMYFUNCTION("GOOGLETRANSLATE(D8839,""pt"",""es"")"),"aquí no")</f>
        <v>aquí no</v>
      </c>
    </row>
    <row r="8840">
      <c r="A8840" s="4">
        <v>17.0</v>
      </c>
      <c r="B8840" s="4" t="s">
        <v>19537</v>
      </c>
      <c r="C8840" s="4"/>
      <c r="D8840" s="4" t="s">
        <v>18961</v>
      </c>
      <c r="E8840" s="4" t="s">
        <v>18962</v>
      </c>
      <c r="F8840" s="4" t="s">
        <v>18963</v>
      </c>
      <c r="G8840" s="5" t="str">
        <f>IFERROR(__xludf.DUMMYFUNCTION("GOOGLETRANSLATE(D8840,""pt"",""es"")"),"borde")</f>
        <v>borde</v>
      </c>
      <c r="H8840" s="4" t="s">
        <v>18964</v>
      </c>
      <c r="I8840" s="4" t="s">
        <v>18965</v>
      </c>
      <c r="J8840" s="4" t="s">
        <v>9512</v>
      </c>
      <c r="K8840" s="4" t="s">
        <v>9512</v>
      </c>
    </row>
    <row r="8841">
      <c r="A8841" s="4">
        <v>18.0</v>
      </c>
      <c r="B8841" s="4" t="s">
        <v>19537</v>
      </c>
      <c r="C8841" s="4"/>
      <c r="D8841" s="4" t="s">
        <v>18966</v>
      </c>
      <c r="E8841" s="4" t="s">
        <v>18967</v>
      </c>
      <c r="F8841" s="4" t="s">
        <v>18968</v>
      </c>
      <c r="G8841" s="5" t="str">
        <f>IFERROR(__xludf.DUMMYFUNCTION("GOOGLETRANSLATE(D8841,""pt"",""es"")"),"asesinato")</f>
        <v>asesinato</v>
      </c>
      <c r="H8841" s="4" t="s">
        <v>6420</v>
      </c>
      <c r="I8841" s="4" t="s">
        <v>2570</v>
      </c>
      <c r="J8841" s="4" t="s">
        <v>6421</v>
      </c>
      <c r="K8841" s="4" t="s">
        <v>854</v>
      </c>
      <c r="L8841" s="4" t="s">
        <v>11744</v>
      </c>
      <c r="M8841" s="4" t="s">
        <v>11745</v>
      </c>
      <c r="N8841" s="4" t="s">
        <v>11746</v>
      </c>
      <c r="O8841" s="4" t="s">
        <v>18969</v>
      </c>
      <c r="P8841" s="4" t="s">
        <v>18970</v>
      </c>
      <c r="Q8841" s="4" t="s">
        <v>18971</v>
      </c>
      <c r="R8841" s="4" t="s">
        <v>16066</v>
      </c>
      <c r="S8841" s="4" t="s">
        <v>18972</v>
      </c>
      <c r="T8841" s="4" t="s">
        <v>18973</v>
      </c>
      <c r="U8841" s="4" t="s">
        <v>18974</v>
      </c>
      <c r="V8841" s="4" t="s">
        <v>18975</v>
      </c>
      <c r="W8841" s="4" t="s">
        <v>18976</v>
      </c>
      <c r="X8841" s="4" t="s">
        <v>12255</v>
      </c>
    </row>
    <row r="8842">
      <c r="A8842" s="4">
        <v>19.0</v>
      </c>
      <c r="B8842" s="4" t="s">
        <v>19537</v>
      </c>
      <c r="C8842" s="4"/>
      <c r="D8842" s="4" t="s">
        <v>18977</v>
      </c>
      <c r="E8842" s="4" t="s">
        <v>15678</v>
      </c>
      <c r="F8842" s="4" t="s">
        <v>9347</v>
      </c>
      <c r="G8842" s="5" t="str">
        <f>IFERROR(__xludf.DUMMYFUNCTION("GOOGLETRANSLATE(D8842,""pt"",""es"")"),"roca")</f>
        <v>roca</v>
      </c>
    </row>
    <row r="8843">
      <c r="A8843" s="4">
        <v>20.0</v>
      </c>
      <c r="B8843" s="4" t="s">
        <v>19537</v>
      </c>
      <c r="C8843" s="4"/>
      <c r="D8843" s="4" t="s">
        <v>18978</v>
      </c>
      <c r="E8843" s="4" t="s">
        <v>18979</v>
      </c>
      <c r="F8843" s="4" t="s">
        <v>18980</v>
      </c>
      <c r="G8843" s="5" t="str">
        <f>IFERROR(__xludf.DUMMYFUNCTION("GOOGLETRANSLATE(D8843,""pt"",""es"")"),"atribuir")</f>
        <v>atribuir</v>
      </c>
      <c r="H8843" s="4" t="s">
        <v>18981</v>
      </c>
      <c r="I8843" s="4" t="s">
        <v>18982</v>
      </c>
      <c r="J8843" s="4" t="s">
        <v>18983</v>
      </c>
    </row>
    <row r="8844">
      <c r="A8844" s="4">
        <v>21.0</v>
      </c>
      <c r="B8844" s="4" t="s">
        <v>19537</v>
      </c>
      <c r="C8844" s="4"/>
      <c r="D8844" s="4" t="s">
        <v>18984</v>
      </c>
      <c r="E8844" s="4" t="s">
        <v>11761</v>
      </c>
      <c r="F8844" s="4" t="s">
        <v>11762</v>
      </c>
      <c r="G8844" s="5" t="str">
        <f>IFERROR(__xludf.DUMMYFUNCTION("GOOGLETRANSLATE(D8844,""pt"",""es"")"),"Actuar")</f>
        <v>Actuar</v>
      </c>
      <c r="H8844" s="4" t="s">
        <v>3993</v>
      </c>
      <c r="I8844" s="4" t="s">
        <v>15704</v>
      </c>
      <c r="J8844" s="4" t="s">
        <v>15705</v>
      </c>
      <c r="K8844" s="4" t="s">
        <v>15706</v>
      </c>
      <c r="L8844" s="4" t="s">
        <v>18985</v>
      </c>
      <c r="M8844" s="4" t="s">
        <v>9219</v>
      </c>
      <c r="N8844" s="4" t="s">
        <v>18986</v>
      </c>
      <c r="O8844" s="4" t="s">
        <v>18987</v>
      </c>
      <c r="P8844" s="4" t="s">
        <v>3993</v>
      </c>
      <c r="Q8844" s="4" t="s">
        <v>10236</v>
      </c>
      <c r="R8844" s="4" t="s">
        <v>15704</v>
      </c>
      <c r="S8844" s="4" t="s">
        <v>18988</v>
      </c>
      <c r="T8844" s="4" t="s">
        <v>4599</v>
      </c>
      <c r="U8844" s="4" t="s">
        <v>3993</v>
      </c>
    </row>
    <row r="8845">
      <c r="A8845" s="4">
        <v>22.0</v>
      </c>
      <c r="B8845" s="4" t="s">
        <v>19537</v>
      </c>
      <c r="C8845" s="4"/>
      <c r="D8845" s="4" t="s">
        <v>18989</v>
      </c>
      <c r="E8845" s="4" t="s">
        <v>18990</v>
      </c>
      <c r="F8845" s="4" t="s">
        <v>18991</v>
      </c>
      <c r="G8845" s="5" t="str">
        <f>IFERROR(__xludf.DUMMYFUNCTION("GOOGLETRANSLATE(D8845,""pt"",""es"")"),"tuler")</f>
        <v>tuler</v>
      </c>
    </row>
    <row r="8846">
      <c r="A8846" s="4">
        <v>23.0</v>
      </c>
      <c r="B8846" s="4" t="s">
        <v>19537</v>
      </c>
      <c r="C8846" s="4"/>
      <c r="D8846" s="4" t="s">
        <v>18992</v>
      </c>
      <c r="E8846" s="4" t="s">
        <v>15678</v>
      </c>
      <c r="F8846" s="4" t="s">
        <v>9347</v>
      </c>
      <c r="G8846" s="5" t="str">
        <f>IFERROR(__xludf.DUMMYFUNCTION("GOOGLETRANSLATE(D8846,""pt"",""es"")"),"acero")</f>
        <v>acero</v>
      </c>
      <c r="H8846" s="4" t="s">
        <v>16711</v>
      </c>
      <c r="I8846" s="4" t="s">
        <v>16711</v>
      </c>
    </row>
    <row r="8847">
      <c r="A8847" s="4">
        <v>24.0</v>
      </c>
      <c r="B8847" s="4" t="s">
        <v>19537</v>
      </c>
      <c r="C8847" s="4"/>
      <c r="D8847" s="4" t="s">
        <v>18993</v>
      </c>
      <c r="E8847" s="4" t="s">
        <v>504</v>
      </c>
      <c r="F8847" s="4" t="s">
        <v>505</v>
      </c>
      <c r="G8847" s="5" t="str">
        <f>IFERROR(__xludf.DUMMYFUNCTION("GOOGLETRANSLATE(D8847,""pt"",""es"")"),"poner")</f>
        <v>poner</v>
      </c>
    </row>
    <row r="8848">
      <c r="A8848" s="4">
        <v>25.0</v>
      </c>
      <c r="B8848" s="4" t="s">
        <v>19537</v>
      </c>
      <c r="C8848" s="4"/>
      <c r="D8848" s="4" t="s">
        <v>18994</v>
      </c>
      <c r="E8848" s="4" t="s">
        <v>18995</v>
      </c>
      <c r="F8848" s="4" t="s">
        <v>18996</v>
      </c>
      <c r="G8848" s="5" t="str">
        <f>IFERROR(__xludf.DUMMYFUNCTION("GOOGLETRANSLATE(D8848,""pt"",""es"")"),"espíritu")</f>
        <v>espíritu</v>
      </c>
      <c r="H8848" s="4" t="s">
        <v>18997</v>
      </c>
    </row>
    <row r="8849">
      <c r="A8849" s="4">
        <v>26.0</v>
      </c>
      <c r="B8849" s="4" t="s">
        <v>19537</v>
      </c>
      <c r="C8849" s="4"/>
      <c r="D8849" s="4" t="s">
        <v>496</v>
      </c>
      <c r="E8849" s="4" t="s">
        <v>18998</v>
      </c>
      <c r="F8849" s="4" t="s">
        <v>18999</v>
      </c>
      <c r="G8849" s="5" t="str">
        <f>IFERROR(__xludf.DUMMYFUNCTION("GOOGLETRANSLATE(D8849,""pt"",""es"")"),"cache")</f>
        <v>cache</v>
      </c>
      <c r="H8849" s="4" t="s">
        <v>496</v>
      </c>
      <c r="I8849" s="4" t="s">
        <v>5925</v>
      </c>
      <c r="J8849" s="4" t="s">
        <v>5989</v>
      </c>
      <c r="K8849" s="4" t="s">
        <v>5990</v>
      </c>
      <c r="L8849" s="4" t="s">
        <v>5991</v>
      </c>
    </row>
    <row r="8850">
      <c r="A8850" s="4">
        <v>27.0</v>
      </c>
      <c r="B8850" s="4" t="s">
        <v>19537</v>
      </c>
      <c r="C8850" s="4"/>
      <c r="D8850" s="4" t="s">
        <v>19000</v>
      </c>
      <c r="E8850" s="4" t="s">
        <v>19001</v>
      </c>
      <c r="F8850" s="4" t="s">
        <v>19002</v>
      </c>
      <c r="G8850" s="5" t="str">
        <f>IFERROR(__xludf.DUMMYFUNCTION("GOOGLETRANSLATE(D8850,""pt"",""es"")"),"racimo")</f>
        <v>racimo</v>
      </c>
      <c r="H8850" s="4" t="s">
        <v>3282</v>
      </c>
      <c r="I8850" s="4" t="s">
        <v>8445</v>
      </c>
      <c r="J8850" s="4" t="s">
        <v>8446</v>
      </c>
      <c r="K8850" s="4" t="s">
        <v>8447</v>
      </c>
      <c r="L8850" s="4" t="s">
        <v>19003</v>
      </c>
      <c r="M8850" s="4" t="s">
        <v>19004</v>
      </c>
      <c r="N8850" s="4" t="s">
        <v>7299</v>
      </c>
      <c r="O8850" s="4" t="s">
        <v>19005</v>
      </c>
    </row>
    <row r="8851">
      <c r="A8851" s="4">
        <v>28.0</v>
      </c>
      <c r="B8851" s="4" t="s">
        <v>19537</v>
      </c>
      <c r="C8851" s="4"/>
      <c r="D8851" s="4" t="s">
        <v>19006</v>
      </c>
      <c r="E8851" s="4" t="s">
        <v>19007</v>
      </c>
      <c r="F8851" s="4" t="s">
        <v>19008</v>
      </c>
      <c r="G8851" s="5" t="str">
        <f>IFERROR(__xludf.DUMMYFUNCTION("GOOGLETRANSLATE(D8851,""pt"",""es"")"),"agudo")</f>
        <v>agudo</v>
      </c>
      <c r="H8851" s="4" t="s">
        <v>19009</v>
      </c>
      <c r="I8851" s="4" t="s">
        <v>19010</v>
      </c>
      <c r="J8851" s="4" t="s">
        <v>19011</v>
      </c>
    </row>
    <row r="8852">
      <c r="A8852" s="4">
        <v>29.0</v>
      </c>
      <c r="B8852" s="4" t="s">
        <v>19537</v>
      </c>
      <c r="C8852" s="4"/>
      <c r="D8852" s="4" t="s">
        <v>14116</v>
      </c>
      <c r="E8852" s="4" t="s">
        <v>11951</v>
      </c>
      <c r="F8852" s="4" t="s">
        <v>11811</v>
      </c>
      <c r="G8852" s="5" t="str">
        <f>IFERROR(__xludf.DUMMYFUNCTION("GOOGLETRANSLATE(D8852,""pt"",""es"")"),"caídas")</f>
        <v>caídas</v>
      </c>
    </row>
    <row r="8853">
      <c r="A8853" s="4">
        <v>30.0</v>
      </c>
      <c r="B8853" s="4" t="s">
        <v>19537</v>
      </c>
      <c r="C8853" s="4"/>
      <c r="D8853" s="4" t="s">
        <v>19012</v>
      </c>
      <c r="E8853" s="4" t="s">
        <v>11814</v>
      </c>
      <c r="F8853" s="4" t="s">
        <v>11815</v>
      </c>
      <c r="G8853" s="5" t="str">
        <f>IFERROR(__xludf.DUMMYFUNCTION("GOOGLETRANSLATE(D8853,""pt"",""es"")"),"jaula")</f>
        <v>jaula</v>
      </c>
      <c r="H8853" s="4" t="s">
        <v>19013</v>
      </c>
      <c r="I8853" s="4" t="s">
        <v>19014</v>
      </c>
      <c r="J8853" s="4" t="s">
        <v>19015</v>
      </c>
    </row>
    <row r="8854">
      <c r="A8854" s="4">
        <v>31.0</v>
      </c>
      <c r="B8854" s="4" t="s">
        <v>19537</v>
      </c>
      <c r="C8854" s="4"/>
      <c r="D8854" s="4" t="s">
        <v>1033</v>
      </c>
      <c r="E8854" s="4" t="s">
        <v>1034</v>
      </c>
      <c r="F8854" s="4" t="s">
        <v>1035</v>
      </c>
      <c r="G8854" s="5" t="str">
        <f>IFERROR(__xludf.DUMMYFUNCTION("GOOGLETRANSLATE(D8854,""pt"",""es"")"),"callo")</f>
        <v>callo</v>
      </c>
      <c r="H8854" s="4" t="s">
        <v>1013</v>
      </c>
      <c r="I8854" s="4" t="s">
        <v>1013</v>
      </c>
      <c r="J8854" s="4" t="s">
        <v>11820</v>
      </c>
      <c r="K8854" s="4" t="s">
        <v>1013</v>
      </c>
    </row>
    <row r="8855">
      <c r="A8855" s="4">
        <v>32.0</v>
      </c>
      <c r="B8855" s="4" t="s">
        <v>19537</v>
      </c>
      <c r="C8855" s="4"/>
      <c r="D8855" s="4" t="s">
        <v>11868</v>
      </c>
      <c r="E8855" s="4" t="s">
        <v>19016</v>
      </c>
      <c r="F8855" s="4" t="s">
        <v>19017</v>
      </c>
      <c r="G8855" s="5" t="str">
        <f>IFERROR(__xludf.DUMMYFUNCTION("GOOGLETRANSLATE(D8855,""pt"",""es"")"),"canaca")</f>
        <v>canaca</v>
      </c>
    </row>
    <row r="8856">
      <c r="A8856" s="4">
        <v>33.0</v>
      </c>
      <c r="B8856" s="4" t="s">
        <v>19537</v>
      </c>
      <c r="C8856" s="4"/>
      <c r="D8856" s="4" t="s">
        <v>19018</v>
      </c>
      <c r="E8856" s="4" t="s">
        <v>19019</v>
      </c>
      <c r="F8856" s="4" t="s">
        <v>19020</v>
      </c>
      <c r="G8856" s="5" t="str">
        <f>IFERROR(__xludf.DUMMYFUNCTION("GOOGLETRANSLATE(D8856,""pt"",""es"")"),"Jack")</f>
        <v>Jack</v>
      </c>
    </row>
    <row r="8857">
      <c r="A8857" s="4">
        <v>34.0</v>
      </c>
      <c r="B8857" s="4" t="s">
        <v>19537</v>
      </c>
      <c r="C8857" s="4"/>
      <c r="D8857" s="4" t="s">
        <v>19021</v>
      </c>
      <c r="E8857" s="4" t="s">
        <v>19022</v>
      </c>
      <c r="F8857" s="4" t="s">
        <v>19023</v>
      </c>
      <c r="G8857" s="5" t="str">
        <f>IFERROR(__xludf.DUMMYFUNCTION("GOOGLETRANSLATE(D8857,""pt"",""es"")"),"capucha")</f>
        <v>capucha</v>
      </c>
      <c r="H8857" s="4" t="s">
        <v>17136</v>
      </c>
      <c r="I8857" s="4" t="s">
        <v>5977</v>
      </c>
      <c r="J8857" s="4" t="s">
        <v>17135</v>
      </c>
      <c r="K8857" s="4" t="s">
        <v>17136</v>
      </c>
      <c r="L8857" s="4" t="s">
        <v>17137</v>
      </c>
      <c r="M8857" s="4" t="s">
        <v>5977</v>
      </c>
    </row>
    <row r="8858">
      <c r="A8858" s="4">
        <v>35.0</v>
      </c>
      <c r="B8858" s="4" t="s">
        <v>19537</v>
      </c>
      <c r="C8858" s="4"/>
      <c r="D8858" s="4" t="s">
        <v>1295</v>
      </c>
      <c r="E8858" s="4" t="s">
        <v>1296</v>
      </c>
      <c r="F8858" s="4" t="s">
        <v>1297</v>
      </c>
      <c r="G8858" s="5" t="str">
        <f>IFERROR(__xludf.DUMMYFUNCTION("GOOGLETRANSLATE(D8858,""pt"",""es"")"),"caqui")</f>
        <v>caqui</v>
      </c>
      <c r="H8858" s="4" t="s">
        <v>1299</v>
      </c>
      <c r="I8858" s="4" t="s">
        <v>1299</v>
      </c>
      <c r="J8858" s="4" t="s">
        <v>1300</v>
      </c>
      <c r="K8858" s="4" t="s">
        <v>6396</v>
      </c>
      <c r="L8858" s="4" t="s">
        <v>1297</v>
      </c>
      <c r="M8858" s="4" t="s">
        <v>6397</v>
      </c>
      <c r="N8858" s="4" t="s">
        <v>6396</v>
      </c>
      <c r="O8858" s="4" t="s">
        <v>1297</v>
      </c>
      <c r="P8858" s="4" t="s">
        <v>6397</v>
      </c>
    </row>
    <row r="8859">
      <c r="A8859" s="4">
        <v>36.0</v>
      </c>
      <c r="B8859" s="4" t="s">
        <v>19537</v>
      </c>
      <c r="C8859" s="4"/>
      <c r="D8859" s="4" t="s">
        <v>1322</v>
      </c>
      <c r="E8859" s="4" t="s">
        <v>1323</v>
      </c>
      <c r="F8859" s="4" t="s">
        <v>1324</v>
      </c>
      <c r="G8859" s="5" t="str">
        <f>IFERROR(__xludf.DUMMYFUNCTION("GOOGLETRANSLATE(D8859,""pt"",""es"")"),"caricatura")</f>
        <v>caricatura</v>
      </c>
      <c r="H8859" s="4" t="s">
        <v>1325</v>
      </c>
      <c r="I8859" s="4" t="s">
        <v>1326</v>
      </c>
      <c r="J8859" s="4" t="s">
        <v>1327</v>
      </c>
      <c r="K8859" s="4" t="s">
        <v>1325</v>
      </c>
      <c r="L8859" s="4" t="s">
        <v>1326</v>
      </c>
      <c r="M8859" s="4" t="s">
        <v>1327</v>
      </c>
      <c r="N8859" s="4" t="s">
        <v>14828</v>
      </c>
      <c r="O8859" s="4" t="s">
        <v>14831</v>
      </c>
    </row>
    <row r="8860">
      <c r="A8860" s="4">
        <v>37.0</v>
      </c>
      <c r="B8860" s="4" t="s">
        <v>19537</v>
      </c>
      <c r="C8860" s="4"/>
      <c r="D8860" s="4" t="s">
        <v>14351</v>
      </c>
      <c r="E8860" s="4" t="s">
        <v>19024</v>
      </c>
      <c r="F8860" s="4" t="s">
        <v>14353</v>
      </c>
      <c r="G8860" s="5" t="str">
        <f>IFERROR(__xludf.DUMMYFUNCTION("GOOGLETRANSLATE(D8860,""pt"",""es"")"),"caro")</f>
        <v>caro</v>
      </c>
      <c r="H8860" s="4" t="s">
        <v>1304</v>
      </c>
      <c r="I8860" s="4" t="s">
        <v>13997</v>
      </c>
      <c r="J8860" s="4" t="s">
        <v>6556</v>
      </c>
      <c r="K8860" s="4" t="s">
        <v>13998</v>
      </c>
      <c r="L8860" s="4" t="s">
        <v>13999</v>
      </c>
      <c r="M8860" s="4" t="s">
        <v>14000</v>
      </c>
      <c r="N8860" s="4" t="s">
        <v>14001</v>
      </c>
      <c r="O8860" s="4" t="s">
        <v>13997</v>
      </c>
      <c r="P8860" s="4" t="s">
        <v>14002</v>
      </c>
      <c r="Q8860" s="4" t="s">
        <v>5680</v>
      </c>
      <c r="R8860" s="4" t="s">
        <v>6556</v>
      </c>
    </row>
    <row r="8861">
      <c r="A8861" s="4">
        <v>38.0</v>
      </c>
      <c r="B8861" s="4" t="s">
        <v>19537</v>
      </c>
      <c r="C8861" s="4"/>
      <c r="D8861" s="4" t="s">
        <v>19025</v>
      </c>
      <c r="E8861" s="4" t="s">
        <v>1306</v>
      </c>
      <c r="F8861" s="4" t="s">
        <v>1307</v>
      </c>
      <c r="G8861" s="5" t="str">
        <f>IFERROR(__xludf.DUMMYFUNCTION("GOOGLETRANSLATE(D8861,""pt"",""es"")"),"cara")</f>
        <v>cara</v>
      </c>
    </row>
    <row r="8862">
      <c r="A8862" s="4">
        <v>39.0</v>
      </c>
      <c r="B8862" s="4" t="s">
        <v>19537</v>
      </c>
      <c r="C8862" s="4"/>
      <c r="D8862" s="4" t="s">
        <v>1334</v>
      </c>
      <c r="E8862" s="4" t="s">
        <v>1335</v>
      </c>
      <c r="F8862" s="4" t="s">
        <v>1336</v>
      </c>
      <c r="G8862" s="5" t="str">
        <f>IFERROR(__xludf.DUMMYFUNCTION("GOOGLETRANSLATE(D8862,""pt"",""es"")"),"casta")</f>
        <v>casta</v>
      </c>
    </row>
    <row r="8863">
      <c r="A8863" s="4">
        <v>40.0</v>
      </c>
      <c r="B8863" s="4" t="s">
        <v>19537</v>
      </c>
      <c r="C8863" s="4"/>
      <c r="D8863" s="4" t="s">
        <v>19026</v>
      </c>
      <c r="E8863" s="4" t="s">
        <v>19027</v>
      </c>
      <c r="F8863" s="4" t="s">
        <v>19028</v>
      </c>
      <c r="G8863" s="5" t="str">
        <f>IFERROR(__xludf.DUMMYFUNCTION("GOOGLETRANSLATE(D8863,""pt"",""es"")"),"casino")</f>
        <v>casino</v>
      </c>
      <c r="H8863" s="4" t="s">
        <v>19029</v>
      </c>
      <c r="I8863" s="4" t="s">
        <v>19030</v>
      </c>
    </row>
    <row r="8864">
      <c r="A8864" s="4">
        <v>41.0</v>
      </c>
      <c r="B8864" s="4" t="s">
        <v>19537</v>
      </c>
      <c r="C8864" s="4"/>
      <c r="D8864" s="4" t="s">
        <v>19031</v>
      </c>
      <c r="E8864" s="4" t="s">
        <v>9104</v>
      </c>
      <c r="F8864" s="4" t="s">
        <v>9103</v>
      </c>
      <c r="G8864" s="5" t="str">
        <f>IFERROR(__xludf.DUMMYFUNCTION("GOOGLETRANSLATE(D8864,""pt"",""es"")"),"Cato")</f>
        <v>Cato</v>
      </c>
    </row>
    <row r="8865">
      <c r="A8865" s="4">
        <v>42.0</v>
      </c>
      <c r="B8865" s="4" t="s">
        <v>19537</v>
      </c>
      <c r="C8865" s="4"/>
      <c r="D8865" s="4" t="s">
        <v>1376</v>
      </c>
      <c r="E8865" s="4" t="s">
        <v>1377</v>
      </c>
      <c r="F8865" s="4" t="s">
        <v>1378</v>
      </c>
      <c r="G8865" s="5" t="str">
        <f>IFERROR(__xludf.DUMMYFUNCTION("GOOGLETRANSLATE(D8865,""pt"",""es"")"),"esquina")</f>
        <v>esquina</v>
      </c>
    </row>
    <row r="8866">
      <c r="A8866" s="4">
        <v>43.0</v>
      </c>
      <c r="B8866" s="4" t="s">
        <v>19537</v>
      </c>
      <c r="C8866" s="4"/>
      <c r="D8866" s="4" t="s">
        <v>19032</v>
      </c>
      <c r="E8866" s="4" t="s">
        <v>19033</v>
      </c>
      <c r="F8866" s="4" t="s">
        <v>19034</v>
      </c>
      <c r="G8866" s="5" t="str">
        <f>IFERROR(__xludf.DUMMYFUNCTION("GOOGLETRANSLATE(D8866,""pt"",""es"")"),"sacrificio")</f>
        <v>sacrificio</v>
      </c>
    </row>
    <row r="8867">
      <c r="A8867" s="4">
        <v>44.0</v>
      </c>
      <c r="B8867" s="4" t="s">
        <v>19537</v>
      </c>
      <c r="C8867" s="4"/>
      <c r="D8867" s="4" t="s">
        <v>19035</v>
      </c>
      <c r="E8867" s="4" t="s">
        <v>4684</v>
      </c>
      <c r="F8867" s="4" t="s">
        <v>4685</v>
      </c>
      <c r="G8867" s="5" t="str">
        <f>IFERROR(__xludf.DUMMYFUNCTION("GOOGLETRANSLATE(D8867,""pt"",""es"")"),"irritante")</f>
        <v>irritante</v>
      </c>
      <c r="H8867" s="4" t="s">
        <v>19036</v>
      </c>
      <c r="I8867" s="4" t="s">
        <v>19037</v>
      </c>
      <c r="J8867" s="4" t="s">
        <v>3225</v>
      </c>
      <c r="K8867" s="4" t="s">
        <v>19038</v>
      </c>
      <c r="L8867" s="4" t="s">
        <v>19039</v>
      </c>
      <c r="M8867" s="4" t="s">
        <v>3228</v>
      </c>
      <c r="N8867" s="4" t="s">
        <v>19040</v>
      </c>
      <c r="O8867" s="4" t="s">
        <v>19041</v>
      </c>
      <c r="P8867" s="4" t="s">
        <v>19042</v>
      </c>
      <c r="Q8867" s="4" t="s">
        <v>2339</v>
      </c>
      <c r="R8867" s="4" t="s">
        <v>19043</v>
      </c>
      <c r="S8867" s="4" t="s">
        <v>19044</v>
      </c>
    </row>
    <row r="8868">
      <c r="A8868" s="4">
        <v>45.0</v>
      </c>
      <c r="B8868" s="4" t="s">
        <v>19537</v>
      </c>
      <c r="C8868" s="4"/>
      <c r="D8868" s="4" t="s">
        <v>19045</v>
      </c>
      <c r="E8868" s="4" t="s">
        <v>19046</v>
      </c>
      <c r="F8868" s="4" t="s">
        <v>19047</v>
      </c>
      <c r="G8868" s="5" t="str">
        <f>IFERROR(__xludf.DUMMYFUNCTION("GOOGLETRANSLATE(D8868,""pt"",""es"")"),"chicho")</f>
        <v>chicho</v>
      </c>
    </row>
    <row r="8869">
      <c r="A8869" s="4">
        <v>46.0</v>
      </c>
      <c r="B8869" s="4" t="s">
        <v>19537</v>
      </c>
      <c r="C8869" s="4"/>
      <c r="D8869" s="4" t="s">
        <v>19048</v>
      </c>
      <c r="E8869" s="4" t="s">
        <v>19049</v>
      </c>
      <c r="F8869" s="4" t="s">
        <v>19050</v>
      </c>
      <c r="G8869" s="5" t="str">
        <f>IFERROR(__xludf.DUMMYFUNCTION("GOOGLETRANSLATE(D8869,""pt"",""es"")"),"Chico")</f>
        <v>Chico</v>
      </c>
    </row>
    <row r="8870">
      <c r="A8870" s="4">
        <v>47.0</v>
      </c>
      <c r="B8870" s="4" t="s">
        <v>19537</v>
      </c>
      <c r="C8870" s="4"/>
      <c r="D8870" s="4" t="s">
        <v>19051</v>
      </c>
      <c r="E8870" s="4" t="s">
        <v>19052</v>
      </c>
      <c r="F8870" s="4" t="s">
        <v>12114</v>
      </c>
      <c r="G8870" s="5" t="str">
        <f>IFERROR(__xludf.DUMMYFUNCTION("GOOGLETRANSLATE(D8870,""pt"",""es"")"),"chuca")</f>
        <v>chuca</v>
      </c>
    </row>
    <row r="8871">
      <c r="A8871" s="4">
        <v>48.0</v>
      </c>
      <c r="B8871" s="4" t="s">
        <v>19537</v>
      </c>
      <c r="C8871" s="4"/>
      <c r="D8871" s="4" t="s">
        <v>19053</v>
      </c>
      <c r="E8871" s="4" t="s">
        <v>19054</v>
      </c>
      <c r="F8871" s="4" t="s">
        <v>19055</v>
      </c>
      <c r="G8871" s="5" t="str">
        <f>IFERROR(__xludf.DUMMYFUNCTION("GOOGLETRANSLATE(D8871,""pt"",""es"")"),"Pendiente")</f>
        <v>Pendiente</v>
      </c>
      <c r="H8871" s="4" t="s">
        <v>19056</v>
      </c>
      <c r="I8871" s="4" t="s">
        <v>19057</v>
      </c>
      <c r="J8871" s="4" t="s">
        <v>19058</v>
      </c>
      <c r="K8871" s="4" t="s">
        <v>19059</v>
      </c>
      <c r="L8871" s="4" t="s">
        <v>19060</v>
      </c>
      <c r="M8871" s="4" t="s">
        <v>19061</v>
      </c>
      <c r="N8871" s="4" t="s">
        <v>19062</v>
      </c>
    </row>
    <row r="8872">
      <c r="A8872" s="4">
        <v>49.0</v>
      </c>
      <c r="B8872" s="4" t="s">
        <v>19537</v>
      </c>
      <c r="C8872" s="4"/>
      <c r="D8872" s="4" t="s">
        <v>19063</v>
      </c>
      <c r="E8872" s="4" t="s">
        <v>19064</v>
      </c>
      <c r="F8872" s="4" t="s">
        <v>19065</v>
      </c>
      <c r="G8872" s="5" t="str">
        <f>IFERROR(__xludf.DUMMYFUNCTION("GOOGLETRANSLATE(D8872,""pt"",""es"")"),"taco")</f>
        <v>taco</v>
      </c>
      <c r="H8872" s="4" t="s">
        <v>19066</v>
      </c>
      <c r="I8872" s="4" t="s">
        <v>19067</v>
      </c>
      <c r="J8872" s="4" t="s">
        <v>19068</v>
      </c>
    </row>
    <row r="8873">
      <c r="A8873" s="4">
        <v>50.0</v>
      </c>
      <c r="B8873" s="4" t="s">
        <v>19537</v>
      </c>
      <c r="C8873" s="4"/>
      <c r="D8873" s="4" t="s">
        <v>19069</v>
      </c>
      <c r="E8873" s="4" t="s">
        <v>19070</v>
      </c>
      <c r="F8873" s="4" t="s">
        <v>19071</v>
      </c>
      <c r="G8873" s="5" t="str">
        <f>IFERROR(__xludf.DUMMYFUNCTION("GOOGLETRANSLATE(D8873,""pt"",""es"")"),"patada")</f>
        <v>patada</v>
      </c>
    </row>
    <row r="8874">
      <c r="A8874" s="4">
        <v>51.0</v>
      </c>
      <c r="B8874" s="4" t="s">
        <v>19537</v>
      </c>
      <c r="C8874" s="4"/>
      <c r="D8874" s="4" t="s">
        <v>19072</v>
      </c>
      <c r="E8874" s="4" t="s">
        <v>19073</v>
      </c>
      <c r="F8874" s="4" t="s">
        <v>19074</v>
      </c>
      <c r="G8874" s="5" t="str">
        <f>IFERROR(__xludf.DUMMYFUNCTION("GOOGLETRANSLATE(D8874,""pt"",""es"")"),"espinilla")</f>
        <v>espinilla</v>
      </c>
      <c r="H8874" s="4" t="s">
        <v>3466</v>
      </c>
    </row>
    <row r="8875">
      <c r="A8875" s="4">
        <v>52.0</v>
      </c>
      <c r="B8875" s="4" t="s">
        <v>19537</v>
      </c>
      <c r="C8875" s="4"/>
      <c r="D8875" s="4" t="s">
        <v>19075</v>
      </c>
      <c r="E8875" s="4" t="s">
        <v>4671</v>
      </c>
      <c r="F8875" s="4" t="s">
        <v>4672</v>
      </c>
      <c r="G8875" s="5" t="str">
        <f>IFERROR(__xludf.DUMMYFUNCTION("GOOGLETRANSLATE(D8875,""pt"",""es"")"),"té")</f>
        <v>té</v>
      </c>
      <c r="H8875" s="4" t="s">
        <v>8821</v>
      </c>
      <c r="I8875" s="4" t="s">
        <v>8825</v>
      </c>
      <c r="J8875" s="4" t="s">
        <v>8821</v>
      </c>
      <c r="K8875" s="4" t="s">
        <v>19076</v>
      </c>
      <c r="L8875" s="4" t="s">
        <v>19077</v>
      </c>
      <c r="M8875" s="4" t="s">
        <v>19078</v>
      </c>
      <c r="N8875" s="4" t="s">
        <v>19079</v>
      </c>
      <c r="O8875" s="4" t="s">
        <v>19080</v>
      </c>
      <c r="P8875" s="4" t="s">
        <v>19081</v>
      </c>
    </row>
    <row r="8876">
      <c r="A8876" s="4">
        <v>53.0</v>
      </c>
      <c r="B8876" s="4" t="s">
        <v>19537</v>
      </c>
      <c r="C8876" s="4"/>
      <c r="D8876" s="4" t="s">
        <v>19082</v>
      </c>
      <c r="E8876" s="4" t="s">
        <v>19083</v>
      </c>
      <c r="F8876" s="4" t="s">
        <v>19084</v>
      </c>
      <c r="G8876" s="5" t="str">
        <f>IFERROR(__xludf.DUMMYFUNCTION("GOOGLETRANSLATE(D8876,""pt"",""es"")"),"Cirilo")</f>
        <v>Cirilo</v>
      </c>
    </row>
    <row r="8877">
      <c r="A8877" s="4">
        <v>54.0</v>
      </c>
      <c r="B8877" s="4" t="s">
        <v>19537</v>
      </c>
      <c r="C8877" s="4"/>
      <c r="D8877" s="4" t="s">
        <v>1446</v>
      </c>
      <c r="E8877" s="4" t="s">
        <v>1447</v>
      </c>
      <c r="F8877" s="4" t="s">
        <v>1448</v>
      </c>
      <c r="G8877" s="5" t="str">
        <f>IFERROR(__xludf.DUMMYFUNCTION("GOOGLETRANSLATE(D8877,""pt"",""es"")"),"citado")</f>
        <v>citado</v>
      </c>
    </row>
    <row r="8878">
      <c r="A8878" s="4">
        <v>55.0</v>
      </c>
      <c r="B8878" s="4" t="s">
        <v>19537</v>
      </c>
      <c r="C8878" s="4"/>
      <c r="D8878" s="4" t="s">
        <v>19085</v>
      </c>
      <c r="E8878" s="4" t="s">
        <v>19086</v>
      </c>
      <c r="F8878" s="4" t="s">
        <v>19087</v>
      </c>
      <c r="G8878" s="5" t="str">
        <f>IFERROR(__xludf.DUMMYFUNCTION("GOOGLETRANSLATE(D8878,""pt"",""es"")"),"susurro")</f>
        <v>susurro</v>
      </c>
      <c r="H8878" s="4" t="s">
        <v>9876</v>
      </c>
      <c r="I8878" s="4" t="s">
        <v>9877</v>
      </c>
      <c r="J8878" s="4" t="s">
        <v>19088</v>
      </c>
      <c r="K8878" s="4" t="s">
        <v>19089</v>
      </c>
    </row>
    <row r="8879">
      <c r="A8879" s="4">
        <v>56.0</v>
      </c>
      <c r="B8879" s="4" t="s">
        <v>19537</v>
      </c>
      <c r="C8879" s="4"/>
      <c r="D8879" s="4" t="s">
        <v>1554</v>
      </c>
      <c r="E8879" s="4" t="s">
        <v>1555</v>
      </c>
      <c r="F8879" s="4" t="s">
        <v>1556</v>
      </c>
      <c r="G8879" s="5" t="str">
        <f>IFERROR(__xludf.DUMMYFUNCTION("GOOGLETRANSLATE(D8879,""pt"",""es"")"),"Galleta")</f>
        <v>Galleta</v>
      </c>
      <c r="H8879" s="4" t="s">
        <v>1554</v>
      </c>
      <c r="I8879" s="4" t="s">
        <v>6087</v>
      </c>
      <c r="J8879" s="4" t="s">
        <v>6088</v>
      </c>
    </row>
    <row r="8880">
      <c r="A8880" s="4">
        <v>57.0</v>
      </c>
      <c r="B8880" s="4" t="s">
        <v>19537</v>
      </c>
      <c r="C8880" s="4"/>
      <c r="D8880" s="4" t="s">
        <v>8245</v>
      </c>
      <c r="E8880" s="4" t="s">
        <v>1674</v>
      </c>
      <c r="F8880" s="4" t="s">
        <v>1675</v>
      </c>
      <c r="G8880" s="5" t="str">
        <f>IFERROR(__xludf.DUMMYFUNCTION("GOOGLETRANSLATE(D8880,""pt"",""es"")"),"pretina")</f>
        <v>pretina</v>
      </c>
    </row>
    <row r="8881">
      <c r="A8881" s="4">
        <v>58.0</v>
      </c>
      <c r="B8881" s="4" t="s">
        <v>19537</v>
      </c>
      <c r="C8881" s="4"/>
      <c r="D8881" s="4" t="s">
        <v>1580</v>
      </c>
      <c r="E8881" s="4" t="s">
        <v>1581</v>
      </c>
      <c r="F8881" s="4" t="s">
        <v>1582</v>
      </c>
      <c r="G8881" s="5" t="str">
        <f>IFERROR(__xludf.DUMMYFUNCTION("GOOGLETRANSLATE(D8881,""pt"",""es"")"),"culo")</f>
        <v>culo</v>
      </c>
      <c r="H8881" s="4" t="s">
        <v>1602</v>
      </c>
      <c r="I8881" s="4" t="s">
        <v>1603</v>
      </c>
      <c r="J8881" s="4" t="s">
        <v>1604</v>
      </c>
      <c r="K8881" s="4" t="s">
        <v>1605</v>
      </c>
      <c r="L8881" s="4" t="s">
        <v>1606</v>
      </c>
      <c r="M8881" s="4" t="s">
        <v>1147</v>
      </c>
      <c r="N8881" s="4" t="s">
        <v>1607</v>
      </c>
      <c r="O8881" s="4" t="s">
        <v>1120</v>
      </c>
      <c r="P8881" s="4" t="s">
        <v>1608</v>
      </c>
      <c r="Q8881" s="4" t="s">
        <v>1609</v>
      </c>
      <c r="R8881" s="4" t="s">
        <v>1610</v>
      </c>
      <c r="S8881" s="4" t="s">
        <v>1611</v>
      </c>
      <c r="T8881" s="4" t="s">
        <v>1612</v>
      </c>
      <c r="U8881" s="4" t="s">
        <v>1613</v>
      </c>
      <c r="V8881" s="4" t="s">
        <v>1614</v>
      </c>
      <c r="W8881" s="4" t="s">
        <v>1615</v>
      </c>
      <c r="X8881" s="4" t="s">
        <v>1616</v>
      </c>
      <c r="Y8881" s="4" t="s">
        <v>1617</v>
      </c>
      <c r="Z8881" s="4" t="s">
        <v>1618</v>
      </c>
      <c r="AA8881" s="4" t="s">
        <v>1619</v>
      </c>
      <c r="AB8881" s="4" t="s">
        <v>1620</v>
      </c>
      <c r="AC8881" s="4" t="s">
        <v>1621</v>
      </c>
      <c r="AD8881" s="4" t="s">
        <v>1622</v>
      </c>
      <c r="AE8881" s="4" t="s">
        <v>1623</v>
      </c>
      <c r="AF8881" s="4" t="s">
        <v>1624</v>
      </c>
      <c r="AG8881" s="4" t="s">
        <v>1625</v>
      </c>
      <c r="AH8881" s="4" t="s">
        <v>1626</v>
      </c>
      <c r="AI8881" s="4" t="s">
        <v>1627</v>
      </c>
    </row>
    <row r="8882">
      <c r="A8882" s="4">
        <v>59.0</v>
      </c>
      <c r="B8882" s="4" t="s">
        <v>19537</v>
      </c>
      <c r="C8882" s="4"/>
      <c r="D8882" s="4" t="s">
        <v>19090</v>
      </c>
      <c r="E8882" s="4" t="s">
        <v>19091</v>
      </c>
      <c r="F8882" s="4" t="s">
        <v>19092</v>
      </c>
      <c r="G8882" s="5" t="str">
        <f>IFERROR(__xludf.DUMMYFUNCTION("GOOGLETRANSLATE(D8882,""pt"",""es"")"),"curar")</f>
        <v>curar</v>
      </c>
    </row>
    <row r="8883">
      <c r="A8883" s="4">
        <v>60.0</v>
      </c>
      <c r="B8883" s="4" t="s">
        <v>19537</v>
      </c>
      <c r="C8883" s="4"/>
      <c r="D8883" s="4" t="s">
        <v>1690</v>
      </c>
      <c r="E8883" s="4" t="s">
        <v>1674</v>
      </c>
      <c r="F8883" s="4" t="s">
        <v>1675</v>
      </c>
      <c r="G8883" s="5" t="str">
        <f>IFERROR(__xludf.DUMMYFUNCTION("GOOGLETRANSLATE(D8883,""pt"",""es"")"),"costo")</f>
        <v>costo</v>
      </c>
    </row>
    <row r="8884">
      <c r="A8884" s="4">
        <v>61.0</v>
      </c>
      <c r="B8884" s="4" t="s">
        <v>19537</v>
      </c>
      <c r="C8884" s="4"/>
      <c r="D8884" s="4" t="s">
        <v>19093</v>
      </c>
      <c r="E8884" s="4" t="s">
        <v>961</v>
      </c>
      <c r="F8884" s="4" t="s">
        <v>962</v>
      </c>
      <c r="G8884" s="5" t="str">
        <f>IFERROR(__xludf.DUMMYFUNCTION("GOOGLETRANSLATE(D8884,""pt"",""es"")"),"aquí")</f>
        <v>aquí</v>
      </c>
      <c r="H8884" s="4" t="s">
        <v>12448</v>
      </c>
      <c r="I8884" s="4" t="s">
        <v>12389</v>
      </c>
    </row>
    <row r="8885">
      <c r="A8885" s="4">
        <v>62.0</v>
      </c>
      <c r="B8885" s="4" t="s">
        <v>19537</v>
      </c>
      <c r="C8885" s="4"/>
      <c r="D8885" s="4" t="s">
        <v>19094</v>
      </c>
      <c r="E8885" s="4" t="s">
        <v>1296</v>
      </c>
      <c r="F8885" s="4" t="s">
        <v>1297</v>
      </c>
      <c r="G8885" s="5" t="str">
        <f>IFERROR(__xludf.DUMMYFUNCTION("GOOGLETRANSLATE(D8885,""pt"",""es"")"),"caqui")</f>
        <v>caqui</v>
      </c>
    </row>
    <row r="8886">
      <c r="A8886" s="4">
        <v>63.0</v>
      </c>
      <c r="B8886" s="4" t="s">
        <v>19537</v>
      </c>
      <c r="C8886" s="4"/>
      <c r="D8886" s="4" t="s">
        <v>19095</v>
      </c>
      <c r="E8886" s="4" t="s">
        <v>19096</v>
      </c>
      <c r="F8886" s="4" t="s">
        <v>19097</v>
      </c>
      <c r="G8886" s="5" t="str">
        <f>IFERROR(__xludf.DUMMYFUNCTION("GOOGLETRANSLATE(D8886,""pt"",""es"")"),"caries")</f>
        <v>caries</v>
      </c>
      <c r="H8886" s="4" t="s">
        <v>19098</v>
      </c>
      <c r="I8886" s="4" t="s">
        <v>19099</v>
      </c>
      <c r="J8886" s="4" t="s">
        <v>19100</v>
      </c>
      <c r="K8886" s="4" t="s">
        <v>19101</v>
      </c>
    </row>
    <row r="8887">
      <c r="A8887" s="4">
        <v>64.0</v>
      </c>
      <c r="B8887" s="4" t="s">
        <v>19537</v>
      </c>
      <c r="C8887" s="4"/>
      <c r="D8887" s="4" t="s">
        <v>19102</v>
      </c>
      <c r="E8887" s="4" t="s">
        <v>19103</v>
      </c>
      <c r="F8887" s="4" t="s">
        <v>14399</v>
      </c>
      <c r="G8887" s="5" t="str">
        <f>IFERROR(__xludf.DUMMYFUNCTION("GOOGLETRANSLATE(D8887,""pt"",""es"")"),"himno")</f>
        <v>himno</v>
      </c>
      <c r="H8887" s="4" t="s">
        <v>6321</v>
      </c>
      <c r="I8887" s="4" t="s">
        <v>6322</v>
      </c>
      <c r="J8887" s="4" t="s">
        <v>6322</v>
      </c>
    </row>
    <row r="8888">
      <c r="A8888" s="4">
        <v>65.0</v>
      </c>
      <c r="B8888" s="4" t="s">
        <v>19537</v>
      </c>
      <c r="C8888" s="4"/>
      <c r="D8888" s="4" t="s">
        <v>19104</v>
      </c>
      <c r="E8888" s="4" t="s">
        <v>19105</v>
      </c>
      <c r="F8888" s="4" t="s">
        <v>19106</v>
      </c>
      <c r="G8888" s="5" t="str">
        <f>IFERROR(__xludf.DUMMYFUNCTION("GOOGLETRANSLATE(D8888,""pt"",""es"")"),"humor")</f>
        <v>humor</v>
      </c>
    </row>
    <row r="8889">
      <c r="A8889" s="4">
        <v>66.0</v>
      </c>
      <c r="B8889" s="4" t="s">
        <v>19537</v>
      </c>
      <c r="C8889" s="4"/>
      <c r="D8889" s="4" t="s">
        <v>19107</v>
      </c>
      <c r="E8889" s="4" t="s">
        <v>12375</v>
      </c>
      <c r="F8889" s="4" t="s">
        <v>12376</v>
      </c>
      <c r="G8889" s="5" t="str">
        <f>IFERROR(__xludf.DUMMYFUNCTION("GOOGLETRANSLATE(D8889,""pt"",""es"")"),"humus")</f>
        <v>humus</v>
      </c>
      <c r="H8889" s="4" t="s">
        <v>9554</v>
      </c>
    </row>
    <row r="8890">
      <c r="A8890" s="4">
        <v>67.0</v>
      </c>
      <c r="B8890" s="4" t="s">
        <v>19537</v>
      </c>
      <c r="C8890" s="4"/>
      <c r="D8890" s="4" t="s">
        <v>19107</v>
      </c>
      <c r="E8890" s="4" t="s">
        <v>19108</v>
      </c>
      <c r="F8890" s="4" t="s">
        <v>19109</v>
      </c>
      <c r="G8890" s="5" t="str">
        <f>IFERROR(__xludf.DUMMYFUNCTION("GOOGLETRANSLATE(D8890,""pt"",""es"")"),"humus")</f>
        <v>humus</v>
      </c>
      <c r="H8890" s="4" t="s">
        <v>9554</v>
      </c>
    </row>
    <row r="8891">
      <c r="A8891" s="4">
        <v>68.0</v>
      </c>
      <c r="B8891" s="4" t="s">
        <v>19537</v>
      </c>
      <c r="C8891" s="4"/>
      <c r="D8891" s="4" t="s">
        <v>19110</v>
      </c>
      <c r="E8891" s="4" t="s">
        <v>1984</v>
      </c>
      <c r="F8891" s="4" t="s">
        <v>1983</v>
      </c>
      <c r="G8891" s="5" t="str">
        <f>IFERROR(__xludf.DUMMYFUNCTION("GOOGLETRANSLATE(D8891,""pt"",""es"")"),"voluntad")</f>
        <v>voluntad</v>
      </c>
    </row>
    <row r="8892">
      <c r="A8892" s="4">
        <v>69.0</v>
      </c>
      <c r="B8892" s="4" t="s">
        <v>19537</v>
      </c>
      <c r="C8892" s="4"/>
      <c r="D8892" s="4" t="s">
        <v>301</v>
      </c>
      <c r="E8892" s="4" t="s">
        <v>300</v>
      </c>
      <c r="F8892" s="4" t="s">
        <v>301</v>
      </c>
      <c r="G8892" s="5" t="str">
        <f>IFERROR(__xludf.DUMMYFUNCTION("GOOGLETRANSLATE(D8892,""pt"",""es"")"),"es")</f>
        <v>es</v>
      </c>
    </row>
    <row r="8893">
      <c r="A8893" s="4">
        <v>70.0</v>
      </c>
      <c r="B8893" s="4" t="s">
        <v>19537</v>
      </c>
      <c r="C8893" s="4"/>
      <c r="D8893" s="4" t="s">
        <v>19111</v>
      </c>
      <c r="E8893" s="4" t="s">
        <v>19112</v>
      </c>
      <c r="F8893" s="4" t="s">
        <v>14416</v>
      </c>
      <c r="G8893" s="5" t="str">
        <f>IFERROR(__xludf.DUMMYFUNCTION("GOOGLETRANSLATE(D8893,""pt"",""es"")"),"eso")</f>
        <v>eso</v>
      </c>
    </row>
    <row r="8894">
      <c r="A8894" s="4">
        <v>71.0</v>
      </c>
      <c r="B8894" s="4" t="s">
        <v>19537</v>
      </c>
      <c r="C8894" s="4"/>
      <c r="D8894" s="4" t="s">
        <v>19113</v>
      </c>
      <c r="E8894" s="4" t="s">
        <v>19112</v>
      </c>
      <c r="F8894" s="4" t="s">
        <v>14416</v>
      </c>
      <c r="G8894" s="5" t="str">
        <f>IFERROR(__xludf.DUMMYFUNCTION("GOOGLETRANSLATE(D8894,""pt"",""es"")"),"co")</f>
        <v>co</v>
      </c>
    </row>
    <row r="8895">
      <c r="A8895" s="4">
        <v>72.0</v>
      </c>
      <c r="B8895" s="4" t="s">
        <v>19537</v>
      </c>
      <c r="C8895" s="4"/>
      <c r="D8895" s="4" t="s">
        <v>2627</v>
      </c>
      <c r="E8895" s="4" t="s">
        <v>961</v>
      </c>
      <c r="F8895" s="4" t="s">
        <v>962</v>
      </c>
      <c r="G8895" s="5" t="str">
        <f>IFERROR(__xludf.DUMMYFUNCTION("GOOGLETRANSLATE(D8895,""pt"",""es"")"),"K")</f>
        <v>K</v>
      </c>
      <c r="H8895" s="4" t="s">
        <v>2629</v>
      </c>
      <c r="I8895" s="4" t="s">
        <v>2627</v>
      </c>
    </row>
    <row r="8896">
      <c r="A8896" s="4">
        <v>73.0</v>
      </c>
      <c r="B8896" s="4" t="s">
        <v>19537</v>
      </c>
      <c r="C8896" s="4"/>
      <c r="D8896" s="4" t="s">
        <v>1122</v>
      </c>
      <c r="E8896" s="4" t="s">
        <v>1121</v>
      </c>
      <c r="F8896" s="4" t="s">
        <v>1122</v>
      </c>
      <c r="G8896" s="5" t="str">
        <f>IFERROR(__xludf.DUMMYFUNCTION("GOOGLETRANSLATE(D8896,""pt"",""es"")"),"kan")</f>
        <v>kan</v>
      </c>
    </row>
    <row r="8897">
      <c r="A8897" s="4">
        <v>74.0</v>
      </c>
      <c r="B8897" s="4" t="s">
        <v>19537</v>
      </c>
      <c r="C8897" s="4"/>
      <c r="D8897" s="4" t="s">
        <v>2015</v>
      </c>
      <c r="E8897" s="4" t="s">
        <v>2016</v>
      </c>
      <c r="F8897" s="4" t="s">
        <v>2015</v>
      </c>
      <c r="G8897" s="5" t="str">
        <f>IFERROR(__xludf.DUMMYFUNCTION("GOOGLETRANSLATE(D8897,""pt"",""es"")"),"allí")</f>
        <v>allí</v>
      </c>
    </row>
    <row r="8898">
      <c r="A8898" s="4">
        <v>75.0</v>
      </c>
      <c r="B8898" s="4" t="s">
        <v>19537</v>
      </c>
      <c r="C8898" s="4"/>
      <c r="D8898" s="4" t="s">
        <v>10257</v>
      </c>
      <c r="E8898" s="4" t="s">
        <v>12506</v>
      </c>
      <c r="F8898" s="4" t="s">
        <v>10257</v>
      </c>
      <c r="G8898" s="5" t="str">
        <f>IFERROR(__xludf.DUMMYFUNCTION("GOOGLETRANSLATE(D8898,""pt"",""es"")"),"vuelta")</f>
        <v>vuelta</v>
      </c>
      <c r="H8898" s="4" t="s">
        <v>19114</v>
      </c>
    </row>
    <row r="8899">
      <c r="A8899" s="4">
        <v>76.0</v>
      </c>
      <c r="B8899" s="4" t="s">
        <v>19537</v>
      </c>
      <c r="C8899" s="4"/>
      <c r="D8899" s="4" t="s">
        <v>2146</v>
      </c>
      <c r="E8899" s="4" t="s">
        <v>17980</v>
      </c>
      <c r="F8899" s="4" t="s">
        <v>8430</v>
      </c>
      <c r="G8899" s="5" t="str">
        <f>IFERROR(__xludf.DUMMYFUNCTION("GOOGLETRANSLATE(D8899,""pt"",""es"")"),"lazo")</f>
        <v>lazo</v>
      </c>
      <c r="H8899" s="4" t="s">
        <v>19115</v>
      </c>
      <c r="I8899" s="4" t="s">
        <v>2760</v>
      </c>
      <c r="J8899" s="4" t="s">
        <v>19115</v>
      </c>
      <c r="K8899" s="4" t="s">
        <v>19115</v>
      </c>
    </row>
    <row r="8900">
      <c r="A8900" s="4">
        <v>77.0</v>
      </c>
      <c r="B8900" s="4" t="s">
        <v>19537</v>
      </c>
      <c r="C8900" s="4"/>
      <c r="D8900" s="4" t="s">
        <v>19116</v>
      </c>
      <c r="E8900" s="4" t="s">
        <v>17998</v>
      </c>
      <c r="F8900" s="4" t="s">
        <v>10277</v>
      </c>
      <c r="G8900" s="5" t="str">
        <f>IFERROR(__xludf.DUMMYFUNCTION("GOOGLETRANSLATE(D8900,""pt"",""es"")"),"listón")</f>
        <v>listón</v>
      </c>
    </row>
    <row r="8901">
      <c r="A8901" s="4">
        <v>78.0</v>
      </c>
      <c r="B8901" s="4" t="s">
        <v>19537</v>
      </c>
      <c r="C8901" s="4"/>
      <c r="D8901" s="4" t="s">
        <v>19117</v>
      </c>
      <c r="E8901" s="4" t="s">
        <v>17980</v>
      </c>
      <c r="F8901" s="4" t="s">
        <v>8430</v>
      </c>
      <c r="G8901" s="5" t="str">
        <f>IFERROR(__xludf.DUMMYFUNCTION("GOOGLETRANSLATE(D8901,""pt"",""es"")"),"Enlace")</f>
        <v>Enlace</v>
      </c>
      <c r="H8901" s="4" t="s">
        <v>19118</v>
      </c>
      <c r="I8901" s="4" t="s">
        <v>19119</v>
      </c>
      <c r="J8901" s="4" t="s">
        <v>19120</v>
      </c>
      <c r="K8901" s="4" t="s">
        <v>19121</v>
      </c>
      <c r="L8901" s="4" t="s">
        <v>2146</v>
      </c>
      <c r="M8901" s="4" t="s">
        <v>2147</v>
      </c>
      <c r="N8901" s="4" t="s">
        <v>2148</v>
      </c>
      <c r="O8901" s="4" t="s">
        <v>2149</v>
      </c>
      <c r="P8901" s="4" t="s">
        <v>19122</v>
      </c>
      <c r="Q8901" s="4" t="s">
        <v>19123</v>
      </c>
      <c r="R8901" s="4" t="s">
        <v>19124</v>
      </c>
    </row>
    <row r="8902">
      <c r="A8902" s="4">
        <v>79.0</v>
      </c>
      <c r="B8902" s="4" t="s">
        <v>19537</v>
      </c>
      <c r="C8902" s="4"/>
      <c r="D8902" s="4" t="s">
        <v>19125</v>
      </c>
      <c r="E8902" s="4" t="s">
        <v>12537</v>
      </c>
      <c r="F8902" s="4" t="s">
        <v>12538</v>
      </c>
      <c r="G8902" s="5" t="str">
        <f>IFERROR(__xludf.DUMMYFUNCTION("GOOGLETRANSLATE(D8902,""pt"",""es"")"),"a ellos")</f>
        <v>a ellos</v>
      </c>
    </row>
    <row r="8903">
      <c r="A8903" s="4">
        <v>80.0</v>
      </c>
      <c r="B8903" s="4" t="s">
        <v>19537</v>
      </c>
      <c r="C8903" s="4"/>
      <c r="D8903" s="4" t="s">
        <v>19125</v>
      </c>
      <c r="E8903" s="4" t="s">
        <v>2183</v>
      </c>
      <c r="F8903" s="4" t="s">
        <v>2182</v>
      </c>
      <c r="G8903" s="5" t="str">
        <f>IFERROR(__xludf.DUMMYFUNCTION("GOOGLETRANSLATE(D8903,""pt"",""es"")"),"a ellos")</f>
        <v>a ellos</v>
      </c>
    </row>
    <row r="8904">
      <c r="A8904" s="4">
        <v>81.0</v>
      </c>
      <c r="B8904" s="4" t="s">
        <v>19537</v>
      </c>
      <c r="C8904" s="4"/>
      <c r="D8904" s="4" t="s">
        <v>2037</v>
      </c>
      <c r="E8904" s="4" t="s">
        <v>2038</v>
      </c>
      <c r="F8904" s="4" t="s">
        <v>2037</v>
      </c>
      <c r="G8904" s="5" t="str">
        <f>IFERROR(__xludf.DUMMYFUNCTION("GOOGLETRANSLATE(D8904,""pt"",""es"")"),"Li")</f>
        <v>Li</v>
      </c>
    </row>
    <row r="8905">
      <c r="A8905" s="4">
        <v>82.0</v>
      </c>
      <c r="B8905" s="4" t="s">
        <v>19537</v>
      </c>
      <c r="C8905" s="4"/>
      <c r="D8905" s="4" t="s">
        <v>10313</v>
      </c>
      <c r="E8905" s="4" t="s">
        <v>12589</v>
      </c>
      <c r="F8905" s="4" t="s">
        <v>10313</v>
      </c>
      <c r="G8905" s="5" t="str">
        <f>IFERROR(__xludf.DUMMYFUNCTION("GOOGLETRANSLATE(D8905,""pt"",""es"")"),"Lima")</f>
        <v>Lima</v>
      </c>
      <c r="H8905" s="4" t="s">
        <v>1</v>
      </c>
      <c r="I8905" s="4" t="s">
        <v>2166</v>
      </c>
      <c r="J8905" s="4" t="s">
        <v>10319</v>
      </c>
      <c r="K8905" s="4" t="s">
        <v>10320</v>
      </c>
    </row>
    <row r="8906">
      <c r="A8906" s="4">
        <v>83.0</v>
      </c>
      <c r="B8906" s="4" t="s">
        <v>19537</v>
      </c>
      <c r="C8906" s="4"/>
      <c r="D8906" s="4" t="s">
        <v>19126</v>
      </c>
      <c r="E8906" s="4" t="s">
        <v>19127</v>
      </c>
      <c r="F8906" s="4" t="s">
        <v>19128</v>
      </c>
      <c r="G8906" s="5" t="str">
        <f>IFERROR(__xludf.DUMMYFUNCTION("GOOGLETRANSLATE(D8906,""pt"",""es"")"),"lino")</f>
        <v>lino</v>
      </c>
      <c r="H8906" s="4" t="s">
        <v>6643</v>
      </c>
      <c r="I8906" s="4" t="s">
        <v>2152</v>
      </c>
      <c r="J8906" s="4" t="s">
        <v>2152</v>
      </c>
    </row>
    <row r="8907">
      <c r="A8907" s="4">
        <v>84.0</v>
      </c>
      <c r="B8907" s="4" t="s">
        <v>19537</v>
      </c>
      <c r="C8907" s="4"/>
      <c r="D8907" s="4" t="s">
        <v>19129</v>
      </c>
      <c r="E8907" s="4" t="s">
        <v>19130</v>
      </c>
      <c r="F8907" s="4" t="s">
        <v>19131</v>
      </c>
      <c r="G8907" s="5" t="str">
        <f>IFERROR(__xludf.DUMMYFUNCTION("GOOGLETRANSLATE(D8907,""pt"",""es"")"),"basura")</f>
        <v>basura</v>
      </c>
      <c r="H8907" s="4" t="s">
        <v>19132</v>
      </c>
      <c r="I8907" s="4" t="s">
        <v>19133</v>
      </c>
      <c r="J8907" s="4" t="s">
        <v>19134</v>
      </c>
      <c r="K8907" s="4" t="s">
        <v>19135</v>
      </c>
      <c r="L8907" s="4" t="s">
        <v>3189</v>
      </c>
      <c r="M8907" s="4" t="s">
        <v>3192</v>
      </c>
      <c r="N8907" s="4" t="s">
        <v>2606</v>
      </c>
    </row>
    <row r="8908">
      <c r="A8908" s="4">
        <v>85.0</v>
      </c>
      <c r="B8908" s="4" t="s">
        <v>19537</v>
      </c>
      <c r="C8908" s="4"/>
      <c r="D8908" s="4" t="s">
        <v>2239</v>
      </c>
      <c r="E8908" s="4" t="s">
        <v>2240</v>
      </c>
      <c r="F8908" s="4" t="s">
        <v>2241</v>
      </c>
      <c r="G8908" s="5" t="str">
        <f>IFERROR(__xludf.DUMMYFUNCTION("GOOGLETRANSLATE(D8908,""pt"",""es"")"),"eso")</f>
        <v>eso</v>
      </c>
    </row>
    <row r="8909">
      <c r="A8909" s="4">
        <v>86.0</v>
      </c>
      <c r="B8909" s="4" t="s">
        <v>19537</v>
      </c>
      <c r="C8909" s="4"/>
      <c r="D8909" s="4" t="s">
        <v>19136</v>
      </c>
      <c r="E8909" s="4" t="s">
        <v>14439</v>
      </c>
      <c r="F8909" s="4" t="s">
        <v>14440</v>
      </c>
      <c r="G8909" s="5" t="str">
        <f>IFERROR(__xludf.DUMMYFUNCTION("GOOGLETRANSLATE(D8909,""pt"",""es"")"),"Loss")</f>
        <v>Loss</v>
      </c>
    </row>
    <row r="8910">
      <c r="A8910" s="4">
        <v>87.0</v>
      </c>
      <c r="B8910" s="4" t="s">
        <v>19537</v>
      </c>
      <c r="C8910" s="4"/>
      <c r="D8910" s="4" t="s">
        <v>19136</v>
      </c>
      <c r="E8910" s="4" t="s">
        <v>8496</v>
      </c>
      <c r="F8910" s="4" t="s">
        <v>8497</v>
      </c>
      <c r="G8910" s="5" t="str">
        <f>IFERROR(__xludf.DUMMYFUNCTION("GOOGLETRANSLATE(D8910,""pt"",""es"")"),"Loss")</f>
        <v>Loss</v>
      </c>
    </row>
    <row r="8911">
      <c r="A8911" s="4">
        <v>88.0</v>
      </c>
      <c r="B8911" s="4" t="s">
        <v>19537</v>
      </c>
      <c r="C8911" s="4"/>
      <c r="D8911" s="4" t="s">
        <v>18061</v>
      </c>
      <c r="E8911" s="4" t="s">
        <v>18062</v>
      </c>
      <c r="F8911" s="4" t="s">
        <v>18061</v>
      </c>
      <c r="G8911" s="5" t="str">
        <f>IFERROR(__xludf.DUMMYFUNCTION("GOOGLETRANSLATE(D8911,""pt"",""es"")"),"calamar")</f>
        <v>calamar</v>
      </c>
      <c r="H8911" s="4" t="s">
        <v>987</v>
      </c>
      <c r="I8911" s="4" t="s">
        <v>19137</v>
      </c>
      <c r="J8911" s="4" t="s">
        <v>19138</v>
      </c>
      <c r="K8911" s="4" t="s">
        <v>19139</v>
      </c>
      <c r="L8911" s="4" t="s">
        <v>19140</v>
      </c>
      <c r="M8911" s="4" t="s">
        <v>19141</v>
      </c>
    </row>
    <row r="8912">
      <c r="A8912" s="4">
        <v>89.0</v>
      </c>
      <c r="B8912" s="4" t="s">
        <v>19537</v>
      </c>
      <c r="C8912" s="4"/>
      <c r="D8912" s="4" t="s">
        <v>19142</v>
      </c>
      <c r="E8912" s="4" t="s">
        <v>18093</v>
      </c>
      <c r="F8912" s="4" t="s">
        <v>18092</v>
      </c>
      <c r="G8912" s="5" t="str">
        <f>IFERROR(__xludf.DUMMYFUNCTION("GOOGLETRANSLATE(D8912,""pt"",""es"")"),"luto")</f>
        <v>luto</v>
      </c>
      <c r="H8912" s="4" t="s">
        <v>19143</v>
      </c>
      <c r="I8912" s="4" t="s">
        <v>19144</v>
      </c>
      <c r="J8912" s="4" t="s">
        <v>19145</v>
      </c>
    </row>
    <row r="8913">
      <c r="A8913" s="4">
        <v>90.0</v>
      </c>
      <c r="B8913" s="4" t="s">
        <v>19537</v>
      </c>
      <c r="C8913" s="4"/>
      <c r="D8913" s="4" t="s">
        <v>19146</v>
      </c>
      <c r="E8913" s="4" t="s">
        <v>19147</v>
      </c>
      <c r="F8913" s="4" t="s">
        <v>19148</v>
      </c>
      <c r="G8913" s="5" t="str">
        <f>IFERROR(__xludf.DUMMYFUNCTION("GOOGLETRANSLATE(D8913,""pt"",""es"")"),"Lux")</f>
        <v>Lux</v>
      </c>
      <c r="H8913" s="4" t="s">
        <v>19149</v>
      </c>
      <c r="I8913" s="4" t="s">
        <v>19150</v>
      </c>
      <c r="J8913" s="4" t="s">
        <v>19149</v>
      </c>
      <c r="K8913" s="4" t="s">
        <v>19151</v>
      </c>
      <c r="L8913" s="4" t="s">
        <v>19152</v>
      </c>
      <c r="M8913" s="4" t="s">
        <v>19149</v>
      </c>
      <c r="N8913" s="4" t="s">
        <v>19153</v>
      </c>
      <c r="O8913" s="4" t="s">
        <v>19154</v>
      </c>
      <c r="P8913" s="4" t="s">
        <v>19152</v>
      </c>
    </row>
    <row r="8914">
      <c r="A8914" s="4">
        <v>91.0</v>
      </c>
      <c r="B8914" s="4" t="s">
        <v>19537</v>
      </c>
      <c r="C8914" s="4"/>
      <c r="D8914" s="4" t="s">
        <v>19155</v>
      </c>
      <c r="E8914" s="4" t="s">
        <v>2016</v>
      </c>
      <c r="F8914" s="4" t="s">
        <v>2015</v>
      </c>
      <c r="G8914" s="5" t="str">
        <f>IFERROR(__xludf.DUMMYFUNCTION("GOOGLETRANSLATE(D8914,""pt"",""es"")"),"allí")</f>
        <v>allí</v>
      </c>
      <c r="H8914" s="4" t="s">
        <v>8911</v>
      </c>
      <c r="I8914" s="4" t="s">
        <v>8910</v>
      </c>
      <c r="J8914" s="4" t="s">
        <v>2015</v>
      </c>
      <c r="K8914" s="4" t="s">
        <v>2017</v>
      </c>
    </row>
    <row r="8915">
      <c r="A8915" s="4">
        <v>92.0</v>
      </c>
      <c r="B8915" s="4" t="s">
        <v>19537</v>
      </c>
      <c r="C8915" s="4"/>
      <c r="D8915" s="4" t="s">
        <v>19156</v>
      </c>
      <c r="E8915" s="4" t="s">
        <v>14176</v>
      </c>
      <c r="F8915" s="4" t="s">
        <v>6569</v>
      </c>
      <c r="G8915" s="5" t="str">
        <f>IFERROR(__xludf.DUMMYFUNCTION("GOOGLETRANSLATE(D8915,""pt"",""es"")"),"lápiz")</f>
        <v>lápiz</v>
      </c>
      <c r="H8915" s="4" t="s">
        <v>19157</v>
      </c>
      <c r="I8915" s="4" t="s">
        <v>2118</v>
      </c>
      <c r="J8915" s="4" t="s">
        <v>2118</v>
      </c>
      <c r="K8915" s="4" t="s">
        <v>2118</v>
      </c>
    </row>
    <row r="8916">
      <c r="A8916" s="4">
        <v>93.0</v>
      </c>
      <c r="B8916" s="4" t="s">
        <v>19537</v>
      </c>
      <c r="C8916" s="4"/>
      <c r="D8916" s="4" t="s">
        <v>19158</v>
      </c>
      <c r="E8916" s="4" t="s">
        <v>19159</v>
      </c>
      <c r="F8916" s="4" t="s">
        <v>19160</v>
      </c>
      <c r="G8916" s="5" t="str">
        <f>IFERROR(__xludf.DUMMYFUNCTION("GOOGLETRANSLATE(D8916,""pt"",""es"")"),"lírico")</f>
        <v>lírico</v>
      </c>
      <c r="H8916" s="4" t="s">
        <v>19161</v>
      </c>
      <c r="I8916" s="4" t="s">
        <v>19162</v>
      </c>
      <c r="J8916" s="4" t="s">
        <v>19161</v>
      </c>
      <c r="K8916" s="4" t="s">
        <v>19162</v>
      </c>
      <c r="L8916" s="4" t="s">
        <v>19161</v>
      </c>
      <c r="M8916" s="4" t="s">
        <v>19161</v>
      </c>
    </row>
    <row r="8917">
      <c r="A8917" s="4">
        <v>94.0</v>
      </c>
      <c r="B8917" s="4" t="s">
        <v>19537</v>
      </c>
      <c r="C8917" s="4"/>
      <c r="D8917" s="4" t="s">
        <v>19163</v>
      </c>
      <c r="E8917" s="4" t="s">
        <v>19164</v>
      </c>
      <c r="F8917" s="4" t="s">
        <v>19165</v>
      </c>
      <c r="G8917" s="5" t="str">
        <f>IFERROR(__xludf.DUMMYFUNCTION("GOOGLETRANSLATE(D8917,""pt"",""es"")"),"saltar")</f>
        <v>saltar</v>
      </c>
      <c r="H8917" s="4" t="s">
        <v>3924</v>
      </c>
      <c r="I8917" s="4" t="s">
        <v>3924</v>
      </c>
      <c r="J8917" s="4" t="s">
        <v>8344</v>
      </c>
      <c r="K8917" s="4" t="s">
        <v>9539</v>
      </c>
      <c r="L8917" s="4" t="s">
        <v>9540</v>
      </c>
      <c r="M8917" s="4" t="s">
        <v>9541</v>
      </c>
      <c r="N8917" s="4" t="s">
        <v>9542</v>
      </c>
      <c r="O8917" s="4" t="s">
        <v>9543</v>
      </c>
    </row>
    <row r="8918">
      <c r="A8918" s="4">
        <v>95.0</v>
      </c>
      <c r="B8918" s="4" t="s">
        <v>19537</v>
      </c>
      <c r="C8918" s="4"/>
      <c r="D8918" s="4" t="s">
        <v>19166</v>
      </c>
      <c r="E8918" s="4" t="s">
        <v>14745</v>
      </c>
      <c r="F8918" s="4" t="s">
        <v>14746</v>
      </c>
      <c r="G8918" s="5" t="str">
        <f>IFERROR(__xludf.DUMMYFUNCTION("GOOGLETRANSLATE(D8918,""pt"",""es"")"),"masculino")</f>
        <v>masculino</v>
      </c>
      <c r="H8918" s="4" t="s">
        <v>13033</v>
      </c>
      <c r="I8918" s="4" t="s">
        <v>13036</v>
      </c>
      <c r="J8918" s="4" t="s">
        <v>13034</v>
      </c>
      <c r="K8918" s="4" t="s">
        <v>13035</v>
      </c>
      <c r="L8918" s="4" t="s">
        <v>13033</v>
      </c>
      <c r="M8918" s="4" t="s">
        <v>13038</v>
      </c>
      <c r="N8918" s="4" t="s">
        <v>13033</v>
      </c>
      <c r="O8918" s="4" t="s">
        <v>13034</v>
      </c>
      <c r="P8918" s="4" t="s">
        <v>13035</v>
      </c>
      <c r="Q8918" s="4" t="s">
        <v>13036</v>
      </c>
      <c r="R8918" s="4" t="s">
        <v>13037</v>
      </c>
      <c r="S8918" s="4" t="s">
        <v>8234</v>
      </c>
      <c r="T8918" s="4" t="s">
        <v>13033</v>
      </c>
      <c r="U8918" s="4" t="s">
        <v>13040</v>
      </c>
      <c r="V8918" s="4" t="s">
        <v>4282</v>
      </c>
      <c r="W8918" s="4" t="s">
        <v>9152</v>
      </c>
      <c r="X8918" s="4" t="s">
        <v>19167</v>
      </c>
      <c r="Y8918" s="4" t="s">
        <v>19168</v>
      </c>
      <c r="Z8918" s="4" t="s">
        <v>19169</v>
      </c>
      <c r="AA8918" s="4" t="s">
        <v>19170</v>
      </c>
      <c r="AB8918" s="4" t="s">
        <v>19171</v>
      </c>
      <c r="AC8918" s="4" t="s">
        <v>19172</v>
      </c>
      <c r="AD8918" s="4" t="s">
        <v>19173</v>
      </c>
      <c r="AE8918" s="4" t="s">
        <v>1856</v>
      </c>
      <c r="AF8918" s="4" t="s">
        <v>6742</v>
      </c>
      <c r="AG8918" s="4" t="s">
        <v>1856</v>
      </c>
      <c r="AH8918" s="4" t="s">
        <v>19174</v>
      </c>
      <c r="AI8918" s="4" t="s">
        <v>19175</v>
      </c>
      <c r="AJ8918" s="4" t="s">
        <v>19176</v>
      </c>
    </row>
    <row r="8919">
      <c r="A8919" s="4">
        <v>96.0</v>
      </c>
      <c r="B8919" s="4" t="s">
        <v>19537</v>
      </c>
      <c r="C8919" s="4"/>
      <c r="D8919" s="4" t="s">
        <v>19177</v>
      </c>
      <c r="E8919" s="4" t="s">
        <v>18136</v>
      </c>
      <c r="F8919" s="4" t="s">
        <v>18137</v>
      </c>
      <c r="G8919" s="5" t="str">
        <f>IFERROR(__xludf.DUMMYFUNCTION("GOOGLETRANSLATE(D8919,""pt"",""es"")"),"Mayo")</f>
        <v>Mayo</v>
      </c>
      <c r="H8919" s="4" t="s">
        <v>18128</v>
      </c>
      <c r="I8919" s="4" t="s">
        <v>18128</v>
      </c>
    </row>
    <row r="8920">
      <c r="A8920" s="4">
        <v>97.0</v>
      </c>
      <c r="B8920" s="4" t="s">
        <v>19537</v>
      </c>
      <c r="C8920" s="4"/>
      <c r="D8920" s="4" t="s">
        <v>19178</v>
      </c>
      <c r="E8920" s="4" t="s">
        <v>19179</v>
      </c>
      <c r="F8920" s="4" t="s">
        <v>19180</v>
      </c>
      <c r="G8920" s="5" t="str">
        <f>IFERROR(__xludf.DUMMYFUNCTION("GOOGLETRANSLATE(D8920,""pt"",""es"")"),"mazo")</f>
        <v>mazo</v>
      </c>
      <c r="H8920" s="4" t="s">
        <v>9997</v>
      </c>
      <c r="I8920" s="4" t="s">
        <v>19181</v>
      </c>
      <c r="J8920" s="4" t="s">
        <v>2367</v>
      </c>
      <c r="K8920" s="4" t="s">
        <v>2368</v>
      </c>
      <c r="L8920" s="4" t="s">
        <v>2369</v>
      </c>
    </row>
    <row r="8921">
      <c r="A8921" s="4">
        <v>98.0</v>
      </c>
      <c r="B8921" s="4" t="s">
        <v>19537</v>
      </c>
      <c r="C8921" s="4"/>
      <c r="D8921" s="4" t="s">
        <v>5314</v>
      </c>
      <c r="E8921" s="4" t="s">
        <v>5313</v>
      </c>
      <c r="F8921" s="4" t="s">
        <v>5314</v>
      </c>
      <c r="G8921" s="5" t="str">
        <f>IFERROR(__xludf.DUMMYFUNCTION("GOOGLETRANSLATE(D8921,""pt"",""es"")"),"Malí")</f>
        <v>Malí</v>
      </c>
      <c r="H8921" s="4" t="s">
        <v>5347</v>
      </c>
      <c r="I8921" s="4" t="s">
        <v>5348</v>
      </c>
      <c r="J8921" s="4" t="s">
        <v>5349</v>
      </c>
    </row>
    <row r="8922">
      <c r="A8922" s="4">
        <v>99.0</v>
      </c>
      <c r="B8922" s="4" t="s">
        <v>19537</v>
      </c>
      <c r="C8922" s="4"/>
      <c r="D8922" s="4" t="s">
        <v>19182</v>
      </c>
      <c r="E8922" s="4" t="s">
        <v>19183</v>
      </c>
      <c r="F8922" s="4" t="s">
        <v>14198</v>
      </c>
      <c r="G8922" s="5" t="str">
        <f>IFERROR(__xludf.DUMMYFUNCTION("GOOGLETRANSLATE(D8922,""pt"",""es"")"),"marina")</f>
        <v>marina</v>
      </c>
      <c r="H8922" s="4" t="s">
        <v>2500</v>
      </c>
      <c r="I8922" s="4" t="s">
        <v>2500</v>
      </c>
      <c r="J8922" s="4" t="s">
        <v>2501</v>
      </c>
      <c r="K8922" s="4" t="s">
        <v>2502</v>
      </c>
      <c r="L8922" s="4" t="s">
        <v>2500</v>
      </c>
    </row>
    <row r="8923">
      <c r="A8923" s="4">
        <v>100.0</v>
      </c>
      <c r="B8923" s="4" t="s">
        <v>19537</v>
      </c>
      <c r="C8923" s="4"/>
      <c r="D8923" s="4" t="s">
        <v>19184</v>
      </c>
      <c r="E8923" s="4" t="s">
        <v>19185</v>
      </c>
      <c r="F8923" s="4" t="s">
        <v>19186</v>
      </c>
      <c r="G8923" s="5" t="str">
        <f>IFERROR(__xludf.DUMMYFUNCTION("GOOGLETRANSLATE(D8923,""pt"",""es"")"),"mata Mata")</f>
        <v>mata Mata</v>
      </c>
    </row>
    <row r="8924">
      <c r="A8924" s="4">
        <v>101.0</v>
      </c>
      <c r="B8924" s="4" t="s">
        <v>19537</v>
      </c>
      <c r="C8924" s="4"/>
      <c r="D8924" s="4" t="s">
        <v>19187</v>
      </c>
      <c r="E8924" s="4" t="s">
        <v>12866</v>
      </c>
      <c r="F8924" s="4" t="s">
        <v>12867</v>
      </c>
      <c r="G8924" s="5" t="str">
        <f>IFERROR(__xludf.DUMMYFUNCTION("GOOGLETRANSLATE(D8924,""pt"",""es"")"),"Arbusto")</f>
        <v>Arbusto</v>
      </c>
      <c r="H8924" s="4" t="s">
        <v>14974</v>
      </c>
      <c r="I8924" s="4" t="s">
        <v>2956</v>
      </c>
      <c r="J8924" s="4" t="s">
        <v>2555</v>
      </c>
      <c r="K8924" s="4" t="s">
        <v>2556</v>
      </c>
    </row>
    <row r="8925">
      <c r="A8925" s="4">
        <v>102.0</v>
      </c>
      <c r="B8925" s="4" t="s">
        <v>19537</v>
      </c>
      <c r="C8925" s="4"/>
      <c r="D8925" s="4" t="s">
        <v>19188</v>
      </c>
      <c r="E8925" s="4" t="s">
        <v>19189</v>
      </c>
      <c r="F8925" s="4" t="s">
        <v>10530</v>
      </c>
      <c r="G8925" s="5" t="str">
        <f>IFERROR(__xludf.DUMMYFUNCTION("GOOGLETRANSLATE(D8925,""pt"",""es"")"),"paquete")</f>
        <v>paquete</v>
      </c>
      <c r="H8925" s="4" t="s">
        <v>1736</v>
      </c>
    </row>
    <row r="8926">
      <c r="A8926" s="4">
        <v>103.0</v>
      </c>
      <c r="B8926" s="4" t="s">
        <v>19537</v>
      </c>
      <c r="C8926" s="4"/>
      <c r="D8926" s="4" t="s">
        <v>19190</v>
      </c>
      <c r="E8926" s="4" t="s">
        <v>19191</v>
      </c>
      <c r="F8926" s="4" t="s">
        <v>19192</v>
      </c>
      <c r="G8926" s="5" t="str">
        <f>IFERROR(__xludf.DUMMYFUNCTION("GOOGLETRANSLATE(D8926,""pt"",""es"")"),"chico")</f>
        <v>chico</v>
      </c>
      <c r="H8926" s="4" t="s">
        <v>2283</v>
      </c>
      <c r="I8926" s="4" t="s">
        <v>2284</v>
      </c>
      <c r="J8926" s="4" t="s">
        <v>19193</v>
      </c>
      <c r="K8926" s="4" t="s">
        <v>1583</v>
      </c>
      <c r="L8926" s="4" t="s">
        <v>19169</v>
      </c>
      <c r="M8926" s="4" t="s">
        <v>19194</v>
      </c>
      <c r="N8926" s="4" t="s">
        <v>19195</v>
      </c>
      <c r="O8926" s="4" t="s">
        <v>19196</v>
      </c>
      <c r="P8926" s="4" t="s">
        <v>4282</v>
      </c>
      <c r="Q8926" s="4" t="s">
        <v>9152</v>
      </c>
      <c r="R8926" s="4" t="s">
        <v>19167</v>
      </c>
      <c r="S8926" s="4" t="s">
        <v>19168</v>
      </c>
      <c r="T8926" s="4" t="s">
        <v>19169</v>
      </c>
      <c r="U8926" s="4" t="s">
        <v>19170</v>
      </c>
      <c r="V8926" s="4" t="s">
        <v>19171</v>
      </c>
      <c r="W8926" s="4" t="s">
        <v>19172</v>
      </c>
      <c r="X8926" s="4" t="s">
        <v>19173</v>
      </c>
      <c r="Y8926" s="4" t="s">
        <v>4701</v>
      </c>
      <c r="Z8926" s="4" t="s">
        <v>4702</v>
      </c>
      <c r="AA8926" s="4" t="s">
        <v>4703</v>
      </c>
      <c r="AB8926" s="4" t="s">
        <v>4704</v>
      </c>
      <c r="AC8926" s="4" t="s">
        <v>4705</v>
      </c>
      <c r="AD8926" s="4" t="s">
        <v>4706</v>
      </c>
      <c r="AE8926" s="4" t="s">
        <v>4707</v>
      </c>
      <c r="AF8926" s="4" t="s">
        <v>4708</v>
      </c>
      <c r="AG8926" s="4" t="s">
        <v>3256</v>
      </c>
      <c r="AH8926" s="4" t="s">
        <v>3255</v>
      </c>
      <c r="AI8926" s="4" t="s">
        <v>4709</v>
      </c>
      <c r="AJ8926" s="4" t="s">
        <v>4710</v>
      </c>
      <c r="AK8926" s="4" t="s">
        <v>4701</v>
      </c>
      <c r="AL8926" s="4" t="s">
        <v>4702</v>
      </c>
      <c r="AM8926" s="4" t="s">
        <v>4701</v>
      </c>
      <c r="AN8926" s="4" t="s">
        <v>2283</v>
      </c>
      <c r="AO8926" s="4" t="s">
        <v>14809</v>
      </c>
      <c r="AP8926" s="4" t="s">
        <v>6861</v>
      </c>
      <c r="AQ8926" s="4" t="s">
        <v>4711</v>
      </c>
      <c r="AR8926" s="4" t="s">
        <v>4712</v>
      </c>
      <c r="AS8926" s="4" t="s">
        <v>19197</v>
      </c>
      <c r="AT8926" s="4" t="s">
        <v>19198</v>
      </c>
      <c r="AU8926" s="4" t="s">
        <v>19199</v>
      </c>
      <c r="AV8926" s="4" t="s">
        <v>4712</v>
      </c>
    </row>
    <row r="8927">
      <c r="A8927" s="4">
        <v>104.0</v>
      </c>
      <c r="B8927" s="4" t="s">
        <v>19537</v>
      </c>
      <c r="C8927" s="4"/>
      <c r="D8927" s="4" t="s">
        <v>342</v>
      </c>
      <c r="E8927" s="4" t="s">
        <v>341</v>
      </c>
      <c r="F8927" s="4" t="s">
        <v>342</v>
      </c>
      <c r="G8927" s="5" t="str">
        <f>IFERROR(__xludf.DUMMYFUNCTION("GOOGLETRANSLATE(D8927,""pt"",""es"")"),"mi")</f>
        <v>mi</v>
      </c>
      <c r="H8927" s="4" t="s">
        <v>367</v>
      </c>
    </row>
    <row r="8928">
      <c r="A8928" s="4">
        <v>105.0</v>
      </c>
      <c r="B8928" s="4" t="s">
        <v>19537</v>
      </c>
      <c r="C8928" s="4"/>
      <c r="D8928" s="4" t="s">
        <v>19200</v>
      </c>
      <c r="E8928" s="4" t="s">
        <v>14647</v>
      </c>
      <c r="F8928" s="4" t="s">
        <v>14648</v>
      </c>
      <c r="G8928" s="5" t="str">
        <f>IFERROR(__xludf.DUMMYFUNCTION("GOOGLETRANSLATE(D8928,""pt"",""es"")"),"Micé")</f>
        <v>Micé</v>
      </c>
    </row>
    <row r="8929">
      <c r="A8929" s="4">
        <v>106.0</v>
      </c>
      <c r="B8929" s="4" t="s">
        <v>19537</v>
      </c>
      <c r="C8929" s="4"/>
      <c r="D8929" s="4" t="s">
        <v>2614</v>
      </c>
      <c r="E8929" s="4" t="s">
        <v>2615</v>
      </c>
      <c r="F8929" s="4" t="s">
        <v>2616</v>
      </c>
      <c r="G8929" s="5" t="str">
        <f>IFERROR(__xludf.DUMMYFUNCTION("GOOGLETRANSLATE(D8929,""pt"",""es"")"),"masculino")</f>
        <v>masculino</v>
      </c>
    </row>
    <row r="8930">
      <c r="A8930" s="4">
        <v>107.0</v>
      </c>
      <c r="B8930" s="4" t="s">
        <v>19537</v>
      </c>
      <c r="C8930" s="4"/>
      <c r="D8930" s="4" t="s">
        <v>6811</v>
      </c>
      <c r="E8930" s="4" t="s">
        <v>10550</v>
      </c>
      <c r="F8930" s="4" t="s">
        <v>6811</v>
      </c>
      <c r="G8930" s="5" t="str">
        <f>IFERROR(__xludf.DUMMYFUNCTION("GOOGLETRANSLATE(D8930,""pt"",""es"")"),"Miki")</f>
        <v>Miki</v>
      </c>
    </row>
    <row r="8931">
      <c r="A8931" s="4">
        <v>108.0</v>
      </c>
      <c r="B8931" s="4" t="s">
        <v>19537</v>
      </c>
      <c r="C8931" s="4"/>
      <c r="D8931" s="4" t="s">
        <v>19201</v>
      </c>
      <c r="E8931" s="4" t="s">
        <v>19202</v>
      </c>
      <c r="F8931" s="4" t="s">
        <v>19203</v>
      </c>
      <c r="G8931" s="5" t="str">
        <f>IFERROR(__xludf.DUMMYFUNCTION("GOOGLETRANSLATE(D8931,""pt"",""es"")"),"Mikiko")</f>
        <v>Mikiko</v>
      </c>
    </row>
    <row r="8932">
      <c r="A8932" s="4">
        <v>109.0</v>
      </c>
      <c r="B8932" s="4" t="s">
        <v>19537</v>
      </c>
      <c r="C8932" s="4"/>
      <c r="D8932" s="4" t="s">
        <v>19204</v>
      </c>
      <c r="E8932" s="4" t="s">
        <v>19205</v>
      </c>
      <c r="F8932" s="4" t="s">
        <v>19206</v>
      </c>
      <c r="G8932" s="5" t="str">
        <f>IFERROR(__xludf.DUMMYFUNCTION("GOOGLETRANSLATE(D8932,""pt"",""es"")"),"miles")</f>
        <v>miles</v>
      </c>
    </row>
    <row r="8933">
      <c r="A8933" s="4">
        <v>110.0</v>
      </c>
      <c r="B8933" s="4" t="s">
        <v>19537</v>
      </c>
      <c r="C8933" s="4"/>
      <c r="D8933" s="4" t="s">
        <v>19207</v>
      </c>
      <c r="E8933" s="4" t="s">
        <v>19208</v>
      </c>
      <c r="F8933" s="4" t="s">
        <v>14476</v>
      </c>
      <c r="G8933" s="5" t="str">
        <f>IFERROR(__xludf.DUMMYFUNCTION("GOOGLETRANSLATE(D8933,""pt"",""es"")"),"maíz")</f>
        <v>maíz</v>
      </c>
      <c r="H8933" s="4" t="s">
        <v>3288</v>
      </c>
      <c r="I8933" s="4" t="s">
        <v>19209</v>
      </c>
      <c r="J8933" s="4" t="s">
        <v>3286</v>
      </c>
      <c r="K8933" s="4" t="s">
        <v>3287</v>
      </c>
      <c r="L8933" s="4" t="s">
        <v>2650</v>
      </c>
      <c r="M8933" s="4" t="s">
        <v>3288</v>
      </c>
      <c r="N8933" s="4" t="s">
        <v>3289</v>
      </c>
      <c r="O8933" s="4" t="s">
        <v>3290</v>
      </c>
      <c r="P8933" s="4" t="s">
        <v>3291</v>
      </c>
      <c r="Q8933" s="4" t="s">
        <v>3288</v>
      </c>
      <c r="R8933" s="4" t="s">
        <v>3289</v>
      </c>
      <c r="S8933" s="4" t="s">
        <v>3290</v>
      </c>
      <c r="T8933" s="4" t="s">
        <v>3291</v>
      </c>
      <c r="U8933" s="4" t="s">
        <v>3288</v>
      </c>
      <c r="V8933" s="4" t="s">
        <v>3288</v>
      </c>
    </row>
    <row r="8934">
      <c r="A8934" s="4">
        <v>111.0</v>
      </c>
      <c r="B8934" s="4" t="s">
        <v>19537</v>
      </c>
      <c r="C8934" s="4"/>
      <c r="D8934" s="4" t="s">
        <v>19210</v>
      </c>
      <c r="E8934" s="4" t="s">
        <v>19211</v>
      </c>
      <c r="F8934" s="4" t="s">
        <v>19210</v>
      </c>
      <c r="G8934" s="5" t="str">
        <f>IFERROR(__xludf.DUMMYFUNCTION("GOOGLETRANSLATE(D8934,""pt"",""es"")"),"mimimi")</f>
        <v>mimimi</v>
      </c>
    </row>
    <row r="8935">
      <c r="A8935" s="4">
        <v>112.0</v>
      </c>
      <c r="B8935" s="4" t="s">
        <v>19537</v>
      </c>
      <c r="C8935" s="4"/>
      <c r="D8935" s="4" t="s">
        <v>19212</v>
      </c>
      <c r="E8935" s="4" t="s">
        <v>19213</v>
      </c>
      <c r="F8935" s="4" t="s">
        <v>19214</v>
      </c>
      <c r="G8935" s="5" t="str">
        <f>IFERROR(__xludf.DUMMYFUNCTION("GOOGLETRANSLATE(D8935,""pt"",""es"")"),"mimar")</f>
        <v>mimar</v>
      </c>
    </row>
    <row r="8936">
      <c r="A8936" s="4">
        <v>113.0</v>
      </c>
      <c r="B8936" s="4" t="s">
        <v>19537</v>
      </c>
      <c r="C8936" s="4"/>
      <c r="D8936" s="4" t="s">
        <v>19215</v>
      </c>
      <c r="E8936" s="4" t="s">
        <v>19216</v>
      </c>
      <c r="F8936" s="4" t="s">
        <v>19217</v>
      </c>
      <c r="G8936" s="5" t="str">
        <f>IFERROR(__xludf.DUMMYFUNCTION("GOOGLETRANSLATE(D8936,""pt"",""es"")"),"minuko")</f>
        <v>minuko</v>
      </c>
    </row>
    <row r="8937">
      <c r="A8937" s="4">
        <v>114.0</v>
      </c>
      <c r="B8937" s="4" t="s">
        <v>19537</v>
      </c>
      <c r="C8937" s="4"/>
      <c r="D8937" s="4" t="s">
        <v>19218</v>
      </c>
      <c r="E8937" s="4" t="s">
        <v>19219</v>
      </c>
      <c r="F8937" s="4" t="s">
        <v>19220</v>
      </c>
      <c r="G8937" s="5" t="str">
        <f>IFERROR(__xludf.DUMMYFUNCTION("GOOGLETRANSLATE(D8937,""pt"",""es"")"),"minuto")</f>
        <v>minuto</v>
      </c>
      <c r="H8937" s="4" t="s">
        <v>15991</v>
      </c>
      <c r="I8937" s="4" t="s">
        <v>6843</v>
      </c>
      <c r="J8937" s="4" t="s">
        <v>6843</v>
      </c>
      <c r="K8937" s="4" t="s">
        <v>18286</v>
      </c>
      <c r="L8937" s="4" t="s">
        <v>18287</v>
      </c>
      <c r="M8937" s="4" t="s">
        <v>6843</v>
      </c>
      <c r="N8937" s="4" t="s">
        <v>6841</v>
      </c>
      <c r="O8937" s="4" t="s">
        <v>15994</v>
      </c>
      <c r="P8937" s="4" t="s">
        <v>15995</v>
      </c>
      <c r="Q8937" s="4" t="s">
        <v>6843</v>
      </c>
      <c r="R8937" s="4" t="s">
        <v>15996</v>
      </c>
      <c r="S8937" s="4" t="s">
        <v>2602</v>
      </c>
    </row>
    <row r="8938">
      <c r="A8938" s="4">
        <v>115.0</v>
      </c>
      <c r="B8938" s="4" t="s">
        <v>19537</v>
      </c>
      <c r="C8938" s="4"/>
      <c r="D8938" s="4" t="s">
        <v>19221</v>
      </c>
      <c r="E8938" s="4" t="s">
        <v>19222</v>
      </c>
      <c r="F8938" s="4" t="s">
        <v>19223</v>
      </c>
      <c r="G8938" s="5" t="str">
        <f>IFERROR(__xludf.DUMMYFUNCTION("GOOGLETRANSLATE(D8938,""pt"",""es"")"),"rodar")</f>
        <v>rodar</v>
      </c>
    </row>
    <row r="8939">
      <c r="A8939" s="4">
        <v>116.0</v>
      </c>
      <c r="B8939" s="4" t="s">
        <v>19537</v>
      </c>
      <c r="C8939" s="4"/>
      <c r="D8939" s="4" t="s">
        <v>8517</v>
      </c>
      <c r="E8939" s="4" t="s">
        <v>2717</v>
      </c>
      <c r="F8939" s="4" t="s">
        <v>2718</v>
      </c>
      <c r="G8939" s="5" t="str">
        <f>IFERROR(__xludf.DUMMYFUNCTION("GOOGLETRANSLATE(D8939,""pt"",""es"")"),"Misisipí")</f>
        <v>Misisipí</v>
      </c>
      <c r="H8939" s="4" t="s">
        <v>8519</v>
      </c>
      <c r="I8939" s="4" t="s">
        <v>8521</v>
      </c>
      <c r="J8939" s="4" t="s">
        <v>8522</v>
      </c>
      <c r="K8939" s="4" t="s">
        <v>8519</v>
      </c>
      <c r="L8939" s="4" t="s">
        <v>8520</v>
      </c>
    </row>
    <row r="8940">
      <c r="A8940" s="4">
        <v>117.0</v>
      </c>
      <c r="B8940" s="4" t="s">
        <v>19537</v>
      </c>
      <c r="C8940" s="4"/>
      <c r="D8940" s="4" t="s">
        <v>19224</v>
      </c>
      <c r="E8940" s="4" t="s">
        <v>18301</v>
      </c>
      <c r="F8940" s="4" t="s">
        <v>18300</v>
      </c>
      <c r="G8940" s="5" t="str">
        <f>IFERROR(__xludf.DUMMYFUNCTION("GOOGLETRANSLATE(D8940,""pt"",""es"")"),"mito")</f>
        <v>mito</v>
      </c>
      <c r="H8940" s="4" t="s">
        <v>6917</v>
      </c>
    </row>
    <row r="8941">
      <c r="A8941" s="4">
        <v>118.0</v>
      </c>
      <c r="B8941" s="4" t="s">
        <v>19537</v>
      </c>
      <c r="C8941" s="4"/>
      <c r="D8941" s="4" t="s">
        <v>19225</v>
      </c>
      <c r="E8941" s="4" t="s">
        <v>19226</v>
      </c>
      <c r="F8941" s="4" t="s">
        <v>19227</v>
      </c>
      <c r="G8941" s="5" t="str">
        <f>IFERROR(__xludf.DUMMYFUNCTION("GOOGLETRANSLATE(D8941,""pt"",""es"")"),"mixuruca")</f>
        <v>mixuruca</v>
      </c>
    </row>
    <row r="8942">
      <c r="A8942" s="4">
        <v>119.0</v>
      </c>
      <c r="B8942" s="4" t="s">
        <v>19537</v>
      </c>
      <c r="C8942" s="4"/>
      <c r="D8942" s="4" t="s">
        <v>12940</v>
      </c>
      <c r="E8942" s="4" t="s">
        <v>12941</v>
      </c>
      <c r="F8942" s="4" t="s">
        <v>12940</v>
      </c>
      <c r="G8942" s="5" t="str">
        <f>IFERROR(__xludf.DUMMYFUNCTION("GOOGLETRANSLATE(D8942,""pt"",""es"")"),"miyuki")</f>
        <v>miyuki</v>
      </c>
    </row>
    <row r="8943">
      <c r="A8943" s="4">
        <v>120.0</v>
      </c>
      <c r="B8943" s="4" t="s">
        <v>19537</v>
      </c>
      <c r="C8943" s="4"/>
      <c r="D8943" s="4" t="s">
        <v>15995</v>
      </c>
      <c r="E8943" s="4" t="s">
        <v>366</v>
      </c>
      <c r="F8943" s="4" t="s">
        <v>367</v>
      </c>
      <c r="G8943" s="5" t="str">
        <f>IFERROR(__xludf.DUMMYFUNCTION("GOOGLETRANSLATE(D8943,""pt"",""es"")"),"mes")</f>
        <v>mes</v>
      </c>
    </row>
    <row r="8944">
      <c r="A8944" s="4">
        <v>121.0</v>
      </c>
      <c r="B8944" s="4" t="s">
        <v>19537</v>
      </c>
      <c r="C8944" s="4"/>
      <c r="D8944" s="4" t="s">
        <v>19228</v>
      </c>
      <c r="E8944" s="4" t="s">
        <v>12970</v>
      </c>
      <c r="F8944" s="4" t="s">
        <v>12971</v>
      </c>
      <c r="G8944" s="5" t="str">
        <f>IFERROR(__xludf.DUMMYFUNCTION("GOOGLETRANSLATE(D8944,""pt"",""es"")"),"Mui")</f>
        <v>Mui</v>
      </c>
      <c r="H8944" s="4" t="s">
        <v>19229</v>
      </c>
      <c r="I8944" s="4" t="s">
        <v>1762</v>
      </c>
      <c r="J8944" s="4" t="s">
        <v>19230</v>
      </c>
      <c r="K8944" s="4" t="s">
        <v>19231</v>
      </c>
      <c r="L8944" s="4" t="s">
        <v>18305</v>
      </c>
      <c r="M8944" s="4" t="s">
        <v>19232</v>
      </c>
    </row>
    <row r="8945">
      <c r="A8945" s="4">
        <v>122.0</v>
      </c>
      <c r="B8945" s="4" t="s">
        <v>19537</v>
      </c>
      <c r="C8945" s="4"/>
      <c r="D8945" s="4" t="s">
        <v>2786</v>
      </c>
      <c r="E8945" s="4" t="s">
        <v>2787</v>
      </c>
      <c r="F8945" s="4" t="s">
        <v>2786</v>
      </c>
      <c r="G8945" s="5" t="str">
        <f>IFERROR(__xludf.DUMMYFUNCTION("GOOGLETRANSLATE(D8945,""pt"",""es"")"),"mula")</f>
        <v>mula</v>
      </c>
      <c r="H8945" s="4" t="s">
        <v>2785</v>
      </c>
      <c r="I8945" s="4" t="s">
        <v>6237</v>
      </c>
    </row>
    <row r="8946">
      <c r="A8946" s="4">
        <v>123.0</v>
      </c>
      <c r="B8946" s="4" t="s">
        <v>19537</v>
      </c>
      <c r="C8946" s="4"/>
      <c r="D8946" s="4" t="s">
        <v>19233</v>
      </c>
      <c r="E8946" s="4" t="s">
        <v>19234</v>
      </c>
      <c r="F8946" s="4" t="s">
        <v>19235</v>
      </c>
      <c r="G8946" s="5" t="str">
        <f>IFERROR(__xludf.DUMMYFUNCTION("GOOGLETRANSLATE(D8946,""pt"",""es"")"),"mulato")</f>
        <v>mulato</v>
      </c>
      <c r="H8946" s="4" t="s">
        <v>19236</v>
      </c>
    </row>
    <row r="8947">
      <c r="A8947" s="4">
        <v>124.0</v>
      </c>
      <c r="B8947" s="4" t="s">
        <v>19537</v>
      </c>
      <c r="C8947" s="4"/>
      <c r="D8947" s="4" t="s">
        <v>19237</v>
      </c>
      <c r="E8947" s="4" t="s">
        <v>19238</v>
      </c>
      <c r="F8947" s="4" t="s">
        <v>19237</v>
      </c>
      <c r="G8947" s="5" t="str">
        <f>IFERROR(__xludf.DUMMYFUNCTION("GOOGLETRANSLATE(D8947,""pt"",""es"")"),"munir")</f>
        <v>munir</v>
      </c>
    </row>
    <row r="8948">
      <c r="A8948" s="4">
        <v>125.0</v>
      </c>
      <c r="B8948" s="4" t="s">
        <v>19537</v>
      </c>
      <c r="C8948" s="4"/>
      <c r="D8948" s="4" t="s">
        <v>19239</v>
      </c>
      <c r="E8948" s="4" t="s">
        <v>19240</v>
      </c>
      <c r="F8948" s="4" t="s">
        <v>19241</v>
      </c>
      <c r="G8948" s="5" t="str">
        <f>IFERROR(__xludf.DUMMYFUNCTION("GOOGLETRANSLATE(D8948,""pt"",""es"")"),"pared")</f>
        <v>pared</v>
      </c>
      <c r="H8948" s="4" t="s">
        <v>2835</v>
      </c>
      <c r="I8948" s="4" t="s">
        <v>2835</v>
      </c>
    </row>
    <row r="8949">
      <c r="A8949" s="4">
        <v>126.0</v>
      </c>
      <c r="B8949" s="4" t="s">
        <v>19537</v>
      </c>
      <c r="C8949" s="4"/>
      <c r="D8949" s="4" t="s">
        <v>2848</v>
      </c>
      <c r="E8949" s="4" t="s">
        <v>2852</v>
      </c>
      <c r="F8949" s="4" t="s">
        <v>2848</v>
      </c>
      <c r="G8949" s="5" t="str">
        <f>IFERROR(__xludf.DUMMYFUNCTION("GOOGLETRANSLATE(D8949,""pt"",""es"")"),"mudar")</f>
        <v>mudar</v>
      </c>
    </row>
    <row r="8950">
      <c r="A8950" s="4">
        <v>127.0</v>
      </c>
      <c r="B8950" s="4" t="s">
        <v>19537</v>
      </c>
      <c r="C8950" s="4"/>
      <c r="D8950" s="4" t="s">
        <v>19242</v>
      </c>
      <c r="E8950" s="4" t="s">
        <v>2279</v>
      </c>
      <c r="F8950" s="4" t="s">
        <v>2278</v>
      </c>
      <c r="G8950" s="5" t="str">
        <f>IFERROR(__xludf.DUMMYFUNCTION("GOOGLETRANSLATE(D8950,""pt"",""es"")"),"malo")</f>
        <v>malo</v>
      </c>
      <c r="H8950" s="4" t="s">
        <v>2332</v>
      </c>
    </row>
    <row r="8951">
      <c r="A8951" s="4">
        <v>128.0</v>
      </c>
      <c r="B8951" s="4" t="s">
        <v>19537</v>
      </c>
      <c r="C8951" s="4"/>
      <c r="D8951" s="4" t="s">
        <v>19243</v>
      </c>
      <c r="E8951" s="4" t="s">
        <v>2872</v>
      </c>
      <c r="F8951" s="4" t="s">
        <v>2873</v>
      </c>
      <c r="G8951" s="5" t="str">
        <f>IFERROR(__xludf.DUMMYFUNCTION("GOOGLETRANSLATE(D8951,""pt"",""es"")"),"máquina")</f>
        <v>máquina</v>
      </c>
      <c r="H8951" s="4" t="s">
        <v>1301</v>
      </c>
      <c r="I8951" s="4" t="s">
        <v>19244</v>
      </c>
      <c r="J8951" s="4" t="s">
        <v>19245</v>
      </c>
      <c r="K8951" s="4" t="s">
        <v>2874</v>
      </c>
      <c r="L8951" s="4" t="s">
        <v>19246</v>
      </c>
      <c r="M8951" s="4" t="s">
        <v>19247</v>
      </c>
      <c r="N8951" s="4" t="s">
        <v>19248</v>
      </c>
      <c r="O8951" s="4" t="s">
        <v>19247</v>
      </c>
      <c r="P8951" s="4" t="s">
        <v>19249</v>
      </c>
      <c r="Q8951" s="4" t="s">
        <v>19250</v>
      </c>
      <c r="R8951" s="4" t="s">
        <v>2874</v>
      </c>
      <c r="S8951" s="4" t="s">
        <v>2874</v>
      </c>
      <c r="T8951" s="4" t="s">
        <v>2875</v>
      </c>
      <c r="U8951" s="4" t="s">
        <v>12712</v>
      </c>
      <c r="V8951" s="4" t="s">
        <v>19251</v>
      </c>
      <c r="W8951" s="4" t="s">
        <v>2874</v>
      </c>
    </row>
    <row r="8952">
      <c r="A8952" s="4">
        <v>129.0</v>
      </c>
      <c r="B8952" s="4" t="s">
        <v>19537</v>
      </c>
      <c r="C8952" s="4"/>
      <c r="D8952" s="4" t="s">
        <v>19252</v>
      </c>
      <c r="E8952" s="4" t="s">
        <v>19253</v>
      </c>
      <c r="F8952" s="4" t="s">
        <v>19254</v>
      </c>
      <c r="G8952" s="5" t="str">
        <f>IFERROR(__xludf.DUMMYFUNCTION("GOOGLETRANSLATE(D8952,""pt"",""es"")"),"máximo")</f>
        <v>máximo</v>
      </c>
      <c r="H8952" s="4" t="s">
        <v>19255</v>
      </c>
      <c r="I8952" s="4" t="s">
        <v>19256</v>
      </c>
      <c r="J8952" s="4" t="s">
        <v>19257</v>
      </c>
      <c r="K8952" s="4" t="s">
        <v>19258</v>
      </c>
      <c r="L8952" s="4" t="s">
        <v>19257</v>
      </c>
      <c r="M8952" s="4" t="s">
        <v>19259</v>
      </c>
      <c r="N8952" s="4" t="s">
        <v>1400</v>
      </c>
      <c r="O8952" s="4" t="s">
        <v>19257</v>
      </c>
      <c r="P8952" s="4" t="s">
        <v>19260</v>
      </c>
    </row>
    <row r="8953">
      <c r="A8953" s="4">
        <v>130.0</v>
      </c>
      <c r="B8953" s="4" t="s">
        <v>19537</v>
      </c>
      <c r="C8953" s="4"/>
      <c r="D8953" s="4" t="s">
        <v>19261</v>
      </c>
      <c r="E8953" s="4" t="s">
        <v>19262</v>
      </c>
      <c r="F8953" s="4" t="s">
        <v>10688</v>
      </c>
      <c r="G8953" s="5" t="str">
        <f>IFERROR(__xludf.DUMMYFUNCTION("GOOGLETRANSLATE(D8953,""pt"",""es"")"),"naco")</f>
        <v>naco</v>
      </c>
      <c r="H8953" s="4" t="s">
        <v>10892</v>
      </c>
      <c r="I8953" s="4" t="s">
        <v>10893</v>
      </c>
    </row>
    <row r="8954">
      <c r="A8954" s="4">
        <v>131.0</v>
      </c>
      <c r="B8954" s="4" t="s">
        <v>19537</v>
      </c>
      <c r="C8954" s="4"/>
      <c r="D8954" s="4" t="s">
        <v>19263</v>
      </c>
      <c r="E8954" s="4" t="s">
        <v>19264</v>
      </c>
      <c r="F8954" s="4" t="s">
        <v>19265</v>
      </c>
      <c r="G8954" s="5" t="str">
        <f>IFERROR(__xludf.DUMMYFUNCTION("GOOGLETRANSLATE(D8954,""pt"",""es"")"),"en ese")</f>
        <v>en ese</v>
      </c>
    </row>
    <row r="8955">
      <c r="A8955" s="4">
        <v>132.0</v>
      </c>
      <c r="B8955" s="4" t="s">
        <v>19537</v>
      </c>
      <c r="C8955" s="4"/>
      <c r="D8955" s="4" t="s">
        <v>19266</v>
      </c>
      <c r="E8955" s="4" t="s">
        <v>19267</v>
      </c>
      <c r="F8955" s="4" t="s">
        <v>19266</v>
      </c>
      <c r="G8955" s="5" t="str">
        <f>IFERROR(__xludf.DUMMYFUNCTION("GOOGLETRANSLATE(D8955,""pt"",""es"")"),"fosa nasal")</f>
        <v>fosa nasal</v>
      </c>
      <c r="H8955" s="4" t="s">
        <v>19268</v>
      </c>
      <c r="I8955" s="4" t="s">
        <v>19269</v>
      </c>
    </row>
    <row r="8956">
      <c r="A8956" s="4">
        <v>133.0</v>
      </c>
      <c r="B8956" s="4" t="s">
        <v>19537</v>
      </c>
      <c r="C8956" s="4"/>
      <c r="D8956" s="4" t="s">
        <v>19270</v>
      </c>
      <c r="E8956" s="4" t="s">
        <v>19271</v>
      </c>
      <c r="F8956" s="4" t="s">
        <v>19272</v>
      </c>
      <c r="G8956" s="5" t="str">
        <f>IFERROR(__xludf.DUMMYFUNCTION("GOOGLETRANSLATE(D8956,""pt"",""es"")"),"desequilibrado")</f>
        <v>desequilibrado</v>
      </c>
      <c r="H8956" s="4" t="s">
        <v>19273</v>
      </c>
    </row>
    <row r="8957">
      <c r="A8957" s="4">
        <v>134.0</v>
      </c>
      <c r="B8957" s="4" t="s">
        <v>19537</v>
      </c>
      <c r="C8957" s="4"/>
      <c r="D8957" s="4" t="s">
        <v>19274</v>
      </c>
      <c r="E8957" s="4" t="s">
        <v>19275</v>
      </c>
      <c r="F8957" s="4" t="s">
        <v>10743</v>
      </c>
      <c r="G8957" s="5" t="str">
        <f>IFERROR(__xludf.DUMMYFUNCTION("GOOGLETRANSLATE(D8957,""pt"",""es"")"),"soy")</f>
        <v>soy</v>
      </c>
    </row>
    <row r="8958">
      <c r="A8958" s="4">
        <v>135.0</v>
      </c>
      <c r="B8958" s="4" t="s">
        <v>19537</v>
      </c>
      <c r="C8958" s="4"/>
      <c r="D8958" s="4" t="s">
        <v>19276</v>
      </c>
      <c r="E8958" s="4" t="s">
        <v>19277</v>
      </c>
      <c r="F8958" s="4" t="s">
        <v>19278</v>
      </c>
      <c r="G8958" s="5" t="str">
        <f>IFERROR(__xludf.DUMMYFUNCTION("GOOGLETRANSLATE(D8958,""pt"",""es"")"),"Navidad")</f>
        <v>Navidad</v>
      </c>
    </row>
    <row r="8959">
      <c r="A8959" s="4">
        <v>136.0</v>
      </c>
      <c r="B8959" s="4" t="s">
        <v>19537</v>
      </c>
      <c r="C8959" s="4"/>
      <c r="D8959" s="4" t="s">
        <v>19279</v>
      </c>
      <c r="E8959" s="4" t="s">
        <v>19280</v>
      </c>
      <c r="F8959" s="4" t="s">
        <v>19281</v>
      </c>
      <c r="G8959" s="5" t="str">
        <f>IFERROR(__xludf.DUMMYFUNCTION("GOOGLETRANSLATE(D8959,""pt"",""es"")"),"nicho")</f>
        <v>nicho</v>
      </c>
      <c r="H8959" s="4" t="s">
        <v>19282</v>
      </c>
      <c r="I8959" s="4" t="s">
        <v>11390</v>
      </c>
      <c r="J8959" s="4" t="s">
        <v>983</v>
      </c>
      <c r="K8959" s="4" t="s">
        <v>8556</v>
      </c>
      <c r="L8959" s="4" t="s">
        <v>983</v>
      </c>
      <c r="M8959" s="4" t="s">
        <v>8559</v>
      </c>
      <c r="N8959" s="4" t="s">
        <v>8556</v>
      </c>
      <c r="O8959" s="4" t="s">
        <v>7029</v>
      </c>
    </row>
    <row r="8960">
      <c r="A8960" s="4">
        <v>137.0</v>
      </c>
      <c r="B8960" s="4" t="s">
        <v>19537</v>
      </c>
      <c r="C8960" s="4"/>
      <c r="D8960" s="4" t="s">
        <v>19283</v>
      </c>
      <c r="E8960" s="4" t="s">
        <v>19284</v>
      </c>
      <c r="F8960" s="4" t="s">
        <v>19285</v>
      </c>
      <c r="G8960" s="5" t="str">
        <f>IFERROR(__xludf.DUMMYFUNCTION("GOOGLETRANSLATE(D8960,""pt"",""es"")"),"Nilo")</f>
        <v>Nilo</v>
      </c>
      <c r="H8960" s="4" t="s">
        <v>2978</v>
      </c>
      <c r="I8960" s="4" t="s">
        <v>2979</v>
      </c>
    </row>
    <row r="8961">
      <c r="A8961" s="4">
        <v>138.0</v>
      </c>
      <c r="B8961" s="4" t="s">
        <v>19537</v>
      </c>
      <c r="C8961" s="4"/>
      <c r="D8961" s="4" t="s">
        <v>19286</v>
      </c>
      <c r="E8961" s="4" t="s">
        <v>19287</v>
      </c>
      <c r="F8961" s="4" t="s">
        <v>19288</v>
      </c>
      <c r="G8961" s="5" t="str">
        <f>IFERROR(__xludf.DUMMYFUNCTION("GOOGLETRANSLATE(D8961,""pt"",""es"")"),"niño")</f>
        <v>niño</v>
      </c>
      <c r="H8961" s="4" t="s">
        <v>13082</v>
      </c>
    </row>
    <row r="8962">
      <c r="A8962" s="4">
        <v>139.0</v>
      </c>
      <c r="B8962" s="4" t="s">
        <v>19537</v>
      </c>
      <c r="C8962" s="4"/>
      <c r="D8962" s="4" t="s">
        <v>19289</v>
      </c>
      <c r="E8962" s="4" t="s">
        <v>10767</v>
      </c>
      <c r="F8962" s="4" t="s">
        <v>10766</v>
      </c>
      <c r="G8962" s="5" t="str">
        <f>IFERROR(__xludf.DUMMYFUNCTION("GOOGLETRANSLATE(D8962,""pt"",""es"")"),"en eso")</f>
        <v>en eso</v>
      </c>
    </row>
    <row r="8963">
      <c r="A8963" s="4">
        <v>140.0</v>
      </c>
      <c r="B8963" s="4" t="s">
        <v>19537</v>
      </c>
      <c r="C8963" s="4"/>
      <c r="D8963" s="4" t="s">
        <v>13239</v>
      </c>
      <c r="E8963" s="4" t="s">
        <v>3018</v>
      </c>
      <c r="F8963" s="4" t="s">
        <v>2972</v>
      </c>
      <c r="G8963" s="5" t="str">
        <f>IFERROR(__xludf.DUMMYFUNCTION("GOOGLETRANSLATE(D8963,""pt"",""es"")"),"en el")</f>
        <v>en el</v>
      </c>
      <c r="H8963" s="4" t="s">
        <v>19290</v>
      </c>
      <c r="I8963" s="4" t="s">
        <v>19291</v>
      </c>
      <c r="J8963" s="4" t="s">
        <v>19292</v>
      </c>
    </row>
    <row r="8964">
      <c r="A8964" s="4">
        <v>141.0</v>
      </c>
      <c r="B8964" s="4" t="s">
        <v>19537</v>
      </c>
      <c r="C8964" s="4"/>
      <c r="D8964" s="4" t="s">
        <v>2972</v>
      </c>
      <c r="E8964" s="4" t="s">
        <v>3018</v>
      </c>
      <c r="F8964" s="4" t="s">
        <v>2972</v>
      </c>
      <c r="G8964" s="5" t="str">
        <f>IFERROR(__xludf.DUMMYFUNCTION("GOOGLETRANSLATE(D8964,""pt"",""es"")"),"desnudo")</f>
        <v>desnudo</v>
      </c>
      <c r="H8964" s="4" t="s">
        <v>3019</v>
      </c>
      <c r="I8964" s="4" t="s">
        <v>3020</v>
      </c>
      <c r="J8964" s="4" t="s">
        <v>3021</v>
      </c>
      <c r="K8964" s="4" t="s">
        <v>3022</v>
      </c>
      <c r="L8964" s="4" t="s">
        <v>19293</v>
      </c>
      <c r="M8964" s="4" t="s">
        <v>19294</v>
      </c>
    </row>
    <row r="8965">
      <c r="A8965" s="4">
        <v>142.0</v>
      </c>
      <c r="B8965" s="4" t="s">
        <v>19537</v>
      </c>
      <c r="C8965" s="4"/>
      <c r="D8965" s="4" t="s">
        <v>8580</v>
      </c>
      <c r="E8965" s="4" t="s">
        <v>4669</v>
      </c>
      <c r="F8965" s="4" t="s">
        <v>4668</v>
      </c>
      <c r="G8965" s="5" t="str">
        <f>IFERROR(__xludf.DUMMYFUNCTION("GOOGLETRANSLATE(D8965,""pt"",""es"")"),"tú")</f>
        <v>tú</v>
      </c>
    </row>
    <row r="8966">
      <c r="A8966" s="4">
        <v>143.0</v>
      </c>
      <c r="B8966" s="4" t="s">
        <v>19537</v>
      </c>
      <c r="C8966" s="4"/>
      <c r="D8966" s="4" t="s">
        <v>14238</v>
      </c>
      <c r="E8966" s="4" t="s">
        <v>4850</v>
      </c>
      <c r="F8966" s="4" t="s">
        <v>3910</v>
      </c>
      <c r="G8966" s="5" t="str">
        <f>IFERROR(__xludf.DUMMYFUNCTION("GOOGLETRANSLATE(D8966,""pt"",""es"")"),"papá")</f>
        <v>papá</v>
      </c>
      <c r="H8966" s="4" t="s">
        <v>9713</v>
      </c>
      <c r="I8966" s="4" t="s">
        <v>9714</v>
      </c>
      <c r="J8966" s="4" t="s">
        <v>9715</v>
      </c>
      <c r="K8966" s="4" t="s">
        <v>3294</v>
      </c>
      <c r="L8966" s="4" t="s">
        <v>3295</v>
      </c>
      <c r="M8966" s="4" t="s">
        <v>3296</v>
      </c>
      <c r="N8966" s="4" t="s">
        <v>3147</v>
      </c>
      <c r="O8966" s="4" t="s">
        <v>3292</v>
      </c>
      <c r="P8966" s="4" t="s">
        <v>3297</v>
      </c>
      <c r="Q8966" s="4" t="s">
        <v>3298</v>
      </c>
      <c r="R8966" s="4" t="s">
        <v>3299</v>
      </c>
      <c r="S8966" s="4" t="s">
        <v>3300</v>
      </c>
      <c r="T8966" s="4" t="s">
        <v>3301</v>
      </c>
      <c r="U8966" s="4" t="s">
        <v>19295</v>
      </c>
      <c r="V8966" s="4" t="s">
        <v>9723</v>
      </c>
    </row>
    <row r="8967">
      <c r="A8967" s="4">
        <v>144.0</v>
      </c>
      <c r="B8967" s="4" t="s">
        <v>19537</v>
      </c>
      <c r="C8967" s="4"/>
      <c r="D8967" s="4" t="s">
        <v>3158</v>
      </c>
      <c r="E8967" s="4" t="s">
        <v>3159</v>
      </c>
      <c r="F8967" s="4" t="s">
        <v>3160</v>
      </c>
      <c r="G8967" s="5" t="str">
        <f>IFERROR(__xludf.DUMMYFUNCTION("GOOGLETRANSLATE(D8967,""pt"",""es"")"),"paio")</f>
        <v>paio</v>
      </c>
    </row>
    <row r="8968">
      <c r="A8968" s="4">
        <v>145.0</v>
      </c>
      <c r="B8968" s="4" t="s">
        <v>19537</v>
      </c>
      <c r="C8968" s="4"/>
      <c r="D8968" s="4" t="s">
        <v>19296</v>
      </c>
      <c r="E8968" s="4" t="s">
        <v>19297</v>
      </c>
      <c r="F8968" s="4" t="s">
        <v>19298</v>
      </c>
      <c r="G8968" s="5" t="str">
        <f>IFERROR(__xludf.DUMMYFUNCTION("GOOGLETRANSLATE(D8968,""pt"",""es"")"),"paladar")</f>
        <v>paladar</v>
      </c>
      <c r="H8968" s="4" t="s">
        <v>19299</v>
      </c>
      <c r="I8968" s="4" t="s">
        <v>19300</v>
      </c>
    </row>
    <row r="8969">
      <c r="A8969" s="4">
        <v>146.0</v>
      </c>
      <c r="B8969" s="4" t="s">
        <v>19537</v>
      </c>
      <c r="C8969" s="4"/>
      <c r="D8969" s="4" t="s">
        <v>19301</v>
      </c>
      <c r="E8969" s="4" t="s">
        <v>19302</v>
      </c>
      <c r="F8969" s="4" t="s">
        <v>19303</v>
      </c>
      <c r="G8969" s="5" t="str">
        <f>IFERROR(__xludf.DUMMYFUNCTION("GOOGLETRANSLATE(D8969,""pt"",""es"")"),"palillo de dientes")</f>
        <v>palillo de dientes</v>
      </c>
      <c r="H8969" s="4" t="s">
        <v>19304</v>
      </c>
    </row>
    <row r="8970">
      <c r="A8970" s="4">
        <v>147.0</v>
      </c>
      <c r="B8970" s="4" t="s">
        <v>19537</v>
      </c>
      <c r="C8970" s="4"/>
      <c r="D8970" s="4" t="s">
        <v>19305</v>
      </c>
      <c r="E8970" s="4" t="s">
        <v>13207</v>
      </c>
      <c r="F8970" s="4" t="s">
        <v>13208</v>
      </c>
      <c r="G8970" s="5" t="str">
        <f>IFERROR(__xludf.DUMMYFUNCTION("GOOGLETRANSLATE(D8970,""pt"",""es"")"),"papá")</f>
        <v>papá</v>
      </c>
      <c r="H8970" s="4" t="s">
        <v>3294</v>
      </c>
      <c r="I8970" s="4" t="s">
        <v>3295</v>
      </c>
      <c r="J8970" s="4" t="s">
        <v>3296</v>
      </c>
      <c r="K8970" s="4" t="s">
        <v>3147</v>
      </c>
      <c r="L8970" s="4" t="s">
        <v>3292</v>
      </c>
      <c r="M8970" s="4" t="s">
        <v>3297</v>
      </c>
      <c r="N8970" s="4" t="s">
        <v>3298</v>
      </c>
      <c r="O8970" s="4" t="s">
        <v>3299</v>
      </c>
      <c r="P8970" s="4" t="s">
        <v>3300</v>
      </c>
      <c r="Q8970" s="4" t="s">
        <v>3301</v>
      </c>
    </row>
    <row r="8971">
      <c r="A8971" s="4">
        <v>148.0</v>
      </c>
      <c r="B8971" s="4" t="s">
        <v>19537</v>
      </c>
      <c r="C8971" s="4"/>
      <c r="D8971" s="4" t="s">
        <v>19306</v>
      </c>
      <c r="E8971" s="4" t="s">
        <v>19307</v>
      </c>
      <c r="F8971" s="4" t="s">
        <v>19308</v>
      </c>
      <c r="G8971" s="5" t="str">
        <f>IFERROR(__xludf.DUMMYFUNCTION("GOOGLETRANSLATE(D8971,""pt"",""es"")"),"papárico")</f>
        <v>papárico</v>
      </c>
    </row>
    <row r="8972">
      <c r="A8972" s="4">
        <v>149.0</v>
      </c>
      <c r="B8972" s="4" t="s">
        <v>19537</v>
      </c>
      <c r="C8972" s="4"/>
      <c r="D8972" s="4" t="s">
        <v>19309</v>
      </c>
      <c r="E8972" s="4" t="s">
        <v>3322</v>
      </c>
      <c r="F8972" s="4" t="s">
        <v>3323</v>
      </c>
      <c r="G8972" s="5" t="str">
        <f>IFERROR(__xludf.DUMMYFUNCTION("GOOGLETRANSLATE(D8972,""pt"",""es"")"),"charlar")</f>
        <v>charlar</v>
      </c>
      <c r="H8972" s="4" t="s">
        <v>8799</v>
      </c>
    </row>
    <row r="8973">
      <c r="A8973" s="4">
        <v>150.0</v>
      </c>
      <c r="B8973" s="4" t="s">
        <v>19537</v>
      </c>
      <c r="C8973" s="4"/>
      <c r="D8973" s="4" t="s">
        <v>19310</v>
      </c>
      <c r="E8973" s="4" t="s">
        <v>19311</v>
      </c>
      <c r="F8973" s="4" t="s">
        <v>19312</v>
      </c>
      <c r="G8973" s="5" t="str">
        <f>IFERROR(__xludf.DUMMYFUNCTION("GOOGLETRANSLATE(D8973,""pt"",""es"")"),"Deténgase")</f>
        <v>Deténgase</v>
      </c>
    </row>
    <row r="8974">
      <c r="A8974" s="4">
        <v>151.0</v>
      </c>
      <c r="B8974" s="4" t="s">
        <v>19537</v>
      </c>
      <c r="C8974" s="4"/>
      <c r="D8974" s="4" t="s">
        <v>3427</v>
      </c>
      <c r="E8974" s="4" t="s">
        <v>3428</v>
      </c>
      <c r="F8974" s="4" t="s">
        <v>3429</v>
      </c>
      <c r="G8974" s="5" t="str">
        <f>IFERROR(__xludf.DUMMYFUNCTION("GOOGLETRANSLATE(D8974,""pt"",""es"")"),"paso")</f>
        <v>paso</v>
      </c>
      <c r="H8974" s="4" t="s">
        <v>639</v>
      </c>
      <c r="I8974" s="4" t="s">
        <v>3365</v>
      </c>
      <c r="J8974" s="4" t="s">
        <v>3366</v>
      </c>
      <c r="K8974" s="4" t="s">
        <v>3367</v>
      </c>
      <c r="L8974" s="4" t="s">
        <v>3368</v>
      </c>
      <c r="M8974" s="4" t="s">
        <v>13236</v>
      </c>
      <c r="N8974" s="4" t="s">
        <v>3365</v>
      </c>
      <c r="O8974" s="4" t="s">
        <v>3366</v>
      </c>
      <c r="P8974" s="4" t="s">
        <v>3372</v>
      </c>
      <c r="Q8974" s="4" t="s">
        <v>3381</v>
      </c>
      <c r="R8974" s="4" t="s">
        <v>3366</v>
      </c>
      <c r="S8974" s="4" t="s">
        <v>3365</v>
      </c>
      <c r="T8974" s="4" t="s">
        <v>3367</v>
      </c>
    </row>
    <row r="8975">
      <c r="A8975" s="4">
        <v>152.0</v>
      </c>
      <c r="B8975" s="4" t="s">
        <v>19537</v>
      </c>
      <c r="C8975" s="4"/>
      <c r="D8975" s="4" t="s">
        <v>14516</v>
      </c>
      <c r="E8975" s="4" t="s">
        <v>19313</v>
      </c>
      <c r="F8975" s="4" t="s">
        <v>14518</v>
      </c>
      <c r="G8975" s="5" t="str">
        <f>IFERROR(__xludf.DUMMYFUNCTION("GOOGLETRANSLATE(D8975,""pt"",""es"")"),"pato")</f>
        <v>pato</v>
      </c>
      <c r="H8975" s="4" t="s">
        <v>11872</v>
      </c>
      <c r="I8975" s="4" t="s">
        <v>19314</v>
      </c>
      <c r="J8975" s="4" t="s">
        <v>11872</v>
      </c>
    </row>
    <row r="8976">
      <c r="A8976" s="4">
        <v>153.0</v>
      </c>
      <c r="B8976" s="4" t="s">
        <v>19537</v>
      </c>
      <c r="C8976" s="4"/>
      <c r="D8976" s="4" t="s">
        <v>19315</v>
      </c>
      <c r="E8976" s="4" t="s">
        <v>3428</v>
      </c>
      <c r="F8976" s="4" t="s">
        <v>3429</v>
      </c>
      <c r="G8976" s="5" t="str">
        <f>IFERROR(__xludf.DUMMYFUNCTION("GOOGLETRANSLATE(D8976,""pt"",""es"")"),"ritmo")</f>
        <v>ritmo</v>
      </c>
    </row>
    <row r="8977">
      <c r="A8977" s="4">
        <v>154.0</v>
      </c>
      <c r="B8977" s="4" t="s">
        <v>19537</v>
      </c>
      <c r="C8977" s="4"/>
      <c r="D8977" s="4" t="s">
        <v>19316</v>
      </c>
      <c r="E8977" s="4" t="s">
        <v>19317</v>
      </c>
      <c r="F8977" s="4" t="s">
        <v>19318</v>
      </c>
      <c r="G8977" s="5" t="str">
        <f>IFERROR(__xludf.DUMMYFUNCTION("GOOGLETRANSLATE(D8977,""pt"",""es"")"),"pelaje")</f>
        <v>pelaje</v>
      </c>
      <c r="H8977" s="4" t="s">
        <v>1239</v>
      </c>
      <c r="I8977" s="4" t="s">
        <v>17116</v>
      </c>
      <c r="J8977" s="4" t="s">
        <v>5354</v>
      </c>
    </row>
    <row r="8978">
      <c r="A8978" s="4">
        <v>155.0</v>
      </c>
      <c r="B8978" s="4" t="s">
        <v>19537</v>
      </c>
      <c r="C8978" s="4"/>
      <c r="D8978" s="4" t="s">
        <v>14528</v>
      </c>
      <c r="E8978" s="4" t="s">
        <v>19319</v>
      </c>
      <c r="F8978" s="4" t="s">
        <v>14530</v>
      </c>
      <c r="G8978" s="5" t="str">
        <f>IFERROR(__xludf.DUMMYFUNCTION("GOOGLETRANSLATE(D8978,""pt"",""es"")"),"plumas")</f>
        <v>plumas</v>
      </c>
      <c r="H8978" s="4" t="s">
        <v>19320</v>
      </c>
      <c r="I8978" s="4" t="s">
        <v>5951</v>
      </c>
      <c r="J8978" s="4" t="s">
        <v>19321</v>
      </c>
      <c r="K8978" s="4" t="s">
        <v>19322</v>
      </c>
    </row>
    <row r="8979">
      <c r="A8979" s="4">
        <v>156.0</v>
      </c>
      <c r="B8979" s="4" t="s">
        <v>19537</v>
      </c>
      <c r="C8979" s="4"/>
      <c r="D8979" s="4" t="s">
        <v>19323</v>
      </c>
      <c r="E8979" s="4" t="s">
        <v>19324</v>
      </c>
      <c r="F8979" s="4" t="s">
        <v>19325</v>
      </c>
      <c r="G8979" s="5" t="str">
        <f>IFERROR(__xludf.DUMMYFUNCTION("GOOGLETRANSLATE(D8979,""pt"",""es"")"),"Perú")</f>
        <v>Perú</v>
      </c>
      <c r="H8979" s="4" t="s">
        <v>19326</v>
      </c>
      <c r="I8979" s="4" t="s">
        <v>19327</v>
      </c>
      <c r="J8979" s="4" t="s">
        <v>19326</v>
      </c>
      <c r="K8979" s="4" t="s">
        <v>19328</v>
      </c>
      <c r="L8979" s="4" t="s">
        <v>19329</v>
      </c>
    </row>
    <row r="8980">
      <c r="A8980" s="4">
        <v>157.0</v>
      </c>
      <c r="B8980" s="4" t="s">
        <v>19537</v>
      </c>
      <c r="C8980" s="4"/>
      <c r="D8980" s="4" t="s">
        <v>230</v>
      </c>
      <c r="E8980" s="4" t="s">
        <v>229</v>
      </c>
      <c r="F8980" s="4" t="s">
        <v>230</v>
      </c>
      <c r="G8980" s="5" t="str">
        <f>IFERROR(__xludf.DUMMYFUNCTION("GOOGLETRANSLATE(D8980,""pt"",""es"")"),"Pi")</f>
        <v>Pi</v>
      </c>
      <c r="H8980" s="4" t="s">
        <v>230</v>
      </c>
      <c r="I8980" s="4" t="s">
        <v>230</v>
      </c>
    </row>
    <row r="8981">
      <c r="A8981" s="4">
        <v>158.0</v>
      </c>
      <c r="B8981" s="4" t="s">
        <v>19537</v>
      </c>
      <c r="C8981" s="4"/>
      <c r="D8981" s="4" t="s">
        <v>19330</v>
      </c>
      <c r="E8981" s="4" t="s">
        <v>268</v>
      </c>
      <c r="F8981" s="4" t="s">
        <v>269</v>
      </c>
      <c r="G8981" s="5" t="str">
        <f>IFERROR(__xludf.DUMMYFUNCTION("GOOGLETRANSLATE(D8981,""pt"",""es"")"),"picé")</f>
        <v>picé</v>
      </c>
      <c r="H8981" s="4" t="s">
        <v>10974</v>
      </c>
      <c r="I8981" s="4" t="s">
        <v>2509</v>
      </c>
    </row>
    <row r="8982">
      <c r="A8982" s="4">
        <v>159.0</v>
      </c>
      <c r="B8982" s="4" t="s">
        <v>19537</v>
      </c>
      <c r="C8982" s="4"/>
      <c r="D8982" s="4" t="s">
        <v>19331</v>
      </c>
      <c r="E8982" s="4" t="s">
        <v>19332</v>
      </c>
      <c r="F8982" s="4" t="s">
        <v>14538</v>
      </c>
      <c r="G8982" s="5" t="str">
        <f>IFERROR(__xludf.DUMMYFUNCTION("GOOGLETRANSLATE(D8982,""pt"",""es"")"),"pichu")</f>
        <v>pichu</v>
      </c>
    </row>
    <row r="8983">
      <c r="A8983" s="4">
        <v>160.0</v>
      </c>
      <c r="B8983" s="4" t="s">
        <v>19537</v>
      </c>
      <c r="C8983" s="4"/>
      <c r="D8983" s="4" t="s">
        <v>3511</v>
      </c>
      <c r="E8983" s="4" t="s">
        <v>3512</v>
      </c>
      <c r="F8983" s="4" t="s">
        <v>3513</v>
      </c>
      <c r="G8983" s="5" t="str">
        <f>IFERROR(__xludf.DUMMYFUNCTION("GOOGLETRANSLATE(D8983,""pt"",""es"")"),"cima")</f>
        <v>cima</v>
      </c>
      <c r="H8983" s="4" t="s">
        <v>1400</v>
      </c>
      <c r="I8983" s="4" t="s">
        <v>1401</v>
      </c>
      <c r="J8983" s="4" t="s">
        <v>1402</v>
      </c>
      <c r="K8983" s="4" t="s">
        <v>1403</v>
      </c>
      <c r="L8983" s="4" t="s">
        <v>425</v>
      </c>
      <c r="M8983" s="4" t="s">
        <v>1404</v>
      </c>
      <c r="N8983" s="4" t="s">
        <v>425</v>
      </c>
    </row>
    <row r="8984">
      <c r="A8984" s="4">
        <v>161.0</v>
      </c>
      <c r="B8984" s="4" t="s">
        <v>19537</v>
      </c>
      <c r="C8984" s="4"/>
      <c r="D8984" s="4" t="s">
        <v>19333</v>
      </c>
      <c r="E8984" s="4" t="s">
        <v>19317</v>
      </c>
      <c r="F8984" s="4" t="s">
        <v>19318</v>
      </c>
      <c r="G8984" s="5" t="str">
        <f>IFERROR(__xludf.DUMMYFUNCTION("GOOGLETRANSLATE(D8984,""pt"",""es"")"),"píldora")</f>
        <v>píldora</v>
      </c>
    </row>
    <row r="8985">
      <c r="A8985" s="4">
        <v>162.0</v>
      </c>
      <c r="B8985" s="4" t="s">
        <v>19537</v>
      </c>
      <c r="C8985" s="4"/>
      <c r="D8985" s="4" t="s">
        <v>3553</v>
      </c>
      <c r="E8985" s="4" t="s">
        <v>3554</v>
      </c>
      <c r="F8985" s="4" t="s">
        <v>3553</v>
      </c>
      <c r="G8985" s="5" t="str">
        <f>IFERROR(__xludf.DUMMYFUNCTION("GOOGLETRANSLATE(D8985,""pt"",""es"")"),"Cometa")</f>
        <v>Cometa</v>
      </c>
      <c r="H8985" s="4" t="s">
        <v>2687</v>
      </c>
    </row>
    <row r="8986">
      <c r="A8986" s="4">
        <v>163.0</v>
      </c>
      <c r="B8986" s="4" t="s">
        <v>19537</v>
      </c>
      <c r="C8986" s="4"/>
      <c r="D8986" s="4" t="s">
        <v>5504</v>
      </c>
      <c r="E8986" s="4" t="s">
        <v>5503</v>
      </c>
      <c r="F8986" s="4" t="s">
        <v>5504</v>
      </c>
      <c r="G8986" s="5" t="str">
        <f>IFERROR(__xludf.DUMMYFUNCTION("GOOGLETRANSLATE(D8986,""pt"",""es"")"),"pipi")</f>
        <v>pipi</v>
      </c>
      <c r="H8986" s="4" t="s">
        <v>7246</v>
      </c>
      <c r="I8986" s="4" t="s">
        <v>7242</v>
      </c>
      <c r="J8986" s="4" t="s">
        <v>7247</v>
      </c>
      <c r="K8986" s="4" t="s">
        <v>7239</v>
      </c>
      <c r="L8986" s="4" t="s">
        <v>7241</v>
      </c>
      <c r="M8986" s="4" t="s">
        <v>7239</v>
      </c>
      <c r="N8986" s="4" t="s">
        <v>7242</v>
      </c>
      <c r="O8986" s="4" t="s">
        <v>7243</v>
      </c>
      <c r="P8986" s="4" t="s">
        <v>7244</v>
      </c>
      <c r="Q8986" s="4" t="s">
        <v>7245</v>
      </c>
    </row>
    <row r="8987">
      <c r="A8987" s="4">
        <v>164.0</v>
      </c>
      <c r="B8987" s="4" t="s">
        <v>19537</v>
      </c>
      <c r="C8987" s="4"/>
      <c r="D8987" s="4" t="s">
        <v>919</v>
      </c>
      <c r="E8987" s="4" t="s">
        <v>10973</v>
      </c>
      <c r="F8987" s="4" t="s">
        <v>7175</v>
      </c>
      <c r="G8987" s="5" t="str">
        <f>IFERROR(__xludf.DUMMYFUNCTION("GOOGLETRANSLATE(D8987,""pt"",""es"")"),"recogedor")</f>
        <v>recogedor</v>
      </c>
      <c r="H8987" s="4" t="s">
        <v>3466</v>
      </c>
      <c r="I8987" s="4" t="s">
        <v>3466</v>
      </c>
    </row>
    <row r="8988">
      <c r="A8988" s="4">
        <v>165.0</v>
      </c>
      <c r="B8988" s="4" t="s">
        <v>19537</v>
      </c>
      <c r="C8988" s="4"/>
      <c r="D8988" s="4" t="s">
        <v>19334</v>
      </c>
      <c r="E8988" s="4" t="s">
        <v>19335</v>
      </c>
      <c r="F8988" s="4" t="s">
        <v>19336</v>
      </c>
      <c r="G8988" s="5" t="str">
        <f>IFERROR(__xludf.DUMMYFUNCTION("GOOGLETRANSLATE(D8988,""pt"",""es"")"),"platillo")</f>
        <v>platillo</v>
      </c>
      <c r="H8988" s="4" t="s">
        <v>13706</v>
      </c>
      <c r="I8988" s="4" t="s">
        <v>13706</v>
      </c>
    </row>
    <row r="8989">
      <c r="A8989" s="4">
        <v>166.0</v>
      </c>
      <c r="B8989" s="4" t="s">
        <v>19537</v>
      </c>
      <c r="C8989" s="4"/>
      <c r="D8989" s="4" t="s">
        <v>19337</v>
      </c>
      <c r="E8989" s="4" t="s">
        <v>19338</v>
      </c>
      <c r="F8989" s="4" t="s">
        <v>19337</v>
      </c>
      <c r="G8989" s="5" t="str">
        <f>IFERROR(__xludf.DUMMYFUNCTION("GOOGLETRANSLATE(D8989,""pt"",""es"")"),"piriri")</f>
        <v>piriri</v>
      </c>
    </row>
    <row r="8990">
      <c r="A8990" s="4">
        <v>167.0</v>
      </c>
      <c r="B8990" s="4" t="s">
        <v>19537</v>
      </c>
      <c r="C8990" s="4"/>
      <c r="D8990" s="4" t="s">
        <v>19325</v>
      </c>
      <c r="E8990" s="4" t="s">
        <v>19324</v>
      </c>
      <c r="F8990" s="4" t="s">
        <v>19325</v>
      </c>
      <c r="G8990" s="5" t="str">
        <f>IFERROR(__xludf.DUMMYFUNCTION("GOOGLETRANSLATE(D8990,""pt"",""es"")"),"pirus")</f>
        <v>pirus</v>
      </c>
    </row>
    <row r="8991">
      <c r="A8991" s="4">
        <v>168.0</v>
      </c>
      <c r="B8991" s="4" t="s">
        <v>19537</v>
      </c>
      <c r="C8991" s="4"/>
      <c r="D8991" s="4" t="s">
        <v>19339</v>
      </c>
      <c r="E8991" s="4" t="s">
        <v>19340</v>
      </c>
      <c r="F8991" s="4" t="s">
        <v>19341</v>
      </c>
      <c r="G8991" s="5" t="str">
        <f>IFERROR(__xludf.DUMMYFUNCTION("GOOGLETRANSLATE(D8991,""pt"",""es"")"),"chupete")</f>
        <v>chupete</v>
      </c>
      <c r="H8991" s="4" t="s">
        <v>8475</v>
      </c>
      <c r="I8991" s="4" t="s">
        <v>3234</v>
      </c>
      <c r="J8991" s="4" t="s">
        <v>8481</v>
      </c>
    </row>
    <row r="8992">
      <c r="A8992" s="4">
        <v>169.0</v>
      </c>
      <c r="B8992" s="4" t="s">
        <v>19537</v>
      </c>
      <c r="C8992" s="4"/>
      <c r="D8992" s="4" t="s">
        <v>19342</v>
      </c>
      <c r="E8992" s="4" t="s">
        <v>19343</v>
      </c>
      <c r="F8992" s="4" t="s">
        <v>19344</v>
      </c>
      <c r="G8992" s="5" t="str">
        <f>IFERROR(__xludf.DUMMYFUNCTION("GOOGLETRANSLATE(D8992,""pt"",""es"")"),"pitaco")</f>
        <v>pitaco</v>
      </c>
    </row>
    <row r="8993">
      <c r="A8993" s="4">
        <v>170.0</v>
      </c>
      <c r="B8993" s="4" t="s">
        <v>19537</v>
      </c>
      <c r="C8993" s="4"/>
      <c r="D8993" s="4" t="s">
        <v>19345</v>
      </c>
      <c r="E8993" s="4" t="s">
        <v>13389</v>
      </c>
      <c r="F8993" s="4" t="s">
        <v>13390</v>
      </c>
      <c r="G8993" s="5" t="str">
        <f>IFERROR(__xludf.DUMMYFUNCTION("GOOGLETRANSLATE(D8993,""pt"",""es"")"),"pito")</f>
        <v>pito</v>
      </c>
    </row>
    <row r="8994">
      <c r="A8994" s="4">
        <v>171.0</v>
      </c>
      <c r="B8994" s="4" t="s">
        <v>19537</v>
      </c>
      <c r="C8994" s="4"/>
      <c r="D8994" s="4" t="s">
        <v>13390</v>
      </c>
      <c r="E8994" s="4" t="s">
        <v>13389</v>
      </c>
      <c r="F8994" s="4" t="s">
        <v>13390</v>
      </c>
      <c r="G8994" s="5" t="str">
        <f>IFERROR(__xludf.DUMMYFUNCTION("GOOGLETRANSLATE(D8994,""pt"",""es"")"),"pitú")</f>
        <v>pitú</v>
      </c>
    </row>
    <row r="8995">
      <c r="A8995" s="4">
        <v>172.0</v>
      </c>
      <c r="B8995" s="4" t="s">
        <v>19537</v>
      </c>
      <c r="C8995" s="4"/>
      <c r="D8995" s="4" t="s">
        <v>19346</v>
      </c>
      <c r="E8995" s="4" t="s">
        <v>19347</v>
      </c>
      <c r="F8995" s="4" t="s">
        <v>19348</v>
      </c>
      <c r="G8995" s="5" t="str">
        <f>IFERROR(__xludf.DUMMYFUNCTION("GOOGLETRANSLATE(D8995,""pt"",""es"")"),"psíquico")</f>
        <v>psíquico</v>
      </c>
      <c r="H8995" s="4" t="s">
        <v>19349</v>
      </c>
      <c r="I8995" s="4" t="s">
        <v>19350</v>
      </c>
      <c r="J8995" s="4" t="s">
        <v>19349</v>
      </c>
      <c r="K8995" s="4" t="s">
        <v>19350</v>
      </c>
    </row>
    <row r="8996">
      <c r="A8996" s="4">
        <v>173.0</v>
      </c>
      <c r="B8996" s="4" t="s">
        <v>19537</v>
      </c>
      <c r="C8996" s="4"/>
      <c r="D8996" s="4" t="s">
        <v>19351</v>
      </c>
      <c r="E8996" s="4" t="s">
        <v>19352</v>
      </c>
      <c r="F8996" s="4" t="s">
        <v>19353</v>
      </c>
      <c r="G8996" s="5" t="str">
        <f>IFERROR(__xludf.DUMMYFUNCTION("GOOGLETRANSLATE(D8996,""pt"",""es"")"),"puro")</f>
        <v>puro</v>
      </c>
      <c r="H8996" s="4" t="s">
        <v>19354</v>
      </c>
      <c r="I8996" s="4" t="s">
        <v>3739</v>
      </c>
      <c r="J8996" s="4" t="s">
        <v>3739</v>
      </c>
      <c r="K8996" s="4" t="s">
        <v>3739</v>
      </c>
      <c r="L8996" s="4" t="s">
        <v>6415</v>
      </c>
      <c r="M8996" s="4" t="s">
        <v>16125</v>
      </c>
      <c r="N8996" s="4" t="s">
        <v>19355</v>
      </c>
      <c r="O8996" s="4" t="s">
        <v>19356</v>
      </c>
    </row>
    <row r="8997">
      <c r="A8997" s="4">
        <v>174.0</v>
      </c>
      <c r="B8997" s="4" t="s">
        <v>19537</v>
      </c>
      <c r="C8997" s="4"/>
      <c r="D8997" s="4" t="s">
        <v>19357</v>
      </c>
      <c r="E8997" s="4" t="s">
        <v>11052</v>
      </c>
      <c r="F8997" s="4" t="s">
        <v>11051</v>
      </c>
      <c r="G8997" s="5" t="str">
        <f>IFERROR(__xludf.DUMMYFUNCTION("GOOGLETRANSLATE(D8997,""pt"",""es"")"),"Molesto")</f>
        <v>Molesto</v>
      </c>
      <c r="H8997" s="4" t="s">
        <v>19358</v>
      </c>
      <c r="I8997" s="4" t="s">
        <v>19359</v>
      </c>
      <c r="J8997" s="4" t="s">
        <v>19360</v>
      </c>
      <c r="K8997" s="4" t="s">
        <v>19361</v>
      </c>
      <c r="L8997" s="4" t="s">
        <v>19362</v>
      </c>
      <c r="M8997" s="4" t="s">
        <v>11480</v>
      </c>
      <c r="N8997" s="4" t="s">
        <v>5892</v>
      </c>
      <c r="O8997" s="4" t="s">
        <v>19363</v>
      </c>
      <c r="P8997" s="4" t="s">
        <v>19364</v>
      </c>
    </row>
    <row r="8998">
      <c r="A8998" s="4">
        <v>175.0</v>
      </c>
      <c r="B8998" s="4" t="s">
        <v>19537</v>
      </c>
      <c r="C8998" s="4"/>
      <c r="D8998" s="4" t="s">
        <v>19365</v>
      </c>
      <c r="E8998" s="4" t="s">
        <v>3148</v>
      </c>
      <c r="F8998" s="4" t="s">
        <v>3147</v>
      </c>
      <c r="G8998" s="5" t="str">
        <f>IFERROR(__xludf.DUMMYFUNCTION("GOOGLETRANSLATE(D8998,""pt"",""es"")"),"pala")</f>
        <v>pala</v>
      </c>
      <c r="H8998" s="4" t="s">
        <v>19366</v>
      </c>
      <c r="I8998" s="4" t="s">
        <v>19367</v>
      </c>
      <c r="J8998" s="4" t="s">
        <v>13178</v>
      </c>
      <c r="K8998" s="4" t="s">
        <v>19368</v>
      </c>
      <c r="L8998" s="4" t="s">
        <v>3175</v>
      </c>
      <c r="M8998" s="4" t="s">
        <v>3175</v>
      </c>
      <c r="N8998" s="4" t="s">
        <v>8226</v>
      </c>
    </row>
    <row r="8999">
      <c r="A8999" s="4">
        <v>176.0</v>
      </c>
      <c r="B8999" s="4" t="s">
        <v>19537</v>
      </c>
      <c r="C8999" s="4"/>
      <c r="D8999" s="4" t="s">
        <v>19369</v>
      </c>
      <c r="E8999" s="4" t="s">
        <v>3185</v>
      </c>
      <c r="F8999" s="4" t="s">
        <v>3184</v>
      </c>
      <c r="G8999" s="5" t="str">
        <f>IFERROR(__xludf.DUMMYFUNCTION("GOOGLETRANSLATE(D8999,""pt"",""es"")"),"Pali")</f>
        <v>Pali</v>
      </c>
      <c r="H8999" s="4" t="s">
        <v>19370</v>
      </c>
      <c r="I8999" s="4" t="s">
        <v>19370</v>
      </c>
    </row>
    <row r="9000">
      <c r="A9000" s="4">
        <v>177.0</v>
      </c>
      <c r="B9000" s="4" t="s">
        <v>19537</v>
      </c>
      <c r="C9000" s="4"/>
      <c r="D9000" s="4" t="s">
        <v>19371</v>
      </c>
      <c r="E9000" s="4" t="s">
        <v>19372</v>
      </c>
      <c r="F9000" s="4" t="s">
        <v>19373</v>
      </c>
      <c r="G9000" s="5" t="str">
        <f>IFERROR(__xludf.DUMMYFUNCTION("GOOGLETRANSLATE(D9000,""pt"",""es"")"),"pucárico")</f>
        <v>pucárico</v>
      </c>
    </row>
    <row r="9001">
      <c r="A9001" s="4">
        <v>178.0</v>
      </c>
      <c r="B9001" s="4" t="s">
        <v>19537</v>
      </c>
      <c r="C9001" s="4"/>
      <c r="D9001" s="4" t="s">
        <v>3806</v>
      </c>
      <c r="E9001" s="4" t="s">
        <v>3807</v>
      </c>
      <c r="F9001" s="4" t="s">
        <v>3808</v>
      </c>
      <c r="G9001" s="5" t="str">
        <f>IFERROR(__xludf.DUMMYFUNCTION("GOOGLETRANSLATE(D9001,""pt"",""es"")"),"kilo")</f>
        <v>kilo</v>
      </c>
      <c r="H9001" s="4" t="s">
        <v>3809</v>
      </c>
      <c r="I9001" s="4" t="s">
        <v>3810</v>
      </c>
      <c r="J9001" s="4" t="s">
        <v>3811</v>
      </c>
    </row>
    <row r="9002">
      <c r="A9002" s="4">
        <v>179.0</v>
      </c>
      <c r="B9002" s="4" t="s">
        <v>19537</v>
      </c>
      <c r="C9002" s="4"/>
      <c r="D9002" s="4" t="s">
        <v>19374</v>
      </c>
      <c r="E9002" s="4" t="s">
        <v>12476</v>
      </c>
      <c r="F9002" s="4" t="s">
        <v>12477</v>
      </c>
      <c r="G9002" s="5" t="str">
        <f>IFERROR(__xludf.DUMMYFUNCTION("GOOGLETRANSLATE(D9002,""pt"",""es"")"),"quipá")</f>
        <v>quipá</v>
      </c>
    </row>
    <row r="9003">
      <c r="A9003" s="4">
        <v>180.0</v>
      </c>
      <c r="B9003" s="4" t="s">
        <v>19537</v>
      </c>
      <c r="C9003" s="4"/>
      <c r="D9003" s="4" t="s">
        <v>19375</v>
      </c>
      <c r="E9003" s="4" t="s">
        <v>3831</v>
      </c>
      <c r="F9003" s="4" t="s">
        <v>3832</v>
      </c>
      <c r="G9003" s="5" t="str">
        <f>IFERROR(__xludf.DUMMYFUNCTION("GOOGLETRANSLATE(D9003,""pt"",""es"")"),"quizás")</f>
        <v>quizás</v>
      </c>
      <c r="H9003" s="4" t="s">
        <v>19376</v>
      </c>
      <c r="I9003" s="4" t="s">
        <v>19377</v>
      </c>
      <c r="J9003" s="4" t="s">
        <v>19378</v>
      </c>
      <c r="K9003" s="4" t="s">
        <v>19379</v>
      </c>
      <c r="L9003" s="4" t="s">
        <v>19380</v>
      </c>
      <c r="M9003" s="4" t="s">
        <v>19381</v>
      </c>
    </row>
    <row r="9004">
      <c r="A9004" s="4">
        <v>181.0</v>
      </c>
      <c r="B9004" s="4" t="s">
        <v>19537</v>
      </c>
      <c r="C9004" s="4"/>
      <c r="D9004" s="4" t="s">
        <v>3854</v>
      </c>
      <c r="E9004" s="4" t="s">
        <v>3855</v>
      </c>
      <c r="F9004" s="4" t="s">
        <v>3856</v>
      </c>
      <c r="G9004" s="5" t="str">
        <f>IFERROR(__xludf.DUMMYFUNCTION("GOOGLETRANSLATE(D9004,""pt"",""es"")"),"química")</f>
        <v>química</v>
      </c>
      <c r="H9004" s="4" t="s">
        <v>3851</v>
      </c>
      <c r="I9004" s="4" t="s">
        <v>3852</v>
      </c>
      <c r="J9004" s="4" t="s">
        <v>3851</v>
      </c>
      <c r="K9004" s="4" t="s">
        <v>3857</v>
      </c>
      <c r="L9004" s="4" t="s">
        <v>3858</v>
      </c>
      <c r="M9004" s="4" t="s">
        <v>3857</v>
      </c>
      <c r="N9004" s="4" t="s">
        <v>3859</v>
      </c>
      <c r="O9004" s="4" t="s">
        <v>3860</v>
      </c>
      <c r="P9004" s="4" t="s">
        <v>3857</v>
      </c>
      <c r="Q9004" s="4" t="s">
        <v>3851</v>
      </c>
      <c r="R9004" s="4" t="s">
        <v>12048</v>
      </c>
    </row>
    <row r="9005">
      <c r="A9005" s="4">
        <v>182.0</v>
      </c>
      <c r="B9005" s="4" t="s">
        <v>19537</v>
      </c>
      <c r="C9005" s="4"/>
      <c r="D9005" s="4" t="s">
        <v>19382</v>
      </c>
      <c r="E9005" s="4" t="s">
        <v>19383</v>
      </c>
      <c r="F9005" s="4" t="s">
        <v>19384</v>
      </c>
      <c r="G9005" s="5" t="str">
        <f>IFERROR(__xludf.DUMMYFUNCTION("GOOGLETRANSLATE(D9005,""pt"",""es"")"),"químico")</f>
        <v>químico</v>
      </c>
      <c r="H9005" s="4" t="s">
        <v>3851</v>
      </c>
      <c r="I9005" s="4" t="s">
        <v>3852</v>
      </c>
      <c r="J9005" s="4" t="s">
        <v>3851</v>
      </c>
      <c r="K9005" s="4" t="s">
        <v>3853</v>
      </c>
    </row>
    <row r="9006">
      <c r="A9006" s="4">
        <v>183.0</v>
      </c>
      <c r="B9006" s="4" t="s">
        <v>19537</v>
      </c>
      <c r="C9006" s="4"/>
      <c r="D9006" s="4" t="s">
        <v>19385</v>
      </c>
      <c r="E9006" s="4" t="s">
        <v>19386</v>
      </c>
      <c r="F9006" s="4" t="s">
        <v>19387</v>
      </c>
      <c r="G9006" s="5" t="str">
        <f>IFERROR(__xludf.DUMMYFUNCTION("GOOGLETRANSLATE(D9006,""pt"",""es"")"),"azada")</f>
        <v>azada</v>
      </c>
    </row>
    <row r="9007">
      <c r="A9007" s="4">
        <v>184.0</v>
      </c>
      <c r="B9007" s="4" t="s">
        <v>19537</v>
      </c>
      <c r="C9007" s="4"/>
      <c r="D9007" s="4" t="s">
        <v>19388</v>
      </c>
      <c r="E9007" s="4" t="s">
        <v>16261</v>
      </c>
      <c r="F9007" s="4" t="s">
        <v>11075</v>
      </c>
      <c r="G9007" s="5" t="str">
        <f>IFERROR(__xludf.DUMMYFUNCTION("GOOGLETRANSLATE(D9007,""pt"",""es"")"),"bolsa")</f>
        <v>bolsa</v>
      </c>
      <c r="H9007" s="4" t="s">
        <v>3869</v>
      </c>
      <c r="I9007" s="4" t="s">
        <v>7361</v>
      </c>
      <c r="J9007" s="4" t="s">
        <v>3866</v>
      </c>
      <c r="K9007" s="4" t="s">
        <v>1785</v>
      </c>
      <c r="L9007" s="4" t="s">
        <v>7362</v>
      </c>
    </row>
    <row r="9008">
      <c r="A9008" s="4">
        <v>185.0</v>
      </c>
      <c r="B9008" s="4" t="s">
        <v>19537</v>
      </c>
      <c r="C9008" s="4"/>
      <c r="D9008" s="4" t="s">
        <v>19389</v>
      </c>
      <c r="E9008" s="4" t="s">
        <v>4855</v>
      </c>
      <c r="F9008" s="4" t="s">
        <v>2407</v>
      </c>
      <c r="G9008" s="5" t="str">
        <f>IFERROR(__xludf.DUMMYFUNCTION("GOOGLETRANSLATE(D9008,""pt"",""es"")"),"hojas")</f>
        <v>hojas</v>
      </c>
    </row>
    <row r="9009">
      <c r="A9009" s="4">
        <v>186.0</v>
      </c>
      <c r="B9009" s="4" t="s">
        <v>19537</v>
      </c>
      <c r="C9009" s="4"/>
      <c r="D9009" s="4" t="s">
        <v>14550</v>
      </c>
      <c r="E9009" s="4" t="s">
        <v>19390</v>
      </c>
      <c r="F9009" s="4" t="s">
        <v>14552</v>
      </c>
      <c r="G9009" s="5" t="str">
        <f>IFERROR(__xludf.DUMMYFUNCTION("GOOGLETRANSLATE(D9009,""pt"",""es"")"),"saio")</f>
        <v>saio</v>
      </c>
    </row>
    <row r="9010">
      <c r="A9010" s="4">
        <v>187.0</v>
      </c>
      <c r="B9010" s="4" t="s">
        <v>19537</v>
      </c>
      <c r="C9010" s="4"/>
      <c r="D9010" s="4" t="s">
        <v>19391</v>
      </c>
      <c r="E9010" s="4" t="s">
        <v>19392</v>
      </c>
      <c r="F9010" s="4" t="s">
        <v>11099</v>
      </c>
      <c r="G9010" s="5" t="str">
        <f>IFERROR(__xludf.DUMMYFUNCTION("GOOGLETRANSLATE(D9010,""pt"",""es"")"),"samo")</f>
        <v>samo</v>
      </c>
    </row>
    <row r="9011">
      <c r="A9011" s="4">
        <v>188.0</v>
      </c>
      <c r="B9011" s="4" t="s">
        <v>19537</v>
      </c>
      <c r="C9011" s="4"/>
      <c r="D9011" s="4" t="s">
        <v>19393</v>
      </c>
      <c r="E9011" s="4" t="s">
        <v>19394</v>
      </c>
      <c r="F9011" s="4" t="s">
        <v>19395</v>
      </c>
      <c r="G9011" s="5" t="str">
        <f>IFERROR(__xludf.DUMMYFUNCTION("GOOGLETRANSLATE(D9011,""pt"",""es"")"),"samurai")</f>
        <v>samurai</v>
      </c>
      <c r="H9011" s="4" t="s">
        <v>19393</v>
      </c>
    </row>
    <row r="9012">
      <c r="A9012" s="4">
        <v>189.0</v>
      </c>
      <c r="B9012" s="4" t="s">
        <v>19537</v>
      </c>
      <c r="C9012" s="4"/>
      <c r="D9012" s="4" t="s">
        <v>19396</v>
      </c>
      <c r="E9012" s="4" t="s">
        <v>19397</v>
      </c>
      <c r="F9012" s="4" t="s">
        <v>19396</v>
      </c>
      <c r="G9012" s="5" t="str">
        <f>IFERROR(__xludf.DUMMYFUNCTION("GOOGLETRANSLATE(D9012,""pt"",""es"")"),"zapato")</f>
        <v>zapato</v>
      </c>
      <c r="H9012" s="4" t="s">
        <v>19398</v>
      </c>
      <c r="I9012" s="4" t="s">
        <v>19399</v>
      </c>
      <c r="J9012" s="4" t="s">
        <v>19400</v>
      </c>
    </row>
    <row r="9013">
      <c r="A9013" s="4">
        <v>190.0</v>
      </c>
      <c r="B9013" s="4" t="s">
        <v>19537</v>
      </c>
      <c r="C9013" s="4"/>
      <c r="D9013" s="4" t="s">
        <v>19401</v>
      </c>
      <c r="E9013" s="4" t="s">
        <v>19402</v>
      </c>
      <c r="F9013" s="4" t="s">
        <v>19403</v>
      </c>
      <c r="G9013" s="5" t="str">
        <f>IFERROR(__xludf.DUMMYFUNCTION("GOOGLETRANSLATE(D9013,""pt"",""es"")"),"zapato")</f>
        <v>zapato</v>
      </c>
      <c r="H9013" s="4" t="s">
        <v>19404</v>
      </c>
      <c r="I9013" s="4" t="s">
        <v>19399</v>
      </c>
    </row>
    <row r="9014">
      <c r="A9014" s="4">
        <v>191.0</v>
      </c>
      <c r="B9014" s="4" t="s">
        <v>19537</v>
      </c>
      <c r="C9014" s="4"/>
      <c r="D9014" s="4" t="s">
        <v>19405</v>
      </c>
      <c r="E9014" s="4" t="s">
        <v>19406</v>
      </c>
      <c r="F9014" s="4" t="s">
        <v>19407</v>
      </c>
      <c r="G9014" s="5" t="str">
        <f>IFERROR(__xludf.DUMMYFUNCTION("GOOGLETRANSLATE(D9014,""pt"",""es"")"),"rana")</f>
        <v>rana</v>
      </c>
      <c r="H9014" s="4" t="s">
        <v>19408</v>
      </c>
      <c r="I9014" s="4" t="s">
        <v>19409</v>
      </c>
      <c r="J9014" s="4" t="s">
        <v>19410</v>
      </c>
      <c r="K9014" s="4" t="s">
        <v>19411</v>
      </c>
      <c r="L9014" s="4" t="s">
        <v>19412</v>
      </c>
      <c r="M9014" s="4" t="s">
        <v>19413</v>
      </c>
      <c r="N9014" s="4" t="s">
        <v>19414</v>
      </c>
      <c r="O9014" s="4" t="s">
        <v>19415</v>
      </c>
      <c r="P9014" s="4" t="s">
        <v>19414</v>
      </c>
      <c r="Q9014" s="4" t="s">
        <v>19415</v>
      </c>
      <c r="R9014" s="4" t="s">
        <v>19416</v>
      </c>
    </row>
    <row r="9015">
      <c r="A9015" s="4">
        <v>192.0</v>
      </c>
      <c r="B9015" s="4" t="s">
        <v>19537</v>
      </c>
      <c r="C9015" s="4"/>
      <c r="D9015" s="4" t="s">
        <v>19417</v>
      </c>
      <c r="E9015" s="4" t="s">
        <v>19418</v>
      </c>
      <c r="F9015" s="4" t="s">
        <v>19419</v>
      </c>
      <c r="G9015" s="5" t="str">
        <f>IFERROR(__xludf.DUMMYFUNCTION("GOOGLETRANSLATE(D9015,""pt"",""es"")"),"sarilho")</f>
        <v>sarilho</v>
      </c>
    </row>
    <row r="9016">
      <c r="A9016" s="4">
        <v>193.0</v>
      </c>
      <c r="B9016" s="4" t="s">
        <v>19537</v>
      </c>
      <c r="C9016" s="4"/>
      <c r="D9016" s="4" t="s">
        <v>7428</v>
      </c>
      <c r="E9016" s="4" t="s">
        <v>16274</v>
      </c>
      <c r="F9016" s="4" t="s">
        <v>7428</v>
      </c>
      <c r="G9016" s="5" t="str">
        <f>IFERROR(__xludf.DUMMYFUNCTION("GOOGLETRANSLATE(D9016,""pt"",""es"")"),"Sashimi")</f>
        <v>Sashimi</v>
      </c>
      <c r="H9016" s="4" t="s">
        <v>7428</v>
      </c>
    </row>
    <row r="9017">
      <c r="A9017" s="4">
        <v>194.0</v>
      </c>
      <c r="B9017" s="4" t="s">
        <v>19537</v>
      </c>
      <c r="C9017" s="4"/>
      <c r="D9017" s="4" t="s">
        <v>8724</v>
      </c>
      <c r="E9017" s="4" t="s">
        <v>19420</v>
      </c>
      <c r="F9017" s="4" t="s">
        <v>8726</v>
      </c>
      <c r="G9017" s="5" t="str">
        <f>IFERROR(__xludf.DUMMYFUNCTION("GOOGLETRANSLATE(D9017,""pt"",""es"")"),"shiitake")</f>
        <v>shiitake</v>
      </c>
      <c r="H9017" s="4" t="s">
        <v>8724</v>
      </c>
      <c r="I9017" s="4" t="s">
        <v>8727</v>
      </c>
      <c r="J9017" s="4" t="s">
        <v>8728</v>
      </c>
      <c r="K9017" s="4" t="s">
        <v>8729</v>
      </c>
      <c r="L9017" s="4" t="s">
        <v>8730</v>
      </c>
      <c r="M9017" s="4" t="s">
        <v>8731</v>
      </c>
    </row>
    <row r="9018">
      <c r="A9018" s="4">
        <v>195.0</v>
      </c>
      <c r="B9018" s="4" t="s">
        <v>19537</v>
      </c>
      <c r="C9018" s="4"/>
      <c r="D9018" s="4" t="s">
        <v>401</v>
      </c>
      <c r="E9018" s="4" t="s">
        <v>400</v>
      </c>
      <c r="F9018" s="4" t="s">
        <v>401</v>
      </c>
      <c r="G9018" s="5" t="str">
        <f>IFERROR(__xludf.DUMMYFUNCTION("GOOGLETRANSLATE(D9018,""pt"",""es"")"),"si")</f>
        <v>si</v>
      </c>
      <c r="H9018" s="4" t="s">
        <v>422</v>
      </c>
      <c r="I9018" s="4" t="s">
        <v>3975</v>
      </c>
      <c r="J9018" s="4" t="s">
        <v>401</v>
      </c>
    </row>
    <row r="9019">
      <c r="A9019" s="4">
        <v>196.0</v>
      </c>
      <c r="B9019" s="4" t="s">
        <v>19537</v>
      </c>
      <c r="C9019" s="4"/>
      <c r="D9019" s="4" t="s">
        <v>19421</v>
      </c>
      <c r="E9019" s="4" t="s">
        <v>19422</v>
      </c>
      <c r="F9019" s="4" t="s">
        <v>19423</v>
      </c>
      <c r="G9019" s="5" t="str">
        <f>IFERROR(__xludf.DUMMYFUNCTION("GOOGLETRANSLATE(D9019,""pt"",""es"")"),"sipaio")</f>
        <v>sipaio</v>
      </c>
    </row>
    <row r="9020">
      <c r="A9020" s="4">
        <v>197.0</v>
      </c>
      <c r="B9020" s="4" t="s">
        <v>19537</v>
      </c>
      <c r="C9020" s="4"/>
      <c r="D9020" s="4" t="s">
        <v>19424</v>
      </c>
      <c r="E9020" s="4" t="s">
        <v>19425</v>
      </c>
      <c r="F9020" s="4" t="s">
        <v>19426</v>
      </c>
      <c r="G9020" s="5" t="str">
        <f>IFERROR(__xludf.DUMMYFUNCTION("GOOGLETRANSLATE(D9020,""pt"",""es"")"),"siririca")</f>
        <v>siririca</v>
      </c>
    </row>
    <row r="9021">
      <c r="A9021" s="4">
        <v>198.0</v>
      </c>
      <c r="B9021" s="4" t="s">
        <v>19537</v>
      </c>
      <c r="C9021" s="4"/>
      <c r="D9021" s="4" t="s">
        <v>19427</v>
      </c>
      <c r="E9021" s="4" t="s">
        <v>11234</v>
      </c>
      <c r="F9021" s="4" t="s">
        <v>11233</v>
      </c>
      <c r="G9021" s="5" t="str">
        <f>IFERROR(__xludf.DUMMYFUNCTION("GOOGLETRANSLATE(D9021,""pt"",""es"")"),"jugo")</f>
        <v>jugo</v>
      </c>
      <c r="H9021" s="4" t="s">
        <v>4110</v>
      </c>
      <c r="I9021" s="4" t="s">
        <v>4111</v>
      </c>
      <c r="J9021" s="4" t="s">
        <v>4112</v>
      </c>
    </row>
    <row r="9022">
      <c r="A9022" s="4">
        <v>199.0</v>
      </c>
      <c r="B9022" s="4" t="s">
        <v>19537</v>
      </c>
      <c r="C9022" s="4"/>
      <c r="D9022" s="4" t="s">
        <v>19428</v>
      </c>
      <c r="E9022" s="4" t="s">
        <v>19429</v>
      </c>
      <c r="F9022" s="4" t="s">
        <v>19430</v>
      </c>
      <c r="G9022" s="5" t="str">
        <f>IFERROR(__xludf.DUMMYFUNCTION("GOOGLETRANSLATE(D9022,""pt"",""es"")"),"Sumiko")</f>
        <v>Sumiko</v>
      </c>
    </row>
    <row r="9023">
      <c r="A9023" s="4">
        <v>200.0</v>
      </c>
      <c r="B9023" s="4" t="s">
        <v>19537</v>
      </c>
      <c r="C9023" s="4"/>
      <c r="D9023" s="4" t="s">
        <v>19431</v>
      </c>
      <c r="E9023" s="4" t="s">
        <v>19432</v>
      </c>
      <c r="F9023" s="4" t="s">
        <v>19433</v>
      </c>
      <c r="G9023" s="5" t="str">
        <f>IFERROR(__xludf.DUMMYFUNCTION("GOOGLETRANSLATE(D9023,""pt"",""es"")"),"desaparición")</f>
        <v>desaparición</v>
      </c>
    </row>
    <row r="9024">
      <c r="A9024" s="4">
        <v>201.0</v>
      </c>
      <c r="B9024" s="4" t="s">
        <v>19537</v>
      </c>
      <c r="C9024" s="4"/>
      <c r="D9024" s="4" t="s">
        <v>19434</v>
      </c>
      <c r="E9024" s="4" t="s">
        <v>19435</v>
      </c>
      <c r="F9024" s="4" t="s">
        <v>19436</v>
      </c>
      <c r="G9024" s="5" t="str">
        <f>IFERROR(__xludf.DUMMYFUNCTION("GOOGLETRANSLATE(D9024,""pt"",""es"")"),"excedente")</f>
        <v>excedente</v>
      </c>
    </row>
    <row r="9025">
      <c r="A9025" s="4">
        <v>202.0</v>
      </c>
      <c r="B9025" s="4" t="s">
        <v>19537</v>
      </c>
      <c r="C9025" s="4"/>
      <c r="D9025" s="4" t="s">
        <v>19437</v>
      </c>
      <c r="E9025" s="4" t="s">
        <v>19438</v>
      </c>
      <c r="F9025" s="4" t="s">
        <v>19439</v>
      </c>
      <c r="G9025" s="5" t="str">
        <f>IFERROR(__xludf.DUMMYFUNCTION("GOOGLETRANSLATE(D9025,""pt"",""es"")"),"tacho")</f>
        <v>tacho</v>
      </c>
      <c r="H9025" s="4" t="s">
        <v>19440</v>
      </c>
    </row>
    <row r="9026">
      <c r="A9026" s="4">
        <v>203.0</v>
      </c>
      <c r="B9026" s="4" t="s">
        <v>19537</v>
      </c>
      <c r="C9026" s="4"/>
      <c r="D9026" s="4" t="s">
        <v>4247</v>
      </c>
      <c r="E9026" s="4" t="s">
        <v>4248</v>
      </c>
      <c r="F9026" s="4" t="s">
        <v>4249</v>
      </c>
      <c r="G9026" s="5" t="str">
        <f>IFERROR(__xludf.DUMMYFUNCTION("GOOGLETRANSLATE(D9026,""pt"",""es"")"),"taco")</f>
        <v>taco</v>
      </c>
      <c r="H9026" s="4" t="s">
        <v>6604</v>
      </c>
      <c r="I9026" s="4" t="s">
        <v>19441</v>
      </c>
      <c r="J9026" s="4" t="s">
        <v>19442</v>
      </c>
      <c r="K9026" s="4" t="s">
        <v>19443</v>
      </c>
      <c r="L9026" s="4" t="s">
        <v>19444</v>
      </c>
      <c r="M9026" s="4" t="s">
        <v>3164</v>
      </c>
      <c r="N9026" s="4" t="s">
        <v>3165</v>
      </c>
      <c r="O9026" s="4" t="s">
        <v>3166</v>
      </c>
      <c r="P9026" s="4" t="s">
        <v>4247</v>
      </c>
    </row>
    <row r="9027">
      <c r="A9027" s="4">
        <v>204.0</v>
      </c>
      <c r="B9027" s="4" t="s">
        <v>19537</v>
      </c>
      <c r="C9027" s="4"/>
      <c r="D9027" s="4" t="s">
        <v>19445</v>
      </c>
      <c r="E9027" s="4" t="s">
        <v>19446</v>
      </c>
      <c r="F9027" s="4" t="s">
        <v>19447</v>
      </c>
      <c r="G9027" s="5" t="str">
        <f>IFERROR(__xludf.DUMMYFUNCTION("GOOGLETRANSLATE(D9027,""pt"",""es"")"),"Tahin")</f>
        <v>Tahin</v>
      </c>
      <c r="H9027" s="4" t="s">
        <v>19447</v>
      </c>
    </row>
    <row r="9028">
      <c r="A9028" s="4">
        <v>205.0</v>
      </c>
      <c r="B9028" s="4" t="s">
        <v>19537</v>
      </c>
      <c r="C9028" s="4"/>
      <c r="D9028" s="4" t="s">
        <v>19448</v>
      </c>
      <c r="E9028" s="4" t="s">
        <v>19449</v>
      </c>
      <c r="F9028" s="4" t="s">
        <v>19450</v>
      </c>
      <c r="G9028" s="5" t="str">
        <f>IFERROR(__xludf.DUMMYFUNCTION("GOOGLETRANSLATE(D9028,""pt"",""es"")"),"tallado")</f>
        <v>tallado</v>
      </c>
      <c r="H9028" s="4" t="s">
        <v>13767</v>
      </c>
      <c r="I9028" s="4" t="s">
        <v>13773</v>
      </c>
    </row>
    <row r="9029">
      <c r="A9029" s="4">
        <v>206.0</v>
      </c>
      <c r="B9029" s="4" t="s">
        <v>19537</v>
      </c>
      <c r="C9029" s="4"/>
      <c r="D9029" s="4" t="s">
        <v>19451</v>
      </c>
      <c r="E9029" s="4" t="s">
        <v>19452</v>
      </c>
      <c r="F9029" s="4" t="s">
        <v>19453</v>
      </c>
      <c r="G9029" s="5" t="str">
        <f>IFERROR(__xludf.DUMMYFUNCTION("GOOGLETRANSLATE(D9029,""pt"",""es"")"),"carnicero")</f>
        <v>carnicero</v>
      </c>
      <c r="H9029" s="4" t="s">
        <v>19454</v>
      </c>
      <c r="I9029" s="4" t="s">
        <v>19455</v>
      </c>
    </row>
    <row r="9030">
      <c r="A9030" s="4">
        <v>207.0</v>
      </c>
      <c r="B9030" s="4" t="s">
        <v>19537</v>
      </c>
      <c r="C9030" s="4"/>
      <c r="D9030" s="4" t="s">
        <v>19456</v>
      </c>
      <c r="E9030" s="4" t="s">
        <v>19457</v>
      </c>
      <c r="F9030" s="4" t="s">
        <v>19458</v>
      </c>
      <c r="G9030" s="5" t="str">
        <f>IFERROR(__xludf.DUMMYFUNCTION("GOOGLETRANSLATE(D9030,""pt"",""es"")"),"acechar")</f>
        <v>acechar</v>
      </c>
      <c r="H9030" s="4" t="s">
        <v>19459</v>
      </c>
    </row>
    <row r="9031">
      <c r="A9031" s="4">
        <v>208.0</v>
      </c>
      <c r="B9031" s="4" t="s">
        <v>19537</v>
      </c>
      <c r="C9031" s="4"/>
      <c r="D9031" s="4" t="s">
        <v>2509</v>
      </c>
      <c r="E9031" s="4" t="s">
        <v>13750</v>
      </c>
      <c r="F9031" s="4" t="s">
        <v>11522</v>
      </c>
      <c r="G9031" s="5" t="str">
        <f>IFERROR(__xludf.DUMMYFUNCTION("GOOGLETRANSLATE(D9031,""pt"",""es"")"),"alquitrán")</f>
        <v>alquitrán</v>
      </c>
      <c r="H9031" s="4" t="s">
        <v>2509</v>
      </c>
    </row>
    <row r="9032">
      <c r="A9032" s="4">
        <v>209.0</v>
      </c>
      <c r="B9032" s="4" t="s">
        <v>19537</v>
      </c>
      <c r="C9032" s="4"/>
      <c r="D9032" s="4" t="s">
        <v>19460</v>
      </c>
      <c r="E9032" s="4" t="s">
        <v>13825</v>
      </c>
      <c r="F9032" s="4" t="s">
        <v>11378</v>
      </c>
      <c r="G9032" s="5" t="str">
        <f>IFERROR(__xludf.DUMMYFUNCTION("GOOGLETRANSLATE(D9032,""pt"",""es"")"),"tacto")</f>
        <v>tacto</v>
      </c>
      <c r="H9032" s="4" t="s">
        <v>19461</v>
      </c>
      <c r="I9032" s="4" t="s">
        <v>19462</v>
      </c>
    </row>
    <row r="9033">
      <c r="A9033" s="4">
        <v>210.0</v>
      </c>
      <c r="B9033" s="4" t="s">
        <v>19537</v>
      </c>
      <c r="C9033" s="4"/>
      <c r="D9033" s="4" t="s">
        <v>11378</v>
      </c>
      <c r="E9033" s="4" t="s">
        <v>13825</v>
      </c>
      <c r="F9033" s="4" t="s">
        <v>11378</v>
      </c>
      <c r="G9033" s="5" t="str">
        <f>IFERROR(__xludf.DUMMYFUNCTION("GOOGLETRANSLATE(D9033,""pt"",""es"")"),"armadillo")</f>
        <v>armadillo</v>
      </c>
      <c r="H9033" s="4" t="s">
        <v>13826</v>
      </c>
    </row>
    <row r="9034">
      <c r="A9034" s="4">
        <v>211.0</v>
      </c>
      <c r="B9034" s="4" t="s">
        <v>19537</v>
      </c>
      <c r="C9034" s="4"/>
      <c r="D9034" s="4" t="s">
        <v>19463</v>
      </c>
      <c r="E9034" s="4" t="s">
        <v>19438</v>
      </c>
      <c r="F9034" s="4" t="s">
        <v>19439</v>
      </c>
      <c r="G9034" s="5" t="str">
        <f>IFERROR(__xludf.DUMMYFUNCTION("GOOGLETRANSLATE(D9034,""pt"",""es"")"),"agotador")</f>
        <v>agotador</v>
      </c>
    </row>
    <row r="9035">
      <c r="A9035" s="4">
        <v>212.0</v>
      </c>
      <c r="B9035" s="4" t="s">
        <v>19537</v>
      </c>
      <c r="C9035" s="4"/>
      <c r="D9035" s="4" t="s">
        <v>3975</v>
      </c>
      <c r="E9035" s="4" t="s">
        <v>421</v>
      </c>
      <c r="F9035" s="4" t="s">
        <v>422</v>
      </c>
      <c r="G9035" s="5" t="str">
        <f>IFERROR(__xludf.DUMMYFUNCTION("GOOGLETRANSLATE(D9035,""pt"",""es"")"),"tú")</f>
        <v>tú</v>
      </c>
    </row>
    <row r="9036">
      <c r="A9036" s="4">
        <v>213.0</v>
      </c>
      <c r="B9036" s="4" t="s">
        <v>19537</v>
      </c>
      <c r="C9036" s="4"/>
      <c r="D9036" s="4" t="s">
        <v>3975</v>
      </c>
      <c r="E9036" s="4" t="s">
        <v>19464</v>
      </c>
      <c r="F9036" s="4" t="s">
        <v>422</v>
      </c>
      <c r="G9036" s="5" t="str">
        <f>IFERROR(__xludf.DUMMYFUNCTION("GOOGLETRANSLATE(D9036,""pt"",""es"")"),"tú")</f>
        <v>tú</v>
      </c>
    </row>
    <row r="9037">
      <c r="A9037" s="4">
        <v>214.0</v>
      </c>
      <c r="B9037" s="4" t="s">
        <v>19537</v>
      </c>
      <c r="C9037" s="4"/>
      <c r="D9037" s="4" t="s">
        <v>4555</v>
      </c>
      <c r="E9037" s="4" t="s">
        <v>4556</v>
      </c>
      <c r="F9037" s="4" t="s">
        <v>4555</v>
      </c>
      <c r="G9037" s="5" t="str">
        <f>IFERROR(__xludf.DUMMYFUNCTION("GOOGLETRANSLATE(D9037,""pt"",""es"")"),"tú")</f>
        <v>tú</v>
      </c>
    </row>
    <row r="9038">
      <c r="A9038" s="4">
        <v>215.0</v>
      </c>
      <c r="B9038" s="4" t="s">
        <v>19537</v>
      </c>
      <c r="C9038" s="4"/>
      <c r="D9038" s="4" t="s">
        <v>19465</v>
      </c>
      <c r="E9038" s="4" t="s">
        <v>19466</v>
      </c>
      <c r="F9038" s="4" t="s">
        <v>19467</v>
      </c>
      <c r="G9038" s="5" t="str">
        <f>IFERROR(__xludf.DUMMYFUNCTION("GOOGLETRANSLATE(D9038,""pt"",""es"")"),"tucux")</f>
        <v>tucux</v>
      </c>
    </row>
    <row r="9039">
      <c r="A9039" s="4">
        <v>216.0</v>
      </c>
      <c r="B9039" s="4" t="s">
        <v>19537</v>
      </c>
      <c r="C9039" s="4"/>
      <c r="D9039" s="4" t="s">
        <v>19468</v>
      </c>
      <c r="E9039" s="4" t="s">
        <v>452</v>
      </c>
      <c r="F9039" s="4" t="s">
        <v>453</v>
      </c>
      <c r="G9039" s="5" t="str">
        <f>IFERROR(__xludf.DUMMYFUNCTION("GOOGLETRANSLATE(D9039,""pt"",""es"")"),"tui")</f>
        <v>tui</v>
      </c>
    </row>
    <row r="9040">
      <c r="A9040" s="4">
        <v>217.0</v>
      </c>
      <c r="B9040" s="4" t="s">
        <v>19537</v>
      </c>
      <c r="C9040" s="4"/>
      <c r="D9040" s="4" t="s">
        <v>19469</v>
      </c>
      <c r="E9040" s="4" t="s">
        <v>19470</v>
      </c>
      <c r="F9040" s="4" t="s">
        <v>19471</v>
      </c>
      <c r="G9040" s="5" t="str">
        <f>IFERROR(__xludf.DUMMYFUNCTION("GOOGLETRANSLATE(D9040,""pt"",""es"")"),"tuiuiu")</f>
        <v>tuiuiu</v>
      </c>
      <c r="H9040" s="4" t="s">
        <v>19472</v>
      </c>
      <c r="I9040" s="4" t="s">
        <v>19473</v>
      </c>
    </row>
    <row r="9041">
      <c r="A9041" s="4">
        <v>218.0</v>
      </c>
      <c r="B9041" s="4" t="s">
        <v>19537</v>
      </c>
      <c r="C9041" s="4"/>
      <c r="D9041" s="4" t="s">
        <v>4523</v>
      </c>
      <c r="E9041" s="4" t="s">
        <v>4522</v>
      </c>
      <c r="F9041" s="4" t="s">
        <v>4523</v>
      </c>
      <c r="G9041" s="5" t="str">
        <f>IFERROR(__xludf.DUMMYFUNCTION("GOOGLETRANSLATE(D9041,""pt"",""es"")"),"Tupi")</f>
        <v>Tupi</v>
      </c>
      <c r="H9041" s="4" t="s">
        <v>13912</v>
      </c>
      <c r="I9041" s="4" t="s">
        <v>13912</v>
      </c>
    </row>
    <row r="9042">
      <c r="A9042" s="4">
        <v>219.0</v>
      </c>
      <c r="B9042" s="4" t="s">
        <v>19537</v>
      </c>
      <c r="C9042" s="4"/>
      <c r="D9042" s="4" t="s">
        <v>19474</v>
      </c>
      <c r="E9042" s="4" t="s">
        <v>19475</v>
      </c>
      <c r="F9042" s="4" t="s">
        <v>19474</v>
      </c>
      <c r="G9042" s="5" t="str">
        <f>IFERROR(__xludf.DUMMYFUNCTION("GOOGLETRANSLATE(D9042,""pt"",""es"")"),"turu")</f>
        <v>turu</v>
      </c>
    </row>
    <row r="9043">
      <c r="A9043" s="4">
        <v>220.0</v>
      </c>
      <c r="B9043" s="4" t="s">
        <v>19537</v>
      </c>
      <c r="C9043" s="4"/>
      <c r="D9043" s="4" t="s">
        <v>19476</v>
      </c>
      <c r="E9043" s="4" t="s">
        <v>13750</v>
      </c>
      <c r="F9043" s="4" t="s">
        <v>11522</v>
      </c>
      <c r="G9043" s="5" t="str">
        <f>IFERROR(__xludf.DUMMYFUNCTION("GOOGLETRANSLATE(D9043,""pt"",""es"")"),"OK")</f>
        <v>OK</v>
      </c>
    </row>
    <row r="9044">
      <c r="A9044" s="4">
        <v>221.0</v>
      </c>
      <c r="B9044" s="4" t="s">
        <v>19537</v>
      </c>
      <c r="C9044" s="4"/>
      <c r="D9044" s="4" t="s">
        <v>19477</v>
      </c>
      <c r="E9044" s="4" t="s">
        <v>19478</v>
      </c>
      <c r="F9044" s="4" t="s">
        <v>19479</v>
      </c>
      <c r="G9044" s="5" t="str">
        <f>IFERROR(__xludf.DUMMYFUNCTION("GOOGLETRANSLATE(D9044,""pt"",""es"")"),"tácito")</f>
        <v>tácito</v>
      </c>
      <c r="H9044" s="4" t="s">
        <v>16326</v>
      </c>
      <c r="I9044" s="4" t="s">
        <v>19480</v>
      </c>
      <c r="J9044" s="4" t="s">
        <v>19481</v>
      </c>
    </row>
    <row r="9045">
      <c r="A9045" s="4">
        <v>222.0</v>
      </c>
      <c r="B9045" s="4" t="s">
        <v>19537</v>
      </c>
      <c r="C9045" s="4"/>
      <c r="D9045" s="4" t="s">
        <v>19482</v>
      </c>
      <c r="E9045" s="4" t="s">
        <v>19483</v>
      </c>
      <c r="F9045" s="4" t="s">
        <v>19484</v>
      </c>
      <c r="G9045" s="5" t="str">
        <f>IFERROR(__xludf.DUMMYFUNCTION("GOOGLETRANSLATE(D9045,""pt"",""es"")"),"talón")</f>
        <v>talón</v>
      </c>
      <c r="H9045" s="4" t="s">
        <v>19485</v>
      </c>
      <c r="I9045" s="4" t="s">
        <v>19486</v>
      </c>
      <c r="J9045" s="4" t="s">
        <v>19487</v>
      </c>
      <c r="K9045" s="4" t="s">
        <v>19484</v>
      </c>
      <c r="L9045" s="4" t="s">
        <v>19485</v>
      </c>
      <c r="M9045" s="4" t="s">
        <v>19486</v>
      </c>
      <c r="N9045" s="4" t="s">
        <v>19487</v>
      </c>
      <c r="O9045" s="4" t="s">
        <v>19484</v>
      </c>
    </row>
    <row r="9046">
      <c r="A9046" s="4">
        <v>223.0</v>
      </c>
      <c r="B9046" s="4" t="s">
        <v>19537</v>
      </c>
      <c r="C9046" s="4"/>
      <c r="D9046" s="4" t="s">
        <v>19488</v>
      </c>
      <c r="E9046" s="4" t="s">
        <v>19489</v>
      </c>
      <c r="F9046" s="4" t="s">
        <v>19490</v>
      </c>
      <c r="G9046" s="5" t="str">
        <f>IFERROR(__xludf.DUMMYFUNCTION("GOOGLETRANSLATE(D9046,""pt"",""es"")"),"tumba")</f>
        <v>tumba</v>
      </c>
      <c r="H9046" s="4" t="s">
        <v>19491</v>
      </c>
      <c r="I9046" s="4" t="s">
        <v>19492</v>
      </c>
      <c r="J9046" s="4" t="s">
        <v>19493</v>
      </c>
      <c r="K9046" s="4" t="s">
        <v>19494</v>
      </c>
      <c r="L9046" s="4" t="s">
        <v>8848</v>
      </c>
      <c r="M9046" s="4" t="s">
        <v>8845</v>
      </c>
    </row>
    <row r="9047">
      <c r="A9047" s="4">
        <v>224.0</v>
      </c>
      <c r="B9047" s="4" t="s">
        <v>19537</v>
      </c>
      <c r="C9047" s="4"/>
      <c r="D9047" s="4" t="s">
        <v>19495</v>
      </c>
      <c r="E9047" s="4" t="s">
        <v>19496</v>
      </c>
      <c r="F9047" s="4" t="s">
        <v>19497</v>
      </c>
      <c r="G9047" s="5" t="str">
        <f>IFERROR(__xludf.DUMMYFUNCTION("GOOGLETRANSLATE(D9047,""pt"",""es"")"),"uña")</f>
        <v>uña</v>
      </c>
    </row>
    <row r="9048">
      <c r="A9048" s="4">
        <v>225.0</v>
      </c>
      <c r="B9048" s="4" t="s">
        <v>19537</v>
      </c>
      <c r="C9048" s="4"/>
      <c r="D9048" s="4" t="s">
        <v>19498</v>
      </c>
      <c r="E9048" s="4" t="s">
        <v>19499</v>
      </c>
      <c r="F9048" s="4" t="s">
        <v>19500</v>
      </c>
      <c r="G9048" s="5" t="str">
        <f>IFERROR(__xludf.DUMMYFUNCTION("GOOGLETRANSLATE(D9048,""pt"",""es"")"),"uRO")</f>
        <v>uRO</v>
      </c>
    </row>
    <row r="9049">
      <c r="A9049" s="4">
        <v>226.0</v>
      </c>
      <c r="B9049" s="4" t="s">
        <v>19537</v>
      </c>
      <c r="C9049" s="4"/>
      <c r="D9049" s="4" t="s">
        <v>19501</v>
      </c>
      <c r="E9049" s="4" t="s">
        <v>14671</v>
      </c>
      <c r="F9049" s="4" t="s">
        <v>14672</v>
      </c>
      <c r="G9049" s="5" t="str">
        <f>IFERROR(__xludf.DUMMYFUNCTION("GOOGLETRANSLATE(D9049,""pt"",""es"")"),"USSO")</f>
        <v>USSO</v>
      </c>
    </row>
    <row r="9050">
      <c r="A9050" s="4">
        <v>227.0</v>
      </c>
      <c r="B9050" s="4" t="s">
        <v>19537</v>
      </c>
      <c r="C9050" s="4"/>
      <c r="D9050" s="4" t="s">
        <v>17005</v>
      </c>
      <c r="E9050" s="4" t="s">
        <v>17006</v>
      </c>
      <c r="F9050" s="4" t="s">
        <v>17007</v>
      </c>
      <c r="G9050" s="5" t="str">
        <f>IFERROR(__xludf.DUMMYFUNCTION("GOOGLETRANSLATE(D9050,""pt"",""es"")"),"Utah")</f>
        <v>Utah</v>
      </c>
      <c r="H9050" s="4" t="s">
        <v>19502</v>
      </c>
      <c r="I9050" s="4" t="s">
        <v>19503</v>
      </c>
      <c r="J9050" s="4" t="s">
        <v>19504</v>
      </c>
      <c r="K9050" s="4" t="s">
        <v>19505</v>
      </c>
    </row>
    <row r="9051">
      <c r="A9051" s="4">
        <v>228.0</v>
      </c>
      <c r="B9051" s="4" t="s">
        <v>19537</v>
      </c>
      <c r="C9051" s="4"/>
      <c r="D9051" s="4" t="s">
        <v>19506</v>
      </c>
      <c r="E9051" s="4" t="s">
        <v>4671</v>
      </c>
      <c r="F9051" s="4" t="s">
        <v>4672</v>
      </c>
      <c r="G9051" s="5" t="str">
        <f>IFERROR(__xludf.DUMMYFUNCTION("GOOGLETRANSLATE(D9051,""pt"",""es"")"),"cha")</f>
        <v>cha</v>
      </c>
      <c r="H9051" s="4" t="s">
        <v>4673</v>
      </c>
      <c r="I9051" s="4" t="s">
        <v>4674</v>
      </c>
      <c r="J9051" s="4" t="s">
        <v>4673</v>
      </c>
      <c r="K9051" s="4" t="s">
        <v>4674</v>
      </c>
    </row>
    <row r="9052">
      <c r="A9052" s="4">
        <v>229.0</v>
      </c>
      <c r="B9052" s="4" t="s">
        <v>19537</v>
      </c>
      <c r="C9052" s="4"/>
      <c r="D9052" s="4" t="s">
        <v>19507</v>
      </c>
      <c r="E9052" s="4" t="s">
        <v>19508</v>
      </c>
      <c r="F9052" s="4" t="s">
        <v>19509</v>
      </c>
      <c r="G9052" s="5" t="str">
        <f>IFERROR(__xludf.DUMMYFUNCTION("GOOGLETRANSLATE(D9052,""pt"",""es"")"),"taza")</f>
        <v>taza</v>
      </c>
      <c r="H9052" s="4" t="s">
        <v>4378</v>
      </c>
    </row>
    <row r="9053">
      <c r="A9053" s="4">
        <v>230.0</v>
      </c>
      <c r="B9053" s="4" t="s">
        <v>19537</v>
      </c>
      <c r="C9053" s="4"/>
      <c r="D9053" s="4" t="s">
        <v>19510</v>
      </c>
      <c r="E9053" s="4" t="s">
        <v>19511</v>
      </c>
      <c r="F9053" s="4" t="s">
        <v>19512</v>
      </c>
      <c r="G9053" s="5" t="str">
        <f>IFERROR(__xludf.DUMMYFUNCTION("GOOGLETRANSLATE(D9053,""pt"",""es"")"),"Yukiko")</f>
        <v>Yukiko</v>
      </c>
    </row>
    <row r="9054">
      <c r="A9054" s="4">
        <v>231.0</v>
      </c>
      <c r="B9054" s="4" t="s">
        <v>19537</v>
      </c>
      <c r="C9054" s="4"/>
      <c r="D9054" s="4" t="s">
        <v>19513</v>
      </c>
      <c r="E9054" s="4" t="s">
        <v>19514</v>
      </c>
      <c r="F9054" s="4" t="s">
        <v>19515</v>
      </c>
      <c r="G9054" s="5" t="str">
        <f>IFERROR(__xludf.DUMMYFUNCTION("GOOGLETRANSLATE(D9054,""pt"",""es"")"),"yuko")</f>
        <v>yuko</v>
      </c>
    </row>
    <row r="9055">
      <c r="A9055" s="4">
        <v>232.0</v>
      </c>
      <c r="B9055" s="4" t="s">
        <v>19537</v>
      </c>
      <c r="C9055" s="4"/>
      <c r="D9055" s="4" t="s">
        <v>19516</v>
      </c>
      <c r="E9055" s="4" t="s">
        <v>19517</v>
      </c>
      <c r="F9055" s="4" t="s">
        <v>19516</v>
      </c>
      <c r="G9055" s="5" t="str">
        <f>IFERROR(__xludf.DUMMYFUNCTION("GOOGLETRANSLATE(D9055,""pt"",""es"")"),"Yuri")</f>
        <v>Yuri</v>
      </c>
    </row>
    <row r="9056">
      <c r="A9056" s="4">
        <v>233.0</v>
      </c>
      <c r="B9056" s="4" t="s">
        <v>19537</v>
      </c>
      <c r="C9056" s="4"/>
      <c r="D9056" s="4" t="s">
        <v>19518</v>
      </c>
      <c r="E9056" s="4" t="s">
        <v>19519</v>
      </c>
      <c r="F9056" s="4" t="s">
        <v>19520</v>
      </c>
      <c r="G9056" s="5" t="str">
        <f>IFERROR(__xludf.DUMMYFUNCTION("GOOGLETRANSLATE(D9056,""pt"",""es"")"),"Yuriko")</f>
        <v>Yuriko</v>
      </c>
    </row>
    <row r="9057">
      <c r="A9057" s="4">
        <v>234.0</v>
      </c>
      <c r="B9057" s="4" t="s">
        <v>19537</v>
      </c>
      <c r="C9057" s="4"/>
      <c r="D9057" s="4" t="s">
        <v>19521</v>
      </c>
      <c r="E9057" s="4" t="s">
        <v>19522</v>
      </c>
      <c r="F9057" s="4" t="s">
        <v>19523</v>
      </c>
      <c r="G9057" s="5" t="str">
        <f>IFERROR(__xludf.DUMMYFUNCTION("GOOGLETRANSLATE(D9057,""pt"",""es"")"),"Aquél")</f>
        <v>Aquél</v>
      </c>
    </row>
    <row r="9058">
      <c r="A9058" s="4">
        <v>235.0</v>
      </c>
      <c r="B9058" s="4" t="s">
        <v>19537</v>
      </c>
      <c r="C9058" s="4"/>
      <c r="D9058" s="4" t="s">
        <v>19524</v>
      </c>
      <c r="E9058" s="4" t="s">
        <v>19525</v>
      </c>
      <c r="F9058" s="4" t="s">
        <v>19526</v>
      </c>
      <c r="G9058" s="5" t="str">
        <f>IFERROR(__xludf.DUMMYFUNCTION("GOOGLETRANSLATE(D9058,""pt"",""es"")"),"álamo")</f>
        <v>álamo</v>
      </c>
      <c r="H9058" s="4" t="s">
        <v>19527</v>
      </c>
    </row>
    <row r="9059">
      <c r="A9059" s="4">
        <v>236.0</v>
      </c>
      <c r="B9059" s="4" t="s">
        <v>19537</v>
      </c>
      <c r="C9059" s="4"/>
      <c r="D9059" s="4" t="s">
        <v>14284</v>
      </c>
      <c r="E9059" s="4" t="s">
        <v>294</v>
      </c>
      <c r="F9059" s="4" t="s">
        <v>295</v>
      </c>
      <c r="G9059" s="5" t="str">
        <f>IFERROR(__xludf.DUMMYFUNCTION("GOOGLETRANSLATE(D9059,""pt"",""es"")"),"a")</f>
        <v>a</v>
      </c>
      <c r="H9059" s="4" t="s">
        <v>833</v>
      </c>
      <c r="I9059" s="4" t="s">
        <v>833</v>
      </c>
    </row>
    <row r="9060">
      <c r="A9060" s="4">
        <v>237.0</v>
      </c>
      <c r="B9060" s="4" t="s">
        <v>19537</v>
      </c>
      <c r="C9060" s="4"/>
      <c r="D9060" s="4" t="s">
        <v>19528</v>
      </c>
      <c r="E9060" s="4" t="s">
        <v>19529</v>
      </c>
      <c r="F9060" s="4" t="s">
        <v>19530</v>
      </c>
      <c r="G9060" s="5" t="str">
        <f>IFERROR(__xludf.DUMMYFUNCTION("GOOGLETRANSLATE(D9060,""pt"",""es"")"),"único")</f>
        <v>único</v>
      </c>
      <c r="H9060" s="4" t="s">
        <v>4792</v>
      </c>
      <c r="I9060" s="4" t="s">
        <v>4787</v>
      </c>
      <c r="J9060" s="4" t="s">
        <v>4788</v>
      </c>
      <c r="K9060" s="4" t="s">
        <v>4789</v>
      </c>
      <c r="L9060" s="4" t="s">
        <v>4790</v>
      </c>
      <c r="M9060" s="4" t="s">
        <v>4791</v>
      </c>
      <c r="N9060" s="4" t="s">
        <v>19531</v>
      </c>
      <c r="O9060" s="4" t="s">
        <v>6955</v>
      </c>
      <c r="P9060" s="4" t="s">
        <v>19532</v>
      </c>
      <c r="Q9060" s="4" t="s">
        <v>19533</v>
      </c>
      <c r="R9060" s="4" t="s">
        <v>19534</v>
      </c>
      <c r="S9060" s="4" t="s">
        <v>19535</v>
      </c>
      <c r="T9060" s="4" t="s">
        <v>8181</v>
      </c>
      <c r="U9060" s="4" t="s">
        <v>16288</v>
      </c>
      <c r="V9060" s="4" t="s">
        <v>15564</v>
      </c>
      <c r="W9060" s="4" t="s">
        <v>2489</v>
      </c>
      <c r="X9060" s="4" t="s">
        <v>19536</v>
      </c>
      <c r="Y9060" s="4" t="s">
        <v>18540</v>
      </c>
      <c r="Z9060" s="4" t="s">
        <v>4792</v>
      </c>
      <c r="AA9060" s="4" t="s">
        <v>4037</v>
      </c>
      <c r="AB9060" s="4" t="s">
        <v>4038</v>
      </c>
      <c r="AC9060" s="4" t="s">
        <v>4039</v>
      </c>
      <c r="AD9060" s="4" t="s">
        <v>4040</v>
      </c>
      <c r="AE9060" s="4" t="s">
        <v>4030</v>
      </c>
      <c r="AF9060" s="4" t="s">
        <v>4792</v>
      </c>
      <c r="AG9060" s="4" t="s">
        <v>4788</v>
      </c>
    </row>
    <row r="9061">
      <c r="A9061" s="4">
        <v>1.0</v>
      </c>
      <c r="B9061" s="4" t="s">
        <v>19538</v>
      </c>
      <c r="C9061" s="4"/>
      <c r="D9061" s="4" t="s">
        <v>18919</v>
      </c>
      <c r="E9061" s="4" t="s">
        <v>18920</v>
      </c>
      <c r="F9061" s="4" t="s">
        <v>18921</v>
      </c>
      <c r="G9061" s="5" t="str">
        <f>IFERROR(__xludf.DUMMYFUNCTION("GOOGLETRANSLATE(D9061,""pt"",""es"")"),"pensar")</f>
        <v>pensar</v>
      </c>
    </row>
    <row r="9062">
      <c r="A9062" s="4">
        <v>2.0</v>
      </c>
      <c r="B9062" s="4" t="s">
        <v>19538</v>
      </c>
      <c r="C9062" s="4"/>
      <c r="D9062" s="4" t="s">
        <v>18922</v>
      </c>
      <c r="E9062" s="4" t="s">
        <v>18923</v>
      </c>
      <c r="F9062" s="4" t="s">
        <v>14308</v>
      </c>
      <c r="G9062" s="5" t="str">
        <f>IFERROR(__xludf.DUMMYFUNCTION("GOOGLETRANSLATE(D9062,""pt"",""es"")"),"ajo")</f>
        <v>ajo</v>
      </c>
      <c r="H9062" s="4" t="s">
        <v>526</v>
      </c>
      <c r="I9062" s="4" t="s">
        <v>527</v>
      </c>
      <c r="J9062" s="4" t="s">
        <v>18924</v>
      </c>
      <c r="K9062" s="4" t="s">
        <v>18925</v>
      </c>
      <c r="L9062" s="4" t="s">
        <v>18926</v>
      </c>
      <c r="M9062" s="4" t="s">
        <v>18927</v>
      </c>
      <c r="N9062" s="4" t="s">
        <v>18928</v>
      </c>
      <c r="O9062" s="4" t="s">
        <v>18929</v>
      </c>
      <c r="P9062" s="4" t="s">
        <v>18930</v>
      </c>
      <c r="Q9062" s="4" t="s">
        <v>526</v>
      </c>
      <c r="R9062" s="4" t="s">
        <v>528</v>
      </c>
      <c r="S9062" s="4" t="s">
        <v>526</v>
      </c>
      <c r="T9062" s="4" t="s">
        <v>528</v>
      </c>
    </row>
    <row r="9063">
      <c r="A9063" s="4">
        <v>3.0</v>
      </c>
      <c r="B9063" s="4" t="s">
        <v>19538</v>
      </c>
      <c r="C9063" s="4"/>
      <c r="D9063" s="4" t="s">
        <v>18961</v>
      </c>
      <c r="E9063" s="4" t="s">
        <v>18962</v>
      </c>
      <c r="F9063" s="4" t="s">
        <v>18963</v>
      </c>
      <c r="G9063" s="5" t="str">
        <f>IFERROR(__xludf.DUMMYFUNCTION("GOOGLETRANSLATE(D9063,""pt"",""es"")"),"borde")</f>
        <v>borde</v>
      </c>
      <c r="H9063" s="4" t="s">
        <v>18964</v>
      </c>
      <c r="I9063" s="4" t="s">
        <v>18965</v>
      </c>
      <c r="J9063" s="4" t="s">
        <v>9512</v>
      </c>
      <c r="K9063" s="4" t="s">
        <v>9512</v>
      </c>
    </row>
    <row r="9064">
      <c r="A9064" s="4">
        <v>4.0</v>
      </c>
      <c r="B9064" s="4" t="s">
        <v>19538</v>
      </c>
      <c r="C9064" s="4"/>
      <c r="D9064" s="4" t="s">
        <v>18977</v>
      </c>
      <c r="E9064" s="4" t="s">
        <v>15678</v>
      </c>
      <c r="F9064" s="4" t="s">
        <v>9347</v>
      </c>
      <c r="G9064" s="5" t="str">
        <f>IFERROR(__xludf.DUMMYFUNCTION("GOOGLETRANSLATE(D9064,""pt"",""es"")"),"roca")</f>
        <v>roca</v>
      </c>
    </row>
    <row r="9065">
      <c r="A9065" s="4">
        <v>5.0</v>
      </c>
      <c r="B9065" s="4" t="s">
        <v>19538</v>
      </c>
      <c r="C9065" s="4"/>
      <c r="D9065" s="4" t="s">
        <v>19539</v>
      </c>
      <c r="E9065" s="4" t="s">
        <v>19540</v>
      </c>
      <c r="F9065" s="4" t="s">
        <v>19539</v>
      </c>
      <c r="G9065" s="5" t="str">
        <f>IFERROR(__xludf.DUMMYFUNCTION("GOOGLETRANSLATE(D9065,""pt"",""es"")"),"patada")</f>
        <v>patada</v>
      </c>
      <c r="H9065" s="4" t="s">
        <v>19541</v>
      </c>
      <c r="I9065" s="4" t="s">
        <v>19542</v>
      </c>
      <c r="J9065" s="4" t="s">
        <v>19543</v>
      </c>
    </row>
    <row r="9066">
      <c r="A9066" s="4">
        <v>6.0</v>
      </c>
      <c r="B9066" s="4" t="s">
        <v>19538</v>
      </c>
      <c r="C9066" s="4"/>
      <c r="D9066" s="4" t="s">
        <v>19544</v>
      </c>
      <c r="E9066" s="4" t="s">
        <v>19545</v>
      </c>
      <c r="F9066" s="4" t="s">
        <v>19546</v>
      </c>
      <c r="G9066" s="5" t="str">
        <f>IFERROR(__xludf.DUMMYFUNCTION("GOOGLETRANSLATE(D9066,""pt"",""es"")"),"atajo")</f>
        <v>atajo</v>
      </c>
      <c r="H9066" s="4" t="s">
        <v>19547</v>
      </c>
      <c r="I9066" s="4" t="s">
        <v>19548</v>
      </c>
      <c r="J9066" s="4" t="s">
        <v>19549</v>
      </c>
    </row>
    <row r="9067">
      <c r="A9067" s="4">
        <v>7.0</v>
      </c>
      <c r="B9067" s="4" t="s">
        <v>19538</v>
      </c>
      <c r="C9067" s="4"/>
      <c r="D9067" s="4" t="s">
        <v>18984</v>
      </c>
      <c r="E9067" s="4" t="s">
        <v>11761</v>
      </c>
      <c r="F9067" s="4" t="s">
        <v>11762</v>
      </c>
      <c r="G9067" s="5" t="str">
        <f>IFERROR(__xludf.DUMMYFUNCTION("GOOGLETRANSLATE(D9067,""pt"",""es"")"),"Actuar")</f>
        <v>Actuar</v>
      </c>
      <c r="H9067" s="4" t="s">
        <v>3993</v>
      </c>
      <c r="I9067" s="4" t="s">
        <v>15704</v>
      </c>
      <c r="J9067" s="4" t="s">
        <v>15705</v>
      </c>
      <c r="K9067" s="4" t="s">
        <v>15706</v>
      </c>
      <c r="L9067" s="4" t="s">
        <v>18985</v>
      </c>
      <c r="M9067" s="4" t="s">
        <v>9219</v>
      </c>
      <c r="N9067" s="4" t="s">
        <v>18986</v>
      </c>
      <c r="O9067" s="4" t="s">
        <v>18987</v>
      </c>
      <c r="P9067" s="4" t="s">
        <v>3993</v>
      </c>
      <c r="Q9067" s="4" t="s">
        <v>10236</v>
      </c>
      <c r="R9067" s="4" t="s">
        <v>15704</v>
      </c>
      <c r="S9067" s="4" t="s">
        <v>18988</v>
      </c>
      <c r="T9067" s="4" t="s">
        <v>4599</v>
      </c>
      <c r="U9067" s="4" t="s">
        <v>3993</v>
      </c>
    </row>
    <row r="9068">
      <c r="A9068" s="4">
        <v>8.0</v>
      </c>
      <c r="B9068" s="4" t="s">
        <v>19538</v>
      </c>
      <c r="C9068" s="4"/>
      <c r="D9068" s="4" t="s">
        <v>18992</v>
      </c>
      <c r="E9068" s="4" t="s">
        <v>15678</v>
      </c>
      <c r="F9068" s="4" t="s">
        <v>9347</v>
      </c>
      <c r="G9068" s="5" t="str">
        <f>IFERROR(__xludf.DUMMYFUNCTION("GOOGLETRANSLATE(D9068,""pt"",""es"")"),"acero")</f>
        <v>acero</v>
      </c>
      <c r="H9068" s="4" t="s">
        <v>16711</v>
      </c>
      <c r="I9068" s="4" t="s">
        <v>16711</v>
      </c>
    </row>
    <row r="9069">
      <c r="A9069" s="4">
        <v>9.0</v>
      </c>
      <c r="B9069" s="4" t="s">
        <v>19538</v>
      </c>
      <c r="C9069" s="4"/>
      <c r="D9069" s="4" t="s">
        <v>19000</v>
      </c>
      <c r="E9069" s="4" t="s">
        <v>19001</v>
      </c>
      <c r="F9069" s="4" t="s">
        <v>19002</v>
      </c>
      <c r="G9069" s="5" t="str">
        <f>IFERROR(__xludf.DUMMYFUNCTION("GOOGLETRANSLATE(D9069,""pt"",""es"")"),"racimo")</f>
        <v>racimo</v>
      </c>
      <c r="H9069" s="4" t="s">
        <v>3282</v>
      </c>
      <c r="I9069" s="4" t="s">
        <v>8445</v>
      </c>
      <c r="J9069" s="4" t="s">
        <v>8446</v>
      </c>
      <c r="K9069" s="4" t="s">
        <v>8447</v>
      </c>
      <c r="L9069" s="4" t="s">
        <v>19003</v>
      </c>
      <c r="M9069" s="4" t="s">
        <v>19004</v>
      </c>
      <c r="N9069" s="4" t="s">
        <v>7299</v>
      </c>
      <c r="O9069" s="4" t="s">
        <v>19005</v>
      </c>
    </row>
    <row r="9070">
      <c r="A9070" s="4">
        <v>10.0</v>
      </c>
      <c r="B9070" s="4" t="s">
        <v>19538</v>
      </c>
      <c r="C9070" s="4"/>
      <c r="D9070" s="4" t="s">
        <v>19006</v>
      </c>
      <c r="E9070" s="4" t="s">
        <v>19007</v>
      </c>
      <c r="F9070" s="4" t="s">
        <v>19008</v>
      </c>
      <c r="G9070" s="5" t="str">
        <f>IFERROR(__xludf.DUMMYFUNCTION("GOOGLETRANSLATE(D9070,""pt"",""es"")"),"agudo")</f>
        <v>agudo</v>
      </c>
      <c r="H9070" s="4" t="s">
        <v>19009</v>
      </c>
      <c r="I9070" s="4" t="s">
        <v>19010</v>
      </c>
      <c r="J9070" s="4" t="s">
        <v>19011</v>
      </c>
    </row>
    <row r="9071">
      <c r="A9071" s="4">
        <v>11.0</v>
      </c>
      <c r="B9071" s="4" t="s">
        <v>19538</v>
      </c>
      <c r="C9071" s="4"/>
      <c r="D9071" s="4" t="s">
        <v>1033</v>
      </c>
      <c r="E9071" s="4" t="s">
        <v>1034</v>
      </c>
      <c r="F9071" s="4" t="s">
        <v>1035</v>
      </c>
      <c r="G9071" s="5" t="str">
        <f>IFERROR(__xludf.DUMMYFUNCTION("GOOGLETRANSLATE(D9071,""pt"",""es"")"),"callo")</f>
        <v>callo</v>
      </c>
      <c r="H9071" s="4" t="s">
        <v>1013</v>
      </c>
      <c r="I9071" s="4" t="s">
        <v>1013</v>
      </c>
      <c r="J9071" s="4" t="s">
        <v>11820</v>
      </c>
      <c r="K9071" s="4" t="s">
        <v>1013</v>
      </c>
    </row>
    <row r="9072">
      <c r="A9072" s="4">
        <v>12.0</v>
      </c>
      <c r="B9072" s="4" t="s">
        <v>19538</v>
      </c>
      <c r="C9072" s="4"/>
      <c r="D9072" s="4" t="s">
        <v>14351</v>
      </c>
      <c r="E9072" s="4" t="s">
        <v>19024</v>
      </c>
      <c r="F9072" s="4" t="s">
        <v>14353</v>
      </c>
      <c r="G9072" s="5" t="str">
        <f>IFERROR(__xludf.DUMMYFUNCTION("GOOGLETRANSLATE(D9072,""pt"",""es"")"),"caro")</f>
        <v>caro</v>
      </c>
      <c r="H9072" s="4" t="s">
        <v>1304</v>
      </c>
      <c r="I9072" s="4" t="s">
        <v>13997</v>
      </c>
      <c r="J9072" s="4" t="s">
        <v>6556</v>
      </c>
      <c r="K9072" s="4" t="s">
        <v>13998</v>
      </c>
      <c r="L9072" s="4" t="s">
        <v>13999</v>
      </c>
      <c r="M9072" s="4" t="s">
        <v>14000</v>
      </c>
      <c r="N9072" s="4" t="s">
        <v>14001</v>
      </c>
      <c r="O9072" s="4" t="s">
        <v>13997</v>
      </c>
      <c r="P9072" s="4" t="s">
        <v>14002</v>
      </c>
      <c r="Q9072" s="4" t="s">
        <v>5680</v>
      </c>
      <c r="R9072" s="4" t="s">
        <v>6556</v>
      </c>
    </row>
    <row r="9073">
      <c r="A9073" s="4">
        <v>13.0</v>
      </c>
      <c r="B9073" s="4" t="s">
        <v>19538</v>
      </c>
      <c r="C9073" s="4"/>
      <c r="D9073" s="4" t="s">
        <v>19031</v>
      </c>
      <c r="E9073" s="4" t="s">
        <v>9104</v>
      </c>
      <c r="F9073" s="4" t="s">
        <v>9103</v>
      </c>
      <c r="G9073" s="5" t="str">
        <f>IFERROR(__xludf.DUMMYFUNCTION("GOOGLETRANSLATE(D9073,""pt"",""es"")"),"Cato")</f>
        <v>Cato</v>
      </c>
    </row>
    <row r="9074">
      <c r="A9074" s="4">
        <v>14.0</v>
      </c>
      <c r="B9074" s="4" t="s">
        <v>19538</v>
      </c>
      <c r="C9074" s="4"/>
      <c r="D9074" s="4" t="s">
        <v>1376</v>
      </c>
      <c r="E9074" s="4" t="s">
        <v>1377</v>
      </c>
      <c r="F9074" s="4" t="s">
        <v>1378</v>
      </c>
      <c r="G9074" s="5" t="str">
        <f>IFERROR(__xludf.DUMMYFUNCTION("GOOGLETRANSLATE(D9074,""pt"",""es"")"),"esquina")</f>
        <v>esquina</v>
      </c>
    </row>
    <row r="9075">
      <c r="A9075" s="4">
        <v>15.0</v>
      </c>
      <c r="B9075" s="4" t="s">
        <v>19538</v>
      </c>
      <c r="C9075" s="4"/>
      <c r="D9075" s="4" t="s">
        <v>19035</v>
      </c>
      <c r="E9075" s="4" t="s">
        <v>4684</v>
      </c>
      <c r="F9075" s="4" t="s">
        <v>4685</v>
      </c>
      <c r="G9075" s="5" t="str">
        <f>IFERROR(__xludf.DUMMYFUNCTION("GOOGLETRANSLATE(D9075,""pt"",""es"")"),"irritante")</f>
        <v>irritante</v>
      </c>
      <c r="H9075" s="4" t="s">
        <v>19036</v>
      </c>
      <c r="I9075" s="4" t="s">
        <v>19037</v>
      </c>
      <c r="J9075" s="4" t="s">
        <v>3225</v>
      </c>
      <c r="K9075" s="4" t="s">
        <v>19038</v>
      </c>
      <c r="L9075" s="4" t="s">
        <v>19039</v>
      </c>
      <c r="M9075" s="4" t="s">
        <v>3228</v>
      </c>
      <c r="N9075" s="4" t="s">
        <v>19040</v>
      </c>
      <c r="O9075" s="4" t="s">
        <v>19041</v>
      </c>
      <c r="P9075" s="4" t="s">
        <v>19042</v>
      </c>
      <c r="Q9075" s="4" t="s">
        <v>2339</v>
      </c>
      <c r="R9075" s="4" t="s">
        <v>19043</v>
      </c>
      <c r="S9075" s="4" t="s">
        <v>19044</v>
      </c>
    </row>
    <row r="9076">
      <c r="A9076" s="4">
        <v>16.0</v>
      </c>
      <c r="B9076" s="4" t="s">
        <v>19538</v>
      </c>
      <c r="C9076" s="4"/>
      <c r="D9076" s="4" t="s">
        <v>19053</v>
      </c>
      <c r="E9076" s="4" t="s">
        <v>19054</v>
      </c>
      <c r="F9076" s="4" t="s">
        <v>19055</v>
      </c>
      <c r="G9076" s="5" t="str">
        <f>IFERROR(__xludf.DUMMYFUNCTION("GOOGLETRANSLATE(D9076,""pt"",""es"")"),"Pendiente")</f>
        <v>Pendiente</v>
      </c>
      <c r="H9076" s="4" t="s">
        <v>19056</v>
      </c>
      <c r="I9076" s="4" t="s">
        <v>19057</v>
      </c>
      <c r="J9076" s="4" t="s">
        <v>19058</v>
      </c>
      <c r="K9076" s="4" t="s">
        <v>19059</v>
      </c>
      <c r="L9076" s="4" t="s">
        <v>19060</v>
      </c>
      <c r="M9076" s="4" t="s">
        <v>19061</v>
      </c>
      <c r="N9076" s="4" t="s">
        <v>19062</v>
      </c>
    </row>
    <row r="9077">
      <c r="A9077" s="4">
        <v>17.0</v>
      </c>
      <c r="B9077" s="4" t="s">
        <v>19538</v>
      </c>
      <c r="C9077" s="4"/>
      <c r="D9077" s="4" t="s">
        <v>19063</v>
      </c>
      <c r="E9077" s="4" t="s">
        <v>19064</v>
      </c>
      <c r="F9077" s="4" t="s">
        <v>19065</v>
      </c>
      <c r="G9077" s="5" t="str">
        <f>IFERROR(__xludf.DUMMYFUNCTION("GOOGLETRANSLATE(D9077,""pt"",""es"")"),"taco")</f>
        <v>taco</v>
      </c>
      <c r="H9077" s="4" t="s">
        <v>19066</v>
      </c>
      <c r="I9077" s="4" t="s">
        <v>19067</v>
      </c>
      <c r="J9077" s="4" t="s">
        <v>19068</v>
      </c>
    </row>
    <row r="9078">
      <c r="A9078" s="4">
        <v>18.0</v>
      </c>
      <c r="B9078" s="4" t="s">
        <v>19538</v>
      </c>
      <c r="C9078" s="4"/>
      <c r="D9078" s="4" t="s">
        <v>19069</v>
      </c>
      <c r="E9078" s="4" t="s">
        <v>19070</v>
      </c>
      <c r="F9078" s="4" t="s">
        <v>19071</v>
      </c>
      <c r="G9078" s="5" t="str">
        <f>IFERROR(__xludf.DUMMYFUNCTION("GOOGLETRANSLATE(D9078,""pt"",""es"")"),"patada")</f>
        <v>patada</v>
      </c>
    </row>
    <row r="9079">
      <c r="A9079" s="4">
        <v>19.0</v>
      </c>
      <c r="B9079" s="4" t="s">
        <v>19538</v>
      </c>
      <c r="C9079" s="4"/>
      <c r="D9079" s="4" t="s">
        <v>19075</v>
      </c>
      <c r="E9079" s="4" t="s">
        <v>4671</v>
      </c>
      <c r="F9079" s="4" t="s">
        <v>4672</v>
      </c>
      <c r="G9079" s="5" t="str">
        <f>IFERROR(__xludf.DUMMYFUNCTION("GOOGLETRANSLATE(D9079,""pt"",""es"")"),"té")</f>
        <v>té</v>
      </c>
      <c r="H9079" s="4" t="s">
        <v>8821</v>
      </c>
      <c r="I9079" s="4" t="s">
        <v>8825</v>
      </c>
      <c r="J9079" s="4" t="s">
        <v>8821</v>
      </c>
      <c r="K9079" s="4" t="s">
        <v>19076</v>
      </c>
      <c r="L9079" s="4" t="s">
        <v>19077</v>
      </c>
      <c r="M9079" s="4" t="s">
        <v>19078</v>
      </c>
      <c r="N9079" s="4" t="s">
        <v>19079</v>
      </c>
      <c r="O9079" s="4" t="s">
        <v>19080</v>
      </c>
      <c r="P9079" s="4" t="s">
        <v>19081</v>
      </c>
    </row>
    <row r="9080">
      <c r="A9080" s="4">
        <v>20.0</v>
      </c>
      <c r="B9080" s="4" t="s">
        <v>19538</v>
      </c>
      <c r="C9080" s="4"/>
      <c r="D9080" s="4" t="s">
        <v>1554</v>
      </c>
      <c r="E9080" s="4" t="s">
        <v>1555</v>
      </c>
      <c r="F9080" s="4" t="s">
        <v>1556</v>
      </c>
      <c r="G9080" s="5" t="str">
        <f>IFERROR(__xludf.DUMMYFUNCTION("GOOGLETRANSLATE(D9080,""pt"",""es"")"),"Galleta")</f>
        <v>Galleta</v>
      </c>
      <c r="H9080" s="4" t="s">
        <v>1554</v>
      </c>
      <c r="I9080" s="4" t="s">
        <v>6087</v>
      </c>
      <c r="J9080" s="4" t="s">
        <v>6088</v>
      </c>
    </row>
    <row r="9081">
      <c r="A9081" s="4">
        <v>21.0</v>
      </c>
      <c r="B9081" s="4" t="s">
        <v>19538</v>
      </c>
      <c r="C9081" s="4"/>
      <c r="D9081" s="4" t="s">
        <v>1580</v>
      </c>
      <c r="E9081" s="4" t="s">
        <v>1581</v>
      </c>
      <c r="F9081" s="4" t="s">
        <v>1582</v>
      </c>
      <c r="G9081" s="5" t="str">
        <f>IFERROR(__xludf.DUMMYFUNCTION("GOOGLETRANSLATE(D9081,""pt"",""es"")"),"culo")</f>
        <v>culo</v>
      </c>
      <c r="H9081" s="4" t="s">
        <v>1602</v>
      </c>
      <c r="I9081" s="4" t="s">
        <v>1603</v>
      </c>
      <c r="J9081" s="4" t="s">
        <v>1604</v>
      </c>
      <c r="K9081" s="4" t="s">
        <v>1605</v>
      </c>
      <c r="L9081" s="4" t="s">
        <v>1606</v>
      </c>
      <c r="M9081" s="4" t="s">
        <v>1147</v>
      </c>
      <c r="N9081" s="4" t="s">
        <v>1607</v>
      </c>
      <c r="O9081" s="4" t="s">
        <v>1120</v>
      </c>
      <c r="P9081" s="4" t="s">
        <v>1608</v>
      </c>
      <c r="Q9081" s="4" t="s">
        <v>1609</v>
      </c>
      <c r="R9081" s="4" t="s">
        <v>1610</v>
      </c>
      <c r="S9081" s="4" t="s">
        <v>1611</v>
      </c>
      <c r="T9081" s="4" t="s">
        <v>1612</v>
      </c>
      <c r="U9081" s="4" t="s">
        <v>1613</v>
      </c>
      <c r="V9081" s="4" t="s">
        <v>1614</v>
      </c>
      <c r="W9081" s="4" t="s">
        <v>1615</v>
      </c>
      <c r="X9081" s="4" t="s">
        <v>1616</v>
      </c>
      <c r="Y9081" s="4" t="s">
        <v>1617</v>
      </c>
      <c r="Z9081" s="4" t="s">
        <v>1618</v>
      </c>
      <c r="AA9081" s="4" t="s">
        <v>1619</v>
      </c>
      <c r="AB9081" s="4" t="s">
        <v>1620</v>
      </c>
      <c r="AC9081" s="4" t="s">
        <v>1621</v>
      </c>
      <c r="AD9081" s="4" t="s">
        <v>1622</v>
      </c>
      <c r="AE9081" s="4" t="s">
        <v>1623</v>
      </c>
      <c r="AF9081" s="4" t="s">
        <v>1624</v>
      </c>
      <c r="AG9081" s="4" t="s">
        <v>1625</v>
      </c>
      <c r="AH9081" s="4" t="s">
        <v>1626</v>
      </c>
      <c r="AI9081" s="4" t="s">
        <v>1627</v>
      </c>
    </row>
    <row r="9082">
      <c r="A9082" s="4">
        <v>22.0</v>
      </c>
      <c r="B9082" s="4" t="s">
        <v>19538</v>
      </c>
      <c r="C9082" s="4"/>
      <c r="D9082" s="4" t="s">
        <v>19090</v>
      </c>
      <c r="E9082" s="4" t="s">
        <v>19091</v>
      </c>
      <c r="F9082" s="4" t="s">
        <v>19092</v>
      </c>
      <c r="G9082" s="5" t="str">
        <f>IFERROR(__xludf.DUMMYFUNCTION("GOOGLETRANSLATE(D9082,""pt"",""es"")"),"curar")</f>
        <v>curar</v>
      </c>
    </row>
    <row r="9083">
      <c r="A9083" s="4">
        <v>23.0</v>
      </c>
      <c r="B9083" s="4" t="s">
        <v>19538</v>
      </c>
      <c r="C9083" s="4"/>
      <c r="D9083" s="4" t="s">
        <v>19093</v>
      </c>
      <c r="E9083" s="4" t="s">
        <v>961</v>
      </c>
      <c r="F9083" s="4" t="s">
        <v>962</v>
      </c>
      <c r="G9083" s="5" t="str">
        <f>IFERROR(__xludf.DUMMYFUNCTION("GOOGLETRANSLATE(D9083,""pt"",""es"")"),"aquí")</f>
        <v>aquí</v>
      </c>
      <c r="H9083" s="4" t="s">
        <v>12448</v>
      </c>
      <c r="I9083" s="4" t="s">
        <v>12389</v>
      </c>
    </row>
    <row r="9084">
      <c r="A9084" s="4">
        <v>24.0</v>
      </c>
      <c r="B9084" s="4" t="s">
        <v>19538</v>
      </c>
      <c r="C9084" s="4"/>
      <c r="D9084" s="4" t="s">
        <v>19094</v>
      </c>
      <c r="E9084" s="4" t="s">
        <v>1296</v>
      </c>
      <c r="F9084" s="4" t="s">
        <v>1297</v>
      </c>
      <c r="G9084" s="5" t="str">
        <f>IFERROR(__xludf.DUMMYFUNCTION("GOOGLETRANSLATE(D9084,""pt"",""es"")"),"caqui")</f>
        <v>caqui</v>
      </c>
    </row>
    <row r="9085">
      <c r="A9085" s="4">
        <v>25.0</v>
      </c>
      <c r="B9085" s="4" t="s">
        <v>19538</v>
      </c>
      <c r="C9085" s="4"/>
      <c r="D9085" s="4" t="s">
        <v>19110</v>
      </c>
      <c r="E9085" s="4" t="s">
        <v>1984</v>
      </c>
      <c r="F9085" s="4" t="s">
        <v>1983</v>
      </c>
      <c r="G9085" s="5" t="str">
        <f>IFERROR(__xludf.DUMMYFUNCTION("GOOGLETRANSLATE(D9085,""pt"",""es"")"),"voluntad")</f>
        <v>voluntad</v>
      </c>
    </row>
    <row r="9086">
      <c r="A9086" s="4">
        <v>26.0</v>
      </c>
      <c r="B9086" s="4" t="s">
        <v>19538</v>
      </c>
      <c r="C9086" s="4"/>
      <c r="D9086" s="4" t="s">
        <v>19111</v>
      </c>
      <c r="E9086" s="4" t="s">
        <v>19112</v>
      </c>
      <c r="F9086" s="4" t="s">
        <v>14416</v>
      </c>
      <c r="G9086" s="5" t="str">
        <f>IFERROR(__xludf.DUMMYFUNCTION("GOOGLETRANSLATE(D9086,""pt"",""es"")"),"eso")</f>
        <v>eso</v>
      </c>
    </row>
    <row r="9087">
      <c r="A9087" s="4">
        <v>27.0</v>
      </c>
      <c r="B9087" s="4" t="s">
        <v>19538</v>
      </c>
      <c r="C9087" s="4"/>
      <c r="D9087" s="4" t="s">
        <v>19113</v>
      </c>
      <c r="E9087" s="4" t="s">
        <v>19112</v>
      </c>
      <c r="F9087" s="4" t="s">
        <v>14416</v>
      </c>
      <c r="G9087" s="5" t="str">
        <f>IFERROR(__xludf.DUMMYFUNCTION("GOOGLETRANSLATE(D9087,""pt"",""es"")"),"co")</f>
        <v>co</v>
      </c>
    </row>
    <row r="9088">
      <c r="A9088" s="4">
        <v>28.0</v>
      </c>
      <c r="B9088" s="4" t="s">
        <v>19538</v>
      </c>
      <c r="C9088" s="4"/>
      <c r="D9088" s="4" t="s">
        <v>1122</v>
      </c>
      <c r="E9088" s="4" t="s">
        <v>1121</v>
      </c>
      <c r="F9088" s="4" t="s">
        <v>1122</v>
      </c>
      <c r="G9088" s="5" t="str">
        <f>IFERROR(__xludf.DUMMYFUNCTION("GOOGLETRANSLATE(D9088,""pt"",""es"")"),"kan")</f>
        <v>kan</v>
      </c>
    </row>
    <row r="9089">
      <c r="A9089" s="4">
        <v>29.0</v>
      </c>
      <c r="B9089" s="4" t="s">
        <v>19538</v>
      </c>
      <c r="C9089" s="4"/>
      <c r="D9089" s="4" t="s">
        <v>2146</v>
      </c>
      <c r="E9089" s="4" t="s">
        <v>17980</v>
      </c>
      <c r="F9089" s="4" t="s">
        <v>8430</v>
      </c>
      <c r="G9089" s="5" t="str">
        <f>IFERROR(__xludf.DUMMYFUNCTION("GOOGLETRANSLATE(D9089,""pt"",""es"")"),"lazo")</f>
        <v>lazo</v>
      </c>
      <c r="H9089" s="4" t="s">
        <v>19115</v>
      </c>
      <c r="I9089" s="4" t="s">
        <v>2760</v>
      </c>
      <c r="J9089" s="4" t="s">
        <v>19115</v>
      </c>
      <c r="K9089" s="4" t="s">
        <v>19115</v>
      </c>
    </row>
    <row r="9090">
      <c r="A9090" s="4">
        <v>30.0</v>
      </c>
      <c r="B9090" s="4" t="s">
        <v>19538</v>
      </c>
      <c r="C9090" s="4"/>
      <c r="D9090" s="4" t="s">
        <v>19117</v>
      </c>
      <c r="E9090" s="4" t="s">
        <v>17980</v>
      </c>
      <c r="F9090" s="4" t="s">
        <v>8430</v>
      </c>
      <c r="G9090" s="5" t="str">
        <f>IFERROR(__xludf.DUMMYFUNCTION("GOOGLETRANSLATE(D9090,""pt"",""es"")"),"Enlace")</f>
        <v>Enlace</v>
      </c>
      <c r="H9090" s="4" t="s">
        <v>19118</v>
      </c>
      <c r="I9090" s="4" t="s">
        <v>19119</v>
      </c>
      <c r="J9090" s="4" t="s">
        <v>19120</v>
      </c>
      <c r="K9090" s="4" t="s">
        <v>19121</v>
      </c>
      <c r="L9090" s="4" t="s">
        <v>2146</v>
      </c>
      <c r="M9090" s="4" t="s">
        <v>2147</v>
      </c>
      <c r="N9090" s="4" t="s">
        <v>2148</v>
      </c>
      <c r="O9090" s="4" t="s">
        <v>2149</v>
      </c>
      <c r="P9090" s="4" t="s">
        <v>19122</v>
      </c>
      <c r="Q9090" s="4" t="s">
        <v>19123</v>
      </c>
      <c r="R9090" s="4" t="s">
        <v>19124</v>
      </c>
    </row>
    <row r="9091">
      <c r="A9091" s="4">
        <v>31.0</v>
      </c>
      <c r="B9091" s="4" t="s">
        <v>19538</v>
      </c>
      <c r="C9091" s="4"/>
      <c r="D9091" s="4" t="s">
        <v>2037</v>
      </c>
      <c r="E9091" s="4" t="s">
        <v>2038</v>
      </c>
      <c r="F9091" s="4" t="s">
        <v>2037</v>
      </c>
      <c r="G9091" s="5" t="str">
        <f>IFERROR(__xludf.DUMMYFUNCTION("GOOGLETRANSLATE(D9091,""pt"",""es"")"),"Li")</f>
        <v>Li</v>
      </c>
    </row>
    <row r="9092">
      <c r="A9092" s="4">
        <v>32.0</v>
      </c>
      <c r="B9092" s="4" t="s">
        <v>19538</v>
      </c>
      <c r="C9092" s="4"/>
      <c r="D9092" s="4" t="s">
        <v>19129</v>
      </c>
      <c r="E9092" s="4" t="s">
        <v>19130</v>
      </c>
      <c r="F9092" s="4" t="s">
        <v>19131</v>
      </c>
      <c r="G9092" s="5" t="str">
        <f>IFERROR(__xludf.DUMMYFUNCTION("GOOGLETRANSLATE(D9092,""pt"",""es"")"),"basura")</f>
        <v>basura</v>
      </c>
      <c r="H9092" s="4" t="s">
        <v>19132</v>
      </c>
      <c r="I9092" s="4" t="s">
        <v>19133</v>
      </c>
      <c r="J9092" s="4" t="s">
        <v>19134</v>
      </c>
      <c r="K9092" s="4" t="s">
        <v>19135</v>
      </c>
      <c r="L9092" s="4" t="s">
        <v>3189</v>
      </c>
      <c r="M9092" s="4" t="s">
        <v>3192</v>
      </c>
      <c r="N9092" s="4" t="s">
        <v>2606</v>
      </c>
    </row>
    <row r="9093">
      <c r="A9093" s="4">
        <v>33.0</v>
      </c>
      <c r="B9093" s="4" t="s">
        <v>19538</v>
      </c>
      <c r="C9093" s="4"/>
      <c r="D9093" s="4" t="s">
        <v>2239</v>
      </c>
      <c r="E9093" s="4" t="s">
        <v>2240</v>
      </c>
      <c r="F9093" s="4" t="s">
        <v>2241</v>
      </c>
      <c r="G9093" s="5" t="str">
        <f>IFERROR(__xludf.DUMMYFUNCTION("GOOGLETRANSLATE(D9093,""pt"",""es"")"),"eso")</f>
        <v>eso</v>
      </c>
    </row>
    <row r="9094">
      <c r="A9094" s="4">
        <v>34.0</v>
      </c>
      <c r="B9094" s="4" t="s">
        <v>19538</v>
      </c>
      <c r="C9094" s="4"/>
      <c r="D9094" s="4" t="s">
        <v>19155</v>
      </c>
      <c r="E9094" s="4" t="s">
        <v>2016</v>
      </c>
      <c r="F9094" s="4" t="s">
        <v>2015</v>
      </c>
      <c r="G9094" s="5" t="str">
        <f>IFERROR(__xludf.DUMMYFUNCTION("GOOGLETRANSLATE(D9094,""pt"",""es"")"),"allí")</f>
        <v>allí</v>
      </c>
      <c r="H9094" s="4" t="s">
        <v>8911</v>
      </c>
      <c r="I9094" s="4" t="s">
        <v>8910</v>
      </c>
      <c r="J9094" s="4" t="s">
        <v>2015</v>
      </c>
      <c r="K9094" s="4" t="s">
        <v>2017</v>
      </c>
    </row>
    <row r="9095">
      <c r="A9095" s="4">
        <v>35.0</v>
      </c>
      <c r="B9095" s="4" t="s">
        <v>19538</v>
      </c>
      <c r="C9095" s="4"/>
      <c r="D9095" s="4" t="s">
        <v>19166</v>
      </c>
      <c r="E9095" s="4" t="s">
        <v>14745</v>
      </c>
      <c r="F9095" s="4" t="s">
        <v>14746</v>
      </c>
      <c r="G9095" s="5" t="str">
        <f>IFERROR(__xludf.DUMMYFUNCTION("GOOGLETRANSLATE(D9095,""pt"",""es"")"),"masculino")</f>
        <v>masculino</v>
      </c>
      <c r="H9095" s="4" t="s">
        <v>13033</v>
      </c>
      <c r="I9095" s="4" t="s">
        <v>13036</v>
      </c>
      <c r="J9095" s="4" t="s">
        <v>13034</v>
      </c>
      <c r="K9095" s="4" t="s">
        <v>13035</v>
      </c>
      <c r="L9095" s="4" t="s">
        <v>13033</v>
      </c>
      <c r="M9095" s="4" t="s">
        <v>13038</v>
      </c>
      <c r="N9095" s="4" t="s">
        <v>13033</v>
      </c>
      <c r="O9095" s="4" t="s">
        <v>13034</v>
      </c>
      <c r="P9095" s="4" t="s">
        <v>13035</v>
      </c>
      <c r="Q9095" s="4" t="s">
        <v>13036</v>
      </c>
      <c r="R9095" s="4" t="s">
        <v>13037</v>
      </c>
      <c r="S9095" s="4" t="s">
        <v>8234</v>
      </c>
      <c r="T9095" s="4" t="s">
        <v>13033</v>
      </c>
      <c r="U9095" s="4" t="s">
        <v>13040</v>
      </c>
      <c r="V9095" s="4" t="s">
        <v>4282</v>
      </c>
      <c r="W9095" s="4" t="s">
        <v>9152</v>
      </c>
      <c r="X9095" s="4" t="s">
        <v>19167</v>
      </c>
      <c r="Y9095" s="4" t="s">
        <v>19168</v>
      </c>
      <c r="Z9095" s="4" t="s">
        <v>19169</v>
      </c>
      <c r="AA9095" s="4" t="s">
        <v>19170</v>
      </c>
      <c r="AB9095" s="4" t="s">
        <v>19171</v>
      </c>
      <c r="AC9095" s="4" t="s">
        <v>19172</v>
      </c>
      <c r="AD9095" s="4" t="s">
        <v>19173</v>
      </c>
      <c r="AE9095" s="4" t="s">
        <v>1856</v>
      </c>
      <c r="AF9095" s="4" t="s">
        <v>6742</v>
      </c>
      <c r="AG9095" s="4" t="s">
        <v>1856</v>
      </c>
      <c r="AH9095" s="4" t="s">
        <v>19174</v>
      </c>
      <c r="AI9095" s="4" t="s">
        <v>19175</v>
      </c>
      <c r="AJ9095" s="4" t="s">
        <v>19176</v>
      </c>
    </row>
    <row r="9096">
      <c r="A9096" s="4">
        <v>36.0</v>
      </c>
      <c r="B9096" s="4" t="s">
        <v>19538</v>
      </c>
      <c r="C9096" s="4"/>
      <c r="D9096" s="4" t="s">
        <v>19178</v>
      </c>
      <c r="E9096" s="4" t="s">
        <v>19179</v>
      </c>
      <c r="F9096" s="4" t="s">
        <v>19180</v>
      </c>
      <c r="G9096" s="5" t="str">
        <f>IFERROR(__xludf.DUMMYFUNCTION("GOOGLETRANSLATE(D9096,""pt"",""es"")"),"mazo")</f>
        <v>mazo</v>
      </c>
      <c r="H9096" s="4" t="s">
        <v>9997</v>
      </c>
      <c r="I9096" s="4" t="s">
        <v>19181</v>
      </c>
      <c r="J9096" s="4" t="s">
        <v>2367</v>
      </c>
      <c r="K9096" s="4" t="s">
        <v>2368</v>
      </c>
      <c r="L9096" s="4" t="s">
        <v>2369</v>
      </c>
    </row>
    <row r="9097">
      <c r="A9097" s="4">
        <v>37.0</v>
      </c>
      <c r="B9097" s="4" t="s">
        <v>19538</v>
      </c>
      <c r="C9097" s="4"/>
      <c r="D9097" s="4" t="s">
        <v>5314</v>
      </c>
      <c r="E9097" s="4" t="s">
        <v>5313</v>
      </c>
      <c r="F9097" s="4" t="s">
        <v>5314</v>
      </c>
      <c r="G9097" s="5" t="str">
        <f>IFERROR(__xludf.DUMMYFUNCTION("GOOGLETRANSLATE(D9097,""pt"",""es"")"),"Malí")</f>
        <v>Malí</v>
      </c>
      <c r="H9097" s="4" t="s">
        <v>5347</v>
      </c>
      <c r="I9097" s="4" t="s">
        <v>5348</v>
      </c>
      <c r="J9097" s="4" t="s">
        <v>5349</v>
      </c>
    </row>
    <row r="9098">
      <c r="A9098" s="4">
        <v>38.0</v>
      </c>
      <c r="B9098" s="4" t="s">
        <v>19538</v>
      </c>
      <c r="C9098" s="4"/>
      <c r="D9098" s="4" t="s">
        <v>19188</v>
      </c>
      <c r="E9098" s="4" t="s">
        <v>19189</v>
      </c>
      <c r="F9098" s="4" t="s">
        <v>10530</v>
      </c>
      <c r="G9098" s="5" t="str">
        <f>IFERROR(__xludf.DUMMYFUNCTION("GOOGLETRANSLATE(D9098,""pt"",""es"")"),"paquete")</f>
        <v>paquete</v>
      </c>
      <c r="H9098" s="4" t="s">
        <v>1736</v>
      </c>
    </row>
    <row r="9099">
      <c r="A9099" s="4">
        <v>39.0</v>
      </c>
      <c r="B9099" s="4" t="s">
        <v>19538</v>
      </c>
      <c r="C9099" s="4"/>
      <c r="D9099" s="4" t="s">
        <v>342</v>
      </c>
      <c r="E9099" s="4" t="s">
        <v>341</v>
      </c>
      <c r="F9099" s="4" t="s">
        <v>342</v>
      </c>
      <c r="G9099" s="5" t="str">
        <f>IFERROR(__xludf.DUMMYFUNCTION("GOOGLETRANSLATE(D9099,""pt"",""es"")"),"mi")</f>
        <v>mi</v>
      </c>
      <c r="H9099" s="4" t="s">
        <v>367</v>
      </c>
    </row>
    <row r="9100">
      <c r="A9100" s="4">
        <v>40.0</v>
      </c>
      <c r="B9100" s="4" t="s">
        <v>19538</v>
      </c>
      <c r="C9100" s="4"/>
      <c r="D9100" s="4" t="s">
        <v>19200</v>
      </c>
      <c r="E9100" s="4" t="s">
        <v>14647</v>
      </c>
      <c r="F9100" s="4" t="s">
        <v>14648</v>
      </c>
      <c r="G9100" s="5" t="str">
        <f>IFERROR(__xludf.DUMMYFUNCTION("GOOGLETRANSLATE(D9100,""pt"",""es"")"),"Micé")</f>
        <v>Micé</v>
      </c>
    </row>
    <row r="9101">
      <c r="A9101" s="4">
        <v>41.0</v>
      </c>
      <c r="B9101" s="4" t="s">
        <v>19538</v>
      </c>
      <c r="C9101" s="4"/>
      <c r="D9101" s="4" t="s">
        <v>2614</v>
      </c>
      <c r="E9101" s="4" t="s">
        <v>2615</v>
      </c>
      <c r="F9101" s="4" t="s">
        <v>2616</v>
      </c>
      <c r="G9101" s="5" t="str">
        <f>IFERROR(__xludf.DUMMYFUNCTION("GOOGLETRANSLATE(D9101,""pt"",""es"")"),"masculino")</f>
        <v>masculino</v>
      </c>
    </row>
    <row r="9102">
      <c r="A9102" s="4">
        <v>42.0</v>
      </c>
      <c r="B9102" s="4" t="s">
        <v>19538</v>
      </c>
      <c r="C9102" s="4"/>
      <c r="D9102" s="4" t="s">
        <v>6811</v>
      </c>
      <c r="E9102" s="4" t="s">
        <v>10550</v>
      </c>
      <c r="F9102" s="4" t="s">
        <v>6811</v>
      </c>
      <c r="G9102" s="5" t="str">
        <f>IFERROR(__xludf.DUMMYFUNCTION("GOOGLETRANSLATE(D9102,""pt"",""es"")"),"Miki")</f>
        <v>Miki</v>
      </c>
    </row>
    <row r="9103">
      <c r="A9103" s="4">
        <v>43.0</v>
      </c>
      <c r="B9103" s="4" t="s">
        <v>19538</v>
      </c>
      <c r="C9103" s="4"/>
      <c r="D9103" s="4" t="s">
        <v>19201</v>
      </c>
      <c r="E9103" s="4" t="s">
        <v>19202</v>
      </c>
      <c r="F9103" s="4" t="s">
        <v>19203</v>
      </c>
      <c r="G9103" s="5" t="str">
        <f>IFERROR(__xludf.DUMMYFUNCTION("GOOGLETRANSLATE(D9103,""pt"",""es"")"),"Mikiko")</f>
        <v>Mikiko</v>
      </c>
    </row>
    <row r="9104">
      <c r="A9104" s="4">
        <v>44.0</v>
      </c>
      <c r="B9104" s="4" t="s">
        <v>19538</v>
      </c>
      <c r="C9104" s="4"/>
      <c r="D9104" s="4" t="s">
        <v>19207</v>
      </c>
      <c r="E9104" s="4" t="s">
        <v>19208</v>
      </c>
      <c r="F9104" s="4" t="s">
        <v>14476</v>
      </c>
      <c r="G9104" s="5" t="str">
        <f>IFERROR(__xludf.DUMMYFUNCTION("GOOGLETRANSLATE(D9104,""pt"",""es"")"),"maíz")</f>
        <v>maíz</v>
      </c>
      <c r="H9104" s="4" t="s">
        <v>3288</v>
      </c>
      <c r="I9104" s="4" t="s">
        <v>19209</v>
      </c>
      <c r="J9104" s="4" t="s">
        <v>3286</v>
      </c>
      <c r="K9104" s="4" t="s">
        <v>3287</v>
      </c>
      <c r="L9104" s="4" t="s">
        <v>2650</v>
      </c>
      <c r="M9104" s="4" t="s">
        <v>3288</v>
      </c>
      <c r="N9104" s="4" t="s">
        <v>3289</v>
      </c>
      <c r="O9104" s="4" t="s">
        <v>3290</v>
      </c>
      <c r="P9104" s="4" t="s">
        <v>3291</v>
      </c>
      <c r="Q9104" s="4" t="s">
        <v>3288</v>
      </c>
      <c r="R9104" s="4" t="s">
        <v>3289</v>
      </c>
      <c r="S9104" s="4" t="s">
        <v>3290</v>
      </c>
      <c r="T9104" s="4" t="s">
        <v>3291</v>
      </c>
      <c r="U9104" s="4" t="s">
        <v>3288</v>
      </c>
      <c r="V9104" s="4" t="s">
        <v>3288</v>
      </c>
    </row>
    <row r="9105">
      <c r="A9105" s="4">
        <v>45.0</v>
      </c>
      <c r="B9105" s="4" t="s">
        <v>19538</v>
      </c>
      <c r="C9105" s="4"/>
      <c r="D9105" s="4" t="s">
        <v>19212</v>
      </c>
      <c r="E9105" s="4" t="s">
        <v>19213</v>
      </c>
      <c r="F9105" s="4" t="s">
        <v>19214</v>
      </c>
      <c r="G9105" s="5" t="str">
        <f>IFERROR(__xludf.DUMMYFUNCTION("GOOGLETRANSLATE(D9105,""pt"",""es"")"),"mimar")</f>
        <v>mimar</v>
      </c>
    </row>
    <row r="9106">
      <c r="A9106" s="4">
        <v>46.0</v>
      </c>
      <c r="B9106" s="4" t="s">
        <v>19538</v>
      </c>
      <c r="C9106" s="4"/>
      <c r="D9106" s="4" t="s">
        <v>19215</v>
      </c>
      <c r="E9106" s="4" t="s">
        <v>19216</v>
      </c>
      <c r="F9106" s="4" t="s">
        <v>19217</v>
      </c>
      <c r="G9106" s="5" t="str">
        <f>IFERROR(__xludf.DUMMYFUNCTION("GOOGLETRANSLATE(D9106,""pt"",""es"")"),"minuko")</f>
        <v>minuko</v>
      </c>
    </row>
    <row r="9107">
      <c r="A9107" s="4">
        <v>47.0</v>
      </c>
      <c r="B9107" s="4" t="s">
        <v>19538</v>
      </c>
      <c r="C9107" s="4"/>
      <c r="D9107" s="4" t="s">
        <v>8517</v>
      </c>
      <c r="E9107" s="4" t="s">
        <v>2717</v>
      </c>
      <c r="F9107" s="4" t="s">
        <v>2718</v>
      </c>
      <c r="G9107" s="5" t="str">
        <f>IFERROR(__xludf.DUMMYFUNCTION("GOOGLETRANSLATE(D9107,""pt"",""es"")"),"Misisipí")</f>
        <v>Misisipí</v>
      </c>
      <c r="H9107" s="4" t="s">
        <v>8519</v>
      </c>
      <c r="I9107" s="4" t="s">
        <v>8521</v>
      </c>
      <c r="J9107" s="4" t="s">
        <v>8522</v>
      </c>
      <c r="K9107" s="4" t="s">
        <v>8519</v>
      </c>
      <c r="L9107" s="4" t="s">
        <v>8520</v>
      </c>
    </row>
    <row r="9108">
      <c r="A9108" s="4">
        <v>48.0</v>
      </c>
      <c r="B9108" s="4" t="s">
        <v>19538</v>
      </c>
      <c r="C9108" s="4"/>
      <c r="D9108" s="4" t="s">
        <v>19224</v>
      </c>
      <c r="E9108" s="4" t="s">
        <v>18301</v>
      </c>
      <c r="F9108" s="4" t="s">
        <v>18300</v>
      </c>
      <c r="G9108" s="5" t="str">
        <f>IFERROR(__xludf.DUMMYFUNCTION("GOOGLETRANSLATE(D9108,""pt"",""es"")"),"mito")</f>
        <v>mito</v>
      </c>
      <c r="H9108" s="4" t="s">
        <v>6917</v>
      </c>
    </row>
    <row r="9109">
      <c r="A9109" s="4">
        <v>49.0</v>
      </c>
      <c r="B9109" s="4" t="s">
        <v>19538</v>
      </c>
      <c r="C9109" s="4"/>
      <c r="D9109" s="4" t="s">
        <v>12940</v>
      </c>
      <c r="E9109" s="4" t="s">
        <v>12941</v>
      </c>
      <c r="F9109" s="4" t="s">
        <v>12940</v>
      </c>
      <c r="G9109" s="5" t="str">
        <f>IFERROR(__xludf.DUMMYFUNCTION("GOOGLETRANSLATE(D9109,""pt"",""es"")"),"miyuki")</f>
        <v>miyuki</v>
      </c>
    </row>
    <row r="9110">
      <c r="A9110" s="4">
        <v>50.0</v>
      </c>
      <c r="B9110" s="4" t="s">
        <v>19538</v>
      </c>
      <c r="C9110" s="4"/>
      <c r="D9110" s="4" t="s">
        <v>19550</v>
      </c>
      <c r="E9110" s="4" t="s">
        <v>19551</v>
      </c>
      <c r="F9110" s="4" t="s">
        <v>19552</v>
      </c>
      <c r="G9110" s="5" t="str">
        <f>IFERROR(__xludf.DUMMYFUNCTION("GOOGLETRANSLATE(D9110,""pt"",""es"")"),"marchito")</f>
        <v>marchito</v>
      </c>
    </row>
    <row r="9111">
      <c r="A9111" s="4">
        <v>51.0</v>
      </c>
      <c r="B9111" s="4" t="s">
        <v>19538</v>
      </c>
      <c r="C9111" s="4"/>
      <c r="D9111" s="4" t="s">
        <v>19242</v>
      </c>
      <c r="E9111" s="4" t="s">
        <v>2279</v>
      </c>
      <c r="F9111" s="4" t="s">
        <v>2278</v>
      </c>
      <c r="G9111" s="5" t="str">
        <f>IFERROR(__xludf.DUMMYFUNCTION("GOOGLETRANSLATE(D9111,""pt"",""es"")"),"malo")</f>
        <v>malo</v>
      </c>
      <c r="H9111" s="4" t="s">
        <v>2332</v>
      </c>
    </row>
    <row r="9112">
      <c r="A9112" s="4">
        <v>52.0</v>
      </c>
      <c r="B9112" s="4" t="s">
        <v>19538</v>
      </c>
      <c r="C9112" s="4"/>
      <c r="D9112" s="4" t="s">
        <v>19252</v>
      </c>
      <c r="E9112" s="4" t="s">
        <v>19253</v>
      </c>
      <c r="F9112" s="4" t="s">
        <v>19254</v>
      </c>
      <c r="G9112" s="5" t="str">
        <f>IFERROR(__xludf.DUMMYFUNCTION("GOOGLETRANSLATE(D9112,""pt"",""es"")"),"máximo")</f>
        <v>máximo</v>
      </c>
      <c r="H9112" s="4" t="s">
        <v>19255</v>
      </c>
      <c r="I9112" s="4" t="s">
        <v>19256</v>
      </c>
      <c r="J9112" s="4" t="s">
        <v>19257</v>
      </c>
      <c r="K9112" s="4" t="s">
        <v>19258</v>
      </c>
      <c r="L9112" s="4" t="s">
        <v>19257</v>
      </c>
      <c r="M9112" s="4" t="s">
        <v>19259</v>
      </c>
      <c r="N9112" s="4" t="s">
        <v>1400</v>
      </c>
      <c r="O9112" s="4" t="s">
        <v>19257</v>
      </c>
      <c r="P9112" s="4" t="s">
        <v>19260</v>
      </c>
    </row>
    <row r="9113">
      <c r="A9113" s="4">
        <v>53.0</v>
      </c>
      <c r="B9113" s="4" t="s">
        <v>19538</v>
      </c>
      <c r="C9113" s="4"/>
      <c r="D9113" s="4" t="s">
        <v>19261</v>
      </c>
      <c r="E9113" s="4" t="s">
        <v>19262</v>
      </c>
      <c r="F9113" s="4" t="s">
        <v>10688</v>
      </c>
      <c r="G9113" s="5" t="str">
        <f>IFERROR(__xludf.DUMMYFUNCTION("GOOGLETRANSLATE(D9113,""pt"",""es"")"),"naco")</f>
        <v>naco</v>
      </c>
      <c r="H9113" s="4" t="s">
        <v>10892</v>
      </c>
      <c r="I9113" s="4" t="s">
        <v>10893</v>
      </c>
    </row>
    <row r="9114">
      <c r="A9114" s="4">
        <v>54.0</v>
      </c>
      <c r="B9114" s="4" t="s">
        <v>19538</v>
      </c>
      <c r="C9114" s="4"/>
      <c r="D9114" s="4" t="s">
        <v>13239</v>
      </c>
      <c r="E9114" s="4" t="s">
        <v>3018</v>
      </c>
      <c r="F9114" s="4" t="s">
        <v>2972</v>
      </c>
      <c r="G9114" s="5" t="str">
        <f>IFERROR(__xludf.DUMMYFUNCTION("GOOGLETRANSLATE(D9114,""pt"",""es"")"),"en el")</f>
        <v>en el</v>
      </c>
      <c r="H9114" s="4" t="s">
        <v>19290</v>
      </c>
      <c r="I9114" s="4" t="s">
        <v>19291</v>
      </c>
      <c r="J9114" s="4" t="s">
        <v>19292</v>
      </c>
    </row>
    <row r="9115">
      <c r="A9115" s="4">
        <v>55.0</v>
      </c>
      <c r="B9115" s="4" t="s">
        <v>19538</v>
      </c>
      <c r="C9115" s="4"/>
      <c r="D9115" s="4" t="s">
        <v>2972</v>
      </c>
      <c r="E9115" s="4" t="s">
        <v>3018</v>
      </c>
      <c r="F9115" s="4" t="s">
        <v>2972</v>
      </c>
      <c r="G9115" s="5" t="str">
        <f>IFERROR(__xludf.DUMMYFUNCTION("GOOGLETRANSLATE(D9115,""pt"",""es"")"),"desnudo")</f>
        <v>desnudo</v>
      </c>
      <c r="H9115" s="4" t="s">
        <v>3019</v>
      </c>
      <c r="I9115" s="4" t="s">
        <v>3020</v>
      </c>
      <c r="J9115" s="4" t="s">
        <v>3021</v>
      </c>
      <c r="K9115" s="4" t="s">
        <v>3022</v>
      </c>
      <c r="L9115" s="4" t="s">
        <v>19293</v>
      </c>
      <c r="M9115" s="4" t="s">
        <v>19294</v>
      </c>
    </row>
    <row r="9116">
      <c r="A9116" s="4">
        <v>56.0</v>
      </c>
      <c r="B9116" s="4" t="s">
        <v>19538</v>
      </c>
      <c r="C9116" s="4"/>
      <c r="D9116" s="4" t="s">
        <v>3427</v>
      </c>
      <c r="E9116" s="4" t="s">
        <v>3428</v>
      </c>
      <c r="F9116" s="4" t="s">
        <v>3429</v>
      </c>
      <c r="G9116" s="5" t="str">
        <f>IFERROR(__xludf.DUMMYFUNCTION("GOOGLETRANSLATE(D9116,""pt"",""es"")"),"paso")</f>
        <v>paso</v>
      </c>
      <c r="H9116" s="4" t="s">
        <v>639</v>
      </c>
      <c r="I9116" s="4" t="s">
        <v>3365</v>
      </c>
      <c r="J9116" s="4" t="s">
        <v>3366</v>
      </c>
      <c r="K9116" s="4" t="s">
        <v>3367</v>
      </c>
      <c r="L9116" s="4" t="s">
        <v>3368</v>
      </c>
      <c r="M9116" s="4" t="s">
        <v>13236</v>
      </c>
      <c r="N9116" s="4" t="s">
        <v>3365</v>
      </c>
      <c r="O9116" s="4" t="s">
        <v>3366</v>
      </c>
      <c r="P9116" s="4" t="s">
        <v>3372</v>
      </c>
      <c r="Q9116" s="4" t="s">
        <v>3381</v>
      </c>
      <c r="R9116" s="4" t="s">
        <v>3366</v>
      </c>
      <c r="S9116" s="4" t="s">
        <v>3365</v>
      </c>
      <c r="T9116" s="4" t="s">
        <v>3367</v>
      </c>
    </row>
    <row r="9117">
      <c r="A9117" s="4">
        <v>57.0</v>
      </c>
      <c r="B9117" s="4" t="s">
        <v>19538</v>
      </c>
      <c r="C9117" s="4"/>
      <c r="D9117" s="4" t="s">
        <v>14516</v>
      </c>
      <c r="E9117" s="4" t="s">
        <v>19313</v>
      </c>
      <c r="F9117" s="4" t="s">
        <v>14518</v>
      </c>
      <c r="G9117" s="5" t="str">
        <f>IFERROR(__xludf.DUMMYFUNCTION("GOOGLETRANSLATE(D9117,""pt"",""es"")"),"pato")</f>
        <v>pato</v>
      </c>
      <c r="H9117" s="4" t="s">
        <v>11872</v>
      </c>
      <c r="I9117" s="4" t="s">
        <v>19314</v>
      </c>
      <c r="J9117" s="4" t="s">
        <v>11872</v>
      </c>
    </row>
    <row r="9118">
      <c r="A9118" s="4">
        <v>58.0</v>
      </c>
      <c r="B9118" s="4" t="s">
        <v>19538</v>
      </c>
      <c r="C9118" s="4"/>
      <c r="D9118" s="4" t="s">
        <v>3511</v>
      </c>
      <c r="E9118" s="4" t="s">
        <v>3512</v>
      </c>
      <c r="F9118" s="4" t="s">
        <v>3513</v>
      </c>
      <c r="G9118" s="5" t="str">
        <f>IFERROR(__xludf.DUMMYFUNCTION("GOOGLETRANSLATE(D9118,""pt"",""es"")"),"cima")</f>
        <v>cima</v>
      </c>
      <c r="H9118" s="4" t="s">
        <v>1400</v>
      </c>
      <c r="I9118" s="4" t="s">
        <v>1401</v>
      </c>
      <c r="J9118" s="4" t="s">
        <v>1402</v>
      </c>
      <c r="K9118" s="4" t="s">
        <v>1403</v>
      </c>
      <c r="L9118" s="4" t="s">
        <v>425</v>
      </c>
      <c r="M9118" s="4" t="s">
        <v>1404</v>
      </c>
      <c r="N9118" s="4" t="s">
        <v>425</v>
      </c>
    </row>
    <row r="9119">
      <c r="A9119" s="4">
        <v>59.0</v>
      </c>
      <c r="B9119" s="4" t="s">
        <v>19538</v>
      </c>
      <c r="C9119" s="4"/>
      <c r="D9119" s="4" t="s">
        <v>5504</v>
      </c>
      <c r="E9119" s="4" t="s">
        <v>5503</v>
      </c>
      <c r="F9119" s="4" t="s">
        <v>5504</v>
      </c>
      <c r="G9119" s="5" t="str">
        <f>IFERROR(__xludf.DUMMYFUNCTION("GOOGLETRANSLATE(D9119,""pt"",""es"")"),"pipi")</f>
        <v>pipi</v>
      </c>
      <c r="H9119" s="4" t="s">
        <v>7246</v>
      </c>
      <c r="I9119" s="4" t="s">
        <v>7242</v>
      </c>
      <c r="J9119" s="4" t="s">
        <v>7247</v>
      </c>
      <c r="K9119" s="4" t="s">
        <v>7239</v>
      </c>
      <c r="L9119" s="4" t="s">
        <v>7241</v>
      </c>
      <c r="M9119" s="4" t="s">
        <v>7239</v>
      </c>
      <c r="N9119" s="4" t="s">
        <v>7242</v>
      </c>
      <c r="O9119" s="4" t="s">
        <v>7243</v>
      </c>
      <c r="P9119" s="4" t="s">
        <v>7244</v>
      </c>
      <c r="Q9119" s="4" t="s">
        <v>7245</v>
      </c>
    </row>
    <row r="9120">
      <c r="A9120" s="4">
        <v>60.0</v>
      </c>
      <c r="B9120" s="4" t="s">
        <v>19538</v>
      </c>
      <c r="C9120" s="4"/>
      <c r="D9120" s="4" t="s">
        <v>19325</v>
      </c>
      <c r="E9120" s="4" t="s">
        <v>19324</v>
      </c>
      <c r="F9120" s="4" t="s">
        <v>19325</v>
      </c>
      <c r="G9120" s="5" t="str">
        <f>IFERROR(__xludf.DUMMYFUNCTION("GOOGLETRANSLATE(D9120,""pt"",""es"")"),"pirus")</f>
        <v>pirus</v>
      </c>
    </row>
    <row r="9121">
      <c r="A9121" s="4">
        <v>61.0</v>
      </c>
      <c r="B9121" s="4" t="s">
        <v>19538</v>
      </c>
      <c r="C9121" s="4"/>
      <c r="D9121" s="4" t="s">
        <v>19345</v>
      </c>
      <c r="E9121" s="4" t="s">
        <v>13389</v>
      </c>
      <c r="F9121" s="4" t="s">
        <v>13390</v>
      </c>
      <c r="G9121" s="5" t="str">
        <f>IFERROR(__xludf.DUMMYFUNCTION("GOOGLETRANSLATE(D9121,""pt"",""es"")"),"pito")</f>
        <v>pito</v>
      </c>
    </row>
    <row r="9122">
      <c r="A9122" s="4">
        <v>62.0</v>
      </c>
      <c r="B9122" s="4" t="s">
        <v>19538</v>
      </c>
      <c r="C9122" s="4"/>
      <c r="D9122" s="4" t="s">
        <v>19553</v>
      </c>
      <c r="E9122" s="4" t="s">
        <v>3738</v>
      </c>
      <c r="F9122" s="4" t="s">
        <v>3737</v>
      </c>
      <c r="G9122" s="5" t="str">
        <f>IFERROR(__xludf.DUMMYFUNCTION("GOOGLETRANSLATE(D9122,""pt"",""es"")"),"por")</f>
        <v>por</v>
      </c>
      <c r="H9122" s="4" t="s">
        <v>19554</v>
      </c>
      <c r="I9122" s="4" t="s">
        <v>14751</v>
      </c>
      <c r="J9122" s="4" t="s">
        <v>3000</v>
      </c>
    </row>
    <row r="9123">
      <c r="A9123" s="4">
        <v>63.0</v>
      </c>
      <c r="B9123" s="4" t="s">
        <v>19538</v>
      </c>
      <c r="C9123" s="4"/>
      <c r="D9123" s="4" t="s">
        <v>19357</v>
      </c>
      <c r="E9123" s="4" t="s">
        <v>11052</v>
      </c>
      <c r="F9123" s="4" t="s">
        <v>11051</v>
      </c>
      <c r="G9123" s="5" t="str">
        <f>IFERROR(__xludf.DUMMYFUNCTION("GOOGLETRANSLATE(D9123,""pt"",""es"")"),"Molesto")</f>
        <v>Molesto</v>
      </c>
      <c r="H9123" s="4" t="s">
        <v>19358</v>
      </c>
      <c r="I9123" s="4" t="s">
        <v>19359</v>
      </c>
      <c r="J9123" s="4" t="s">
        <v>19360</v>
      </c>
      <c r="K9123" s="4" t="s">
        <v>19361</v>
      </c>
      <c r="L9123" s="4" t="s">
        <v>19362</v>
      </c>
      <c r="M9123" s="4" t="s">
        <v>11480</v>
      </c>
      <c r="N9123" s="4" t="s">
        <v>5892</v>
      </c>
      <c r="O9123" s="4" t="s">
        <v>19363</v>
      </c>
      <c r="P9123" s="4" t="s">
        <v>19364</v>
      </c>
    </row>
    <row r="9124">
      <c r="A9124" s="4">
        <v>64.0</v>
      </c>
      <c r="B9124" s="4" t="s">
        <v>19538</v>
      </c>
      <c r="C9124" s="4"/>
      <c r="D9124" s="4" t="s">
        <v>3806</v>
      </c>
      <c r="E9124" s="4" t="s">
        <v>3807</v>
      </c>
      <c r="F9124" s="4" t="s">
        <v>3808</v>
      </c>
      <c r="G9124" s="5" t="str">
        <f>IFERROR(__xludf.DUMMYFUNCTION("GOOGLETRANSLATE(D9124,""pt"",""es"")"),"kilo")</f>
        <v>kilo</v>
      </c>
      <c r="H9124" s="4" t="s">
        <v>3809</v>
      </c>
      <c r="I9124" s="4" t="s">
        <v>3810</v>
      </c>
      <c r="J9124" s="4" t="s">
        <v>3811</v>
      </c>
    </row>
    <row r="9125">
      <c r="A9125" s="4">
        <v>65.0</v>
      </c>
      <c r="B9125" s="4" t="s">
        <v>19538</v>
      </c>
      <c r="C9125" s="4"/>
      <c r="D9125" s="4" t="s">
        <v>19374</v>
      </c>
      <c r="E9125" s="4" t="s">
        <v>12476</v>
      </c>
      <c r="F9125" s="4" t="s">
        <v>12477</v>
      </c>
      <c r="G9125" s="5" t="str">
        <f>IFERROR(__xludf.DUMMYFUNCTION("GOOGLETRANSLATE(D9125,""pt"",""es"")"),"quipá")</f>
        <v>quipá</v>
      </c>
    </row>
    <row r="9126">
      <c r="A9126" s="4">
        <v>66.0</v>
      </c>
      <c r="B9126" s="4" t="s">
        <v>19538</v>
      </c>
      <c r="C9126" s="4"/>
      <c r="D9126" s="4" t="s">
        <v>19375</v>
      </c>
      <c r="E9126" s="4" t="s">
        <v>3831</v>
      </c>
      <c r="F9126" s="4" t="s">
        <v>3832</v>
      </c>
      <c r="G9126" s="5" t="str">
        <f>IFERROR(__xludf.DUMMYFUNCTION("GOOGLETRANSLATE(D9126,""pt"",""es"")"),"quizás")</f>
        <v>quizás</v>
      </c>
      <c r="H9126" s="4" t="s">
        <v>19376</v>
      </c>
      <c r="I9126" s="4" t="s">
        <v>19377</v>
      </c>
      <c r="J9126" s="4" t="s">
        <v>19378</v>
      </c>
      <c r="K9126" s="4" t="s">
        <v>19379</v>
      </c>
      <c r="L9126" s="4" t="s">
        <v>19380</v>
      </c>
      <c r="M9126" s="4" t="s">
        <v>19381</v>
      </c>
    </row>
    <row r="9127">
      <c r="A9127" s="4">
        <v>67.0</v>
      </c>
      <c r="B9127" s="4" t="s">
        <v>19538</v>
      </c>
      <c r="C9127" s="4"/>
      <c r="D9127" s="4" t="s">
        <v>19405</v>
      </c>
      <c r="E9127" s="4" t="s">
        <v>19406</v>
      </c>
      <c r="F9127" s="4" t="s">
        <v>19407</v>
      </c>
      <c r="G9127" s="5" t="str">
        <f>IFERROR(__xludf.DUMMYFUNCTION("GOOGLETRANSLATE(D9127,""pt"",""es"")"),"rana")</f>
        <v>rana</v>
      </c>
      <c r="H9127" s="4" t="s">
        <v>19408</v>
      </c>
      <c r="I9127" s="4" t="s">
        <v>19409</v>
      </c>
      <c r="J9127" s="4" t="s">
        <v>19410</v>
      </c>
      <c r="K9127" s="4" t="s">
        <v>19411</v>
      </c>
      <c r="L9127" s="4" t="s">
        <v>19412</v>
      </c>
      <c r="M9127" s="4" t="s">
        <v>19413</v>
      </c>
      <c r="N9127" s="4" t="s">
        <v>19414</v>
      </c>
      <c r="O9127" s="4" t="s">
        <v>19415</v>
      </c>
      <c r="P9127" s="4" t="s">
        <v>19414</v>
      </c>
      <c r="Q9127" s="4" t="s">
        <v>19415</v>
      </c>
      <c r="R9127" s="4" t="s">
        <v>19416</v>
      </c>
    </row>
    <row r="9128">
      <c r="A9128" s="4">
        <v>68.0</v>
      </c>
      <c r="B9128" s="4" t="s">
        <v>19538</v>
      </c>
      <c r="C9128" s="4"/>
      <c r="D9128" s="4" t="s">
        <v>401</v>
      </c>
      <c r="E9128" s="4" t="s">
        <v>400</v>
      </c>
      <c r="F9128" s="4" t="s">
        <v>401</v>
      </c>
      <c r="G9128" s="5" t="str">
        <f>IFERROR(__xludf.DUMMYFUNCTION("GOOGLETRANSLATE(D9128,""pt"",""es"")"),"si")</f>
        <v>si</v>
      </c>
      <c r="H9128" s="4" t="s">
        <v>422</v>
      </c>
      <c r="I9128" s="4" t="s">
        <v>3975</v>
      </c>
      <c r="J9128" s="4" t="s">
        <v>401</v>
      </c>
    </row>
    <row r="9129">
      <c r="A9129" s="4">
        <v>69.0</v>
      </c>
      <c r="B9129" s="4" t="s">
        <v>19538</v>
      </c>
      <c r="C9129" s="4"/>
      <c r="D9129" s="4" t="s">
        <v>19427</v>
      </c>
      <c r="E9129" s="4" t="s">
        <v>11234</v>
      </c>
      <c r="F9129" s="4" t="s">
        <v>11233</v>
      </c>
      <c r="G9129" s="5" t="str">
        <f>IFERROR(__xludf.DUMMYFUNCTION("GOOGLETRANSLATE(D9129,""pt"",""es"")"),"jugo")</f>
        <v>jugo</v>
      </c>
      <c r="H9129" s="4" t="s">
        <v>4110</v>
      </c>
      <c r="I9129" s="4" t="s">
        <v>4111</v>
      </c>
      <c r="J9129" s="4" t="s">
        <v>4112</v>
      </c>
    </row>
    <row r="9130">
      <c r="A9130" s="4">
        <v>70.0</v>
      </c>
      <c r="B9130" s="4" t="s">
        <v>19538</v>
      </c>
      <c r="C9130" s="4"/>
      <c r="D9130" s="4" t="s">
        <v>19428</v>
      </c>
      <c r="E9130" s="4" t="s">
        <v>19429</v>
      </c>
      <c r="F9130" s="4" t="s">
        <v>19430</v>
      </c>
      <c r="G9130" s="5" t="str">
        <f>IFERROR(__xludf.DUMMYFUNCTION("GOOGLETRANSLATE(D9130,""pt"",""es"")"),"Sumiko")</f>
        <v>Sumiko</v>
      </c>
    </row>
    <row r="9131">
      <c r="A9131" s="4">
        <v>71.0</v>
      </c>
      <c r="B9131" s="4" t="s">
        <v>19538</v>
      </c>
      <c r="C9131" s="4"/>
      <c r="D9131" s="4" t="s">
        <v>19434</v>
      </c>
      <c r="E9131" s="4" t="s">
        <v>19435</v>
      </c>
      <c r="F9131" s="4" t="s">
        <v>19436</v>
      </c>
      <c r="G9131" s="5" t="str">
        <f>IFERROR(__xludf.DUMMYFUNCTION("GOOGLETRANSLATE(D9131,""pt"",""es"")"),"excedente")</f>
        <v>excedente</v>
      </c>
    </row>
    <row r="9132">
      <c r="A9132" s="4">
        <v>72.0</v>
      </c>
      <c r="B9132" s="4" t="s">
        <v>19538</v>
      </c>
      <c r="C9132" s="4"/>
      <c r="D9132" s="4" t="s">
        <v>19437</v>
      </c>
      <c r="E9132" s="4" t="s">
        <v>19438</v>
      </c>
      <c r="F9132" s="4" t="s">
        <v>19439</v>
      </c>
      <c r="G9132" s="5" t="str">
        <f>IFERROR(__xludf.DUMMYFUNCTION("GOOGLETRANSLATE(D9132,""pt"",""es"")"),"tacho")</f>
        <v>tacho</v>
      </c>
      <c r="H9132" s="4" t="s">
        <v>19440</v>
      </c>
    </row>
    <row r="9133">
      <c r="A9133" s="4">
        <v>73.0</v>
      </c>
      <c r="B9133" s="4" t="s">
        <v>19538</v>
      </c>
      <c r="C9133" s="4"/>
      <c r="D9133" s="4" t="s">
        <v>4247</v>
      </c>
      <c r="E9133" s="4" t="s">
        <v>4248</v>
      </c>
      <c r="F9133" s="4" t="s">
        <v>4249</v>
      </c>
      <c r="G9133" s="5" t="str">
        <f>IFERROR(__xludf.DUMMYFUNCTION("GOOGLETRANSLATE(D9133,""pt"",""es"")"),"taco")</f>
        <v>taco</v>
      </c>
      <c r="H9133" s="4" t="s">
        <v>6604</v>
      </c>
      <c r="I9133" s="4" t="s">
        <v>19441</v>
      </c>
      <c r="J9133" s="4" t="s">
        <v>19442</v>
      </c>
      <c r="K9133" s="4" t="s">
        <v>19443</v>
      </c>
      <c r="L9133" s="4" t="s">
        <v>19444</v>
      </c>
      <c r="M9133" s="4" t="s">
        <v>3164</v>
      </c>
      <c r="N9133" s="4" t="s">
        <v>3165</v>
      </c>
      <c r="O9133" s="4" t="s">
        <v>3166</v>
      </c>
      <c r="P9133" s="4" t="s">
        <v>4247</v>
      </c>
    </row>
    <row r="9134">
      <c r="A9134" s="4">
        <v>74.0</v>
      </c>
      <c r="B9134" s="4" t="s">
        <v>19538</v>
      </c>
      <c r="C9134" s="4"/>
      <c r="D9134" s="4" t="s">
        <v>19451</v>
      </c>
      <c r="E9134" s="4" t="s">
        <v>19452</v>
      </c>
      <c r="F9134" s="4" t="s">
        <v>19453</v>
      </c>
      <c r="G9134" s="5" t="str">
        <f>IFERROR(__xludf.DUMMYFUNCTION("GOOGLETRANSLATE(D9134,""pt"",""es"")"),"carnicero")</f>
        <v>carnicero</v>
      </c>
      <c r="H9134" s="4" t="s">
        <v>19454</v>
      </c>
      <c r="I9134" s="4" t="s">
        <v>19455</v>
      </c>
    </row>
    <row r="9135">
      <c r="A9135" s="4">
        <v>75.0</v>
      </c>
      <c r="B9135" s="4" t="s">
        <v>19538</v>
      </c>
      <c r="C9135" s="4"/>
      <c r="D9135" s="4" t="s">
        <v>19460</v>
      </c>
      <c r="E9135" s="4" t="s">
        <v>13825</v>
      </c>
      <c r="F9135" s="4" t="s">
        <v>11378</v>
      </c>
      <c r="G9135" s="5" t="str">
        <f>IFERROR(__xludf.DUMMYFUNCTION("GOOGLETRANSLATE(D9135,""pt"",""es"")"),"tacto")</f>
        <v>tacto</v>
      </c>
      <c r="H9135" s="4" t="s">
        <v>19461</v>
      </c>
      <c r="I9135" s="4" t="s">
        <v>19462</v>
      </c>
    </row>
    <row r="9136">
      <c r="A9136" s="4">
        <v>76.0</v>
      </c>
      <c r="B9136" s="4" t="s">
        <v>19538</v>
      </c>
      <c r="C9136" s="4"/>
      <c r="D9136" s="4" t="s">
        <v>11378</v>
      </c>
      <c r="E9136" s="4" t="s">
        <v>13825</v>
      </c>
      <c r="F9136" s="4" t="s">
        <v>11378</v>
      </c>
      <c r="G9136" s="5" t="str">
        <f>IFERROR(__xludf.DUMMYFUNCTION("GOOGLETRANSLATE(D9136,""pt"",""es"")"),"armadillo")</f>
        <v>armadillo</v>
      </c>
      <c r="H9136" s="4" t="s">
        <v>13826</v>
      </c>
    </row>
    <row r="9137">
      <c r="A9137" s="4">
        <v>77.0</v>
      </c>
      <c r="B9137" s="4" t="s">
        <v>19538</v>
      </c>
      <c r="C9137" s="4"/>
      <c r="D9137" s="4" t="s">
        <v>19463</v>
      </c>
      <c r="E9137" s="4" t="s">
        <v>19438</v>
      </c>
      <c r="F9137" s="4" t="s">
        <v>19439</v>
      </c>
      <c r="G9137" s="5" t="str">
        <f>IFERROR(__xludf.DUMMYFUNCTION("GOOGLETRANSLATE(D9137,""pt"",""es"")"),"agotador")</f>
        <v>agotador</v>
      </c>
    </row>
    <row r="9138">
      <c r="A9138" s="4">
        <v>78.0</v>
      </c>
      <c r="B9138" s="4" t="s">
        <v>19538</v>
      </c>
      <c r="C9138" s="4"/>
      <c r="D9138" s="4" t="s">
        <v>4555</v>
      </c>
      <c r="E9138" s="4" t="s">
        <v>4556</v>
      </c>
      <c r="F9138" s="4" t="s">
        <v>4555</v>
      </c>
      <c r="G9138" s="5" t="str">
        <f>IFERROR(__xludf.DUMMYFUNCTION("GOOGLETRANSLATE(D9138,""pt"",""es"")"),"tú")</f>
        <v>tú</v>
      </c>
    </row>
    <row r="9139">
      <c r="A9139" s="4">
        <v>79.0</v>
      </c>
      <c r="B9139" s="4" t="s">
        <v>19538</v>
      </c>
      <c r="C9139" s="4"/>
      <c r="D9139" s="4" t="s">
        <v>19465</v>
      </c>
      <c r="E9139" s="4" t="s">
        <v>19466</v>
      </c>
      <c r="F9139" s="4" t="s">
        <v>19467</v>
      </c>
      <c r="G9139" s="5" t="str">
        <f>IFERROR(__xludf.DUMMYFUNCTION("GOOGLETRANSLATE(D9139,""pt"",""es"")"),"tucux")</f>
        <v>tucux</v>
      </c>
    </row>
    <row r="9140">
      <c r="A9140" s="4">
        <v>80.0</v>
      </c>
      <c r="B9140" s="4" t="s">
        <v>19538</v>
      </c>
      <c r="C9140" s="4"/>
      <c r="D9140" s="4" t="s">
        <v>19469</v>
      </c>
      <c r="E9140" s="4" t="s">
        <v>19470</v>
      </c>
      <c r="F9140" s="4" t="s">
        <v>19471</v>
      </c>
      <c r="G9140" s="5" t="str">
        <f>IFERROR(__xludf.DUMMYFUNCTION("GOOGLETRANSLATE(D9140,""pt"",""es"")"),"tuiuiu")</f>
        <v>tuiuiu</v>
      </c>
      <c r="H9140" s="4" t="s">
        <v>19472</v>
      </c>
      <c r="I9140" s="4" t="s">
        <v>19473</v>
      </c>
    </row>
    <row r="9141">
      <c r="A9141" s="4">
        <v>81.0</v>
      </c>
      <c r="B9141" s="4" t="s">
        <v>19538</v>
      </c>
      <c r="C9141" s="4"/>
      <c r="D9141" s="4" t="s">
        <v>4523</v>
      </c>
      <c r="E9141" s="4" t="s">
        <v>4522</v>
      </c>
      <c r="F9141" s="4" t="s">
        <v>4523</v>
      </c>
      <c r="G9141" s="5" t="str">
        <f>IFERROR(__xludf.DUMMYFUNCTION("GOOGLETRANSLATE(D9141,""pt"",""es"")"),"Tupi")</f>
        <v>Tupi</v>
      </c>
      <c r="H9141" s="4" t="s">
        <v>13912</v>
      </c>
      <c r="I9141" s="4" t="s">
        <v>13912</v>
      </c>
    </row>
    <row r="9142">
      <c r="A9142" s="4">
        <v>82.0</v>
      </c>
      <c r="B9142" s="4" t="s">
        <v>19538</v>
      </c>
      <c r="C9142" s="4"/>
      <c r="D9142" s="4" t="s">
        <v>19501</v>
      </c>
      <c r="E9142" s="4" t="s">
        <v>14671</v>
      </c>
      <c r="F9142" s="4" t="s">
        <v>14672</v>
      </c>
      <c r="G9142" s="5" t="str">
        <f>IFERROR(__xludf.DUMMYFUNCTION("GOOGLETRANSLATE(D9142,""pt"",""es"")"),"USSO")</f>
        <v>USSO</v>
      </c>
    </row>
    <row r="9143">
      <c r="A9143" s="4">
        <v>83.0</v>
      </c>
      <c r="B9143" s="4" t="s">
        <v>19538</v>
      </c>
      <c r="C9143" s="4"/>
      <c r="D9143" s="4" t="s">
        <v>19506</v>
      </c>
      <c r="E9143" s="4" t="s">
        <v>4671</v>
      </c>
      <c r="F9143" s="4" t="s">
        <v>4672</v>
      </c>
      <c r="G9143" s="5" t="str">
        <f>IFERROR(__xludf.DUMMYFUNCTION("GOOGLETRANSLATE(D9143,""pt"",""es"")"),"cha")</f>
        <v>cha</v>
      </c>
      <c r="H9143" s="4" t="s">
        <v>4673</v>
      </c>
      <c r="I9143" s="4" t="s">
        <v>4674</v>
      </c>
      <c r="J9143" s="4" t="s">
        <v>4673</v>
      </c>
      <c r="K9143" s="4" t="s">
        <v>4674</v>
      </c>
    </row>
    <row r="9144">
      <c r="A9144" s="4">
        <v>84.0</v>
      </c>
      <c r="B9144" s="4" t="s">
        <v>19538</v>
      </c>
      <c r="C9144" s="4"/>
      <c r="D9144" s="4" t="s">
        <v>19510</v>
      </c>
      <c r="E9144" s="4" t="s">
        <v>19511</v>
      </c>
      <c r="F9144" s="4" t="s">
        <v>19512</v>
      </c>
      <c r="G9144" s="5" t="str">
        <f>IFERROR(__xludf.DUMMYFUNCTION("GOOGLETRANSLATE(D9144,""pt"",""es"")"),"Yukiko")</f>
        <v>Yukiko</v>
      </c>
    </row>
    <row r="9145">
      <c r="A9145" s="4">
        <v>85.0</v>
      </c>
      <c r="B9145" s="4" t="s">
        <v>19538</v>
      </c>
      <c r="C9145" s="4"/>
      <c r="D9145" s="4" t="s">
        <v>19513</v>
      </c>
      <c r="E9145" s="4" t="s">
        <v>19514</v>
      </c>
      <c r="F9145" s="4" t="s">
        <v>19515</v>
      </c>
      <c r="G9145" s="5" t="str">
        <f>IFERROR(__xludf.DUMMYFUNCTION("GOOGLETRANSLATE(D9145,""pt"",""es"")"),"yuko")</f>
        <v>yuko</v>
      </c>
    </row>
    <row r="9146">
      <c r="A9146" s="4">
        <v>86.0</v>
      </c>
      <c r="B9146" s="4" t="s">
        <v>19538</v>
      </c>
      <c r="C9146" s="4"/>
      <c r="D9146" s="4" t="s">
        <v>19516</v>
      </c>
      <c r="E9146" s="4" t="s">
        <v>19517</v>
      </c>
      <c r="F9146" s="4" t="s">
        <v>19516</v>
      </c>
      <c r="G9146" s="5" t="str">
        <f>IFERROR(__xludf.DUMMYFUNCTION("GOOGLETRANSLATE(D9146,""pt"",""es"")"),"Yuri")</f>
        <v>Yuri</v>
      </c>
    </row>
    <row r="9147">
      <c r="A9147" s="4">
        <v>87.0</v>
      </c>
      <c r="B9147" s="4" t="s">
        <v>19538</v>
      </c>
      <c r="C9147" s="4"/>
      <c r="D9147" s="4" t="s">
        <v>19518</v>
      </c>
      <c r="E9147" s="4" t="s">
        <v>19519</v>
      </c>
      <c r="F9147" s="4" t="s">
        <v>19520</v>
      </c>
      <c r="G9147" s="5" t="str">
        <f>IFERROR(__xludf.DUMMYFUNCTION("GOOGLETRANSLATE(D9147,""pt"",""es"")"),"Yuriko")</f>
        <v>Yuriko</v>
      </c>
    </row>
    <row r="9148">
      <c r="A9148" s="4">
        <v>1.0</v>
      </c>
      <c r="B9148" s="4" t="s">
        <v>19555</v>
      </c>
      <c r="C9148" s="4"/>
      <c r="D9148" s="4" t="s">
        <v>18919</v>
      </c>
      <c r="E9148" s="4" t="s">
        <v>18920</v>
      </c>
      <c r="F9148" s="4" t="s">
        <v>18921</v>
      </c>
      <c r="G9148" s="5" t="str">
        <f>IFERROR(__xludf.DUMMYFUNCTION("GOOGLETRANSLATE(D9148,""pt"",""es"")"),"pensar")</f>
        <v>pensar</v>
      </c>
    </row>
    <row r="9149">
      <c r="A9149" s="4">
        <v>2.0</v>
      </c>
      <c r="B9149" s="4" t="s">
        <v>19555</v>
      </c>
      <c r="C9149" s="4"/>
      <c r="D9149" s="4" t="s">
        <v>19556</v>
      </c>
      <c r="E9149" s="4" t="s">
        <v>19557</v>
      </c>
      <c r="F9149" s="4" t="s">
        <v>19558</v>
      </c>
      <c r="G9149" s="5" t="str">
        <f>IFERROR(__xludf.DUMMYFUNCTION("GOOGLETRANSLATE(D9149,""pt"",""es"")"),"acumulación")</f>
        <v>acumulación</v>
      </c>
      <c r="H9149" s="4" t="s">
        <v>1732</v>
      </c>
      <c r="I9149" s="4" t="s">
        <v>19559</v>
      </c>
      <c r="J9149" s="4" t="s">
        <v>19560</v>
      </c>
      <c r="K9149" s="4" t="s">
        <v>19561</v>
      </c>
      <c r="L9149" s="4" t="s">
        <v>1730</v>
      </c>
      <c r="M9149" s="4" t="s">
        <v>1731</v>
      </c>
      <c r="N9149" s="4" t="s">
        <v>1732</v>
      </c>
      <c r="O9149" s="4" t="s">
        <v>1733</v>
      </c>
      <c r="P9149" s="4" t="s">
        <v>11263</v>
      </c>
      <c r="Q9149" s="4" t="s">
        <v>483</v>
      </c>
      <c r="R9149" s="4" t="s">
        <v>484</v>
      </c>
      <c r="S9149" s="4" t="s">
        <v>2824</v>
      </c>
      <c r="T9149" s="4" t="s">
        <v>2825</v>
      </c>
      <c r="U9149" s="4" t="s">
        <v>2826</v>
      </c>
      <c r="V9149" s="4" t="s">
        <v>1734</v>
      </c>
      <c r="W9149" s="4" t="s">
        <v>19562</v>
      </c>
      <c r="X9149" s="4" t="s">
        <v>11263</v>
      </c>
      <c r="Y9149" s="4" t="s">
        <v>19563</v>
      </c>
    </row>
    <row r="9150">
      <c r="A9150" s="4">
        <v>3.0</v>
      </c>
      <c r="B9150" s="4" t="s">
        <v>19555</v>
      </c>
      <c r="C9150" s="4"/>
      <c r="D9150" s="4" t="s">
        <v>503</v>
      </c>
      <c r="E9150" s="4" t="s">
        <v>504</v>
      </c>
      <c r="F9150" s="4" t="s">
        <v>505</v>
      </c>
      <c r="G9150" s="5" t="str">
        <f>IFERROR(__xludf.DUMMYFUNCTION("GOOGLETRANSLATE(D9150,""pt"",""es"")"),"allá")</f>
        <v>allá</v>
      </c>
      <c r="H9150" s="4" t="s">
        <v>6489</v>
      </c>
      <c r="I9150" s="4" t="s">
        <v>6490</v>
      </c>
      <c r="J9150" s="4" t="s">
        <v>6491</v>
      </c>
      <c r="K9150" s="4" t="s">
        <v>6492</v>
      </c>
      <c r="L9150" s="4" t="s">
        <v>6493</v>
      </c>
      <c r="M9150" s="4" t="s">
        <v>6494</v>
      </c>
      <c r="N9150" s="4" t="s">
        <v>6495</v>
      </c>
      <c r="O9150" s="4" t="s">
        <v>6496</v>
      </c>
      <c r="P9150" s="4" t="s">
        <v>6497</v>
      </c>
      <c r="Q9150" s="4" t="s">
        <v>6498</v>
      </c>
      <c r="R9150" s="4" t="s">
        <v>6499</v>
      </c>
      <c r="S9150" s="4" t="s">
        <v>6500</v>
      </c>
      <c r="T9150" s="4" t="s">
        <v>6488</v>
      </c>
      <c r="U9150" s="4" t="s">
        <v>6501</v>
      </c>
      <c r="V9150" s="4" t="s">
        <v>6502</v>
      </c>
      <c r="W9150" s="4" t="s">
        <v>6503</v>
      </c>
      <c r="X9150" s="4" t="s">
        <v>6504</v>
      </c>
      <c r="Y9150" s="4" t="s">
        <v>6505</v>
      </c>
      <c r="Z9150" s="4" t="s">
        <v>6506</v>
      </c>
      <c r="AA9150" s="4" t="s">
        <v>6507</v>
      </c>
      <c r="AB9150" s="4" t="s">
        <v>6508</v>
      </c>
      <c r="AC9150" s="4" t="s">
        <v>6509</v>
      </c>
      <c r="AD9150" s="4" t="s">
        <v>6510</v>
      </c>
    </row>
    <row r="9151">
      <c r="A9151" s="4">
        <v>4.0</v>
      </c>
      <c r="B9151" s="4" t="s">
        <v>19555</v>
      </c>
      <c r="C9151" s="4"/>
      <c r="D9151" s="4" t="s">
        <v>14299</v>
      </c>
      <c r="E9151" s="4" t="s">
        <v>11785</v>
      </c>
      <c r="F9151" s="4" t="s">
        <v>9204</v>
      </c>
      <c r="G9151" s="5" t="str">
        <f>IFERROR(__xludf.DUMMYFUNCTION("GOOGLETRANSLATE(D9151,""pt"",""es"")"),"AIO")</f>
        <v>AIO</v>
      </c>
    </row>
    <row r="9152">
      <c r="A9152" s="4">
        <v>5.0</v>
      </c>
      <c r="B9152" s="4" t="s">
        <v>19555</v>
      </c>
      <c r="C9152" s="4"/>
      <c r="D9152" s="4" t="s">
        <v>18922</v>
      </c>
      <c r="E9152" s="4" t="s">
        <v>18923</v>
      </c>
      <c r="F9152" s="4" t="s">
        <v>14308</v>
      </c>
      <c r="G9152" s="5" t="str">
        <f>IFERROR(__xludf.DUMMYFUNCTION("GOOGLETRANSLATE(D9152,""pt"",""es"")"),"ajo")</f>
        <v>ajo</v>
      </c>
      <c r="H9152" s="4" t="s">
        <v>526</v>
      </c>
      <c r="I9152" s="4" t="s">
        <v>527</v>
      </c>
      <c r="J9152" s="4" t="s">
        <v>18924</v>
      </c>
      <c r="K9152" s="4" t="s">
        <v>18925</v>
      </c>
      <c r="L9152" s="4" t="s">
        <v>18926</v>
      </c>
      <c r="M9152" s="4" t="s">
        <v>18927</v>
      </c>
      <c r="N9152" s="4" t="s">
        <v>18928</v>
      </c>
      <c r="O9152" s="4" t="s">
        <v>18929</v>
      </c>
      <c r="P9152" s="4" t="s">
        <v>18930</v>
      </c>
      <c r="Q9152" s="4" t="s">
        <v>526</v>
      </c>
      <c r="R9152" s="4" t="s">
        <v>528</v>
      </c>
      <c r="S9152" s="4" t="s">
        <v>526</v>
      </c>
      <c r="T9152" s="4" t="s">
        <v>528</v>
      </c>
    </row>
    <row r="9153">
      <c r="A9153" s="4">
        <v>6.0</v>
      </c>
      <c r="B9153" s="4" t="s">
        <v>19555</v>
      </c>
      <c r="C9153" s="4"/>
      <c r="D9153" s="4" t="s">
        <v>18952</v>
      </c>
      <c r="E9153" s="4" t="s">
        <v>18953</v>
      </c>
      <c r="F9153" s="4" t="s">
        <v>18954</v>
      </c>
      <c r="G9153" s="5" t="str">
        <f>IFERROR(__xludf.DUMMYFUNCTION("GOOGLETRANSLATE(D9153,""pt"",""es"")"),"abuso")</f>
        <v>abuso</v>
      </c>
      <c r="H9153" s="4" t="s">
        <v>18955</v>
      </c>
      <c r="I9153" s="4" t="s">
        <v>18956</v>
      </c>
      <c r="J9153" s="4" t="s">
        <v>18957</v>
      </c>
    </row>
    <row r="9154">
      <c r="A9154" s="4">
        <v>7.0</v>
      </c>
      <c r="B9154" s="4" t="s">
        <v>19555</v>
      </c>
      <c r="C9154" s="4"/>
      <c r="D9154" s="4" t="s">
        <v>18958</v>
      </c>
      <c r="E9154" s="4" t="s">
        <v>18959</v>
      </c>
      <c r="F9154" s="4" t="s">
        <v>18960</v>
      </c>
      <c r="G9154" s="5" t="str">
        <f>IFERROR(__xludf.DUMMYFUNCTION("GOOGLETRANSLATE(D9154,""pt"",""es"")"),"aquí no")</f>
        <v>aquí no</v>
      </c>
    </row>
    <row r="9155">
      <c r="A9155" s="4">
        <v>8.0</v>
      </c>
      <c r="B9155" s="4" t="s">
        <v>19555</v>
      </c>
      <c r="C9155" s="4"/>
      <c r="D9155" s="4" t="s">
        <v>18961</v>
      </c>
      <c r="E9155" s="4" t="s">
        <v>18962</v>
      </c>
      <c r="F9155" s="4" t="s">
        <v>18963</v>
      </c>
      <c r="G9155" s="5" t="str">
        <f>IFERROR(__xludf.DUMMYFUNCTION("GOOGLETRANSLATE(D9155,""pt"",""es"")"),"borde")</f>
        <v>borde</v>
      </c>
      <c r="H9155" s="4" t="s">
        <v>18964</v>
      </c>
      <c r="I9155" s="4" t="s">
        <v>18965</v>
      </c>
      <c r="J9155" s="4" t="s">
        <v>9512</v>
      </c>
      <c r="K9155" s="4" t="s">
        <v>9512</v>
      </c>
    </row>
    <row r="9156">
      <c r="A9156" s="4">
        <v>9.0</v>
      </c>
      <c r="B9156" s="4" t="s">
        <v>19555</v>
      </c>
      <c r="C9156" s="4"/>
      <c r="D9156" s="4" t="s">
        <v>18977</v>
      </c>
      <c r="E9156" s="4" t="s">
        <v>15678</v>
      </c>
      <c r="F9156" s="4" t="s">
        <v>9347</v>
      </c>
      <c r="G9156" s="5" t="str">
        <f>IFERROR(__xludf.DUMMYFUNCTION("GOOGLETRANSLATE(D9156,""pt"",""es"")"),"roca")</f>
        <v>roca</v>
      </c>
    </row>
    <row r="9157">
      <c r="A9157" s="4">
        <v>10.0</v>
      </c>
      <c r="B9157" s="4" t="s">
        <v>19555</v>
      </c>
      <c r="C9157" s="4"/>
      <c r="D9157" s="4" t="s">
        <v>18978</v>
      </c>
      <c r="E9157" s="4" t="s">
        <v>18979</v>
      </c>
      <c r="F9157" s="4" t="s">
        <v>18980</v>
      </c>
      <c r="G9157" s="5" t="str">
        <f>IFERROR(__xludf.DUMMYFUNCTION("GOOGLETRANSLATE(D9157,""pt"",""es"")"),"atribuir")</f>
        <v>atribuir</v>
      </c>
      <c r="H9157" s="4" t="s">
        <v>18981</v>
      </c>
      <c r="I9157" s="4" t="s">
        <v>18982</v>
      </c>
      <c r="J9157" s="4" t="s">
        <v>18983</v>
      </c>
    </row>
    <row r="9158">
      <c r="A9158" s="4">
        <v>11.0</v>
      </c>
      <c r="B9158" s="4" t="s">
        <v>19555</v>
      </c>
      <c r="C9158" s="4"/>
      <c r="D9158" s="4" t="s">
        <v>18984</v>
      </c>
      <c r="E9158" s="4" t="s">
        <v>11761</v>
      </c>
      <c r="F9158" s="4" t="s">
        <v>11762</v>
      </c>
      <c r="G9158" s="5" t="str">
        <f>IFERROR(__xludf.DUMMYFUNCTION("GOOGLETRANSLATE(D9158,""pt"",""es"")"),"Actuar")</f>
        <v>Actuar</v>
      </c>
      <c r="H9158" s="4" t="s">
        <v>3993</v>
      </c>
      <c r="I9158" s="4" t="s">
        <v>15704</v>
      </c>
      <c r="J9158" s="4" t="s">
        <v>15705</v>
      </c>
      <c r="K9158" s="4" t="s">
        <v>15706</v>
      </c>
      <c r="L9158" s="4" t="s">
        <v>18985</v>
      </c>
      <c r="M9158" s="4" t="s">
        <v>9219</v>
      </c>
      <c r="N9158" s="4" t="s">
        <v>18986</v>
      </c>
      <c r="O9158" s="4" t="s">
        <v>18987</v>
      </c>
      <c r="P9158" s="4" t="s">
        <v>3993</v>
      </c>
      <c r="Q9158" s="4" t="s">
        <v>10236</v>
      </c>
      <c r="R9158" s="4" t="s">
        <v>15704</v>
      </c>
      <c r="S9158" s="4" t="s">
        <v>18988</v>
      </c>
      <c r="T9158" s="4" t="s">
        <v>4599</v>
      </c>
      <c r="U9158" s="4" t="s">
        <v>3993</v>
      </c>
    </row>
    <row r="9159">
      <c r="A9159" s="4">
        <v>12.0</v>
      </c>
      <c r="B9159" s="4" t="s">
        <v>19555</v>
      </c>
      <c r="C9159" s="4"/>
      <c r="D9159" s="4" t="s">
        <v>18989</v>
      </c>
      <c r="E9159" s="4" t="s">
        <v>18990</v>
      </c>
      <c r="F9159" s="4" t="s">
        <v>18991</v>
      </c>
      <c r="G9159" s="5" t="str">
        <f>IFERROR(__xludf.DUMMYFUNCTION("GOOGLETRANSLATE(D9159,""pt"",""es"")"),"tuler")</f>
        <v>tuler</v>
      </c>
    </row>
    <row r="9160">
      <c r="A9160" s="4">
        <v>13.0</v>
      </c>
      <c r="B9160" s="4" t="s">
        <v>19555</v>
      </c>
      <c r="C9160" s="4"/>
      <c r="D9160" s="4" t="s">
        <v>18992</v>
      </c>
      <c r="E9160" s="4" t="s">
        <v>15678</v>
      </c>
      <c r="F9160" s="4" t="s">
        <v>9347</v>
      </c>
      <c r="G9160" s="5" t="str">
        <f>IFERROR(__xludf.DUMMYFUNCTION("GOOGLETRANSLATE(D9160,""pt"",""es"")"),"acero")</f>
        <v>acero</v>
      </c>
      <c r="H9160" s="4" t="s">
        <v>16711</v>
      </c>
      <c r="I9160" s="4" t="s">
        <v>16711</v>
      </c>
    </row>
    <row r="9161">
      <c r="A9161" s="4">
        <v>14.0</v>
      </c>
      <c r="B9161" s="4" t="s">
        <v>19555</v>
      </c>
      <c r="C9161" s="4"/>
      <c r="D9161" s="4" t="s">
        <v>18993</v>
      </c>
      <c r="E9161" s="4" t="s">
        <v>504</v>
      </c>
      <c r="F9161" s="4" t="s">
        <v>505</v>
      </c>
      <c r="G9161" s="5" t="str">
        <f>IFERROR(__xludf.DUMMYFUNCTION("GOOGLETRANSLATE(D9161,""pt"",""es"")"),"poner")</f>
        <v>poner</v>
      </c>
    </row>
    <row r="9162">
      <c r="A9162" s="4">
        <v>15.0</v>
      </c>
      <c r="B9162" s="4" t="s">
        <v>19555</v>
      </c>
      <c r="C9162" s="4"/>
      <c r="D9162" s="4" t="s">
        <v>19000</v>
      </c>
      <c r="E9162" s="4" t="s">
        <v>19001</v>
      </c>
      <c r="F9162" s="4" t="s">
        <v>19002</v>
      </c>
      <c r="G9162" s="5" t="str">
        <f>IFERROR(__xludf.DUMMYFUNCTION("GOOGLETRANSLATE(D9162,""pt"",""es"")"),"racimo")</f>
        <v>racimo</v>
      </c>
      <c r="H9162" s="4" t="s">
        <v>3282</v>
      </c>
      <c r="I9162" s="4" t="s">
        <v>8445</v>
      </c>
      <c r="J9162" s="4" t="s">
        <v>8446</v>
      </c>
      <c r="K9162" s="4" t="s">
        <v>8447</v>
      </c>
      <c r="L9162" s="4" t="s">
        <v>19003</v>
      </c>
      <c r="M9162" s="4" t="s">
        <v>19004</v>
      </c>
      <c r="N9162" s="4" t="s">
        <v>7299</v>
      </c>
      <c r="O9162" s="4" t="s">
        <v>19005</v>
      </c>
    </row>
    <row r="9163">
      <c r="A9163" s="4">
        <v>16.0</v>
      </c>
      <c r="B9163" s="4" t="s">
        <v>19555</v>
      </c>
      <c r="C9163" s="4"/>
      <c r="D9163" s="4" t="s">
        <v>19006</v>
      </c>
      <c r="E9163" s="4" t="s">
        <v>19007</v>
      </c>
      <c r="F9163" s="4" t="s">
        <v>19008</v>
      </c>
      <c r="G9163" s="5" t="str">
        <f>IFERROR(__xludf.DUMMYFUNCTION("GOOGLETRANSLATE(D9163,""pt"",""es"")"),"agudo")</f>
        <v>agudo</v>
      </c>
      <c r="H9163" s="4" t="s">
        <v>19009</v>
      </c>
      <c r="I9163" s="4" t="s">
        <v>19010</v>
      </c>
      <c r="J9163" s="4" t="s">
        <v>19011</v>
      </c>
    </row>
    <row r="9164">
      <c r="A9164" s="4">
        <v>17.0</v>
      </c>
      <c r="B9164" s="4" t="s">
        <v>19555</v>
      </c>
      <c r="C9164" s="4"/>
      <c r="D9164" s="4" t="s">
        <v>14116</v>
      </c>
      <c r="E9164" s="4" t="s">
        <v>11951</v>
      </c>
      <c r="F9164" s="4" t="s">
        <v>11811</v>
      </c>
      <c r="G9164" s="5" t="str">
        <f>IFERROR(__xludf.DUMMYFUNCTION("GOOGLETRANSLATE(D9164,""pt"",""es"")"),"caídas")</f>
        <v>caídas</v>
      </c>
    </row>
    <row r="9165">
      <c r="A9165" s="4">
        <v>18.0</v>
      </c>
      <c r="B9165" s="4" t="s">
        <v>19555</v>
      </c>
      <c r="C9165" s="4"/>
      <c r="D9165" s="4" t="s">
        <v>19012</v>
      </c>
      <c r="E9165" s="4" t="s">
        <v>11814</v>
      </c>
      <c r="F9165" s="4" t="s">
        <v>11815</v>
      </c>
      <c r="G9165" s="5" t="str">
        <f>IFERROR(__xludf.DUMMYFUNCTION("GOOGLETRANSLATE(D9165,""pt"",""es"")"),"jaula")</f>
        <v>jaula</v>
      </c>
      <c r="H9165" s="4" t="s">
        <v>19013</v>
      </c>
      <c r="I9165" s="4" t="s">
        <v>19014</v>
      </c>
      <c r="J9165" s="4" t="s">
        <v>19015</v>
      </c>
    </row>
    <row r="9166">
      <c r="A9166" s="4">
        <v>19.0</v>
      </c>
      <c r="B9166" s="4" t="s">
        <v>19555</v>
      </c>
      <c r="C9166" s="4"/>
      <c r="D9166" s="4" t="s">
        <v>1033</v>
      </c>
      <c r="E9166" s="4" t="s">
        <v>1034</v>
      </c>
      <c r="F9166" s="4" t="s">
        <v>1035</v>
      </c>
      <c r="G9166" s="5" t="str">
        <f>IFERROR(__xludf.DUMMYFUNCTION("GOOGLETRANSLATE(D9166,""pt"",""es"")"),"callo")</f>
        <v>callo</v>
      </c>
      <c r="H9166" s="4" t="s">
        <v>1013</v>
      </c>
      <c r="I9166" s="4" t="s">
        <v>1013</v>
      </c>
      <c r="J9166" s="4" t="s">
        <v>11820</v>
      </c>
      <c r="K9166" s="4" t="s">
        <v>1013</v>
      </c>
    </row>
    <row r="9167">
      <c r="A9167" s="4">
        <v>20.0</v>
      </c>
      <c r="B9167" s="4" t="s">
        <v>19555</v>
      </c>
      <c r="C9167" s="4"/>
      <c r="D9167" s="4" t="s">
        <v>14351</v>
      </c>
      <c r="E9167" s="4" t="s">
        <v>19024</v>
      </c>
      <c r="F9167" s="4" t="s">
        <v>14353</v>
      </c>
      <c r="G9167" s="5" t="str">
        <f>IFERROR(__xludf.DUMMYFUNCTION("GOOGLETRANSLATE(D9167,""pt"",""es"")"),"caro")</f>
        <v>caro</v>
      </c>
      <c r="H9167" s="4" t="s">
        <v>1304</v>
      </c>
      <c r="I9167" s="4" t="s">
        <v>13997</v>
      </c>
      <c r="J9167" s="4" t="s">
        <v>6556</v>
      </c>
      <c r="K9167" s="4" t="s">
        <v>13998</v>
      </c>
      <c r="L9167" s="4" t="s">
        <v>13999</v>
      </c>
      <c r="M9167" s="4" t="s">
        <v>14000</v>
      </c>
      <c r="N9167" s="4" t="s">
        <v>14001</v>
      </c>
      <c r="O9167" s="4" t="s">
        <v>13997</v>
      </c>
      <c r="P9167" s="4" t="s">
        <v>14002</v>
      </c>
      <c r="Q9167" s="4" t="s">
        <v>5680</v>
      </c>
      <c r="R9167" s="4" t="s">
        <v>6556</v>
      </c>
    </row>
    <row r="9168">
      <c r="A9168" s="4">
        <v>21.0</v>
      </c>
      <c r="B9168" s="4" t="s">
        <v>19555</v>
      </c>
      <c r="C9168" s="4"/>
      <c r="D9168" s="4" t="s">
        <v>19031</v>
      </c>
      <c r="E9168" s="4" t="s">
        <v>9104</v>
      </c>
      <c r="F9168" s="4" t="s">
        <v>9103</v>
      </c>
      <c r="G9168" s="5" t="str">
        <f>IFERROR(__xludf.DUMMYFUNCTION("GOOGLETRANSLATE(D9168,""pt"",""es"")"),"Cato")</f>
        <v>Cato</v>
      </c>
    </row>
    <row r="9169">
      <c r="A9169" s="4">
        <v>22.0</v>
      </c>
      <c r="B9169" s="4" t="s">
        <v>19555</v>
      </c>
      <c r="C9169" s="4"/>
      <c r="D9169" s="4" t="s">
        <v>1376</v>
      </c>
      <c r="E9169" s="4" t="s">
        <v>1377</v>
      </c>
      <c r="F9169" s="4" t="s">
        <v>1378</v>
      </c>
      <c r="G9169" s="5" t="str">
        <f>IFERROR(__xludf.DUMMYFUNCTION("GOOGLETRANSLATE(D9169,""pt"",""es"")"),"esquina")</f>
        <v>esquina</v>
      </c>
    </row>
    <row r="9170">
      <c r="A9170" s="4">
        <v>23.0</v>
      </c>
      <c r="B9170" s="4" t="s">
        <v>19555</v>
      </c>
      <c r="C9170" s="4"/>
      <c r="D9170" s="4" t="s">
        <v>19032</v>
      </c>
      <c r="E9170" s="4" t="s">
        <v>19033</v>
      </c>
      <c r="F9170" s="4" t="s">
        <v>19034</v>
      </c>
      <c r="G9170" s="5" t="str">
        <f>IFERROR(__xludf.DUMMYFUNCTION("GOOGLETRANSLATE(D9170,""pt"",""es"")"),"sacrificio")</f>
        <v>sacrificio</v>
      </c>
    </row>
    <row r="9171">
      <c r="A9171" s="4">
        <v>24.0</v>
      </c>
      <c r="B9171" s="4" t="s">
        <v>19555</v>
      </c>
      <c r="C9171" s="4"/>
      <c r="D9171" s="4" t="s">
        <v>19035</v>
      </c>
      <c r="E9171" s="4" t="s">
        <v>4684</v>
      </c>
      <c r="F9171" s="4" t="s">
        <v>4685</v>
      </c>
      <c r="G9171" s="5" t="str">
        <f>IFERROR(__xludf.DUMMYFUNCTION("GOOGLETRANSLATE(D9171,""pt"",""es"")"),"irritante")</f>
        <v>irritante</v>
      </c>
      <c r="H9171" s="4" t="s">
        <v>19036</v>
      </c>
      <c r="I9171" s="4" t="s">
        <v>19037</v>
      </c>
      <c r="J9171" s="4" t="s">
        <v>3225</v>
      </c>
      <c r="K9171" s="4" t="s">
        <v>19038</v>
      </c>
      <c r="L9171" s="4" t="s">
        <v>19039</v>
      </c>
      <c r="M9171" s="4" t="s">
        <v>3228</v>
      </c>
      <c r="N9171" s="4" t="s">
        <v>19040</v>
      </c>
      <c r="O9171" s="4" t="s">
        <v>19041</v>
      </c>
      <c r="P9171" s="4" t="s">
        <v>19042</v>
      </c>
      <c r="Q9171" s="4" t="s">
        <v>2339</v>
      </c>
      <c r="R9171" s="4" t="s">
        <v>19043</v>
      </c>
      <c r="S9171" s="4" t="s">
        <v>19044</v>
      </c>
    </row>
    <row r="9172">
      <c r="A9172" s="4">
        <v>25.0</v>
      </c>
      <c r="B9172" s="4" t="s">
        <v>19555</v>
      </c>
      <c r="C9172" s="4"/>
      <c r="D9172" s="4" t="s">
        <v>19045</v>
      </c>
      <c r="E9172" s="4" t="s">
        <v>19046</v>
      </c>
      <c r="F9172" s="4" t="s">
        <v>19047</v>
      </c>
      <c r="G9172" s="5" t="str">
        <f>IFERROR(__xludf.DUMMYFUNCTION("GOOGLETRANSLATE(D9172,""pt"",""es"")"),"chicho")</f>
        <v>chicho</v>
      </c>
    </row>
    <row r="9173">
      <c r="A9173" s="4">
        <v>26.0</v>
      </c>
      <c r="B9173" s="4" t="s">
        <v>19555</v>
      </c>
      <c r="C9173" s="4"/>
      <c r="D9173" s="4" t="s">
        <v>19048</v>
      </c>
      <c r="E9173" s="4" t="s">
        <v>19049</v>
      </c>
      <c r="F9173" s="4" t="s">
        <v>19050</v>
      </c>
      <c r="G9173" s="5" t="str">
        <f>IFERROR(__xludf.DUMMYFUNCTION("GOOGLETRANSLATE(D9173,""pt"",""es"")"),"Chico")</f>
        <v>Chico</v>
      </c>
    </row>
    <row r="9174">
      <c r="A9174" s="4">
        <v>27.0</v>
      </c>
      <c r="B9174" s="4" t="s">
        <v>19555</v>
      </c>
      <c r="C9174" s="4"/>
      <c r="D9174" s="4" t="s">
        <v>19564</v>
      </c>
      <c r="E9174" s="4" t="s">
        <v>19565</v>
      </c>
      <c r="F9174" s="4" t="s">
        <v>19566</v>
      </c>
      <c r="G9174" s="5" t="str">
        <f>IFERROR(__xludf.DUMMYFUNCTION("GOOGLETRANSLATE(D9174,""pt"",""es"")"),"traqueteo")</f>
        <v>traqueteo</v>
      </c>
      <c r="H9174" s="4" t="s">
        <v>19567</v>
      </c>
      <c r="I9174" s="4" t="s">
        <v>19568</v>
      </c>
    </row>
    <row r="9175">
      <c r="A9175" s="4">
        <v>28.0</v>
      </c>
      <c r="B9175" s="4" t="s">
        <v>19555</v>
      </c>
      <c r="C9175" s="4"/>
      <c r="D9175" s="4" t="s">
        <v>19569</v>
      </c>
      <c r="E9175" s="4" t="s">
        <v>19570</v>
      </c>
      <c r="F9175" s="4" t="s">
        <v>19571</v>
      </c>
      <c r="G9175" s="5" t="str">
        <f>IFERROR(__xludf.DUMMYFUNCTION("GOOGLETRANSLATE(D9175,""pt"",""es"")"),"choque")</f>
        <v>choque</v>
      </c>
      <c r="H9175" s="4" t="s">
        <v>8416</v>
      </c>
      <c r="I9175" s="4" t="s">
        <v>3462</v>
      </c>
      <c r="J9175" s="4" t="s">
        <v>8732</v>
      </c>
    </row>
    <row r="9176">
      <c r="A9176" s="4">
        <v>29.0</v>
      </c>
      <c r="B9176" s="4" t="s">
        <v>19555</v>
      </c>
      <c r="C9176" s="4"/>
      <c r="D9176" s="4" t="s">
        <v>19572</v>
      </c>
      <c r="E9176" s="4" t="s">
        <v>14581</v>
      </c>
      <c r="F9176" s="4" t="s">
        <v>14582</v>
      </c>
      <c r="G9176" s="5" t="str">
        <f>IFERROR(__xludf.DUMMYFUNCTION("GOOGLETRANSLATE(D9176,""pt"",""es"")"),"llorar")</f>
        <v>llorar</v>
      </c>
      <c r="H9176" s="4" t="s">
        <v>8068</v>
      </c>
      <c r="I9176" s="4" t="s">
        <v>19573</v>
      </c>
    </row>
    <row r="9177">
      <c r="A9177" s="4">
        <v>30.0</v>
      </c>
      <c r="B9177" s="4" t="s">
        <v>19555</v>
      </c>
      <c r="C9177" s="4"/>
      <c r="D9177" s="4" t="s">
        <v>19051</v>
      </c>
      <c r="E9177" s="4" t="s">
        <v>19052</v>
      </c>
      <c r="F9177" s="4" t="s">
        <v>12114</v>
      </c>
      <c r="G9177" s="5" t="str">
        <f>IFERROR(__xludf.DUMMYFUNCTION("GOOGLETRANSLATE(D9177,""pt"",""es"")"),"chuca")</f>
        <v>chuca</v>
      </c>
    </row>
    <row r="9178">
      <c r="A9178" s="4">
        <v>31.0</v>
      </c>
      <c r="B9178" s="4" t="s">
        <v>19555</v>
      </c>
      <c r="C9178" s="4"/>
      <c r="D9178" s="4" t="s">
        <v>19053</v>
      </c>
      <c r="E9178" s="4" t="s">
        <v>19054</v>
      </c>
      <c r="F9178" s="4" t="s">
        <v>19055</v>
      </c>
      <c r="G9178" s="5" t="str">
        <f>IFERROR(__xludf.DUMMYFUNCTION("GOOGLETRANSLATE(D9178,""pt"",""es"")"),"Pendiente")</f>
        <v>Pendiente</v>
      </c>
      <c r="H9178" s="4" t="s">
        <v>19056</v>
      </c>
      <c r="I9178" s="4" t="s">
        <v>19057</v>
      </c>
      <c r="J9178" s="4" t="s">
        <v>19058</v>
      </c>
      <c r="K9178" s="4" t="s">
        <v>19059</v>
      </c>
      <c r="L9178" s="4" t="s">
        <v>19060</v>
      </c>
      <c r="M9178" s="4" t="s">
        <v>19061</v>
      </c>
      <c r="N9178" s="4" t="s">
        <v>19062</v>
      </c>
    </row>
    <row r="9179">
      <c r="A9179" s="4">
        <v>32.0</v>
      </c>
      <c r="B9179" s="4" t="s">
        <v>19555</v>
      </c>
      <c r="C9179" s="4"/>
      <c r="D9179" s="4" t="s">
        <v>19063</v>
      </c>
      <c r="E9179" s="4" t="s">
        <v>19064</v>
      </c>
      <c r="F9179" s="4" t="s">
        <v>19065</v>
      </c>
      <c r="G9179" s="5" t="str">
        <f>IFERROR(__xludf.DUMMYFUNCTION("GOOGLETRANSLATE(D9179,""pt"",""es"")"),"taco")</f>
        <v>taco</v>
      </c>
      <c r="H9179" s="4" t="s">
        <v>19066</v>
      </c>
      <c r="I9179" s="4" t="s">
        <v>19067</v>
      </c>
      <c r="J9179" s="4" t="s">
        <v>19068</v>
      </c>
    </row>
    <row r="9180">
      <c r="A9180" s="4">
        <v>33.0</v>
      </c>
      <c r="B9180" s="4" t="s">
        <v>19555</v>
      </c>
      <c r="C9180" s="4"/>
      <c r="D9180" s="4" t="s">
        <v>19574</v>
      </c>
      <c r="E9180" s="4" t="s">
        <v>19575</v>
      </c>
      <c r="F9180" s="4" t="s">
        <v>19576</v>
      </c>
      <c r="G9180" s="5" t="str">
        <f>IFERROR(__xludf.DUMMYFUNCTION("GOOGLETRANSLATE(D9180,""pt"",""es"")"),"para chupar")</f>
        <v>para chupar</v>
      </c>
      <c r="H9180" s="4" t="s">
        <v>19577</v>
      </c>
      <c r="I9180" s="4" t="s">
        <v>19577</v>
      </c>
      <c r="J9180" s="4" t="s">
        <v>19577</v>
      </c>
      <c r="K9180" s="4" t="s">
        <v>19578</v>
      </c>
    </row>
    <row r="9181">
      <c r="A9181" s="4">
        <v>34.0</v>
      </c>
      <c r="B9181" s="4" t="s">
        <v>19555</v>
      </c>
      <c r="C9181" s="4"/>
      <c r="D9181" s="4" t="s">
        <v>19579</v>
      </c>
      <c r="E9181" s="4" t="s">
        <v>19580</v>
      </c>
      <c r="F9181" s="4" t="s">
        <v>19581</v>
      </c>
      <c r="G9181" s="5" t="str">
        <f>IFERROR(__xludf.DUMMYFUNCTION("GOOGLETRANSLATE(D9181,""pt"",""es"")"),"patada")</f>
        <v>patada</v>
      </c>
      <c r="H9181" s="4" t="s">
        <v>15338</v>
      </c>
      <c r="I9181" s="4" t="s">
        <v>15339</v>
      </c>
      <c r="J9181" s="4" t="s">
        <v>15340</v>
      </c>
      <c r="K9181" s="4" t="s">
        <v>15341</v>
      </c>
      <c r="L9181" s="4" t="s">
        <v>3130</v>
      </c>
      <c r="M9181" s="4" t="s">
        <v>4744</v>
      </c>
      <c r="N9181" s="4" t="s">
        <v>4744</v>
      </c>
    </row>
    <row r="9182">
      <c r="A9182" s="4">
        <v>35.0</v>
      </c>
      <c r="B9182" s="4" t="s">
        <v>19555</v>
      </c>
      <c r="C9182" s="4"/>
      <c r="D9182" s="4" t="s">
        <v>19069</v>
      </c>
      <c r="E9182" s="4" t="s">
        <v>19070</v>
      </c>
      <c r="F9182" s="4" t="s">
        <v>19071</v>
      </c>
      <c r="G9182" s="5" t="str">
        <f>IFERROR(__xludf.DUMMYFUNCTION("GOOGLETRANSLATE(D9182,""pt"",""es"")"),"patada")</f>
        <v>patada</v>
      </c>
    </row>
    <row r="9183">
      <c r="A9183" s="4">
        <v>36.0</v>
      </c>
      <c r="B9183" s="4" t="s">
        <v>19555</v>
      </c>
      <c r="C9183" s="4"/>
      <c r="D9183" s="4" t="s">
        <v>19072</v>
      </c>
      <c r="E9183" s="4" t="s">
        <v>19073</v>
      </c>
      <c r="F9183" s="4" t="s">
        <v>19074</v>
      </c>
      <c r="G9183" s="5" t="str">
        <f>IFERROR(__xludf.DUMMYFUNCTION("GOOGLETRANSLATE(D9183,""pt"",""es"")"),"espinilla")</f>
        <v>espinilla</v>
      </c>
      <c r="H9183" s="4" t="s">
        <v>3466</v>
      </c>
    </row>
    <row r="9184">
      <c r="A9184" s="4">
        <v>37.0</v>
      </c>
      <c r="B9184" s="4" t="s">
        <v>19555</v>
      </c>
      <c r="C9184" s="4"/>
      <c r="D9184" s="4" t="s">
        <v>19075</v>
      </c>
      <c r="E9184" s="4" t="s">
        <v>4671</v>
      </c>
      <c r="F9184" s="4" t="s">
        <v>4672</v>
      </c>
      <c r="G9184" s="5" t="str">
        <f>IFERROR(__xludf.DUMMYFUNCTION("GOOGLETRANSLATE(D9184,""pt"",""es"")"),"té")</f>
        <v>té</v>
      </c>
      <c r="H9184" s="4" t="s">
        <v>8821</v>
      </c>
      <c r="I9184" s="4" t="s">
        <v>8825</v>
      </c>
      <c r="J9184" s="4" t="s">
        <v>8821</v>
      </c>
      <c r="K9184" s="4" t="s">
        <v>19076</v>
      </c>
      <c r="L9184" s="4" t="s">
        <v>19077</v>
      </c>
      <c r="M9184" s="4" t="s">
        <v>19078</v>
      </c>
      <c r="N9184" s="4" t="s">
        <v>19079</v>
      </c>
      <c r="O9184" s="4" t="s">
        <v>19080</v>
      </c>
      <c r="P9184" s="4" t="s">
        <v>19081</v>
      </c>
    </row>
    <row r="9185">
      <c r="A9185" s="4">
        <v>38.0</v>
      </c>
      <c r="B9185" s="4" t="s">
        <v>19555</v>
      </c>
      <c r="C9185" s="4"/>
      <c r="D9185" s="4" t="s">
        <v>1433</v>
      </c>
      <c r="E9185" s="4" t="s">
        <v>1441</v>
      </c>
      <c r="F9185" s="4" t="s">
        <v>1442</v>
      </c>
      <c r="G9185" s="5" t="str">
        <f>IFERROR(__xludf.DUMMYFUNCTION("GOOGLETRANSLATE(D9185,""pt"",""es"")"),"citar")</f>
        <v>citar</v>
      </c>
      <c r="H9185" s="4" t="s">
        <v>1428</v>
      </c>
      <c r="I9185" s="4" t="s">
        <v>1434</v>
      </c>
      <c r="J9185" s="4" t="s">
        <v>1428</v>
      </c>
      <c r="K9185" s="4" t="s">
        <v>1434</v>
      </c>
      <c r="L9185" s="4" t="s">
        <v>1435</v>
      </c>
      <c r="M9185" s="4" t="s">
        <v>1436</v>
      </c>
      <c r="N9185" s="4" t="s">
        <v>1437</v>
      </c>
      <c r="O9185" s="4" t="s">
        <v>1434</v>
      </c>
      <c r="P9185" s="4" t="s">
        <v>1438</v>
      </c>
      <c r="Q9185" s="4" t="s">
        <v>1439</v>
      </c>
      <c r="R9185" s="4" t="s">
        <v>1440</v>
      </c>
      <c r="S9185" s="4" t="s">
        <v>1434</v>
      </c>
    </row>
    <row r="9186">
      <c r="A9186" s="4">
        <v>39.0</v>
      </c>
      <c r="B9186" s="4" t="s">
        <v>19555</v>
      </c>
      <c r="C9186" s="4"/>
      <c r="D9186" s="4" t="s">
        <v>19085</v>
      </c>
      <c r="E9186" s="4" t="s">
        <v>19086</v>
      </c>
      <c r="F9186" s="4" t="s">
        <v>19087</v>
      </c>
      <c r="G9186" s="5" t="str">
        <f>IFERROR(__xludf.DUMMYFUNCTION("GOOGLETRANSLATE(D9186,""pt"",""es"")"),"susurro")</f>
        <v>susurro</v>
      </c>
      <c r="H9186" s="4" t="s">
        <v>9876</v>
      </c>
      <c r="I9186" s="4" t="s">
        <v>9877</v>
      </c>
      <c r="J9186" s="4" t="s">
        <v>19088</v>
      </c>
      <c r="K9186" s="4" t="s">
        <v>19089</v>
      </c>
    </row>
    <row r="9187">
      <c r="A9187" s="4">
        <v>40.0</v>
      </c>
      <c r="B9187" s="4" t="s">
        <v>19555</v>
      </c>
      <c r="C9187" s="4"/>
      <c r="D9187" s="4" t="s">
        <v>14141</v>
      </c>
      <c r="E9187" s="4" t="s">
        <v>19582</v>
      </c>
      <c r="F9187" s="4" t="s">
        <v>14143</v>
      </c>
      <c r="G9187" s="5" t="str">
        <f>IFERROR(__xludf.DUMMYFUNCTION("GOOGLETRANSLATE(D9187,""pt"",""es"")"),"collar")</f>
        <v>collar</v>
      </c>
      <c r="H9187" s="4" t="s">
        <v>19583</v>
      </c>
      <c r="I9187" s="4" t="s">
        <v>4302</v>
      </c>
      <c r="J9187" s="4" t="s">
        <v>19584</v>
      </c>
      <c r="K9187" s="4" t="s">
        <v>3169</v>
      </c>
      <c r="L9187" s="4" t="s">
        <v>19585</v>
      </c>
      <c r="M9187" s="4" t="s">
        <v>19586</v>
      </c>
      <c r="N9187" s="4" t="s">
        <v>15872</v>
      </c>
      <c r="O9187" s="4" t="s">
        <v>19587</v>
      </c>
      <c r="P9187" s="4" t="s">
        <v>19588</v>
      </c>
      <c r="Q9187" s="4" t="s">
        <v>19589</v>
      </c>
      <c r="R9187" s="4" t="s">
        <v>19590</v>
      </c>
      <c r="S9187" s="4" t="s">
        <v>19591</v>
      </c>
      <c r="T9187" s="4" t="s">
        <v>19592</v>
      </c>
      <c r="U9187" s="4" t="s">
        <v>1457</v>
      </c>
      <c r="V9187" s="4" t="s">
        <v>19593</v>
      </c>
      <c r="W9187" s="4" t="s">
        <v>19594</v>
      </c>
      <c r="X9187" s="4" t="s">
        <v>1462</v>
      </c>
    </row>
    <row r="9188">
      <c r="A9188" s="4">
        <v>41.0</v>
      </c>
      <c r="B9188" s="4" t="s">
        <v>19555</v>
      </c>
      <c r="C9188" s="4"/>
      <c r="D9188" s="4" t="s">
        <v>19595</v>
      </c>
      <c r="E9188" s="4" t="s">
        <v>19596</v>
      </c>
      <c r="F9188" s="4" t="s">
        <v>19597</v>
      </c>
      <c r="G9188" s="5" t="str">
        <f>IFERROR(__xludf.DUMMYFUNCTION("GOOGLETRANSLATE(D9188,""pt"",""es"")"),"colorear")</f>
        <v>colorear</v>
      </c>
      <c r="H9188" s="4" t="s">
        <v>19598</v>
      </c>
      <c r="I9188" s="4" t="s">
        <v>19599</v>
      </c>
      <c r="J9188" s="4" t="s">
        <v>2586</v>
      </c>
      <c r="K9188" s="4" t="s">
        <v>2585</v>
      </c>
      <c r="L9188" s="4" t="s">
        <v>2585</v>
      </c>
      <c r="M9188" s="4" t="s">
        <v>2586</v>
      </c>
      <c r="N9188" s="4" t="s">
        <v>19600</v>
      </c>
    </row>
    <row r="9189">
      <c r="A9189" s="4">
        <v>42.0</v>
      </c>
      <c r="B9189" s="4" t="s">
        <v>19555</v>
      </c>
      <c r="C9189" s="4"/>
      <c r="D9189" s="4" t="s">
        <v>1490</v>
      </c>
      <c r="E9189" s="4" t="s">
        <v>19601</v>
      </c>
      <c r="F9189" s="4" t="s">
        <v>19602</v>
      </c>
      <c r="G9189" s="5" t="str">
        <f>IFERROR(__xludf.DUMMYFUNCTION("GOOGLETRANSLATE(D9189,""pt"",""es"")"),"comunicar")</f>
        <v>comunicar</v>
      </c>
      <c r="H9189" s="4" t="s">
        <v>1494</v>
      </c>
      <c r="I9189" s="4" t="s">
        <v>1495</v>
      </c>
      <c r="J9189" s="4" t="s">
        <v>19603</v>
      </c>
      <c r="K9189" s="4" t="s">
        <v>19604</v>
      </c>
      <c r="L9189" s="4" t="s">
        <v>5960</v>
      </c>
      <c r="M9189" s="4" t="s">
        <v>19605</v>
      </c>
      <c r="N9189" s="4" t="s">
        <v>19606</v>
      </c>
      <c r="O9189" s="4" t="s">
        <v>19607</v>
      </c>
    </row>
    <row r="9190">
      <c r="A9190" s="4">
        <v>43.0</v>
      </c>
      <c r="B9190" s="4" t="s">
        <v>19555</v>
      </c>
      <c r="C9190" s="4"/>
      <c r="D9190" s="4" t="s">
        <v>1554</v>
      </c>
      <c r="E9190" s="4" t="s">
        <v>1555</v>
      </c>
      <c r="F9190" s="4" t="s">
        <v>1556</v>
      </c>
      <c r="G9190" s="5" t="str">
        <f>IFERROR(__xludf.DUMMYFUNCTION("GOOGLETRANSLATE(D9190,""pt"",""es"")"),"Galleta")</f>
        <v>Galleta</v>
      </c>
      <c r="H9190" s="4" t="s">
        <v>1554</v>
      </c>
      <c r="I9190" s="4" t="s">
        <v>6087</v>
      </c>
      <c r="J9190" s="4" t="s">
        <v>6088</v>
      </c>
    </row>
    <row r="9191">
      <c r="A9191" s="4">
        <v>44.0</v>
      </c>
      <c r="B9191" s="4" t="s">
        <v>19555</v>
      </c>
      <c r="C9191" s="4"/>
      <c r="D9191" s="4" t="s">
        <v>19608</v>
      </c>
      <c r="E9191" s="4" t="s">
        <v>19609</v>
      </c>
      <c r="F9191" s="4" t="s">
        <v>19610</v>
      </c>
      <c r="G9191" s="5" t="str">
        <f>IFERROR(__xludf.DUMMYFUNCTION("GOOGLETRANSLATE(D9191,""pt"",""es"")"),"a la altura")</f>
        <v>a la altura</v>
      </c>
      <c r="H9191" s="4" t="s">
        <v>3634</v>
      </c>
      <c r="I9191" s="4" t="s">
        <v>19611</v>
      </c>
      <c r="J9191" s="4" t="s">
        <v>19612</v>
      </c>
    </row>
    <row r="9192">
      <c r="A9192" s="4">
        <v>45.0</v>
      </c>
      <c r="B9192" s="4" t="s">
        <v>19555</v>
      </c>
      <c r="C9192" s="4"/>
      <c r="D9192" s="4" t="s">
        <v>1580</v>
      </c>
      <c r="E9192" s="4" t="s">
        <v>1581</v>
      </c>
      <c r="F9192" s="4" t="s">
        <v>1582</v>
      </c>
      <c r="G9192" s="5" t="str">
        <f>IFERROR(__xludf.DUMMYFUNCTION("GOOGLETRANSLATE(D9192,""pt"",""es"")"),"culo")</f>
        <v>culo</v>
      </c>
      <c r="H9192" s="4" t="s">
        <v>1602</v>
      </c>
      <c r="I9192" s="4" t="s">
        <v>1603</v>
      </c>
      <c r="J9192" s="4" t="s">
        <v>1604</v>
      </c>
      <c r="K9192" s="4" t="s">
        <v>1605</v>
      </c>
      <c r="L9192" s="4" t="s">
        <v>1606</v>
      </c>
      <c r="M9192" s="4" t="s">
        <v>1147</v>
      </c>
      <c r="N9192" s="4" t="s">
        <v>1607</v>
      </c>
      <c r="O9192" s="4" t="s">
        <v>1120</v>
      </c>
      <c r="P9192" s="4" t="s">
        <v>1608</v>
      </c>
      <c r="Q9192" s="4" t="s">
        <v>1609</v>
      </c>
      <c r="R9192" s="4" t="s">
        <v>1610</v>
      </c>
      <c r="S9192" s="4" t="s">
        <v>1611</v>
      </c>
      <c r="T9192" s="4" t="s">
        <v>1612</v>
      </c>
      <c r="U9192" s="4" t="s">
        <v>1613</v>
      </c>
      <c r="V9192" s="4" t="s">
        <v>1614</v>
      </c>
      <c r="W9192" s="4" t="s">
        <v>1615</v>
      </c>
      <c r="X9192" s="4" t="s">
        <v>1616</v>
      </c>
      <c r="Y9192" s="4" t="s">
        <v>1617</v>
      </c>
      <c r="Z9192" s="4" t="s">
        <v>1618</v>
      </c>
      <c r="AA9192" s="4" t="s">
        <v>1619</v>
      </c>
      <c r="AB9192" s="4" t="s">
        <v>1620</v>
      </c>
      <c r="AC9192" s="4" t="s">
        <v>1621</v>
      </c>
      <c r="AD9192" s="4" t="s">
        <v>1622</v>
      </c>
      <c r="AE9192" s="4" t="s">
        <v>1623</v>
      </c>
      <c r="AF9192" s="4" t="s">
        <v>1624</v>
      </c>
      <c r="AG9192" s="4" t="s">
        <v>1625</v>
      </c>
      <c r="AH9192" s="4" t="s">
        <v>1626</v>
      </c>
      <c r="AI9192" s="4" t="s">
        <v>1627</v>
      </c>
    </row>
    <row r="9193">
      <c r="A9193" s="4">
        <v>46.0</v>
      </c>
      <c r="B9193" s="4" t="s">
        <v>19555</v>
      </c>
      <c r="C9193" s="4"/>
      <c r="D9193" s="4" t="s">
        <v>19090</v>
      </c>
      <c r="E9193" s="4" t="s">
        <v>19091</v>
      </c>
      <c r="F9193" s="4" t="s">
        <v>19092</v>
      </c>
      <c r="G9193" s="5" t="str">
        <f>IFERROR(__xludf.DUMMYFUNCTION("GOOGLETRANSLATE(D9193,""pt"",""es"")"),"curar")</f>
        <v>curar</v>
      </c>
    </row>
    <row r="9194">
      <c r="A9194" s="4">
        <v>47.0</v>
      </c>
      <c r="B9194" s="4" t="s">
        <v>19555</v>
      </c>
      <c r="C9194" s="4"/>
      <c r="D9194" s="4" t="s">
        <v>19093</v>
      </c>
      <c r="E9194" s="4" t="s">
        <v>961</v>
      </c>
      <c r="F9194" s="4" t="s">
        <v>962</v>
      </c>
      <c r="G9194" s="5" t="str">
        <f>IFERROR(__xludf.DUMMYFUNCTION("GOOGLETRANSLATE(D9194,""pt"",""es"")"),"aquí")</f>
        <v>aquí</v>
      </c>
      <c r="H9194" s="4" t="s">
        <v>12448</v>
      </c>
      <c r="I9194" s="4" t="s">
        <v>12389</v>
      </c>
    </row>
    <row r="9195">
      <c r="A9195" s="4">
        <v>48.0</v>
      </c>
      <c r="B9195" s="4" t="s">
        <v>19555</v>
      </c>
      <c r="C9195" s="4"/>
      <c r="D9195" s="4" t="s">
        <v>19094</v>
      </c>
      <c r="E9195" s="4" t="s">
        <v>1296</v>
      </c>
      <c r="F9195" s="4" t="s">
        <v>1297</v>
      </c>
      <c r="G9195" s="5" t="str">
        <f>IFERROR(__xludf.DUMMYFUNCTION("GOOGLETRANSLATE(D9195,""pt"",""es"")"),"caqui")</f>
        <v>caqui</v>
      </c>
    </row>
    <row r="9196">
      <c r="A9196" s="4">
        <v>49.0</v>
      </c>
      <c r="B9196" s="4" t="s">
        <v>19555</v>
      </c>
      <c r="C9196" s="4"/>
      <c r="D9196" s="4" t="s">
        <v>19613</v>
      </c>
      <c r="E9196" s="4" t="s">
        <v>19614</v>
      </c>
      <c r="F9196" s="4" t="s">
        <v>19615</v>
      </c>
      <c r="G9196" s="5" t="str">
        <f>IFERROR(__xludf.DUMMYFUNCTION("GOOGLETRANSLATE(D9196,""pt"",""es"")"),"emular")</f>
        <v>emular</v>
      </c>
      <c r="H9196" s="4" t="s">
        <v>19616</v>
      </c>
    </row>
    <row r="9197">
      <c r="A9197" s="4">
        <v>50.0</v>
      </c>
      <c r="B9197" s="4" t="s">
        <v>19555</v>
      </c>
      <c r="C9197" s="4"/>
      <c r="D9197" s="4" t="s">
        <v>19617</v>
      </c>
      <c r="E9197" s="4" t="s">
        <v>19618</v>
      </c>
      <c r="F9197" s="4" t="s">
        <v>19619</v>
      </c>
      <c r="G9197" s="5" t="str">
        <f>IFERROR(__xludf.DUMMYFUNCTION("GOOGLETRANSLATE(D9197,""pt"",""es"")"),"equipar")</f>
        <v>equipar</v>
      </c>
      <c r="H9197" s="4" t="s">
        <v>3601</v>
      </c>
      <c r="I9197" s="4" t="s">
        <v>19620</v>
      </c>
      <c r="J9197" s="4" t="s">
        <v>1266</v>
      </c>
      <c r="K9197" s="4" t="s">
        <v>19621</v>
      </c>
      <c r="L9197" s="4" t="s">
        <v>9357</v>
      </c>
    </row>
    <row r="9198">
      <c r="A9198" s="4">
        <v>51.0</v>
      </c>
      <c r="B9198" s="4" t="s">
        <v>19555</v>
      </c>
      <c r="C9198" s="4"/>
      <c r="D9198" s="4" t="s">
        <v>19102</v>
      </c>
      <c r="E9198" s="4" t="s">
        <v>19103</v>
      </c>
      <c r="F9198" s="4" t="s">
        <v>14399</v>
      </c>
      <c r="G9198" s="5" t="str">
        <f>IFERROR(__xludf.DUMMYFUNCTION("GOOGLETRANSLATE(D9198,""pt"",""es"")"),"himno")</f>
        <v>himno</v>
      </c>
      <c r="H9198" s="4" t="s">
        <v>6321</v>
      </c>
      <c r="I9198" s="4" t="s">
        <v>6322</v>
      </c>
      <c r="J9198" s="4" t="s">
        <v>6322</v>
      </c>
    </row>
    <row r="9199">
      <c r="A9199" s="4">
        <v>52.0</v>
      </c>
      <c r="B9199" s="4" t="s">
        <v>19555</v>
      </c>
      <c r="C9199" s="4"/>
      <c r="D9199" s="4" t="s">
        <v>19104</v>
      </c>
      <c r="E9199" s="4" t="s">
        <v>19105</v>
      </c>
      <c r="F9199" s="4" t="s">
        <v>19106</v>
      </c>
      <c r="G9199" s="5" t="str">
        <f>IFERROR(__xludf.DUMMYFUNCTION("GOOGLETRANSLATE(D9199,""pt"",""es"")"),"humor")</f>
        <v>humor</v>
      </c>
    </row>
    <row r="9200">
      <c r="A9200" s="4">
        <v>53.0</v>
      </c>
      <c r="B9200" s="4" t="s">
        <v>19555</v>
      </c>
      <c r="C9200" s="4"/>
      <c r="D9200" s="4" t="s">
        <v>19107</v>
      </c>
      <c r="E9200" s="4" t="s">
        <v>19108</v>
      </c>
      <c r="F9200" s="4" t="s">
        <v>19109</v>
      </c>
      <c r="G9200" s="5" t="str">
        <f>IFERROR(__xludf.DUMMYFUNCTION("GOOGLETRANSLATE(D9200,""pt"",""es"")"),"humus")</f>
        <v>humus</v>
      </c>
      <c r="H9200" s="4" t="s">
        <v>9554</v>
      </c>
    </row>
    <row r="9201">
      <c r="A9201" s="4">
        <v>54.0</v>
      </c>
      <c r="B9201" s="4" t="s">
        <v>19555</v>
      </c>
      <c r="C9201" s="4"/>
      <c r="D9201" s="4" t="s">
        <v>19622</v>
      </c>
      <c r="E9201" s="4" t="s">
        <v>19623</v>
      </c>
      <c r="F9201" s="4" t="s">
        <v>19622</v>
      </c>
      <c r="G9201" s="5" t="str">
        <f>IFERROR(__xludf.DUMMYFUNCTION("GOOGLETRANSLATE(D9201,""pt"",""es"")"),"iluminar")</f>
        <v>iluminar</v>
      </c>
      <c r="H9201" s="4" t="s">
        <v>997</v>
      </c>
      <c r="I9201" s="4" t="s">
        <v>19624</v>
      </c>
      <c r="J9201" s="4" t="s">
        <v>19625</v>
      </c>
      <c r="K9201" s="4" t="s">
        <v>995</v>
      </c>
      <c r="L9201" s="4" t="s">
        <v>19626</v>
      </c>
    </row>
    <row r="9202">
      <c r="A9202" s="4">
        <v>55.0</v>
      </c>
      <c r="B9202" s="4" t="s">
        <v>19555</v>
      </c>
      <c r="C9202" s="4"/>
      <c r="D9202" s="4" t="s">
        <v>1905</v>
      </c>
      <c r="E9202" s="4" t="s">
        <v>1912</v>
      </c>
      <c r="F9202" s="4" t="s">
        <v>1905</v>
      </c>
      <c r="G9202" s="5" t="str">
        <f>IFERROR(__xludf.DUMMYFUNCTION("GOOGLETRANSLATE(D9202,""pt"",""es"")"),"imitar")</f>
        <v>imitar</v>
      </c>
      <c r="H9202" s="4" t="s">
        <v>1909</v>
      </c>
      <c r="I9202" s="4" t="s">
        <v>1910</v>
      </c>
      <c r="J9202" s="4" t="s">
        <v>1911</v>
      </c>
      <c r="K9202" s="4" t="s">
        <v>1909</v>
      </c>
      <c r="L9202" s="4" t="s">
        <v>2617</v>
      </c>
      <c r="M9202" s="4" t="s">
        <v>19616</v>
      </c>
      <c r="N9202" s="4" t="s">
        <v>19616</v>
      </c>
    </row>
    <row r="9203">
      <c r="A9203" s="4">
        <v>56.0</v>
      </c>
      <c r="B9203" s="4" t="s">
        <v>19555</v>
      </c>
      <c r="C9203" s="4"/>
      <c r="D9203" s="4" t="s">
        <v>19110</v>
      </c>
      <c r="E9203" s="4" t="s">
        <v>1984</v>
      </c>
      <c r="F9203" s="4" t="s">
        <v>1983</v>
      </c>
      <c r="G9203" s="5" t="str">
        <f>IFERROR(__xludf.DUMMYFUNCTION("GOOGLETRANSLATE(D9203,""pt"",""es"")"),"voluntad")</f>
        <v>voluntad</v>
      </c>
    </row>
    <row r="9204">
      <c r="A9204" s="4">
        <v>57.0</v>
      </c>
      <c r="B9204" s="4" t="s">
        <v>19555</v>
      </c>
      <c r="C9204" s="4"/>
      <c r="D9204" s="4" t="s">
        <v>19111</v>
      </c>
      <c r="E9204" s="4" t="s">
        <v>19112</v>
      </c>
      <c r="F9204" s="4" t="s">
        <v>14416</v>
      </c>
      <c r="G9204" s="5" t="str">
        <f>IFERROR(__xludf.DUMMYFUNCTION("GOOGLETRANSLATE(D9204,""pt"",""es"")"),"eso")</f>
        <v>eso</v>
      </c>
    </row>
    <row r="9205">
      <c r="A9205" s="4">
        <v>58.0</v>
      </c>
      <c r="B9205" s="4" t="s">
        <v>19555</v>
      </c>
      <c r="C9205" s="4"/>
      <c r="D9205" s="4" t="s">
        <v>19627</v>
      </c>
      <c r="E9205" s="4" t="s">
        <v>2010</v>
      </c>
      <c r="F9205" s="4" t="s">
        <v>2011</v>
      </c>
      <c r="G9205" s="5" t="str">
        <f>IFERROR(__xludf.DUMMYFUNCTION("GOOGLETRANSLATE(D9205,""pt"",""es"")"),"I a")</f>
        <v>I a</v>
      </c>
    </row>
    <row r="9206">
      <c r="A9206" s="4">
        <v>59.0</v>
      </c>
      <c r="B9206" s="4" t="s">
        <v>19555</v>
      </c>
      <c r="C9206" s="4"/>
      <c r="D9206" s="4" t="s">
        <v>19628</v>
      </c>
      <c r="E9206" s="4" t="s">
        <v>1803</v>
      </c>
      <c r="F9206" s="4" t="s">
        <v>1804</v>
      </c>
      <c r="G9206" s="5" t="str">
        <f>IFERROR(__xludf.DUMMYFUNCTION("GOOGLETRANSLATE(D9206,""pt"",""es"")"),"levantar")</f>
        <v>levantar</v>
      </c>
      <c r="H9206" s="4" t="s">
        <v>1799</v>
      </c>
      <c r="I9206" s="4" t="s">
        <v>1800</v>
      </c>
      <c r="J9206" s="4" t="s">
        <v>1801</v>
      </c>
    </row>
    <row r="9207">
      <c r="A9207" s="4">
        <v>60.0</v>
      </c>
      <c r="B9207" s="4" t="s">
        <v>19555</v>
      </c>
      <c r="C9207" s="4"/>
      <c r="D9207" s="4" t="s">
        <v>19113</v>
      </c>
      <c r="E9207" s="4" t="s">
        <v>19112</v>
      </c>
      <c r="F9207" s="4" t="s">
        <v>14416</v>
      </c>
      <c r="G9207" s="5" t="str">
        <f>IFERROR(__xludf.DUMMYFUNCTION("GOOGLETRANSLATE(D9207,""pt"",""es"")"),"co")</f>
        <v>co</v>
      </c>
    </row>
    <row r="9208">
      <c r="A9208" s="4">
        <v>61.0</v>
      </c>
      <c r="B9208" s="4" t="s">
        <v>19555</v>
      </c>
      <c r="C9208" s="4"/>
      <c r="D9208" s="4" t="s">
        <v>2627</v>
      </c>
      <c r="E9208" s="4" t="s">
        <v>1232</v>
      </c>
      <c r="F9208" s="4" t="s">
        <v>1233</v>
      </c>
      <c r="G9208" s="5" t="str">
        <f>IFERROR(__xludf.DUMMYFUNCTION("GOOGLETRANSLATE(D9208,""pt"",""es"")"),"K")</f>
        <v>K</v>
      </c>
      <c r="H9208" s="4" t="s">
        <v>2629</v>
      </c>
      <c r="I9208" s="4" t="s">
        <v>2627</v>
      </c>
    </row>
    <row r="9209">
      <c r="A9209" s="4">
        <v>62.0</v>
      </c>
      <c r="B9209" s="4" t="s">
        <v>19555</v>
      </c>
      <c r="C9209" s="4"/>
      <c r="D9209" s="4" t="s">
        <v>1122</v>
      </c>
      <c r="E9209" s="4" t="s">
        <v>1121</v>
      </c>
      <c r="F9209" s="4" t="s">
        <v>1122</v>
      </c>
      <c r="G9209" s="5" t="str">
        <f>IFERROR(__xludf.DUMMYFUNCTION("GOOGLETRANSLATE(D9209,""pt"",""es"")"),"kan")</f>
        <v>kan</v>
      </c>
    </row>
    <row r="9210">
      <c r="A9210" s="4">
        <v>63.0</v>
      </c>
      <c r="B9210" s="4" t="s">
        <v>19555</v>
      </c>
      <c r="C9210" s="4"/>
      <c r="D9210" s="4" t="s">
        <v>2015</v>
      </c>
      <c r="E9210" s="4" t="s">
        <v>2016</v>
      </c>
      <c r="F9210" s="4" t="s">
        <v>2015</v>
      </c>
      <c r="G9210" s="5" t="str">
        <f>IFERROR(__xludf.DUMMYFUNCTION("GOOGLETRANSLATE(D9210,""pt"",""es"")"),"allí")</f>
        <v>allí</v>
      </c>
    </row>
    <row r="9211">
      <c r="A9211" s="4">
        <v>64.0</v>
      </c>
      <c r="B9211" s="4" t="s">
        <v>19555</v>
      </c>
      <c r="C9211" s="4"/>
      <c r="D9211" s="4" t="s">
        <v>19629</v>
      </c>
      <c r="E9211" s="4" t="s">
        <v>19630</v>
      </c>
      <c r="F9211" s="4" t="s">
        <v>19631</v>
      </c>
      <c r="G9211" s="5" t="str">
        <f>IFERROR(__xludf.DUMMYFUNCTION("GOOGLETRANSLATE(D9211,""pt"",""es"")"),"lagos")</f>
        <v>lagos</v>
      </c>
      <c r="H9211" s="4" t="s">
        <v>19632</v>
      </c>
    </row>
    <row r="9212">
      <c r="A9212" s="4">
        <v>65.0</v>
      </c>
      <c r="B9212" s="4" t="s">
        <v>19555</v>
      </c>
      <c r="C9212" s="4"/>
      <c r="D9212" s="4" t="s">
        <v>2146</v>
      </c>
      <c r="E9212" s="4" t="s">
        <v>17980</v>
      </c>
      <c r="F9212" s="4" t="s">
        <v>8430</v>
      </c>
      <c r="G9212" s="5" t="str">
        <f>IFERROR(__xludf.DUMMYFUNCTION("GOOGLETRANSLATE(D9212,""pt"",""es"")"),"lazo")</f>
        <v>lazo</v>
      </c>
      <c r="H9212" s="4" t="s">
        <v>19115</v>
      </c>
      <c r="I9212" s="4" t="s">
        <v>2760</v>
      </c>
      <c r="J9212" s="4" t="s">
        <v>19115</v>
      </c>
      <c r="K9212" s="4" t="s">
        <v>19115</v>
      </c>
    </row>
    <row r="9213">
      <c r="A9213" s="4">
        <v>66.0</v>
      </c>
      <c r="B9213" s="4" t="s">
        <v>19555</v>
      </c>
      <c r="C9213" s="4"/>
      <c r="D9213" s="4" t="s">
        <v>19116</v>
      </c>
      <c r="E9213" s="4" t="s">
        <v>17998</v>
      </c>
      <c r="F9213" s="4" t="s">
        <v>10277</v>
      </c>
      <c r="G9213" s="5" t="str">
        <f>IFERROR(__xludf.DUMMYFUNCTION("GOOGLETRANSLATE(D9213,""pt"",""es"")"),"listón")</f>
        <v>listón</v>
      </c>
    </row>
    <row r="9214">
      <c r="A9214" s="4">
        <v>67.0</v>
      </c>
      <c r="B9214" s="4" t="s">
        <v>19555</v>
      </c>
      <c r="C9214" s="4"/>
      <c r="D9214" s="4" t="s">
        <v>19117</v>
      </c>
      <c r="E9214" s="4" t="s">
        <v>17980</v>
      </c>
      <c r="F9214" s="4" t="s">
        <v>8430</v>
      </c>
      <c r="G9214" s="5" t="str">
        <f>IFERROR(__xludf.DUMMYFUNCTION("GOOGLETRANSLATE(D9214,""pt"",""es"")"),"Enlace")</f>
        <v>Enlace</v>
      </c>
      <c r="H9214" s="4" t="s">
        <v>19118</v>
      </c>
      <c r="I9214" s="4" t="s">
        <v>19119</v>
      </c>
      <c r="J9214" s="4" t="s">
        <v>19120</v>
      </c>
      <c r="K9214" s="4" t="s">
        <v>19121</v>
      </c>
      <c r="L9214" s="4" t="s">
        <v>2146</v>
      </c>
      <c r="M9214" s="4" t="s">
        <v>2147</v>
      </c>
      <c r="N9214" s="4" t="s">
        <v>2148</v>
      </c>
      <c r="O9214" s="4" t="s">
        <v>2149</v>
      </c>
      <c r="P9214" s="4" t="s">
        <v>19122</v>
      </c>
      <c r="Q9214" s="4" t="s">
        <v>19123</v>
      </c>
      <c r="R9214" s="4" t="s">
        <v>19124</v>
      </c>
    </row>
    <row r="9215">
      <c r="A9215" s="4">
        <v>68.0</v>
      </c>
      <c r="B9215" s="4" t="s">
        <v>19555</v>
      </c>
      <c r="C9215" s="4"/>
      <c r="D9215" s="4" t="s">
        <v>19633</v>
      </c>
      <c r="E9215" s="4" t="s">
        <v>19634</v>
      </c>
      <c r="F9215" s="4" t="s">
        <v>19635</v>
      </c>
      <c r="G9215" s="5" t="str">
        <f>IFERROR(__xludf.DUMMYFUNCTION("GOOGLETRANSLATE(D9215,""pt"",""es"")"),"lho")</f>
        <v>lho</v>
      </c>
    </row>
    <row r="9216">
      <c r="A9216" s="4">
        <v>69.0</v>
      </c>
      <c r="B9216" s="4" t="s">
        <v>19555</v>
      </c>
      <c r="C9216" s="4"/>
      <c r="D9216" s="4" t="s">
        <v>19636</v>
      </c>
      <c r="E9216" s="4" t="s">
        <v>19637</v>
      </c>
      <c r="F9216" s="4" t="s">
        <v>19638</v>
      </c>
      <c r="G9216" s="5" t="str">
        <f>IFERROR(__xludf.DUMMYFUNCTION("GOOGLETRANSLATE(D9216,""pt"",""es"")"),"lys")</f>
        <v>lys</v>
      </c>
    </row>
    <row r="9217">
      <c r="A9217" s="4">
        <v>70.0</v>
      </c>
      <c r="B9217" s="4" t="s">
        <v>19555</v>
      </c>
      <c r="C9217" s="4"/>
      <c r="D9217" s="4" t="s">
        <v>2037</v>
      </c>
      <c r="E9217" s="4" t="s">
        <v>2038</v>
      </c>
      <c r="F9217" s="4" t="s">
        <v>2037</v>
      </c>
      <c r="G9217" s="5" t="str">
        <f>IFERROR(__xludf.DUMMYFUNCTION("GOOGLETRANSLATE(D9217,""pt"",""es"")"),"Li")</f>
        <v>Li</v>
      </c>
    </row>
    <row r="9218">
      <c r="A9218" s="4">
        <v>71.0</v>
      </c>
      <c r="B9218" s="4" t="s">
        <v>19555</v>
      </c>
      <c r="C9218" s="4"/>
      <c r="D9218" s="4" t="s">
        <v>19639</v>
      </c>
      <c r="E9218" s="4" t="s">
        <v>19640</v>
      </c>
      <c r="F9218" s="4" t="s">
        <v>19641</v>
      </c>
      <c r="G9218" s="5" t="str">
        <f>IFERROR(__xludf.DUMMYFUNCTION("GOOGLETRANSLATE(D9218,""pt"",""es"")"),"encender")</f>
        <v>encender</v>
      </c>
      <c r="H9218" s="4" t="s">
        <v>1009</v>
      </c>
      <c r="I9218" s="4" t="s">
        <v>8077</v>
      </c>
      <c r="J9218" s="4" t="s">
        <v>8078</v>
      </c>
      <c r="K9218" s="4" t="s">
        <v>8079</v>
      </c>
      <c r="L9218" s="4" t="s">
        <v>4080</v>
      </c>
      <c r="M9218" s="4" t="s">
        <v>3050</v>
      </c>
      <c r="N9218" s="4" t="s">
        <v>19642</v>
      </c>
      <c r="O9218" s="4" t="s">
        <v>4652</v>
      </c>
      <c r="P9218" s="4" t="s">
        <v>3048</v>
      </c>
      <c r="Q9218" s="4" t="s">
        <v>3050</v>
      </c>
      <c r="R9218" s="4" t="s">
        <v>4653</v>
      </c>
      <c r="S9218" s="4" t="s">
        <v>3050</v>
      </c>
      <c r="T9218" s="4" t="s">
        <v>17125</v>
      </c>
      <c r="U9218" s="4" t="s">
        <v>19643</v>
      </c>
    </row>
    <row r="9219">
      <c r="A9219" s="4">
        <v>72.0</v>
      </c>
      <c r="B9219" s="4" t="s">
        <v>19555</v>
      </c>
      <c r="C9219" s="4"/>
      <c r="D9219" s="4" t="s">
        <v>10313</v>
      </c>
      <c r="E9219" s="4" t="s">
        <v>12589</v>
      </c>
      <c r="F9219" s="4" t="s">
        <v>10313</v>
      </c>
      <c r="G9219" s="5" t="str">
        <f>IFERROR(__xludf.DUMMYFUNCTION("GOOGLETRANSLATE(D9219,""pt"",""es"")"),"Lima")</f>
        <v>Lima</v>
      </c>
      <c r="H9219" s="4" t="s">
        <v>1</v>
      </c>
      <c r="I9219" s="4" t="s">
        <v>2166</v>
      </c>
      <c r="J9219" s="4" t="s">
        <v>10319</v>
      </c>
      <c r="K9219" s="4" t="s">
        <v>10320</v>
      </c>
    </row>
    <row r="9220">
      <c r="A9220" s="4">
        <v>73.0</v>
      </c>
      <c r="B9220" s="4" t="s">
        <v>19555</v>
      </c>
      <c r="C9220" s="4"/>
      <c r="D9220" s="4" t="s">
        <v>2051</v>
      </c>
      <c r="E9220" s="4" t="s">
        <v>2077</v>
      </c>
      <c r="F9220" s="4" t="s">
        <v>2051</v>
      </c>
      <c r="G9220" s="5" t="str">
        <f>IFERROR(__xludf.DUMMYFUNCTION("GOOGLETRANSLATE(D9220,""pt"",""es"")"),"límite")</f>
        <v>límite</v>
      </c>
      <c r="H9220" s="4" t="s">
        <v>2055</v>
      </c>
      <c r="I9220" s="4" t="s">
        <v>2056</v>
      </c>
      <c r="J9220" s="4" t="s">
        <v>2057</v>
      </c>
      <c r="K9220" s="4" t="s">
        <v>2058</v>
      </c>
      <c r="L9220" s="4" t="s">
        <v>2059</v>
      </c>
      <c r="M9220" s="4" t="s">
        <v>2060</v>
      </c>
      <c r="N9220" s="4" t="s">
        <v>2061</v>
      </c>
      <c r="O9220" s="4" t="s">
        <v>2058</v>
      </c>
      <c r="P9220" s="4" t="s">
        <v>2062</v>
      </c>
      <c r="Q9220" s="4" t="s">
        <v>2060</v>
      </c>
      <c r="R9220" s="4" t="s">
        <v>2055</v>
      </c>
      <c r="S9220" s="4" t="s">
        <v>929</v>
      </c>
      <c r="T9220" s="4" t="s">
        <v>2063</v>
      </c>
      <c r="U9220" s="4" t="s">
        <v>2064</v>
      </c>
      <c r="V9220" s="4" t="s">
        <v>2055</v>
      </c>
      <c r="W9220" s="4" t="s">
        <v>2072</v>
      </c>
      <c r="X9220" s="4" t="s">
        <v>2073</v>
      </c>
      <c r="Y9220" s="4" t="s">
        <v>313</v>
      </c>
      <c r="Z9220" s="4" t="s">
        <v>2074</v>
      </c>
      <c r="AA9220" s="4" t="s">
        <v>2075</v>
      </c>
      <c r="AB9220" s="4" t="s">
        <v>2063</v>
      </c>
      <c r="AC9220" s="4" t="s">
        <v>2076</v>
      </c>
    </row>
    <row r="9221">
      <c r="A9221" s="4">
        <v>74.0</v>
      </c>
      <c r="B9221" s="4" t="s">
        <v>19555</v>
      </c>
      <c r="C9221" s="4"/>
      <c r="D9221" s="4" t="s">
        <v>19126</v>
      </c>
      <c r="E9221" s="4" t="s">
        <v>19127</v>
      </c>
      <c r="F9221" s="4" t="s">
        <v>19128</v>
      </c>
      <c r="G9221" s="5" t="str">
        <f>IFERROR(__xludf.DUMMYFUNCTION("GOOGLETRANSLATE(D9221,""pt"",""es"")"),"lino")</f>
        <v>lino</v>
      </c>
      <c r="H9221" s="4" t="s">
        <v>6643</v>
      </c>
      <c r="I9221" s="4" t="s">
        <v>2152</v>
      </c>
      <c r="J9221" s="4" t="s">
        <v>2152</v>
      </c>
    </row>
    <row r="9222">
      <c r="A9222" s="4">
        <v>75.0</v>
      </c>
      <c r="B9222" s="4" t="s">
        <v>19555</v>
      </c>
      <c r="C9222" s="4"/>
      <c r="D9222" s="4" t="s">
        <v>19129</v>
      </c>
      <c r="E9222" s="4" t="s">
        <v>19130</v>
      </c>
      <c r="F9222" s="4" t="s">
        <v>19131</v>
      </c>
      <c r="G9222" s="5" t="str">
        <f>IFERROR(__xludf.DUMMYFUNCTION("GOOGLETRANSLATE(D9222,""pt"",""es"")"),"basura")</f>
        <v>basura</v>
      </c>
      <c r="H9222" s="4" t="s">
        <v>19132</v>
      </c>
      <c r="I9222" s="4" t="s">
        <v>19133</v>
      </c>
      <c r="J9222" s="4" t="s">
        <v>19134</v>
      </c>
      <c r="K9222" s="4" t="s">
        <v>19135</v>
      </c>
      <c r="L9222" s="4" t="s">
        <v>3189</v>
      </c>
      <c r="M9222" s="4" t="s">
        <v>3192</v>
      </c>
      <c r="N9222" s="4" t="s">
        <v>2606</v>
      </c>
    </row>
    <row r="9223">
      <c r="A9223" s="4">
        <v>76.0</v>
      </c>
      <c r="B9223" s="4" t="s">
        <v>19555</v>
      </c>
      <c r="C9223" s="4"/>
      <c r="D9223" s="4" t="s">
        <v>2239</v>
      </c>
      <c r="E9223" s="4" t="s">
        <v>2240</v>
      </c>
      <c r="F9223" s="4" t="s">
        <v>2241</v>
      </c>
      <c r="G9223" s="5" t="str">
        <f>IFERROR(__xludf.DUMMYFUNCTION("GOOGLETRANSLATE(D9223,""pt"",""es"")"),"eso")</f>
        <v>eso</v>
      </c>
    </row>
    <row r="9224">
      <c r="A9224" s="4">
        <v>77.0</v>
      </c>
      <c r="B9224" s="4" t="s">
        <v>19555</v>
      </c>
      <c r="C9224" s="4"/>
      <c r="D9224" s="4" t="s">
        <v>19136</v>
      </c>
      <c r="E9224" s="4" t="s">
        <v>8496</v>
      </c>
      <c r="F9224" s="4" t="s">
        <v>8497</v>
      </c>
      <c r="G9224" s="5" t="str">
        <f>IFERROR(__xludf.DUMMYFUNCTION("GOOGLETRANSLATE(D9224,""pt"",""es"")"),"Loss")</f>
        <v>Loss</v>
      </c>
    </row>
    <row r="9225">
      <c r="A9225" s="4">
        <v>78.0</v>
      </c>
      <c r="B9225" s="4" t="s">
        <v>19555</v>
      </c>
      <c r="C9225" s="4"/>
      <c r="D9225" s="4" t="s">
        <v>19644</v>
      </c>
      <c r="E9225" s="4" t="s">
        <v>19645</v>
      </c>
      <c r="F9225" s="4" t="s">
        <v>19646</v>
      </c>
      <c r="G9225" s="5" t="str">
        <f>IFERROR(__xludf.DUMMYFUNCTION("GOOGLETRANSLATE(D9225,""pt"",""es"")"),"llenar")</f>
        <v>llenar</v>
      </c>
    </row>
    <row r="9226">
      <c r="A9226" s="4">
        <v>79.0</v>
      </c>
      <c r="B9226" s="4" t="s">
        <v>19555</v>
      </c>
      <c r="C9226" s="4"/>
      <c r="D9226" s="4" t="s">
        <v>19647</v>
      </c>
      <c r="E9226" s="4" t="s">
        <v>19648</v>
      </c>
      <c r="F9226" s="4" t="s">
        <v>19649</v>
      </c>
      <c r="G9226" s="5" t="str">
        <f>IFERROR(__xludf.DUMMYFUNCTION("GOOGLETRANSLATE(D9226,""pt"",""es"")"),"lunático")</f>
        <v>lunático</v>
      </c>
    </row>
    <row r="9227">
      <c r="A9227" s="4">
        <v>80.0</v>
      </c>
      <c r="B9227" s="4" t="s">
        <v>19555</v>
      </c>
      <c r="C9227" s="4"/>
      <c r="D9227" s="4" t="s">
        <v>19646</v>
      </c>
      <c r="E9227" s="4" t="s">
        <v>19645</v>
      </c>
      <c r="F9227" s="4" t="s">
        <v>19646</v>
      </c>
      <c r="G9227" s="5" t="str">
        <f>IFERROR(__xludf.DUMMYFUNCTION("GOOGLETRANSLATE(D9227,""pt"",""es"")"),"lucha")</f>
        <v>lucha</v>
      </c>
      <c r="H9227" s="4" t="s">
        <v>16389</v>
      </c>
      <c r="I9227" s="4" t="s">
        <v>7339</v>
      </c>
      <c r="J9227" s="4" t="s">
        <v>7501</v>
      </c>
      <c r="K9227" s="4" t="s">
        <v>7339</v>
      </c>
      <c r="L9227" s="4" t="s">
        <v>19650</v>
      </c>
      <c r="M9227" s="4" t="s">
        <v>19651</v>
      </c>
      <c r="N9227" s="4" t="s">
        <v>19652</v>
      </c>
      <c r="O9227" s="4" t="s">
        <v>19653</v>
      </c>
      <c r="P9227" s="4" t="s">
        <v>19654</v>
      </c>
      <c r="Q9227" s="4" t="s">
        <v>19655</v>
      </c>
      <c r="R9227" s="4" t="s">
        <v>19656</v>
      </c>
      <c r="S9227" s="4" t="s">
        <v>19657</v>
      </c>
      <c r="T9227" s="4" t="s">
        <v>5740</v>
      </c>
      <c r="U9227" s="4" t="s">
        <v>19658</v>
      </c>
    </row>
    <row r="9228">
      <c r="A9228" s="4">
        <v>81.0</v>
      </c>
      <c r="B9228" s="4" t="s">
        <v>19555</v>
      </c>
      <c r="C9228" s="4"/>
      <c r="D9228" s="4" t="s">
        <v>19142</v>
      </c>
      <c r="E9228" s="4" t="s">
        <v>18093</v>
      </c>
      <c r="F9228" s="4" t="s">
        <v>18092</v>
      </c>
      <c r="G9228" s="5" t="str">
        <f>IFERROR(__xludf.DUMMYFUNCTION("GOOGLETRANSLATE(D9228,""pt"",""es"")"),"luto")</f>
        <v>luto</v>
      </c>
      <c r="H9228" s="4" t="s">
        <v>19143</v>
      </c>
      <c r="I9228" s="4" t="s">
        <v>19144</v>
      </c>
      <c r="J9228" s="4" t="s">
        <v>19145</v>
      </c>
    </row>
    <row r="9229">
      <c r="A9229" s="4">
        <v>82.0</v>
      </c>
      <c r="B9229" s="4" t="s">
        <v>19555</v>
      </c>
      <c r="C9229" s="4"/>
      <c r="D9229" s="4" t="s">
        <v>19146</v>
      </c>
      <c r="E9229" s="4" t="s">
        <v>19147</v>
      </c>
      <c r="F9229" s="4" t="s">
        <v>19148</v>
      </c>
      <c r="G9229" s="5" t="str">
        <f>IFERROR(__xludf.DUMMYFUNCTION("GOOGLETRANSLATE(D9229,""pt"",""es"")"),"Lux")</f>
        <v>Lux</v>
      </c>
      <c r="H9229" s="4" t="s">
        <v>19149</v>
      </c>
      <c r="I9229" s="4" t="s">
        <v>19150</v>
      </c>
      <c r="J9229" s="4" t="s">
        <v>19149</v>
      </c>
      <c r="K9229" s="4" t="s">
        <v>19151</v>
      </c>
      <c r="L9229" s="4" t="s">
        <v>19152</v>
      </c>
      <c r="M9229" s="4" t="s">
        <v>19149</v>
      </c>
      <c r="N9229" s="4" t="s">
        <v>19153</v>
      </c>
      <c r="O9229" s="4" t="s">
        <v>19154</v>
      </c>
      <c r="P9229" s="4" t="s">
        <v>19152</v>
      </c>
    </row>
    <row r="9230">
      <c r="A9230" s="4">
        <v>83.0</v>
      </c>
      <c r="B9230" s="4" t="s">
        <v>19555</v>
      </c>
      <c r="C9230" s="4"/>
      <c r="D9230" s="4" t="s">
        <v>19155</v>
      </c>
      <c r="E9230" s="4" t="s">
        <v>2016</v>
      </c>
      <c r="F9230" s="4" t="s">
        <v>2015</v>
      </c>
      <c r="G9230" s="5" t="str">
        <f>IFERROR(__xludf.DUMMYFUNCTION("GOOGLETRANSLATE(D9230,""pt"",""es"")"),"allí")</f>
        <v>allí</v>
      </c>
      <c r="H9230" s="4" t="s">
        <v>8911</v>
      </c>
      <c r="I9230" s="4" t="s">
        <v>8910</v>
      </c>
      <c r="J9230" s="4" t="s">
        <v>2015</v>
      </c>
      <c r="K9230" s="4" t="s">
        <v>2017</v>
      </c>
    </row>
    <row r="9231">
      <c r="A9231" s="4">
        <v>84.0</v>
      </c>
      <c r="B9231" s="4" t="s">
        <v>19555</v>
      </c>
      <c r="C9231" s="4"/>
      <c r="D9231" s="4" t="s">
        <v>19156</v>
      </c>
      <c r="E9231" s="4" t="s">
        <v>19659</v>
      </c>
      <c r="F9231" s="4" t="s">
        <v>19660</v>
      </c>
      <c r="G9231" s="5" t="str">
        <f>IFERROR(__xludf.DUMMYFUNCTION("GOOGLETRANSLATE(D9231,""pt"",""es"")"),"lápiz")</f>
        <v>lápiz</v>
      </c>
      <c r="H9231" s="4" t="s">
        <v>19157</v>
      </c>
      <c r="I9231" s="4" t="s">
        <v>2118</v>
      </c>
      <c r="J9231" s="4" t="s">
        <v>2118</v>
      </c>
      <c r="K9231" s="4" t="s">
        <v>2118</v>
      </c>
    </row>
    <row r="9232">
      <c r="A9232" s="4">
        <v>85.0</v>
      </c>
      <c r="B9232" s="4" t="s">
        <v>19555</v>
      </c>
      <c r="C9232" s="4"/>
      <c r="D9232" s="4" t="s">
        <v>19158</v>
      </c>
      <c r="E9232" s="4" t="s">
        <v>19159</v>
      </c>
      <c r="F9232" s="4" t="s">
        <v>19160</v>
      </c>
      <c r="G9232" s="5" t="str">
        <f>IFERROR(__xludf.DUMMYFUNCTION("GOOGLETRANSLATE(D9232,""pt"",""es"")"),"lírico")</f>
        <v>lírico</v>
      </c>
      <c r="H9232" s="4" t="s">
        <v>19161</v>
      </c>
      <c r="I9232" s="4" t="s">
        <v>19162</v>
      </c>
      <c r="J9232" s="4" t="s">
        <v>19161</v>
      </c>
      <c r="K9232" s="4" t="s">
        <v>19162</v>
      </c>
      <c r="L9232" s="4" t="s">
        <v>19161</v>
      </c>
      <c r="M9232" s="4" t="s">
        <v>19161</v>
      </c>
    </row>
    <row r="9233">
      <c r="A9233" s="4">
        <v>86.0</v>
      </c>
      <c r="B9233" s="4" t="s">
        <v>19555</v>
      </c>
      <c r="C9233" s="4"/>
      <c r="D9233" s="4" t="s">
        <v>19166</v>
      </c>
      <c r="E9233" s="4" t="s">
        <v>14745</v>
      </c>
      <c r="F9233" s="4" t="s">
        <v>14746</v>
      </c>
      <c r="G9233" s="5" t="str">
        <f>IFERROR(__xludf.DUMMYFUNCTION("GOOGLETRANSLATE(D9233,""pt"",""es"")"),"masculino")</f>
        <v>masculino</v>
      </c>
      <c r="H9233" s="4" t="s">
        <v>13033</v>
      </c>
      <c r="I9233" s="4" t="s">
        <v>13036</v>
      </c>
      <c r="J9233" s="4" t="s">
        <v>13034</v>
      </c>
      <c r="K9233" s="4" t="s">
        <v>13035</v>
      </c>
      <c r="L9233" s="4" t="s">
        <v>13033</v>
      </c>
      <c r="M9233" s="4" t="s">
        <v>13038</v>
      </c>
      <c r="N9233" s="4" t="s">
        <v>13033</v>
      </c>
      <c r="O9233" s="4" t="s">
        <v>13034</v>
      </c>
      <c r="P9233" s="4" t="s">
        <v>13035</v>
      </c>
      <c r="Q9233" s="4" t="s">
        <v>13036</v>
      </c>
      <c r="R9233" s="4" t="s">
        <v>13037</v>
      </c>
      <c r="S9233" s="4" t="s">
        <v>8234</v>
      </c>
      <c r="T9233" s="4" t="s">
        <v>13033</v>
      </c>
      <c r="U9233" s="4" t="s">
        <v>13040</v>
      </c>
      <c r="V9233" s="4" t="s">
        <v>4282</v>
      </c>
      <c r="W9233" s="4" t="s">
        <v>9152</v>
      </c>
      <c r="X9233" s="4" t="s">
        <v>19167</v>
      </c>
      <c r="Y9233" s="4" t="s">
        <v>19168</v>
      </c>
      <c r="Z9233" s="4" t="s">
        <v>19169</v>
      </c>
      <c r="AA9233" s="4" t="s">
        <v>19170</v>
      </c>
      <c r="AB9233" s="4" t="s">
        <v>19171</v>
      </c>
      <c r="AC9233" s="4" t="s">
        <v>19172</v>
      </c>
      <c r="AD9233" s="4" t="s">
        <v>19173</v>
      </c>
      <c r="AE9233" s="4" t="s">
        <v>1856</v>
      </c>
      <c r="AF9233" s="4" t="s">
        <v>6742</v>
      </c>
      <c r="AG9233" s="4" t="s">
        <v>1856</v>
      </c>
      <c r="AH9233" s="4" t="s">
        <v>19174</v>
      </c>
      <c r="AI9233" s="4" t="s">
        <v>19175</v>
      </c>
      <c r="AJ9233" s="4" t="s">
        <v>19176</v>
      </c>
    </row>
    <row r="9234">
      <c r="A9234" s="4">
        <v>87.0</v>
      </c>
      <c r="B9234" s="4" t="s">
        <v>19555</v>
      </c>
      <c r="C9234" s="4"/>
      <c r="D9234" s="4" t="s">
        <v>19177</v>
      </c>
      <c r="E9234" s="4" t="s">
        <v>18136</v>
      </c>
      <c r="F9234" s="4" t="s">
        <v>18137</v>
      </c>
      <c r="G9234" s="5" t="str">
        <f>IFERROR(__xludf.DUMMYFUNCTION("GOOGLETRANSLATE(D9234,""pt"",""es"")"),"Mayo")</f>
        <v>Mayo</v>
      </c>
      <c r="H9234" s="4" t="s">
        <v>18128</v>
      </c>
      <c r="I9234" s="4" t="s">
        <v>18128</v>
      </c>
    </row>
    <row r="9235">
      <c r="A9235" s="4">
        <v>88.0</v>
      </c>
      <c r="B9235" s="4" t="s">
        <v>19555</v>
      </c>
      <c r="C9235" s="4"/>
      <c r="D9235" s="4" t="s">
        <v>19178</v>
      </c>
      <c r="E9235" s="4" t="s">
        <v>19179</v>
      </c>
      <c r="F9235" s="4" t="s">
        <v>19180</v>
      </c>
      <c r="G9235" s="5" t="str">
        <f>IFERROR(__xludf.DUMMYFUNCTION("GOOGLETRANSLATE(D9235,""pt"",""es"")"),"mazo")</f>
        <v>mazo</v>
      </c>
      <c r="H9235" s="4" t="s">
        <v>9997</v>
      </c>
      <c r="I9235" s="4" t="s">
        <v>19181</v>
      </c>
      <c r="J9235" s="4" t="s">
        <v>2367</v>
      </c>
      <c r="K9235" s="4" t="s">
        <v>2368</v>
      </c>
      <c r="L9235" s="4" t="s">
        <v>2369</v>
      </c>
    </row>
    <row r="9236">
      <c r="A9236" s="4">
        <v>89.0</v>
      </c>
      <c r="B9236" s="4" t="s">
        <v>19555</v>
      </c>
      <c r="C9236" s="4"/>
      <c r="D9236" s="4" t="s">
        <v>5314</v>
      </c>
      <c r="E9236" s="4" t="s">
        <v>5313</v>
      </c>
      <c r="F9236" s="4" t="s">
        <v>5314</v>
      </c>
      <c r="G9236" s="5" t="str">
        <f>IFERROR(__xludf.DUMMYFUNCTION("GOOGLETRANSLATE(D9236,""pt"",""es"")"),"Malí")</f>
        <v>Malí</v>
      </c>
      <c r="H9236" s="4" t="s">
        <v>5347</v>
      </c>
      <c r="I9236" s="4" t="s">
        <v>5348</v>
      </c>
      <c r="J9236" s="4" t="s">
        <v>5349</v>
      </c>
    </row>
    <row r="9237">
      <c r="A9237" s="4">
        <v>90.0</v>
      </c>
      <c r="B9237" s="4" t="s">
        <v>19555</v>
      </c>
      <c r="C9237" s="4"/>
      <c r="D9237" s="4" t="s">
        <v>19184</v>
      </c>
      <c r="E9237" s="4" t="s">
        <v>19185</v>
      </c>
      <c r="F9237" s="4" t="s">
        <v>19186</v>
      </c>
      <c r="G9237" s="5" t="str">
        <f>IFERROR(__xludf.DUMMYFUNCTION("GOOGLETRANSLATE(D9237,""pt"",""es"")"),"mata Mata")</f>
        <v>mata Mata</v>
      </c>
    </row>
    <row r="9238">
      <c r="A9238" s="4">
        <v>91.0</v>
      </c>
      <c r="B9238" s="4" t="s">
        <v>19555</v>
      </c>
      <c r="C9238" s="4"/>
      <c r="D9238" s="4" t="s">
        <v>19187</v>
      </c>
      <c r="E9238" s="4" t="s">
        <v>12866</v>
      </c>
      <c r="F9238" s="4" t="s">
        <v>12867</v>
      </c>
      <c r="G9238" s="5" t="str">
        <f>IFERROR(__xludf.DUMMYFUNCTION("GOOGLETRANSLATE(D9238,""pt"",""es"")"),"Arbusto")</f>
        <v>Arbusto</v>
      </c>
      <c r="H9238" s="4" t="s">
        <v>14974</v>
      </c>
      <c r="I9238" s="4" t="s">
        <v>2956</v>
      </c>
      <c r="J9238" s="4" t="s">
        <v>2555</v>
      </c>
      <c r="K9238" s="4" t="s">
        <v>2556</v>
      </c>
    </row>
    <row r="9239">
      <c r="A9239" s="4">
        <v>92.0</v>
      </c>
      <c r="B9239" s="4" t="s">
        <v>19555</v>
      </c>
      <c r="C9239" s="4"/>
      <c r="D9239" s="4" t="s">
        <v>19188</v>
      </c>
      <c r="E9239" s="4" t="s">
        <v>19189</v>
      </c>
      <c r="F9239" s="4" t="s">
        <v>10530</v>
      </c>
      <c r="G9239" s="5" t="str">
        <f>IFERROR(__xludf.DUMMYFUNCTION("GOOGLETRANSLATE(D9239,""pt"",""es"")"),"paquete")</f>
        <v>paquete</v>
      </c>
      <c r="H9239" s="4" t="s">
        <v>1736</v>
      </c>
    </row>
    <row r="9240">
      <c r="A9240" s="4">
        <v>93.0</v>
      </c>
      <c r="B9240" s="4" t="s">
        <v>19555</v>
      </c>
      <c r="C9240" s="4"/>
      <c r="D9240" s="4" t="s">
        <v>342</v>
      </c>
      <c r="E9240" s="4" t="s">
        <v>341</v>
      </c>
      <c r="F9240" s="4" t="s">
        <v>342</v>
      </c>
      <c r="G9240" s="5" t="str">
        <f>IFERROR(__xludf.DUMMYFUNCTION("GOOGLETRANSLATE(D9240,""pt"",""es"")"),"mi")</f>
        <v>mi</v>
      </c>
      <c r="H9240" s="4" t="s">
        <v>367</v>
      </c>
    </row>
    <row r="9241">
      <c r="A9241" s="4">
        <v>94.0</v>
      </c>
      <c r="B9241" s="4" t="s">
        <v>19555</v>
      </c>
      <c r="C9241" s="4"/>
      <c r="D9241" s="4" t="s">
        <v>19200</v>
      </c>
      <c r="E9241" s="4" t="s">
        <v>14647</v>
      </c>
      <c r="F9241" s="4" t="s">
        <v>14648</v>
      </c>
      <c r="G9241" s="5" t="str">
        <f>IFERROR(__xludf.DUMMYFUNCTION("GOOGLETRANSLATE(D9241,""pt"",""es"")"),"Micé")</f>
        <v>Micé</v>
      </c>
    </row>
    <row r="9242">
      <c r="A9242" s="4">
        <v>95.0</v>
      </c>
      <c r="B9242" s="4" t="s">
        <v>19555</v>
      </c>
      <c r="C9242" s="4"/>
      <c r="D9242" s="4" t="s">
        <v>2614</v>
      </c>
      <c r="E9242" s="4" t="s">
        <v>2615</v>
      </c>
      <c r="F9242" s="4" t="s">
        <v>2616</v>
      </c>
      <c r="G9242" s="5" t="str">
        <f>IFERROR(__xludf.DUMMYFUNCTION("GOOGLETRANSLATE(D9242,""pt"",""es"")"),"masculino")</f>
        <v>masculino</v>
      </c>
    </row>
    <row r="9243">
      <c r="A9243" s="4">
        <v>96.0</v>
      </c>
      <c r="B9243" s="4" t="s">
        <v>19555</v>
      </c>
      <c r="C9243" s="4"/>
      <c r="D9243" s="4" t="s">
        <v>6811</v>
      </c>
      <c r="E9243" s="4" t="s">
        <v>10550</v>
      </c>
      <c r="F9243" s="4" t="s">
        <v>6811</v>
      </c>
      <c r="G9243" s="5" t="str">
        <f>IFERROR(__xludf.DUMMYFUNCTION("GOOGLETRANSLATE(D9243,""pt"",""es"")"),"Miki")</f>
        <v>Miki</v>
      </c>
    </row>
    <row r="9244">
      <c r="A9244" s="4">
        <v>97.0</v>
      </c>
      <c r="B9244" s="4" t="s">
        <v>19555</v>
      </c>
      <c r="C9244" s="4"/>
      <c r="D9244" s="4" t="s">
        <v>19201</v>
      </c>
      <c r="E9244" s="4" t="s">
        <v>19202</v>
      </c>
      <c r="F9244" s="4" t="s">
        <v>19203</v>
      </c>
      <c r="G9244" s="5" t="str">
        <f>IFERROR(__xludf.DUMMYFUNCTION("GOOGLETRANSLATE(D9244,""pt"",""es"")"),"Mikiko")</f>
        <v>Mikiko</v>
      </c>
    </row>
    <row r="9245">
      <c r="A9245" s="4">
        <v>98.0</v>
      </c>
      <c r="B9245" s="4" t="s">
        <v>19555</v>
      </c>
      <c r="C9245" s="4"/>
      <c r="D9245" s="4" t="s">
        <v>19207</v>
      </c>
      <c r="E9245" s="4" t="s">
        <v>19208</v>
      </c>
      <c r="F9245" s="4" t="s">
        <v>14476</v>
      </c>
      <c r="G9245" s="5" t="str">
        <f>IFERROR(__xludf.DUMMYFUNCTION("GOOGLETRANSLATE(D9245,""pt"",""es"")"),"maíz")</f>
        <v>maíz</v>
      </c>
      <c r="H9245" s="4" t="s">
        <v>3288</v>
      </c>
      <c r="I9245" s="4" t="s">
        <v>19209</v>
      </c>
      <c r="J9245" s="4" t="s">
        <v>3286</v>
      </c>
      <c r="K9245" s="4" t="s">
        <v>3287</v>
      </c>
      <c r="L9245" s="4" t="s">
        <v>2650</v>
      </c>
      <c r="M9245" s="4" t="s">
        <v>3288</v>
      </c>
      <c r="N9245" s="4" t="s">
        <v>3289</v>
      </c>
      <c r="O9245" s="4" t="s">
        <v>3290</v>
      </c>
      <c r="P9245" s="4" t="s">
        <v>3291</v>
      </c>
      <c r="Q9245" s="4" t="s">
        <v>3288</v>
      </c>
      <c r="R9245" s="4" t="s">
        <v>3289</v>
      </c>
      <c r="S9245" s="4" t="s">
        <v>3290</v>
      </c>
      <c r="T9245" s="4" t="s">
        <v>3291</v>
      </c>
      <c r="U9245" s="4" t="s">
        <v>3288</v>
      </c>
      <c r="V9245" s="4" t="s">
        <v>3288</v>
      </c>
    </row>
    <row r="9246">
      <c r="A9246" s="4">
        <v>99.0</v>
      </c>
      <c r="B9246" s="4" t="s">
        <v>19555</v>
      </c>
      <c r="C9246" s="4"/>
      <c r="D9246" s="4" t="s">
        <v>2639</v>
      </c>
      <c r="E9246" s="4" t="s">
        <v>2645</v>
      </c>
      <c r="F9246" s="4" t="s">
        <v>2639</v>
      </c>
      <c r="G9246" s="5" t="str">
        <f>IFERROR(__xludf.DUMMYFUNCTION("GOOGLETRANSLATE(D9246,""pt"",""es"")"),"militar")</f>
        <v>militar</v>
      </c>
      <c r="H9246" s="4" t="s">
        <v>2641</v>
      </c>
      <c r="I9246" s="4" t="s">
        <v>19661</v>
      </c>
      <c r="J9246" s="4" t="s">
        <v>19662</v>
      </c>
      <c r="K9246" s="4" t="s">
        <v>19663</v>
      </c>
      <c r="L9246" s="4" t="s">
        <v>19664</v>
      </c>
      <c r="M9246" s="4" t="s">
        <v>2641</v>
      </c>
      <c r="N9246" s="4" t="s">
        <v>19661</v>
      </c>
      <c r="O9246" s="4" t="s">
        <v>19662</v>
      </c>
      <c r="P9246" s="4" t="s">
        <v>19663</v>
      </c>
      <c r="Q9246" s="4" t="s">
        <v>19664</v>
      </c>
      <c r="R9246" s="4" t="s">
        <v>2642</v>
      </c>
      <c r="S9246" s="4" t="s">
        <v>2643</v>
      </c>
      <c r="T9246" s="4" t="s">
        <v>1856</v>
      </c>
      <c r="U9246" s="4" t="s">
        <v>2644</v>
      </c>
      <c r="V9246" s="4" t="s">
        <v>2640</v>
      </c>
    </row>
    <row r="9247">
      <c r="A9247" s="4">
        <v>100.0</v>
      </c>
      <c r="B9247" s="4" t="s">
        <v>19555</v>
      </c>
      <c r="C9247" s="4"/>
      <c r="D9247" s="4" t="s">
        <v>19210</v>
      </c>
      <c r="E9247" s="4" t="s">
        <v>19211</v>
      </c>
      <c r="F9247" s="4" t="s">
        <v>19210</v>
      </c>
      <c r="G9247" s="5" t="str">
        <f>IFERROR(__xludf.DUMMYFUNCTION("GOOGLETRANSLATE(D9247,""pt"",""es"")"),"mimimi")</f>
        <v>mimimi</v>
      </c>
    </row>
    <row r="9248">
      <c r="A9248" s="4">
        <v>101.0</v>
      </c>
      <c r="B9248" s="4" t="s">
        <v>19555</v>
      </c>
      <c r="C9248" s="4"/>
      <c r="D9248" s="4" t="s">
        <v>19212</v>
      </c>
      <c r="E9248" s="4" t="s">
        <v>19213</v>
      </c>
      <c r="F9248" s="4" t="s">
        <v>19214</v>
      </c>
      <c r="G9248" s="5" t="str">
        <f>IFERROR(__xludf.DUMMYFUNCTION("GOOGLETRANSLATE(D9248,""pt"",""es"")"),"mimar")</f>
        <v>mimar</v>
      </c>
    </row>
    <row r="9249">
      <c r="A9249" s="4">
        <v>102.0</v>
      </c>
      <c r="B9249" s="4" t="s">
        <v>19555</v>
      </c>
      <c r="C9249" s="4"/>
      <c r="D9249" s="4" t="s">
        <v>19215</v>
      </c>
      <c r="E9249" s="4" t="s">
        <v>19216</v>
      </c>
      <c r="F9249" s="4" t="s">
        <v>19217</v>
      </c>
      <c r="G9249" s="5" t="str">
        <f>IFERROR(__xludf.DUMMYFUNCTION("GOOGLETRANSLATE(D9249,""pt"",""es"")"),"minuko")</f>
        <v>minuko</v>
      </c>
    </row>
    <row r="9250">
      <c r="A9250" s="4">
        <v>103.0</v>
      </c>
      <c r="B9250" s="4" t="s">
        <v>19555</v>
      </c>
      <c r="C9250" s="4"/>
      <c r="D9250" s="4" t="s">
        <v>19218</v>
      </c>
      <c r="E9250" s="4" t="s">
        <v>19219</v>
      </c>
      <c r="F9250" s="4" t="s">
        <v>19220</v>
      </c>
      <c r="G9250" s="5" t="str">
        <f>IFERROR(__xludf.DUMMYFUNCTION("GOOGLETRANSLATE(D9250,""pt"",""es"")"),"minuto")</f>
        <v>minuto</v>
      </c>
      <c r="H9250" s="4" t="s">
        <v>15991</v>
      </c>
      <c r="I9250" s="4" t="s">
        <v>6843</v>
      </c>
      <c r="J9250" s="4" t="s">
        <v>6843</v>
      </c>
      <c r="K9250" s="4" t="s">
        <v>18286</v>
      </c>
      <c r="L9250" s="4" t="s">
        <v>18287</v>
      </c>
      <c r="M9250" s="4" t="s">
        <v>6843</v>
      </c>
      <c r="N9250" s="4" t="s">
        <v>6841</v>
      </c>
      <c r="O9250" s="4" t="s">
        <v>15994</v>
      </c>
      <c r="P9250" s="4" t="s">
        <v>15995</v>
      </c>
      <c r="Q9250" s="4" t="s">
        <v>6843</v>
      </c>
      <c r="R9250" s="4" t="s">
        <v>15996</v>
      </c>
      <c r="S9250" s="4" t="s">
        <v>2602</v>
      </c>
    </row>
    <row r="9251">
      <c r="A9251" s="4">
        <v>104.0</v>
      </c>
      <c r="B9251" s="4" t="s">
        <v>19555</v>
      </c>
      <c r="C9251" s="4"/>
      <c r="D9251" s="4" t="s">
        <v>14212</v>
      </c>
      <c r="E9251" s="4" t="s">
        <v>14213</v>
      </c>
      <c r="F9251" s="4" t="s">
        <v>14212</v>
      </c>
      <c r="G9251" s="5" t="str">
        <f>IFERROR(__xludf.DUMMYFUNCTION("GOOGLETRANSLATE(D9251,""pt"",""es"")"),"para apuntar")</f>
        <v>para apuntar</v>
      </c>
      <c r="H9251" s="4" t="s">
        <v>7937</v>
      </c>
      <c r="I9251" s="4" t="s">
        <v>887</v>
      </c>
      <c r="J9251" s="4" t="s">
        <v>7938</v>
      </c>
      <c r="K9251" s="4" t="s">
        <v>7939</v>
      </c>
      <c r="L9251" s="4" t="s">
        <v>7909</v>
      </c>
      <c r="M9251" s="4" t="s">
        <v>6669</v>
      </c>
      <c r="N9251" s="4" t="s">
        <v>19665</v>
      </c>
      <c r="O9251" s="4" t="s">
        <v>19666</v>
      </c>
      <c r="P9251" s="4" t="s">
        <v>19667</v>
      </c>
      <c r="Q9251" s="4" t="s">
        <v>14882</v>
      </c>
      <c r="R9251" s="4" t="s">
        <v>7918</v>
      </c>
      <c r="S9251" s="4" t="s">
        <v>4619</v>
      </c>
      <c r="T9251" s="4" t="s">
        <v>19668</v>
      </c>
      <c r="U9251" s="4" t="s">
        <v>1755</v>
      </c>
      <c r="V9251" s="4" t="s">
        <v>14214</v>
      </c>
      <c r="W9251" s="4" t="s">
        <v>3011</v>
      </c>
      <c r="X9251" s="4" t="s">
        <v>8017</v>
      </c>
      <c r="Y9251" s="4" t="s">
        <v>19669</v>
      </c>
      <c r="Z9251" s="4" t="s">
        <v>19670</v>
      </c>
    </row>
    <row r="9252">
      <c r="A9252" s="4">
        <v>105.0</v>
      </c>
      <c r="B9252" s="4" t="s">
        <v>19555</v>
      </c>
      <c r="C9252" s="4"/>
      <c r="D9252" s="4" t="s">
        <v>8517</v>
      </c>
      <c r="E9252" s="4" t="s">
        <v>2717</v>
      </c>
      <c r="F9252" s="4" t="s">
        <v>2718</v>
      </c>
      <c r="G9252" s="5" t="str">
        <f>IFERROR(__xludf.DUMMYFUNCTION("GOOGLETRANSLATE(D9252,""pt"",""es"")"),"Misisipí")</f>
        <v>Misisipí</v>
      </c>
      <c r="H9252" s="4" t="s">
        <v>8519</v>
      </c>
      <c r="I9252" s="4" t="s">
        <v>8521</v>
      </c>
      <c r="J9252" s="4" t="s">
        <v>8522</v>
      </c>
      <c r="K9252" s="4" t="s">
        <v>8519</v>
      </c>
      <c r="L9252" s="4" t="s">
        <v>8520</v>
      </c>
    </row>
    <row r="9253">
      <c r="A9253" s="4">
        <v>106.0</v>
      </c>
      <c r="B9253" s="4" t="s">
        <v>19555</v>
      </c>
      <c r="C9253" s="4"/>
      <c r="D9253" s="4" t="s">
        <v>19224</v>
      </c>
      <c r="E9253" s="4" t="s">
        <v>18301</v>
      </c>
      <c r="F9253" s="4" t="s">
        <v>18300</v>
      </c>
      <c r="G9253" s="5" t="str">
        <f>IFERROR(__xludf.DUMMYFUNCTION("GOOGLETRANSLATE(D9253,""pt"",""es"")"),"mito")</f>
        <v>mito</v>
      </c>
      <c r="H9253" s="4" t="s">
        <v>6917</v>
      </c>
    </row>
    <row r="9254">
      <c r="A9254" s="4">
        <v>107.0</v>
      </c>
      <c r="B9254" s="4" t="s">
        <v>19555</v>
      </c>
      <c r="C9254" s="4"/>
      <c r="D9254" s="4" t="s">
        <v>19225</v>
      </c>
      <c r="E9254" s="4" t="s">
        <v>19226</v>
      </c>
      <c r="F9254" s="4" t="s">
        <v>19227</v>
      </c>
      <c r="G9254" s="5" t="str">
        <f>IFERROR(__xludf.DUMMYFUNCTION("GOOGLETRANSLATE(D9254,""pt"",""es"")"),"mixuruca")</f>
        <v>mixuruca</v>
      </c>
    </row>
    <row r="9255">
      <c r="A9255" s="4">
        <v>108.0</v>
      </c>
      <c r="B9255" s="4" t="s">
        <v>19555</v>
      </c>
      <c r="C9255" s="4"/>
      <c r="D9255" s="4" t="s">
        <v>12940</v>
      </c>
      <c r="E9255" s="4" t="s">
        <v>12941</v>
      </c>
      <c r="F9255" s="4" t="s">
        <v>12940</v>
      </c>
      <c r="G9255" s="5" t="str">
        <f>IFERROR(__xludf.DUMMYFUNCTION("GOOGLETRANSLATE(D9255,""pt"",""es"")"),"miyuki")</f>
        <v>miyuki</v>
      </c>
    </row>
    <row r="9256">
      <c r="A9256" s="4">
        <v>109.0</v>
      </c>
      <c r="B9256" s="4" t="s">
        <v>19555</v>
      </c>
      <c r="C9256" s="4"/>
      <c r="D9256" s="4" t="s">
        <v>15995</v>
      </c>
      <c r="E9256" s="4" t="s">
        <v>366</v>
      </c>
      <c r="F9256" s="4" t="s">
        <v>367</v>
      </c>
      <c r="G9256" s="5" t="str">
        <f>IFERROR(__xludf.DUMMYFUNCTION("GOOGLETRANSLATE(D9256,""pt"",""es"")"),"mes")</f>
        <v>mes</v>
      </c>
    </row>
    <row r="9257">
      <c r="A9257" s="4">
        <v>110.0</v>
      </c>
      <c r="B9257" s="4" t="s">
        <v>19555</v>
      </c>
      <c r="C9257" s="4"/>
      <c r="D9257" s="4" t="s">
        <v>19228</v>
      </c>
      <c r="E9257" s="4" t="s">
        <v>12970</v>
      </c>
      <c r="F9257" s="4" t="s">
        <v>12971</v>
      </c>
      <c r="G9257" s="5" t="str">
        <f>IFERROR(__xludf.DUMMYFUNCTION("GOOGLETRANSLATE(D9257,""pt"",""es"")"),"Mui")</f>
        <v>Mui</v>
      </c>
      <c r="H9257" s="4" t="s">
        <v>19229</v>
      </c>
      <c r="I9257" s="4" t="s">
        <v>1762</v>
      </c>
      <c r="J9257" s="4" t="s">
        <v>19230</v>
      </c>
      <c r="K9257" s="4" t="s">
        <v>19231</v>
      </c>
      <c r="L9257" s="4" t="s">
        <v>18305</v>
      </c>
      <c r="M9257" s="4" t="s">
        <v>19232</v>
      </c>
    </row>
    <row r="9258">
      <c r="A9258" s="4">
        <v>111.0</v>
      </c>
      <c r="B9258" s="4" t="s">
        <v>19555</v>
      </c>
      <c r="C9258" s="4"/>
      <c r="D9258" s="4" t="s">
        <v>19233</v>
      </c>
      <c r="E9258" s="4" t="s">
        <v>19234</v>
      </c>
      <c r="F9258" s="4" t="s">
        <v>19235</v>
      </c>
      <c r="G9258" s="5" t="str">
        <f>IFERROR(__xludf.DUMMYFUNCTION("GOOGLETRANSLATE(D9258,""pt"",""es"")"),"mulato")</f>
        <v>mulato</v>
      </c>
      <c r="H9258" s="4" t="s">
        <v>19236</v>
      </c>
    </row>
    <row r="9259">
      <c r="A9259" s="4">
        <v>112.0</v>
      </c>
      <c r="B9259" s="4" t="s">
        <v>19555</v>
      </c>
      <c r="C9259" s="4"/>
      <c r="D9259" s="4" t="s">
        <v>19237</v>
      </c>
      <c r="E9259" s="4" t="s">
        <v>19238</v>
      </c>
      <c r="F9259" s="4" t="s">
        <v>19237</v>
      </c>
      <c r="G9259" s="5" t="str">
        <f>IFERROR(__xludf.DUMMYFUNCTION("GOOGLETRANSLATE(D9259,""pt"",""es"")"),"munir")</f>
        <v>munir</v>
      </c>
    </row>
    <row r="9260">
      <c r="A9260" s="4">
        <v>113.0</v>
      </c>
      <c r="B9260" s="4" t="s">
        <v>19555</v>
      </c>
      <c r="C9260" s="4"/>
      <c r="D9260" s="4" t="s">
        <v>19239</v>
      </c>
      <c r="E9260" s="4" t="s">
        <v>19240</v>
      </c>
      <c r="F9260" s="4" t="s">
        <v>19241</v>
      </c>
      <c r="G9260" s="5" t="str">
        <f>IFERROR(__xludf.DUMMYFUNCTION("GOOGLETRANSLATE(D9260,""pt"",""es"")"),"pared")</f>
        <v>pared</v>
      </c>
      <c r="H9260" s="4" t="s">
        <v>2835</v>
      </c>
      <c r="I9260" s="4" t="s">
        <v>2835</v>
      </c>
    </row>
    <row r="9261">
      <c r="A9261" s="4">
        <v>114.0</v>
      </c>
      <c r="B9261" s="4" t="s">
        <v>19555</v>
      </c>
      <c r="C9261" s="4"/>
      <c r="D9261" s="4" t="s">
        <v>19671</v>
      </c>
      <c r="E9261" s="4" t="s">
        <v>19672</v>
      </c>
      <c r="F9261" s="4" t="s">
        <v>19673</v>
      </c>
      <c r="G9261" s="5" t="str">
        <f>IFERROR(__xludf.DUMMYFUNCTION("GOOGLETRANSLATE(D9261,""pt"",""es"")"),"paredes")</f>
        <v>paredes</v>
      </c>
    </row>
    <row r="9262">
      <c r="A9262" s="4">
        <v>115.0</v>
      </c>
      <c r="B9262" s="4" t="s">
        <v>19555</v>
      </c>
      <c r="C9262" s="4"/>
      <c r="D9262" s="4" t="s">
        <v>2848</v>
      </c>
      <c r="E9262" s="4" t="s">
        <v>2852</v>
      </c>
      <c r="F9262" s="4" t="s">
        <v>2848</v>
      </c>
      <c r="G9262" s="5" t="str">
        <f>IFERROR(__xludf.DUMMYFUNCTION("GOOGLETRANSLATE(D9262,""pt"",""es"")"),"mudar")</f>
        <v>mudar</v>
      </c>
    </row>
    <row r="9263">
      <c r="A9263" s="4">
        <v>116.0</v>
      </c>
      <c r="B9263" s="4" t="s">
        <v>19555</v>
      </c>
      <c r="C9263" s="4"/>
      <c r="D9263" s="4" t="s">
        <v>19242</v>
      </c>
      <c r="E9263" s="4" t="s">
        <v>2279</v>
      </c>
      <c r="F9263" s="4" t="s">
        <v>2278</v>
      </c>
      <c r="G9263" s="5" t="str">
        <f>IFERROR(__xludf.DUMMYFUNCTION("GOOGLETRANSLATE(D9263,""pt"",""es"")"),"malo")</f>
        <v>malo</v>
      </c>
      <c r="H9263" s="4" t="s">
        <v>2332</v>
      </c>
    </row>
    <row r="9264">
      <c r="A9264" s="4">
        <v>117.0</v>
      </c>
      <c r="B9264" s="4" t="s">
        <v>19555</v>
      </c>
      <c r="C9264" s="4"/>
      <c r="D9264" s="4" t="s">
        <v>19252</v>
      </c>
      <c r="E9264" s="4" t="s">
        <v>19253</v>
      </c>
      <c r="F9264" s="4" t="s">
        <v>19254</v>
      </c>
      <c r="G9264" s="5" t="str">
        <f>IFERROR(__xludf.DUMMYFUNCTION("GOOGLETRANSLATE(D9264,""pt"",""es"")"),"máximo")</f>
        <v>máximo</v>
      </c>
      <c r="H9264" s="4" t="s">
        <v>19255</v>
      </c>
      <c r="I9264" s="4" t="s">
        <v>19256</v>
      </c>
      <c r="J9264" s="4" t="s">
        <v>19257</v>
      </c>
      <c r="K9264" s="4" t="s">
        <v>19258</v>
      </c>
      <c r="L9264" s="4" t="s">
        <v>19257</v>
      </c>
      <c r="M9264" s="4" t="s">
        <v>19259</v>
      </c>
      <c r="N9264" s="4" t="s">
        <v>1400</v>
      </c>
      <c r="O9264" s="4" t="s">
        <v>19257</v>
      </c>
      <c r="P9264" s="4" t="s">
        <v>19260</v>
      </c>
    </row>
    <row r="9265">
      <c r="A9265" s="4">
        <v>118.0</v>
      </c>
      <c r="B9265" s="4" t="s">
        <v>19555</v>
      </c>
      <c r="C9265" s="4"/>
      <c r="D9265" s="4" t="s">
        <v>19261</v>
      </c>
      <c r="E9265" s="4" t="s">
        <v>19262</v>
      </c>
      <c r="F9265" s="4" t="s">
        <v>10688</v>
      </c>
      <c r="G9265" s="5" t="str">
        <f>IFERROR(__xludf.DUMMYFUNCTION("GOOGLETRANSLATE(D9265,""pt"",""es"")"),"naco")</f>
        <v>naco</v>
      </c>
      <c r="H9265" s="4" t="s">
        <v>10892</v>
      </c>
      <c r="I9265" s="4" t="s">
        <v>10893</v>
      </c>
    </row>
    <row r="9266">
      <c r="A9266" s="4">
        <v>119.0</v>
      </c>
      <c r="B9266" s="4" t="s">
        <v>19555</v>
      </c>
      <c r="C9266" s="4"/>
      <c r="D9266" s="4" t="s">
        <v>19270</v>
      </c>
      <c r="E9266" s="4" t="s">
        <v>19271</v>
      </c>
      <c r="F9266" s="4" t="s">
        <v>19272</v>
      </c>
      <c r="G9266" s="5" t="str">
        <f>IFERROR(__xludf.DUMMYFUNCTION("GOOGLETRANSLATE(D9266,""pt"",""es"")"),"desequilibrado")</f>
        <v>desequilibrado</v>
      </c>
      <c r="H9266" s="4" t="s">
        <v>19273</v>
      </c>
    </row>
    <row r="9267">
      <c r="A9267" s="4">
        <v>120.0</v>
      </c>
      <c r="B9267" s="4" t="s">
        <v>19555</v>
      </c>
      <c r="C9267" s="4"/>
      <c r="D9267" s="4" t="s">
        <v>19276</v>
      </c>
      <c r="E9267" s="4" t="s">
        <v>19277</v>
      </c>
      <c r="F9267" s="4" t="s">
        <v>19278</v>
      </c>
      <c r="G9267" s="5" t="str">
        <f>IFERROR(__xludf.DUMMYFUNCTION("GOOGLETRANSLATE(D9267,""pt"",""es"")"),"Navidad")</f>
        <v>Navidad</v>
      </c>
    </row>
    <row r="9268">
      <c r="A9268" s="4">
        <v>121.0</v>
      </c>
      <c r="B9268" s="4" t="s">
        <v>19555</v>
      </c>
      <c r="C9268" s="4"/>
      <c r="D9268" s="4" t="s">
        <v>19279</v>
      </c>
      <c r="E9268" s="4" t="s">
        <v>19280</v>
      </c>
      <c r="F9268" s="4" t="s">
        <v>19281</v>
      </c>
      <c r="G9268" s="5" t="str">
        <f>IFERROR(__xludf.DUMMYFUNCTION("GOOGLETRANSLATE(D9268,""pt"",""es"")"),"nicho")</f>
        <v>nicho</v>
      </c>
      <c r="H9268" s="4" t="s">
        <v>19282</v>
      </c>
      <c r="I9268" s="4" t="s">
        <v>11390</v>
      </c>
      <c r="J9268" s="4" t="s">
        <v>983</v>
      </c>
      <c r="K9268" s="4" t="s">
        <v>8556</v>
      </c>
      <c r="L9268" s="4" t="s">
        <v>983</v>
      </c>
      <c r="M9268" s="4" t="s">
        <v>8559</v>
      </c>
      <c r="N9268" s="4" t="s">
        <v>8556</v>
      </c>
      <c r="O9268" s="4" t="s">
        <v>7029</v>
      </c>
    </row>
    <row r="9269">
      <c r="A9269" s="4">
        <v>122.0</v>
      </c>
      <c r="B9269" s="4" t="s">
        <v>19555</v>
      </c>
      <c r="C9269" s="4"/>
      <c r="D9269" s="4" t="s">
        <v>19283</v>
      </c>
      <c r="E9269" s="4" t="s">
        <v>19284</v>
      </c>
      <c r="F9269" s="4" t="s">
        <v>19285</v>
      </c>
      <c r="G9269" s="5" t="str">
        <f>IFERROR(__xludf.DUMMYFUNCTION("GOOGLETRANSLATE(D9269,""pt"",""es"")"),"Nilo")</f>
        <v>Nilo</v>
      </c>
      <c r="H9269" s="4" t="s">
        <v>2978</v>
      </c>
      <c r="I9269" s="4" t="s">
        <v>2979</v>
      </c>
    </row>
    <row r="9270">
      <c r="A9270" s="4">
        <v>123.0</v>
      </c>
      <c r="B9270" s="4" t="s">
        <v>19555</v>
      </c>
      <c r="C9270" s="4"/>
      <c r="D9270" s="4" t="s">
        <v>19286</v>
      </c>
      <c r="E9270" s="4" t="s">
        <v>19287</v>
      </c>
      <c r="F9270" s="4" t="s">
        <v>19288</v>
      </c>
      <c r="G9270" s="5" t="str">
        <f>IFERROR(__xludf.DUMMYFUNCTION("GOOGLETRANSLATE(D9270,""pt"",""es"")"),"niño")</f>
        <v>niño</v>
      </c>
      <c r="H9270" s="4" t="s">
        <v>13082</v>
      </c>
    </row>
    <row r="9271">
      <c r="A9271" s="4">
        <v>124.0</v>
      </c>
      <c r="B9271" s="4" t="s">
        <v>19555</v>
      </c>
      <c r="C9271" s="4"/>
      <c r="D9271" s="4" t="s">
        <v>19289</v>
      </c>
      <c r="E9271" s="4" t="s">
        <v>10767</v>
      </c>
      <c r="F9271" s="4" t="s">
        <v>10766</v>
      </c>
      <c r="G9271" s="5" t="str">
        <f>IFERROR(__xludf.DUMMYFUNCTION("GOOGLETRANSLATE(D9271,""pt"",""es"")"),"en eso")</f>
        <v>en eso</v>
      </c>
    </row>
    <row r="9272">
      <c r="A9272" s="4">
        <v>125.0</v>
      </c>
      <c r="B9272" s="4" t="s">
        <v>19555</v>
      </c>
      <c r="C9272" s="4"/>
      <c r="D9272" s="4" t="s">
        <v>13239</v>
      </c>
      <c r="E9272" s="4" t="s">
        <v>3018</v>
      </c>
      <c r="F9272" s="4" t="s">
        <v>2972</v>
      </c>
      <c r="G9272" s="5" t="str">
        <f>IFERROR(__xludf.DUMMYFUNCTION("GOOGLETRANSLATE(D9272,""pt"",""es"")"),"en el")</f>
        <v>en el</v>
      </c>
      <c r="H9272" s="4" t="s">
        <v>19290</v>
      </c>
      <c r="I9272" s="4" t="s">
        <v>19291</v>
      </c>
      <c r="J9272" s="4" t="s">
        <v>19292</v>
      </c>
    </row>
    <row r="9273">
      <c r="A9273" s="4">
        <v>126.0</v>
      </c>
      <c r="B9273" s="4" t="s">
        <v>19555</v>
      </c>
      <c r="C9273" s="4"/>
      <c r="D9273" s="4" t="s">
        <v>2972</v>
      </c>
      <c r="E9273" s="4" t="s">
        <v>3018</v>
      </c>
      <c r="F9273" s="4" t="s">
        <v>2972</v>
      </c>
      <c r="G9273" s="5" t="str">
        <f>IFERROR(__xludf.DUMMYFUNCTION("GOOGLETRANSLATE(D9273,""pt"",""es"")"),"desnudo")</f>
        <v>desnudo</v>
      </c>
      <c r="H9273" s="4" t="s">
        <v>3019</v>
      </c>
      <c r="I9273" s="4" t="s">
        <v>3020</v>
      </c>
      <c r="J9273" s="4" t="s">
        <v>3021</v>
      </c>
      <c r="K9273" s="4" t="s">
        <v>3022</v>
      </c>
      <c r="L9273" s="4" t="s">
        <v>19293</v>
      </c>
      <c r="M9273" s="4" t="s">
        <v>19294</v>
      </c>
    </row>
    <row r="9274">
      <c r="A9274" s="4">
        <v>127.0</v>
      </c>
      <c r="B9274" s="4" t="s">
        <v>19555</v>
      </c>
      <c r="C9274" s="4"/>
      <c r="D9274" s="4" t="s">
        <v>8580</v>
      </c>
      <c r="E9274" s="4" t="s">
        <v>13110</v>
      </c>
      <c r="F9274" s="4" t="s">
        <v>13111</v>
      </c>
      <c r="G9274" s="5" t="str">
        <f>IFERROR(__xludf.DUMMYFUNCTION("GOOGLETRANSLATE(D9274,""pt"",""es"")"),"tú")</f>
        <v>tú</v>
      </c>
    </row>
    <row r="9275">
      <c r="A9275" s="4">
        <v>128.0</v>
      </c>
      <c r="B9275" s="4" t="s">
        <v>19555</v>
      </c>
      <c r="C9275" s="4"/>
      <c r="D9275" s="4" t="s">
        <v>14238</v>
      </c>
      <c r="E9275" s="4" t="s">
        <v>4850</v>
      </c>
      <c r="F9275" s="4" t="s">
        <v>3910</v>
      </c>
      <c r="G9275" s="5" t="str">
        <f>IFERROR(__xludf.DUMMYFUNCTION("GOOGLETRANSLATE(D9275,""pt"",""es"")"),"papá")</f>
        <v>papá</v>
      </c>
      <c r="H9275" s="4" t="s">
        <v>9713</v>
      </c>
      <c r="I9275" s="4" t="s">
        <v>9714</v>
      </c>
      <c r="J9275" s="4" t="s">
        <v>9715</v>
      </c>
      <c r="K9275" s="4" t="s">
        <v>3294</v>
      </c>
      <c r="L9275" s="4" t="s">
        <v>3295</v>
      </c>
      <c r="M9275" s="4" t="s">
        <v>3296</v>
      </c>
      <c r="N9275" s="4" t="s">
        <v>3147</v>
      </c>
      <c r="O9275" s="4" t="s">
        <v>3292</v>
      </c>
      <c r="P9275" s="4" t="s">
        <v>3297</v>
      </c>
      <c r="Q9275" s="4" t="s">
        <v>3298</v>
      </c>
      <c r="R9275" s="4" t="s">
        <v>3299</v>
      </c>
      <c r="S9275" s="4" t="s">
        <v>3300</v>
      </c>
      <c r="T9275" s="4" t="s">
        <v>3301</v>
      </c>
      <c r="U9275" s="4" t="s">
        <v>19295</v>
      </c>
      <c r="V9275" s="4" t="s">
        <v>9723</v>
      </c>
    </row>
    <row r="9276">
      <c r="A9276" s="4">
        <v>129.0</v>
      </c>
      <c r="B9276" s="4" t="s">
        <v>19555</v>
      </c>
      <c r="C9276" s="4"/>
      <c r="D9276" s="4" t="s">
        <v>3158</v>
      </c>
      <c r="E9276" s="4" t="s">
        <v>3159</v>
      </c>
      <c r="F9276" s="4" t="s">
        <v>3160</v>
      </c>
      <c r="G9276" s="5" t="str">
        <f>IFERROR(__xludf.DUMMYFUNCTION("GOOGLETRANSLATE(D9276,""pt"",""es"")"),"paio")</f>
        <v>paio</v>
      </c>
    </row>
    <row r="9277">
      <c r="A9277" s="4">
        <v>130.0</v>
      </c>
      <c r="B9277" s="4" t="s">
        <v>19555</v>
      </c>
      <c r="C9277" s="4"/>
      <c r="D9277" s="4" t="s">
        <v>19306</v>
      </c>
      <c r="E9277" s="4" t="s">
        <v>19307</v>
      </c>
      <c r="F9277" s="4" t="s">
        <v>19308</v>
      </c>
      <c r="G9277" s="5" t="str">
        <f>IFERROR(__xludf.DUMMYFUNCTION("GOOGLETRANSLATE(D9277,""pt"",""es"")"),"papárico")</f>
        <v>papárico</v>
      </c>
    </row>
    <row r="9278">
      <c r="A9278" s="4">
        <v>131.0</v>
      </c>
      <c r="B9278" s="4" t="s">
        <v>19555</v>
      </c>
      <c r="C9278" s="4"/>
      <c r="D9278" s="4" t="s">
        <v>19309</v>
      </c>
      <c r="E9278" s="4" t="s">
        <v>3322</v>
      </c>
      <c r="F9278" s="4" t="s">
        <v>3323</v>
      </c>
      <c r="G9278" s="5" t="str">
        <f>IFERROR(__xludf.DUMMYFUNCTION("GOOGLETRANSLATE(D9278,""pt"",""es"")"),"charlar")</f>
        <v>charlar</v>
      </c>
      <c r="H9278" s="4" t="s">
        <v>8799</v>
      </c>
    </row>
    <row r="9279">
      <c r="A9279" s="4">
        <v>132.0</v>
      </c>
      <c r="B9279" s="4" t="s">
        <v>19555</v>
      </c>
      <c r="C9279" s="4"/>
      <c r="D9279" s="4" t="s">
        <v>3427</v>
      </c>
      <c r="E9279" s="4" t="s">
        <v>3428</v>
      </c>
      <c r="F9279" s="4" t="s">
        <v>3429</v>
      </c>
      <c r="G9279" s="5" t="str">
        <f>IFERROR(__xludf.DUMMYFUNCTION("GOOGLETRANSLATE(D9279,""pt"",""es"")"),"paso")</f>
        <v>paso</v>
      </c>
      <c r="H9279" s="4" t="s">
        <v>639</v>
      </c>
      <c r="I9279" s="4" t="s">
        <v>3365</v>
      </c>
      <c r="J9279" s="4" t="s">
        <v>3366</v>
      </c>
      <c r="K9279" s="4" t="s">
        <v>3367</v>
      </c>
      <c r="L9279" s="4" t="s">
        <v>3368</v>
      </c>
      <c r="M9279" s="4" t="s">
        <v>13236</v>
      </c>
      <c r="N9279" s="4" t="s">
        <v>3365</v>
      </c>
      <c r="O9279" s="4" t="s">
        <v>3366</v>
      </c>
      <c r="P9279" s="4" t="s">
        <v>3372</v>
      </c>
      <c r="Q9279" s="4" t="s">
        <v>3381</v>
      </c>
      <c r="R9279" s="4" t="s">
        <v>3366</v>
      </c>
      <c r="S9279" s="4" t="s">
        <v>3365</v>
      </c>
      <c r="T9279" s="4" t="s">
        <v>3367</v>
      </c>
    </row>
    <row r="9280">
      <c r="A9280" s="4">
        <v>133.0</v>
      </c>
      <c r="B9280" s="4" t="s">
        <v>19555</v>
      </c>
      <c r="C9280" s="4"/>
      <c r="D9280" s="4" t="s">
        <v>19674</v>
      </c>
      <c r="E9280" s="4" t="s">
        <v>19675</v>
      </c>
      <c r="F9280" s="4" t="s">
        <v>19676</v>
      </c>
      <c r="G9280" s="5" t="str">
        <f>IFERROR(__xludf.DUMMYFUNCTION("GOOGLETRANSLATE(D9280,""pt"",""es"")"),"pasos")</f>
        <v>pasos</v>
      </c>
    </row>
    <row r="9281">
      <c r="A9281" s="4">
        <v>134.0</v>
      </c>
      <c r="B9281" s="4" t="s">
        <v>19555</v>
      </c>
      <c r="C9281" s="4"/>
      <c r="D9281" s="4" t="s">
        <v>14516</v>
      </c>
      <c r="E9281" s="4" t="s">
        <v>19313</v>
      </c>
      <c r="F9281" s="4" t="s">
        <v>14518</v>
      </c>
      <c r="G9281" s="5" t="str">
        <f>IFERROR(__xludf.DUMMYFUNCTION("GOOGLETRANSLATE(D9281,""pt"",""es"")"),"pato")</f>
        <v>pato</v>
      </c>
      <c r="H9281" s="4" t="s">
        <v>11872</v>
      </c>
      <c r="I9281" s="4" t="s">
        <v>19314</v>
      </c>
      <c r="J9281" s="4" t="s">
        <v>11872</v>
      </c>
    </row>
    <row r="9282">
      <c r="A9282" s="4">
        <v>135.0</v>
      </c>
      <c r="B9282" s="4" t="s">
        <v>19555</v>
      </c>
      <c r="C9282" s="4"/>
      <c r="D9282" s="4" t="s">
        <v>19315</v>
      </c>
      <c r="E9282" s="4" t="s">
        <v>3428</v>
      </c>
      <c r="F9282" s="4" t="s">
        <v>3429</v>
      </c>
      <c r="G9282" s="5" t="str">
        <f>IFERROR(__xludf.DUMMYFUNCTION("GOOGLETRANSLATE(D9282,""pt"",""es"")"),"ritmo")</f>
        <v>ritmo</v>
      </c>
    </row>
    <row r="9283">
      <c r="A9283" s="4">
        <v>136.0</v>
      </c>
      <c r="B9283" s="4" t="s">
        <v>19555</v>
      </c>
      <c r="C9283" s="4"/>
      <c r="D9283" s="4" t="s">
        <v>230</v>
      </c>
      <c r="E9283" s="4" t="s">
        <v>229</v>
      </c>
      <c r="F9283" s="4" t="s">
        <v>230</v>
      </c>
      <c r="G9283" s="5" t="str">
        <f>IFERROR(__xludf.DUMMYFUNCTION("GOOGLETRANSLATE(D9283,""pt"",""es"")"),"Pi")</f>
        <v>Pi</v>
      </c>
      <c r="H9283" s="4" t="s">
        <v>230</v>
      </c>
      <c r="I9283" s="4" t="s">
        <v>230</v>
      </c>
    </row>
    <row r="9284">
      <c r="A9284" s="4">
        <v>137.0</v>
      </c>
      <c r="B9284" s="4" t="s">
        <v>19555</v>
      </c>
      <c r="C9284" s="4"/>
      <c r="D9284" s="4" t="s">
        <v>19331</v>
      </c>
      <c r="E9284" s="4" t="s">
        <v>19332</v>
      </c>
      <c r="F9284" s="4" t="s">
        <v>14538</v>
      </c>
      <c r="G9284" s="5" t="str">
        <f>IFERROR(__xludf.DUMMYFUNCTION("GOOGLETRANSLATE(D9284,""pt"",""es"")"),"pichu")</f>
        <v>pichu</v>
      </c>
    </row>
    <row r="9285">
      <c r="A9285" s="4">
        <v>138.0</v>
      </c>
      <c r="B9285" s="4" t="s">
        <v>19555</v>
      </c>
      <c r="C9285" s="4"/>
      <c r="D9285" s="4" t="s">
        <v>3511</v>
      </c>
      <c r="E9285" s="4" t="s">
        <v>3512</v>
      </c>
      <c r="F9285" s="4" t="s">
        <v>3513</v>
      </c>
      <c r="G9285" s="5" t="str">
        <f>IFERROR(__xludf.DUMMYFUNCTION("GOOGLETRANSLATE(D9285,""pt"",""es"")"),"cima")</f>
        <v>cima</v>
      </c>
      <c r="H9285" s="4" t="s">
        <v>1400</v>
      </c>
      <c r="I9285" s="4" t="s">
        <v>1401</v>
      </c>
      <c r="J9285" s="4" t="s">
        <v>1402</v>
      </c>
      <c r="K9285" s="4" t="s">
        <v>1403</v>
      </c>
      <c r="L9285" s="4" t="s">
        <v>425</v>
      </c>
      <c r="M9285" s="4" t="s">
        <v>1404</v>
      </c>
      <c r="N9285" s="4" t="s">
        <v>425</v>
      </c>
    </row>
    <row r="9286">
      <c r="A9286" s="4">
        <v>139.0</v>
      </c>
      <c r="B9286" s="4" t="s">
        <v>19555</v>
      </c>
      <c r="C9286" s="4"/>
      <c r="D9286" s="4" t="s">
        <v>19333</v>
      </c>
      <c r="E9286" s="4" t="s">
        <v>19317</v>
      </c>
      <c r="F9286" s="4" t="s">
        <v>19318</v>
      </c>
      <c r="G9286" s="5" t="str">
        <f>IFERROR(__xludf.DUMMYFUNCTION("GOOGLETRANSLATE(D9286,""pt"",""es"")"),"píldora")</f>
        <v>píldora</v>
      </c>
    </row>
    <row r="9287">
      <c r="A9287" s="4">
        <v>140.0</v>
      </c>
      <c r="B9287" s="4" t="s">
        <v>19555</v>
      </c>
      <c r="C9287" s="4"/>
      <c r="D9287" s="4" t="s">
        <v>5504</v>
      </c>
      <c r="E9287" s="4" t="s">
        <v>5503</v>
      </c>
      <c r="F9287" s="4" t="s">
        <v>5504</v>
      </c>
      <c r="G9287" s="5" t="str">
        <f>IFERROR(__xludf.DUMMYFUNCTION("GOOGLETRANSLATE(D9287,""pt"",""es"")"),"pipi")</f>
        <v>pipi</v>
      </c>
      <c r="H9287" s="4" t="s">
        <v>7246</v>
      </c>
      <c r="I9287" s="4" t="s">
        <v>7242</v>
      </c>
      <c r="J9287" s="4" t="s">
        <v>7247</v>
      </c>
      <c r="K9287" s="4" t="s">
        <v>7239</v>
      </c>
      <c r="L9287" s="4" t="s">
        <v>7241</v>
      </c>
      <c r="M9287" s="4" t="s">
        <v>7239</v>
      </c>
      <c r="N9287" s="4" t="s">
        <v>7242</v>
      </c>
      <c r="O9287" s="4" t="s">
        <v>7243</v>
      </c>
      <c r="P9287" s="4" t="s">
        <v>7244</v>
      </c>
      <c r="Q9287" s="4" t="s">
        <v>7245</v>
      </c>
    </row>
    <row r="9288">
      <c r="A9288" s="4">
        <v>141.0</v>
      </c>
      <c r="B9288" s="4" t="s">
        <v>19555</v>
      </c>
      <c r="C9288" s="4"/>
      <c r="D9288" s="4" t="s">
        <v>919</v>
      </c>
      <c r="E9288" s="4" t="s">
        <v>10973</v>
      </c>
      <c r="F9288" s="4" t="s">
        <v>7175</v>
      </c>
      <c r="G9288" s="5" t="str">
        <f>IFERROR(__xludf.DUMMYFUNCTION("GOOGLETRANSLATE(D9288,""pt"",""es"")"),"recogedor")</f>
        <v>recogedor</v>
      </c>
      <c r="H9288" s="4" t="s">
        <v>3466</v>
      </c>
      <c r="I9288" s="4" t="s">
        <v>3466</v>
      </c>
    </row>
    <row r="9289">
      <c r="A9289" s="4">
        <v>142.0</v>
      </c>
      <c r="B9289" s="4" t="s">
        <v>19555</v>
      </c>
      <c r="C9289" s="4"/>
      <c r="D9289" s="4" t="s">
        <v>19334</v>
      </c>
      <c r="E9289" s="4" t="s">
        <v>19335</v>
      </c>
      <c r="F9289" s="4" t="s">
        <v>19336</v>
      </c>
      <c r="G9289" s="5" t="str">
        <f>IFERROR(__xludf.DUMMYFUNCTION("GOOGLETRANSLATE(D9289,""pt"",""es"")"),"platillo")</f>
        <v>platillo</v>
      </c>
      <c r="H9289" s="4" t="s">
        <v>13706</v>
      </c>
      <c r="I9289" s="4" t="s">
        <v>13706</v>
      </c>
    </row>
    <row r="9290">
      <c r="A9290" s="4">
        <v>143.0</v>
      </c>
      <c r="B9290" s="4" t="s">
        <v>19555</v>
      </c>
      <c r="C9290" s="4"/>
      <c r="D9290" s="4" t="s">
        <v>19337</v>
      </c>
      <c r="E9290" s="4" t="s">
        <v>19338</v>
      </c>
      <c r="F9290" s="4" t="s">
        <v>19337</v>
      </c>
      <c r="G9290" s="5" t="str">
        <f>IFERROR(__xludf.DUMMYFUNCTION("GOOGLETRANSLATE(D9290,""pt"",""es"")"),"piriri")</f>
        <v>piriri</v>
      </c>
    </row>
    <row r="9291">
      <c r="A9291" s="4">
        <v>144.0</v>
      </c>
      <c r="B9291" s="4" t="s">
        <v>19555</v>
      </c>
      <c r="C9291" s="4"/>
      <c r="D9291" s="4" t="s">
        <v>19325</v>
      </c>
      <c r="E9291" s="4" t="s">
        <v>19324</v>
      </c>
      <c r="F9291" s="4" t="s">
        <v>19325</v>
      </c>
      <c r="G9291" s="5" t="str">
        <f>IFERROR(__xludf.DUMMYFUNCTION("GOOGLETRANSLATE(D9291,""pt"",""es"")"),"pirus")</f>
        <v>pirus</v>
      </c>
    </row>
    <row r="9292">
      <c r="A9292" s="4">
        <v>145.0</v>
      </c>
      <c r="B9292" s="4" t="s">
        <v>19555</v>
      </c>
      <c r="C9292" s="4"/>
      <c r="D9292" s="4" t="s">
        <v>19342</v>
      </c>
      <c r="E9292" s="4" t="s">
        <v>19343</v>
      </c>
      <c r="F9292" s="4" t="s">
        <v>19344</v>
      </c>
      <c r="G9292" s="5" t="str">
        <f>IFERROR(__xludf.DUMMYFUNCTION("GOOGLETRANSLATE(D9292,""pt"",""es"")"),"pitaco")</f>
        <v>pitaco</v>
      </c>
    </row>
    <row r="9293">
      <c r="A9293" s="4">
        <v>146.0</v>
      </c>
      <c r="B9293" s="4" t="s">
        <v>19555</v>
      </c>
      <c r="C9293" s="4"/>
      <c r="D9293" s="4" t="s">
        <v>19345</v>
      </c>
      <c r="E9293" s="4" t="s">
        <v>13389</v>
      </c>
      <c r="F9293" s="4" t="s">
        <v>13390</v>
      </c>
      <c r="G9293" s="5" t="str">
        <f>IFERROR(__xludf.DUMMYFUNCTION("GOOGLETRANSLATE(D9293,""pt"",""es"")"),"pito")</f>
        <v>pito</v>
      </c>
    </row>
    <row r="9294">
      <c r="A9294" s="4">
        <v>147.0</v>
      </c>
      <c r="B9294" s="4" t="s">
        <v>19555</v>
      </c>
      <c r="C9294" s="4"/>
      <c r="D9294" s="4" t="s">
        <v>13390</v>
      </c>
      <c r="E9294" s="4" t="s">
        <v>13389</v>
      </c>
      <c r="F9294" s="4" t="s">
        <v>13390</v>
      </c>
      <c r="G9294" s="5" t="str">
        <f>IFERROR(__xludf.DUMMYFUNCTION("GOOGLETRANSLATE(D9294,""pt"",""es"")"),"pitú")</f>
        <v>pitú</v>
      </c>
    </row>
    <row r="9295">
      <c r="A9295" s="4">
        <v>148.0</v>
      </c>
      <c r="B9295" s="4" t="s">
        <v>19555</v>
      </c>
      <c r="C9295" s="4"/>
      <c r="D9295" s="4" t="s">
        <v>3614</v>
      </c>
      <c r="E9295" s="4" t="s">
        <v>19677</v>
      </c>
      <c r="F9295" s="4" t="s">
        <v>19678</v>
      </c>
      <c r="G9295" s="5" t="str">
        <f>IFERROR(__xludf.DUMMYFUNCTION("GOOGLETRANSLATE(D9295,""pt"",""es"")"),"pulir")</f>
        <v>pulir</v>
      </c>
      <c r="H9295" s="4" t="s">
        <v>3617</v>
      </c>
      <c r="I9295" s="4" t="s">
        <v>3622</v>
      </c>
      <c r="J9295" s="4" t="s">
        <v>3623</v>
      </c>
      <c r="K9295" s="4" t="s">
        <v>3624</v>
      </c>
      <c r="L9295" s="4" t="s">
        <v>3617</v>
      </c>
      <c r="M9295" s="4" t="s">
        <v>3625</v>
      </c>
      <c r="N9295" s="4" t="s">
        <v>3626</v>
      </c>
      <c r="O9295" s="4" t="s">
        <v>3627</v>
      </c>
      <c r="P9295" s="4" t="s">
        <v>599</v>
      </c>
      <c r="Q9295" s="4" t="s">
        <v>3628</v>
      </c>
      <c r="R9295" s="4" t="s">
        <v>3629</v>
      </c>
      <c r="S9295" s="4" t="s">
        <v>2584</v>
      </c>
    </row>
    <row r="9296">
      <c r="A9296" s="4">
        <v>149.0</v>
      </c>
      <c r="B9296" s="4" t="s">
        <v>19555</v>
      </c>
      <c r="C9296" s="4"/>
      <c r="D9296" s="4" t="s">
        <v>19679</v>
      </c>
      <c r="E9296" s="4" t="s">
        <v>19680</v>
      </c>
      <c r="F9296" s="4" t="s">
        <v>19681</v>
      </c>
      <c r="G9296" s="5" t="str">
        <f>IFERROR(__xludf.DUMMYFUNCTION("GOOGLETRANSLATE(D9296,""pt"",""es"")"),"político")</f>
        <v>político</v>
      </c>
      <c r="H9296" s="4" t="s">
        <v>3645</v>
      </c>
      <c r="I9296" s="4" t="s">
        <v>3645</v>
      </c>
      <c r="J9296" s="4" t="s">
        <v>3646</v>
      </c>
      <c r="K9296" s="4" t="s">
        <v>3647</v>
      </c>
      <c r="L9296" s="4" t="s">
        <v>3648</v>
      </c>
      <c r="M9296" s="4" t="s">
        <v>3649</v>
      </c>
      <c r="N9296" s="4" t="s">
        <v>3646</v>
      </c>
    </row>
    <row r="9297">
      <c r="A9297" s="4">
        <v>150.0</v>
      </c>
      <c r="B9297" s="4" t="s">
        <v>19555</v>
      </c>
      <c r="C9297" s="4"/>
      <c r="D9297" s="4" t="s">
        <v>19553</v>
      </c>
      <c r="E9297" s="4" t="s">
        <v>3738</v>
      </c>
      <c r="F9297" s="4" t="s">
        <v>3737</v>
      </c>
      <c r="G9297" s="5" t="str">
        <f>IFERROR(__xludf.DUMMYFUNCTION("GOOGLETRANSLATE(D9297,""pt"",""es"")"),"por")</f>
        <v>por</v>
      </c>
      <c r="H9297" s="4" t="s">
        <v>19554</v>
      </c>
      <c r="I9297" s="4" t="s">
        <v>14751</v>
      </c>
      <c r="J9297" s="4" t="s">
        <v>3000</v>
      </c>
    </row>
    <row r="9298">
      <c r="A9298" s="4">
        <v>151.0</v>
      </c>
      <c r="B9298" s="4" t="s">
        <v>19555</v>
      </c>
      <c r="C9298" s="4"/>
      <c r="D9298" s="4" t="s">
        <v>19682</v>
      </c>
      <c r="E9298" s="4" t="s">
        <v>19683</v>
      </c>
      <c r="F9298" s="4" t="s">
        <v>19684</v>
      </c>
      <c r="G9298" s="5" t="str">
        <f>IFERROR(__xludf.DUMMYFUNCTION("GOOGLETRANSLATE(D9298,""pt"",""es"")"),"puños")</f>
        <v>puños</v>
      </c>
    </row>
    <row r="9299">
      <c r="A9299" s="4">
        <v>152.0</v>
      </c>
      <c r="B9299" s="4" t="s">
        <v>19555</v>
      </c>
      <c r="C9299" s="4"/>
      <c r="D9299" s="4" t="s">
        <v>19351</v>
      </c>
      <c r="E9299" s="4" t="s">
        <v>19352</v>
      </c>
      <c r="F9299" s="4" t="s">
        <v>19353</v>
      </c>
      <c r="G9299" s="5" t="str">
        <f>IFERROR(__xludf.DUMMYFUNCTION("GOOGLETRANSLATE(D9299,""pt"",""es"")"),"puro")</f>
        <v>puro</v>
      </c>
      <c r="H9299" s="4" t="s">
        <v>19354</v>
      </c>
      <c r="I9299" s="4" t="s">
        <v>3739</v>
      </c>
      <c r="J9299" s="4" t="s">
        <v>3739</v>
      </c>
      <c r="K9299" s="4" t="s">
        <v>3739</v>
      </c>
      <c r="L9299" s="4" t="s">
        <v>6415</v>
      </c>
      <c r="M9299" s="4" t="s">
        <v>16125</v>
      </c>
      <c r="N9299" s="4" t="s">
        <v>19355</v>
      </c>
      <c r="O9299" s="4" t="s">
        <v>19356</v>
      </c>
    </row>
    <row r="9300">
      <c r="A9300" s="4">
        <v>153.0</v>
      </c>
      <c r="B9300" s="4" t="s">
        <v>19555</v>
      </c>
      <c r="C9300" s="4"/>
      <c r="D9300" s="4" t="s">
        <v>19357</v>
      </c>
      <c r="E9300" s="4" t="s">
        <v>11052</v>
      </c>
      <c r="F9300" s="4" t="s">
        <v>11051</v>
      </c>
      <c r="G9300" s="5" t="str">
        <f>IFERROR(__xludf.DUMMYFUNCTION("GOOGLETRANSLATE(D9300,""pt"",""es"")"),"Molesto")</f>
        <v>Molesto</v>
      </c>
      <c r="H9300" s="4" t="s">
        <v>19358</v>
      </c>
      <c r="I9300" s="4" t="s">
        <v>19359</v>
      </c>
      <c r="J9300" s="4" t="s">
        <v>19360</v>
      </c>
      <c r="K9300" s="4" t="s">
        <v>19361</v>
      </c>
      <c r="L9300" s="4" t="s">
        <v>19362</v>
      </c>
      <c r="M9300" s="4" t="s">
        <v>11480</v>
      </c>
      <c r="N9300" s="4" t="s">
        <v>5892</v>
      </c>
      <c r="O9300" s="4" t="s">
        <v>19363</v>
      </c>
      <c r="P9300" s="4" t="s">
        <v>19364</v>
      </c>
    </row>
    <row r="9301">
      <c r="A9301" s="4">
        <v>154.0</v>
      </c>
      <c r="B9301" s="4" t="s">
        <v>19555</v>
      </c>
      <c r="C9301" s="4"/>
      <c r="D9301" s="4" t="s">
        <v>14541</v>
      </c>
      <c r="E9301" s="4" t="s">
        <v>14542</v>
      </c>
      <c r="F9301" s="4" t="s">
        <v>14543</v>
      </c>
      <c r="G9301" s="5" t="str">
        <f>IFERROR(__xludf.DUMMYFUNCTION("GOOGLETRANSLATE(D9301,""pt"",""es"")"),"jalar")</f>
        <v>jalar</v>
      </c>
      <c r="H9301" s="4" t="s">
        <v>4433</v>
      </c>
      <c r="I9301" s="4" t="s">
        <v>7309</v>
      </c>
      <c r="J9301" s="4" t="s">
        <v>4433</v>
      </c>
      <c r="K9301" s="4" t="s">
        <v>3414</v>
      </c>
      <c r="L9301" s="4" t="s">
        <v>4434</v>
      </c>
      <c r="M9301" s="4" t="s">
        <v>7334</v>
      </c>
      <c r="N9301" s="4" t="s">
        <v>4437</v>
      </c>
      <c r="O9301" s="4" t="s">
        <v>4439</v>
      </c>
      <c r="P9301" s="4" t="s">
        <v>4436</v>
      </c>
      <c r="Q9301" s="4" t="s">
        <v>4438</v>
      </c>
      <c r="R9301" s="4" t="s">
        <v>7301</v>
      </c>
      <c r="S9301" s="4" t="s">
        <v>4433</v>
      </c>
      <c r="T9301" s="4" t="s">
        <v>7302</v>
      </c>
      <c r="U9301" s="4" t="s">
        <v>3414</v>
      </c>
      <c r="V9301" s="4" t="s">
        <v>7303</v>
      </c>
    </row>
    <row r="9302">
      <c r="A9302" s="4">
        <v>155.0</v>
      </c>
      <c r="B9302" s="4" t="s">
        <v>19555</v>
      </c>
      <c r="C9302" s="4"/>
      <c r="D9302" s="4" t="s">
        <v>19365</v>
      </c>
      <c r="E9302" s="4" t="s">
        <v>3148</v>
      </c>
      <c r="F9302" s="4" t="s">
        <v>3147</v>
      </c>
      <c r="G9302" s="5" t="str">
        <f>IFERROR(__xludf.DUMMYFUNCTION("GOOGLETRANSLATE(D9302,""pt"",""es"")"),"pala")</f>
        <v>pala</v>
      </c>
      <c r="H9302" s="4" t="s">
        <v>19366</v>
      </c>
      <c r="I9302" s="4" t="s">
        <v>19367</v>
      </c>
      <c r="J9302" s="4" t="s">
        <v>13178</v>
      </c>
      <c r="K9302" s="4" t="s">
        <v>19368</v>
      </c>
      <c r="L9302" s="4" t="s">
        <v>3175</v>
      </c>
      <c r="M9302" s="4" t="s">
        <v>3175</v>
      </c>
      <c r="N9302" s="4" t="s">
        <v>8226</v>
      </c>
    </row>
    <row r="9303">
      <c r="A9303" s="4">
        <v>156.0</v>
      </c>
      <c r="B9303" s="4" t="s">
        <v>19555</v>
      </c>
      <c r="C9303" s="4"/>
      <c r="D9303" s="4" t="s">
        <v>19369</v>
      </c>
      <c r="E9303" s="4" t="s">
        <v>3185</v>
      </c>
      <c r="F9303" s="4" t="s">
        <v>3184</v>
      </c>
      <c r="G9303" s="5" t="str">
        <f>IFERROR(__xludf.DUMMYFUNCTION("GOOGLETRANSLATE(D9303,""pt"",""es"")"),"Pali")</f>
        <v>Pali</v>
      </c>
      <c r="H9303" s="4" t="s">
        <v>19370</v>
      </c>
      <c r="I9303" s="4" t="s">
        <v>19370</v>
      </c>
    </row>
    <row r="9304">
      <c r="A9304" s="4">
        <v>157.0</v>
      </c>
      <c r="B9304" s="4" t="s">
        <v>19555</v>
      </c>
      <c r="C9304" s="4"/>
      <c r="D9304" s="4" t="s">
        <v>3806</v>
      </c>
      <c r="E9304" s="4" t="s">
        <v>3807</v>
      </c>
      <c r="F9304" s="4" t="s">
        <v>3808</v>
      </c>
      <c r="G9304" s="5" t="str">
        <f>IFERROR(__xludf.DUMMYFUNCTION("GOOGLETRANSLATE(D9304,""pt"",""es"")"),"kilo")</f>
        <v>kilo</v>
      </c>
      <c r="H9304" s="4" t="s">
        <v>3809</v>
      </c>
      <c r="I9304" s="4" t="s">
        <v>3810</v>
      </c>
      <c r="J9304" s="4" t="s">
        <v>3811</v>
      </c>
    </row>
    <row r="9305">
      <c r="A9305" s="4">
        <v>158.0</v>
      </c>
      <c r="B9305" s="4" t="s">
        <v>19555</v>
      </c>
      <c r="C9305" s="4"/>
      <c r="D9305" s="4" t="s">
        <v>19374</v>
      </c>
      <c r="E9305" s="4" t="s">
        <v>12476</v>
      </c>
      <c r="F9305" s="4" t="s">
        <v>12477</v>
      </c>
      <c r="G9305" s="5" t="str">
        <f>IFERROR(__xludf.DUMMYFUNCTION("GOOGLETRANSLATE(D9305,""pt"",""es"")"),"quipá")</f>
        <v>quipá</v>
      </c>
    </row>
    <row r="9306">
      <c r="A9306" s="4">
        <v>159.0</v>
      </c>
      <c r="B9306" s="4" t="s">
        <v>19555</v>
      </c>
      <c r="C9306" s="4"/>
      <c r="D9306" s="4" t="s">
        <v>19375</v>
      </c>
      <c r="E9306" s="4" t="s">
        <v>3831</v>
      </c>
      <c r="F9306" s="4" t="s">
        <v>3832</v>
      </c>
      <c r="G9306" s="5" t="str">
        <f>IFERROR(__xludf.DUMMYFUNCTION("GOOGLETRANSLATE(D9306,""pt"",""es"")"),"quizás")</f>
        <v>quizás</v>
      </c>
      <c r="H9306" s="4" t="s">
        <v>19376</v>
      </c>
      <c r="I9306" s="4" t="s">
        <v>19377</v>
      </c>
      <c r="J9306" s="4" t="s">
        <v>19378</v>
      </c>
      <c r="K9306" s="4" t="s">
        <v>19379</v>
      </c>
      <c r="L9306" s="4" t="s">
        <v>19380</v>
      </c>
      <c r="M9306" s="4" t="s">
        <v>19381</v>
      </c>
    </row>
    <row r="9307">
      <c r="A9307" s="4">
        <v>160.0</v>
      </c>
      <c r="B9307" s="4" t="s">
        <v>19555</v>
      </c>
      <c r="C9307" s="4"/>
      <c r="D9307" s="4" t="s">
        <v>19382</v>
      </c>
      <c r="E9307" s="4" t="s">
        <v>19383</v>
      </c>
      <c r="F9307" s="4" t="s">
        <v>19384</v>
      </c>
      <c r="G9307" s="5" t="str">
        <f>IFERROR(__xludf.DUMMYFUNCTION("GOOGLETRANSLATE(D9307,""pt"",""es"")"),"químico")</f>
        <v>químico</v>
      </c>
      <c r="H9307" s="4" t="s">
        <v>3851</v>
      </c>
      <c r="I9307" s="4" t="s">
        <v>3852</v>
      </c>
      <c r="J9307" s="4" t="s">
        <v>3851</v>
      </c>
      <c r="K9307" s="4" t="s">
        <v>3853</v>
      </c>
    </row>
    <row r="9308">
      <c r="A9308" s="4">
        <v>161.0</v>
      </c>
      <c r="B9308" s="4" t="s">
        <v>19555</v>
      </c>
      <c r="C9308" s="4"/>
      <c r="D9308" s="4" t="s">
        <v>19385</v>
      </c>
      <c r="E9308" s="4" t="s">
        <v>19386</v>
      </c>
      <c r="F9308" s="4" t="s">
        <v>19387</v>
      </c>
      <c r="G9308" s="5" t="str">
        <f>IFERROR(__xludf.DUMMYFUNCTION("GOOGLETRANSLATE(D9308,""pt"",""es"")"),"azada")</f>
        <v>azada</v>
      </c>
    </row>
    <row r="9309">
      <c r="A9309" s="4">
        <v>162.0</v>
      </c>
      <c r="B9309" s="4" t="s">
        <v>19555</v>
      </c>
      <c r="C9309" s="4"/>
      <c r="D9309" s="4" t="s">
        <v>19388</v>
      </c>
      <c r="E9309" s="4" t="s">
        <v>16261</v>
      </c>
      <c r="F9309" s="4" t="s">
        <v>11075</v>
      </c>
      <c r="G9309" s="5" t="str">
        <f>IFERROR(__xludf.DUMMYFUNCTION("GOOGLETRANSLATE(D9309,""pt"",""es"")"),"bolsa")</f>
        <v>bolsa</v>
      </c>
      <c r="H9309" s="4" t="s">
        <v>3869</v>
      </c>
      <c r="I9309" s="4" t="s">
        <v>7361</v>
      </c>
      <c r="J9309" s="4" t="s">
        <v>3866</v>
      </c>
      <c r="K9309" s="4" t="s">
        <v>1785</v>
      </c>
      <c r="L9309" s="4" t="s">
        <v>7362</v>
      </c>
    </row>
    <row r="9310">
      <c r="A9310" s="4">
        <v>163.0</v>
      </c>
      <c r="B9310" s="4" t="s">
        <v>19555</v>
      </c>
      <c r="C9310" s="4"/>
      <c r="D9310" s="4" t="s">
        <v>19389</v>
      </c>
      <c r="E9310" s="4" t="s">
        <v>4855</v>
      </c>
      <c r="F9310" s="4" t="s">
        <v>2407</v>
      </c>
      <c r="G9310" s="5" t="str">
        <f>IFERROR(__xludf.DUMMYFUNCTION("GOOGLETRANSLATE(D9310,""pt"",""es"")"),"hojas")</f>
        <v>hojas</v>
      </c>
    </row>
    <row r="9311">
      <c r="A9311" s="4">
        <v>164.0</v>
      </c>
      <c r="B9311" s="4" t="s">
        <v>19555</v>
      </c>
      <c r="C9311" s="4"/>
      <c r="D9311" s="4" t="s">
        <v>14550</v>
      </c>
      <c r="E9311" s="4" t="s">
        <v>19390</v>
      </c>
      <c r="F9311" s="4" t="s">
        <v>14552</v>
      </c>
      <c r="G9311" s="5" t="str">
        <f>IFERROR(__xludf.DUMMYFUNCTION("GOOGLETRANSLATE(D9311,""pt"",""es"")"),"saio")</f>
        <v>saio</v>
      </c>
    </row>
    <row r="9312">
      <c r="A9312" s="4">
        <v>165.0</v>
      </c>
      <c r="B9312" s="4" t="s">
        <v>19555</v>
      </c>
      <c r="C9312" s="4"/>
      <c r="D9312" s="4" t="s">
        <v>19391</v>
      </c>
      <c r="E9312" s="4" t="s">
        <v>19392</v>
      </c>
      <c r="F9312" s="4" t="s">
        <v>11099</v>
      </c>
      <c r="G9312" s="5" t="str">
        <f>IFERROR(__xludf.DUMMYFUNCTION("GOOGLETRANSLATE(D9312,""pt"",""es"")"),"samo")</f>
        <v>samo</v>
      </c>
    </row>
    <row r="9313">
      <c r="A9313" s="4">
        <v>166.0</v>
      </c>
      <c r="B9313" s="4" t="s">
        <v>19555</v>
      </c>
      <c r="C9313" s="4"/>
      <c r="D9313" s="4" t="s">
        <v>19405</v>
      </c>
      <c r="E9313" s="4" t="s">
        <v>19406</v>
      </c>
      <c r="F9313" s="4" t="s">
        <v>19407</v>
      </c>
      <c r="G9313" s="5" t="str">
        <f>IFERROR(__xludf.DUMMYFUNCTION("GOOGLETRANSLATE(D9313,""pt"",""es"")"),"rana")</f>
        <v>rana</v>
      </c>
      <c r="H9313" s="4" t="s">
        <v>19408</v>
      </c>
      <c r="I9313" s="4" t="s">
        <v>19409</v>
      </c>
      <c r="J9313" s="4" t="s">
        <v>19410</v>
      </c>
      <c r="K9313" s="4" t="s">
        <v>19411</v>
      </c>
      <c r="L9313" s="4" t="s">
        <v>19412</v>
      </c>
      <c r="M9313" s="4" t="s">
        <v>19413</v>
      </c>
      <c r="N9313" s="4" t="s">
        <v>19414</v>
      </c>
      <c r="O9313" s="4" t="s">
        <v>19415</v>
      </c>
      <c r="P9313" s="4" t="s">
        <v>19414</v>
      </c>
      <c r="Q9313" s="4" t="s">
        <v>19415</v>
      </c>
      <c r="R9313" s="4" t="s">
        <v>19416</v>
      </c>
    </row>
    <row r="9314">
      <c r="A9314" s="4">
        <v>167.0</v>
      </c>
      <c r="B9314" s="4" t="s">
        <v>19555</v>
      </c>
      <c r="C9314" s="4"/>
      <c r="D9314" s="4" t="s">
        <v>401</v>
      </c>
      <c r="E9314" s="4" t="s">
        <v>400</v>
      </c>
      <c r="F9314" s="4" t="s">
        <v>401</v>
      </c>
      <c r="G9314" s="5" t="str">
        <f>IFERROR(__xludf.DUMMYFUNCTION("GOOGLETRANSLATE(D9314,""pt"",""es"")"),"si")</f>
        <v>si</v>
      </c>
      <c r="H9314" s="4" t="s">
        <v>422</v>
      </c>
      <c r="I9314" s="4" t="s">
        <v>3975</v>
      </c>
      <c r="J9314" s="4" t="s">
        <v>401</v>
      </c>
    </row>
    <row r="9315">
      <c r="A9315" s="4">
        <v>168.0</v>
      </c>
      <c r="B9315" s="4" t="s">
        <v>19555</v>
      </c>
      <c r="C9315" s="4"/>
      <c r="D9315" s="4" t="s">
        <v>19424</v>
      </c>
      <c r="E9315" s="4" t="s">
        <v>19425</v>
      </c>
      <c r="F9315" s="4" t="s">
        <v>19426</v>
      </c>
      <c r="G9315" s="5" t="str">
        <f>IFERROR(__xludf.DUMMYFUNCTION("GOOGLETRANSLATE(D9315,""pt"",""es"")"),"siririca")</f>
        <v>siririca</v>
      </c>
    </row>
    <row r="9316">
      <c r="A9316" s="4">
        <v>169.0</v>
      </c>
      <c r="B9316" s="4" t="s">
        <v>19555</v>
      </c>
      <c r="C9316" s="4"/>
      <c r="D9316" s="4" t="s">
        <v>19685</v>
      </c>
      <c r="E9316" s="4" t="s">
        <v>19686</v>
      </c>
      <c r="F9316" s="4" t="s">
        <v>19687</v>
      </c>
      <c r="G9316" s="5" t="str">
        <f>IFERROR(__xludf.DUMMYFUNCTION("GOOGLETRANSLATE(D9316,""pt"",""es"")"),"hipo")</f>
        <v>hipo</v>
      </c>
      <c r="H9316" s="4" t="s">
        <v>19688</v>
      </c>
      <c r="I9316" s="4" t="s">
        <v>19689</v>
      </c>
    </row>
    <row r="9317">
      <c r="A9317" s="4">
        <v>170.0</v>
      </c>
      <c r="B9317" s="4" t="s">
        <v>19555</v>
      </c>
      <c r="C9317" s="4"/>
      <c r="D9317" s="4" t="s">
        <v>19690</v>
      </c>
      <c r="E9317" s="4" t="s">
        <v>19691</v>
      </c>
      <c r="F9317" s="4" t="s">
        <v>19692</v>
      </c>
      <c r="G9317" s="5" t="str">
        <f>IFERROR(__xludf.DUMMYFUNCTION("GOOGLETRANSLATE(D9317,""pt"",""es"")"),"hipo")</f>
        <v>hipo</v>
      </c>
      <c r="H9317" s="4" t="s">
        <v>19688</v>
      </c>
      <c r="I9317" s="4" t="s">
        <v>19689</v>
      </c>
      <c r="J9317" s="4" t="s">
        <v>19693</v>
      </c>
    </row>
    <row r="9318">
      <c r="A9318" s="4">
        <v>171.0</v>
      </c>
      <c r="B9318" s="4" t="s">
        <v>19555</v>
      </c>
      <c r="C9318" s="4"/>
      <c r="D9318" s="4" t="s">
        <v>19694</v>
      </c>
      <c r="E9318" s="4" t="s">
        <v>19695</v>
      </c>
      <c r="F9318" s="4" t="s">
        <v>19696</v>
      </c>
      <c r="G9318" s="5" t="str">
        <f>IFERROR(__xludf.DUMMYFUNCTION("GOOGLETRANSLATE(D9318,""pt"",""es"")"),"soñar")</f>
        <v>soñar</v>
      </c>
      <c r="H9318" s="4" t="s">
        <v>19697</v>
      </c>
      <c r="I9318" s="4" t="s">
        <v>19698</v>
      </c>
      <c r="J9318" s="4" t="s">
        <v>15757</v>
      </c>
      <c r="K9318" s="4" t="s">
        <v>19697</v>
      </c>
      <c r="L9318" s="4" t="s">
        <v>19698</v>
      </c>
      <c r="M9318" s="4" t="s">
        <v>11545</v>
      </c>
      <c r="N9318" s="4" t="s">
        <v>8536</v>
      </c>
      <c r="O9318" s="4" t="s">
        <v>19699</v>
      </c>
      <c r="P9318" s="4" t="s">
        <v>19700</v>
      </c>
      <c r="Q9318" s="4" t="s">
        <v>11545</v>
      </c>
    </row>
    <row r="9319">
      <c r="A9319" s="4">
        <v>172.0</v>
      </c>
      <c r="B9319" s="4" t="s">
        <v>19555</v>
      </c>
      <c r="C9319" s="4"/>
      <c r="D9319" s="4" t="s">
        <v>19427</v>
      </c>
      <c r="E9319" s="4" t="s">
        <v>11234</v>
      </c>
      <c r="F9319" s="4" t="s">
        <v>11233</v>
      </c>
      <c r="G9319" s="5" t="str">
        <f>IFERROR(__xludf.DUMMYFUNCTION("GOOGLETRANSLATE(D9319,""pt"",""es"")"),"jugo")</f>
        <v>jugo</v>
      </c>
      <c r="H9319" s="4" t="s">
        <v>4110</v>
      </c>
      <c r="I9319" s="4" t="s">
        <v>4111</v>
      </c>
      <c r="J9319" s="4" t="s">
        <v>4112</v>
      </c>
    </row>
    <row r="9320">
      <c r="A9320" s="4">
        <v>173.0</v>
      </c>
      <c r="B9320" s="4" t="s">
        <v>19555</v>
      </c>
      <c r="C9320" s="4"/>
      <c r="D9320" s="4" t="s">
        <v>19428</v>
      </c>
      <c r="E9320" s="4" t="s">
        <v>19429</v>
      </c>
      <c r="F9320" s="4" t="s">
        <v>19430</v>
      </c>
      <c r="G9320" s="5" t="str">
        <f>IFERROR(__xludf.DUMMYFUNCTION("GOOGLETRANSLATE(D9320,""pt"",""es"")"),"Sumiko")</f>
        <v>Sumiko</v>
      </c>
    </row>
    <row r="9321">
      <c r="A9321" s="4">
        <v>174.0</v>
      </c>
      <c r="B9321" s="4" t="s">
        <v>19555</v>
      </c>
      <c r="C9321" s="4"/>
      <c r="D9321" s="4" t="s">
        <v>19434</v>
      </c>
      <c r="E9321" s="4" t="s">
        <v>19435</v>
      </c>
      <c r="F9321" s="4" t="s">
        <v>19436</v>
      </c>
      <c r="G9321" s="5" t="str">
        <f>IFERROR(__xludf.DUMMYFUNCTION("GOOGLETRANSLATE(D9321,""pt"",""es"")"),"excedente")</f>
        <v>excedente</v>
      </c>
    </row>
    <row r="9322">
      <c r="A9322" s="4">
        <v>175.0</v>
      </c>
      <c r="B9322" s="4" t="s">
        <v>19555</v>
      </c>
      <c r="C9322" s="4"/>
      <c r="D9322" s="4" t="s">
        <v>19437</v>
      </c>
      <c r="E9322" s="4" t="s">
        <v>19438</v>
      </c>
      <c r="F9322" s="4" t="s">
        <v>19439</v>
      </c>
      <c r="G9322" s="5" t="str">
        <f>IFERROR(__xludf.DUMMYFUNCTION("GOOGLETRANSLATE(D9322,""pt"",""es"")"),"tacho")</f>
        <v>tacho</v>
      </c>
      <c r="H9322" s="4" t="s">
        <v>19440</v>
      </c>
    </row>
    <row r="9323">
      <c r="A9323" s="4">
        <v>176.0</v>
      </c>
      <c r="B9323" s="4" t="s">
        <v>19555</v>
      </c>
      <c r="C9323" s="4"/>
      <c r="D9323" s="4" t="s">
        <v>4247</v>
      </c>
      <c r="E9323" s="4" t="s">
        <v>4248</v>
      </c>
      <c r="F9323" s="4" t="s">
        <v>4249</v>
      </c>
      <c r="G9323" s="5" t="str">
        <f>IFERROR(__xludf.DUMMYFUNCTION("GOOGLETRANSLATE(D9323,""pt"",""es"")"),"taco")</f>
        <v>taco</v>
      </c>
      <c r="H9323" s="4" t="s">
        <v>6604</v>
      </c>
      <c r="I9323" s="4" t="s">
        <v>19441</v>
      </c>
      <c r="J9323" s="4" t="s">
        <v>19442</v>
      </c>
      <c r="K9323" s="4" t="s">
        <v>19443</v>
      </c>
      <c r="L9323" s="4" t="s">
        <v>19444</v>
      </c>
      <c r="M9323" s="4" t="s">
        <v>3164</v>
      </c>
      <c r="N9323" s="4" t="s">
        <v>3165</v>
      </c>
      <c r="O9323" s="4" t="s">
        <v>3166</v>
      </c>
      <c r="P9323" s="4" t="s">
        <v>4247</v>
      </c>
    </row>
    <row r="9324">
      <c r="A9324" s="4">
        <v>177.0</v>
      </c>
      <c r="B9324" s="4" t="s">
        <v>19555</v>
      </c>
      <c r="C9324" s="4"/>
      <c r="D9324" s="4" t="s">
        <v>19448</v>
      </c>
      <c r="E9324" s="4" t="s">
        <v>19449</v>
      </c>
      <c r="F9324" s="4" t="s">
        <v>19450</v>
      </c>
      <c r="G9324" s="5" t="str">
        <f>IFERROR(__xludf.DUMMYFUNCTION("GOOGLETRANSLATE(D9324,""pt"",""es"")"),"tallado")</f>
        <v>tallado</v>
      </c>
      <c r="H9324" s="4" t="s">
        <v>13767</v>
      </c>
      <c r="I9324" s="4" t="s">
        <v>13773</v>
      </c>
    </row>
    <row r="9325">
      <c r="A9325" s="4">
        <v>178.0</v>
      </c>
      <c r="B9325" s="4" t="s">
        <v>19555</v>
      </c>
      <c r="C9325" s="4"/>
      <c r="D9325" s="4" t="s">
        <v>19451</v>
      </c>
      <c r="E9325" s="4" t="s">
        <v>19452</v>
      </c>
      <c r="F9325" s="4" t="s">
        <v>19453</v>
      </c>
      <c r="G9325" s="5" t="str">
        <f>IFERROR(__xludf.DUMMYFUNCTION("GOOGLETRANSLATE(D9325,""pt"",""es"")"),"carnicero")</f>
        <v>carnicero</v>
      </c>
      <c r="H9325" s="4" t="s">
        <v>19454</v>
      </c>
      <c r="I9325" s="4" t="s">
        <v>19455</v>
      </c>
    </row>
    <row r="9326">
      <c r="A9326" s="4">
        <v>179.0</v>
      </c>
      <c r="B9326" s="4" t="s">
        <v>19555</v>
      </c>
      <c r="C9326" s="4"/>
      <c r="D9326" s="4" t="s">
        <v>19456</v>
      </c>
      <c r="E9326" s="4" t="s">
        <v>19457</v>
      </c>
      <c r="F9326" s="4" t="s">
        <v>19458</v>
      </c>
      <c r="G9326" s="5" t="str">
        <f>IFERROR(__xludf.DUMMYFUNCTION("GOOGLETRANSLATE(D9326,""pt"",""es"")"),"acechar")</f>
        <v>acechar</v>
      </c>
      <c r="H9326" s="4" t="s">
        <v>19459</v>
      </c>
    </row>
    <row r="9327">
      <c r="A9327" s="4">
        <v>180.0</v>
      </c>
      <c r="B9327" s="4" t="s">
        <v>19555</v>
      </c>
      <c r="C9327" s="4"/>
      <c r="D9327" s="4" t="s">
        <v>2509</v>
      </c>
      <c r="E9327" s="4" t="s">
        <v>19701</v>
      </c>
      <c r="F9327" s="4" t="s">
        <v>2509</v>
      </c>
      <c r="G9327" s="5" t="str">
        <f>IFERROR(__xludf.DUMMYFUNCTION("GOOGLETRANSLATE(D9327,""pt"",""es"")"),"alquitrán")</f>
        <v>alquitrán</v>
      </c>
      <c r="H9327" s="4" t="s">
        <v>2509</v>
      </c>
    </row>
    <row r="9328">
      <c r="A9328" s="4">
        <v>181.0</v>
      </c>
      <c r="B9328" s="4" t="s">
        <v>19555</v>
      </c>
      <c r="C9328" s="4"/>
      <c r="D9328" s="4" t="s">
        <v>19460</v>
      </c>
      <c r="E9328" s="4" t="s">
        <v>13825</v>
      </c>
      <c r="F9328" s="4" t="s">
        <v>11378</v>
      </c>
      <c r="G9328" s="5" t="str">
        <f>IFERROR(__xludf.DUMMYFUNCTION("GOOGLETRANSLATE(D9328,""pt"",""es"")"),"tacto")</f>
        <v>tacto</v>
      </c>
      <c r="H9328" s="4" t="s">
        <v>19461</v>
      </c>
      <c r="I9328" s="4" t="s">
        <v>19462</v>
      </c>
    </row>
    <row r="9329">
      <c r="A9329" s="4">
        <v>182.0</v>
      </c>
      <c r="B9329" s="4" t="s">
        <v>19555</v>
      </c>
      <c r="C9329" s="4"/>
      <c r="D9329" s="4" t="s">
        <v>11378</v>
      </c>
      <c r="E9329" s="4" t="s">
        <v>13825</v>
      </c>
      <c r="F9329" s="4" t="s">
        <v>11378</v>
      </c>
      <c r="G9329" s="5" t="str">
        <f>IFERROR(__xludf.DUMMYFUNCTION("GOOGLETRANSLATE(D9329,""pt"",""es"")"),"armadillo")</f>
        <v>armadillo</v>
      </c>
      <c r="H9329" s="4" t="s">
        <v>13826</v>
      </c>
    </row>
    <row r="9330">
      <c r="A9330" s="4">
        <v>183.0</v>
      </c>
      <c r="B9330" s="4" t="s">
        <v>19555</v>
      </c>
      <c r="C9330" s="4"/>
      <c r="D9330" s="4" t="s">
        <v>19463</v>
      </c>
      <c r="E9330" s="4" t="s">
        <v>19438</v>
      </c>
      <c r="F9330" s="4" t="s">
        <v>19439</v>
      </c>
      <c r="G9330" s="5" t="str">
        <f>IFERROR(__xludf.DUMMYFUNCTION("GOOGLETRANSLATE(D9330,""pt"",""es"")"),"agotador")</f>
        <v>agotador</v>
      </c>
    </row>
    <row r="9331">
      <c r="A9331" s="4">
        <v>184.0</v>
      </c>
      <c r="B9331" s="4" t="s">
        <v>19555</v>
      </c>
      <c r="C9331" s="4"/>
      <c r="D9331" s="4" t="s">
        <v>19702</v>
      </c>
      <c r="E9331" s="4" t="s">
        <v>19703</v>
      </c>
      <c r="F9331" s="4" t="s">
        <v>19702</v>
      </c>
      <c r="G9331" s="5" t="str">
        <f>IFERROR(__xludf.DUMMYFUNCTION("GOOGLETRANSLATE(D9331,""pt"",""es"")"),"tintineo")</f>
        <v>tintineo</v>
      </c>
      <c r="H9331" s="4" t="s">
        <v>10046</v>
      </c>
      <c r="I9331" s="4" t="s">
        <v>19704</v>
      </c>
      <c r="J9331" s="4" t="s">
        <v>10047</v>
      </c>
    </row>
    <row r="9332">
      <c r="A9332" s="4">
        <v>185.0</v>
      </c>
      <c r="B9332" s="4" t="s">
        <v>19555</v>
      </c>
      <c r="C9332" s="4"/>
      <c r="D9332" s="4" t="s">
        <v>4451</v>
      </c>
      <c r="E9332" s="4" t="s">
        <v>4452</v>
      </c>
      <c r="F9332" s="4" t="s">
        <v>4453</v>
      </c>
      <c r="G9332" s="5" t="str">
        <f>IFERROR(__xludf.DUMMYFUNCTION("GOOGLETRANSLATE(D9332,""pt"",""es"")"),"Disparo")</f>
        <v>Disparo</v>
      </c>
      <c r="H9332" s="4" t="s">
        <v>19705</v>
      </c>
      <c r="I9332" s="4" t="s">
        <v>6998</v>
      </c>
      <c r="J9332" s="4" t="s">
        <v>907</v>
      </c>
      <c r="K9332" s="4" t="s">
        <v>5527</v>
      </c>
      <c r="L9332" s="4" t="s">
        <v>19706</v>
      </c>
      <c r="M9332" s="4" t="s">
        <v>19707</v>
      </c>
    </row>
    <row r="9333">
      <c r="A9333" s="4">
        <v>186.0</v>
      </c>
      <c r="B9333" s="4" t="s">
        <v>19555</v>
      </c>
      <c r="C9333" s="4"/>
      <c r="D9333" s="4" t="s">
        <v>19708</v>
      </c>
      <c r="E9333" s="4" t="s">
        <v>19709</v>
      </c>
      <c r="F9333" s="4" t="s">
        <v>19710</v>
      </c>
      <c r="G9333" s="5" t="str">
        <f>IFERROR(__xludf.DUMMYFUNCTION("GOOGLETRANSLATE(D9333,""pt"",""es"")"),"disparos")</f>
        <v>disparos</v>
      </c>
    </row>
    <row r="9334">
      <c r="A9334" s="4">
        <v>187.0</v>
      </c>
      <c r="B9334" s="4" t="s">
        <v>19555</v>
      </c>
      <c r="C9334" s="4"/>
      <c r="D9334" s="4" t="s">
        <v>19711</v>
      </c>
      <c r="E9334" s="4" t="s">
        <v>19712</v>
      </c>
      <c r="F9334" s="4" t="s">
        <v>19713</v>
      </c>
      <c r="G9334" s="5" t="str">
        <f>IFERROR(__xludf.DUMMYFUNCTION("GOOGLETRANSLATE(D9334,""pt"",""es"")"),"tomar")</f>
        <v>tomar</v>
      </c>
      <c r="H9334" s="4" t="s">
        <v>7930</v>
      </c>
      <c r="I9334" s="4" t="s">
        <v>879</v>
      </c>
      <c r="J9334" s="4" t="s">
        <v>486</v>
      </c>
      <c r="K9334" s="4" t="s">
        <v>887</v>
      </c>
      <c r="L9334" s="4" t="s">
        <v>311</v>
      </c>
      <c r="M9334" s="4" t="s">
        <v>16051</v>
      </c>
      <c r="N9334" s="4" t="s">
        <v>16055</v>
      </c>
      <c r="O9334" s="4" t="s">
        <v>16051</v>
      </c>
      <c r="P9334" s="4" t="s">
        <v>16056</v>
      </c>
      <c r="Q9334" s="4" t="s">
        <v>16057</v>
      </c>
      <c r="R9334" s="4" t="s">
        <v>16051</v>
      </c>
      <c r="S9334" s="4" t="s">
        <v>16058</v>
      </c>
      <c r="T9334" s="4" t="s">
        <v>19714</v>
      </c>
      <c r="U9334" s="4" t="s">
        <v>19715</v>
      </c>
      <c r="V9334" s="4" t="s">
        <v>12594</v>
      </c>
      <c r="W9334" s="4" t="s">
        <v>887</v>
      </c>
      <c r="X9334" s="4" t="s">
        <v>7911</v>
      </c>
      <c r="Y9334" s="4" t="s">
        <v>887</v>
      </c>
      <c r="Z9334" s="4" t="s">
        <v>1375</v>
      </c>
    </row>
    <row r="9335">
      <c r="A9335" s="4">
        <v>188.0</v>
      </c>
      <c r="B9335" s="4" t="s">
        <v>19555</v>
      </c>
      <c r="C9335" s="4"/>
      <c r="D9335" s="4" t="s">
        <v>4555</v>
      </c>
      <c r="E9335" s="4" t="s">
        <v>4556</v>
      </c>
      <c r="F9335" s="4" t="s">
        <v>4555</v>
      </c>
      <c r="G9335" s="5" t="str">
        <f>IFERROR(__xludf.DUMMYFUNCTION("GOOGLETRANSLATE(D9335,""pt"",""es"")"),"tú")</f>
        <v>tú</v>
      </c>
    </row>
    <row r="9336">
      <c r="A9336" s="4">
        <v>189.0</v>
      </c>
      <c r="B9336" s="4" t="s">
        <v>19555</v>
      </c>
      <c r="C9336" s="4"/>
      <c r="D9336" s="4" t="s">
        <v>19465</v>
      </c>
      <c r="E9336" s="4" t="s">
        <v>19466</v>
      </c>
      <c r="F9336" s="4" t="s">
        <v>19467</v>
      </c>
      <c r="G9336" s="5" t="str">
        <f>IFERROR(__xludf.DUMMYFUNCTION("GOOGLETRANSLATE(D9336,""pt"",""es"")"),"tucux")</f>
        <v>tucux</v>
      </c>
    </row>
    <row r="9337">
      <c r="A9337" s="4">
        <v>190.0</v>
      </c>
      <c r="B9337" s="4" t="s">
        <v>19555</v>
      </c>
      <c r="C9337" s="4"/>
      <c r="D9337" s="4" t="s">
        <v>19468</v>
      </c>
      <c r="E9337" s="4" t="s">
        <v>452</v>
      </c>
      <c r="F9337" s="4" t="s">
        <v>453</v>
      </c>
      <c r="G9337" s="5" t="str">
        <f>IFERROR(__xludf.DUMMYFUNCTION("GOOGLETRANSLATE(D9337,""pt"",""es"")"),"tui")</f>
        <v>tui</v>
      </c>
    </row>
    <row r="9338">
      <c r="A9338" s="4">
        <v>191.0</v>
      </c>
      <c r="B9338" s="4" t="s">
        <v>19555</v>
      </c>
      <c r="C9338" s="4"/>
      <c r="D9338" s="4" t="s">
        <v>19469</v>
      </c>
      <c r="E9338" s="4" t="s">
        <v>19470</v>
      </c>
      <c r="F9338" s="4" t="s">
        <v>19471</v>
      </c>
      <c r="G9338" s="5" t="str">
        <f>IFERROR(__xludf.DUMMYFUNCTION("GOOGLETRANSLATE(D9338,""pt"",""es"")"),"tuiuiu")</f>
        <v>tuiuiu</v>
      </c>
      <c r="H9338" s="4" t="s">
        <v>19472</v>
      </c>
      <c r="I9338" s="4" t="s">
        <v>19473</v>
      </c>
    </row>
    <row r="9339">
      <c r="A9339" s="4">
        <v>192.0</v>
      </c>
      <c r="B9339" s="4" t="s">
        <v>19555</v>
      </c>
      <c r="C9339" s="4"/>
      <c r="D9339" s="4" t="s">
        <v>4523</v>
      </c>
      <c r="E9339" s="4" t="s">
        <v>4522</v>
      </c>
      <c r="F9339" s="4" t="s">
        <v>4523</v>
      </c>
      <c r="G9339" s="5" t="str">
        <f>IFERROR(__xludf.DUMMYFUNCTION("GOOGLETRANSLATE(D9339,""pt"",""es"")"),"Tupi")</f>
        <v>Tupi</v>
      </c>
      <c r="H9339" s="4" t="s">
        <v>13912</v>
      </c>
      <c r="I9339" s="4" t="s">
        <v>13912</v>
      </c>
    </row>
    <row r="9340">
      <c r="A9340" s="4">
        <v>193.0</v>
      </c>
      <c r="B9340" s="4" t="s">
        <v>19555</v>
      </c>
      <c r="C9340" s="4"/>
      <c r="D9340" s="4" t="s">
        <v>19474</v>
      </c>
      <c r="E9340" s="4" t="s">
        <v>19475</v>
      </c>
      <c r="F9340" s="4" t="s">
        <v>19474</v>
      </c>
      <c r="G9340" s="5" t="str">
        <f>IFERROR(__xludf.DUMMYFUNCTION("GOOGLETRANSLATE(D9340,""pt"",""es"")"),"turu")</f>
        <v>turu</v>
      </c>
    </row>
    <row r="9341">
      <c r="A9341" s="4">
        <v>194.0</v>
      </c>
      <c r="B9341" s="4" t="s">
        <v>19555</v>
      </c>
      <c r="C9341" s="4"/>
      <c r="D9341" s="4" t="s">
        <v>19476</v>
      </c>
      <c r="E9341" s="4" t="s">
        <v>13750</v>
      </c>
      <c r="F9341" s="4" t="s">
        <v>11522</v>
      </c>
      <c r="G9341" s="5" t="str">
        <f>IFERROR(__xludf.DUMMYFUNCTION("GOOGLETRANSLATE(D9341,""pt"",""es"")"),"OK")</f>
        <v>OK</v>
      </c>
    </row>
    <row r="9342">
      <c r="A9342" s="4">
        <v>195.0</v>
      </c>
      <c r="B9342" s="4" t="s">
        <v>19555</v>
      </c>
      <c r="C9342" s="4"/>
      <c r="D9342" s="4" t="s">
        <v>19477</v>
      </c>
      <c r="E9342" s="4" t="s">
        <v>19478</v>
      </c>
      <c r="F9342" s="4" t="s">
        <v>19479</v>
      </c>
      <c r="G9342" s="5" t="str">
        <f>IFERROR(__xludf.DUMMYFUNCTION("GOOGLETRANSLATE(D9342,""pt"",""es"")"),"tácito")</f>
        <v>tácito</v>
      </c>
      <c r="H9342" s="4" t="s">
        <v>16326</v>
      </c>
      <c r="I9342" s="4" t="s">
        <v>19480</v>
      </c>
      <c r="J9342" s="4" t="s">
        <v>19481</v>
      </c>
    </row>
    <row r="9343">
      <c r="A9343" s="4">
        <v>196.0</v>
      </c>
      <c r="B9343" s="4" t="s">
        <v>19555</v>
      </c>
      <c r="C9343" s="4"/>
      <c r="D9343" s="4" t="s">
        <v>19482</v>
      </c>
      <c r="E9343" s="4" t="s">
        <v>19483</v>
      </c>
      <c r="F9343" s="4" t="s">
        <v>19484</v>
      </c>
      <c r="G9343" s="5" t="str">
        <f>IFERROR(__xludf.DUMMYFUNCTION("GOOGLETRANSLATE(D9343,""pt"",""es"")"),"talón")</f>
        <v>talón</v>
      </c>
      <c r="H9343" s="4" t="s">
        <v>19485</v>
      </c>
      <c r="I9343" s="4" t="s">
        <v>19486</v>
      </c>
      <c r="J9343" s="4" t="s">
        <v>19487</v>
      </c>
      <c r="K9343" s="4" t="s">
        <v>19484</v>
      </c>
      <c r="L9343" s="4" t="s">
        <v>19485</v>
      </c>
      <c r="M9343" s="4" t="s">
        <v>19486</v>
      </c>
      <c r="N9343" s="4" t="s">
        <v>19487</v>
      </c>
      <c r="O9343" s="4" t="s">
        <v>19484</v>
      </c>
    </row>
    <row r="9344">
      <c r="A9344" s="4">
        <v>197.0</v>
      </c>
      <c r="B9344" s="4" t="s">
        <v>19555</v>
      </c>
      <c r="C9344" s="4"/>
      <c r="D9344" s="4" t="s">
        <v>19488</v>
      </c>
      <c r="E9344" s="4" t="s">
        <v>19489</v>
      </c>
      <c r="F9344" s="4" t="s">
        <v>19490</v>
      </c>
      <c r="G9344" s="5" t="str">
        <f>IFERROR(__xludf.DUMMYFUNCTION("GOOGLETRANSLATE(D9344,""pt"",""es"")"),"tumba")</f>
        <v>tumba</v>
      </c>
      <c r="H9344" s="4" t="s">
        <v>19491</v>
      </c>
      <c r="I9344" s="4" t="s">
        <v>19492</v>
      </c>
      <c r="J9344" s="4" t="s">
        <v>19493</v>
      </c>
      <c r="K9344" s="4" t="s">
        <v>19494</v>
      </c>
      <c r="L9344" s="4" t="s">
        <v>8848</v>
      </c>
      <c r="M9344" s="4" t="s">
        <v>8845</v>
      </c>
    </row>
    <row r="9345">
      <c r="A9345" s="4">
        <v>198.0</v>
      </c>
      <c r="B9345" s="4" t="s">
        <v>19555</v>
      </c>
      <c r="C9345" s="4"/>
      <c r="D9345" s="4" t="s">
        <v>19495</v>
      </c>
      <c r="E9345" s="4" t="s">
        <v>19496</v>
      </c>
      <c r="F9345" s="4" t="s">
        <v>19497</v>
      </c>
      <c r="G9345" s="5" t="str">
        <f>IFERROR(__xludf.DUMMYFUNCTION("GOOGLETRANSLATE(D9345,""pt"",""es"")"),"uña")</f>
        <v>uña</v>
      </c>
    </row>
    <row r="9346">
      <c r="A9346" s="4">
        <v>199.0</v>
      </c>
      <c r="B9346" s="4" t="s">
        <v>19555</v>
      </c>
      <c r="C9346" s="4"/>
      <c r="D9346" s="4" t="s">
        <v>4638</v>
      </c>
      <c r="E9346" s="4" t="s">
        <v>4656</v>
      </c>
      <c r="F9346" s="4" t="s">
        <v>4638</v>
      </c>
      <c r="G9346" s="5" t="str">
        <f>IFERROR(__xludf.DUMMYFUNCTION("GOOGLETRANSLATE(D9346,""pt"",""es"")"),"unirse")</f>
        <v>unirse</v>
      </c>
      <c r="H9346" s="4" t="s">
        <v>4641</v>
      </c>
      <c r="I9346" s="4" t="s">
        <v>4642</v>
      </c>
      <c r="J9346" s="4" t="s">
        <v>4643</v>
      </c>
      <c r="K9346" s="4" t="s">
        <v>4644</v>
      </c>
      <c r="L9346" s="4" t="s">
        <v>4645</v>
      </c>
      <c r="M9346" s="4" t="s">
        <v>4646</v>
      </c>
      <c r="N9346" s="4" t="s">
        <v>4645</v>
      </c>
      <c r="O9346" s="4" t="s">
        <v>4644</v>
      </c>
      <c r="P9346" s="4" t="s">
        <v>4646</v>
      </c>
      <c r="Q9346" s="4" t="s">
        <v>4649</v>
      </c>
      <c r="R9346" s="4" t="s">
        <v>4650</v>
      </c>
      <c r="S9346" s="4" t="s">
        <v>4649</v>
      </c>
      <c r="T9346" s="4" t="s">
        <v>4651</v>
      </c>
      <c r="U9346" s="4" t="s">
        <v>4496</v>
      </c>
      <c r="V9346" s="4" t="s">
        <v>4652</v>
      </c>
      <c r="W9346" s="4" t="s">
        <v>3048</v>
      </c>
      <c r="X9346" s="4" t="s">
        <v>3050</v>
      </c>
      <c r="Y9346" s="4" t="s">
        <v>4653</v>
      </c>
      <c r="Z9346" s="4" t="s">
        <v>14579</v>
      </c>
      <c r="AA9346" s="4" t="s">
        <v>4643</v>
      </c>
      <c r="AB9346" s="4" t="s">
        <v>19716</v>
      </c>
    </row>
    <row r="9347">
      <c r="A9347" s="4">
        <v>200.0</v>
      </c>
      <c r="B9347" s="4" t="s">
        <v>19555</v>
      </c>
      <c r="C9347" s="4"/>
      <c r="D9347" s="4" t="s">
        <v>19717</v>
      </c>
      <c r="E9347" s="4" t="s">
        <v>19718</v>
      </c>
      <c r="F9347" s="4" t="s">
        <v>19719</v>
      </c>
      <c r="G9347" s="5" t="str">
        <f>IFERROR(__xludf.DUMMYFUNCTION("GOOGLETRANSLATE(D9347,""pt"",""es"")"),"unísono")</f>
        <v>unísono</v>
      </c>
      <c r="H9347" s="4" t="s">
        <v>19720</v>
      </c>
    </row>
    <row r="9348">
      <c r="A9348" s="4">
        <v>201.0</v>
      </c>
      <c r="B9348" s="4" t="s">
        <v>19555</v>
      </c>
      <c r="C9348" s="4"/>
      <c r="D9348" s="4" t="s">
        <v>19721</v>
      </c>
      <c r="E9348" s="4" t="s">
        <v>19722</v>
      </c>
      <c r="F9348" s="4" t="s">
        <v>19721</v>
      </c>
      <c r="G9348" s="5" t="str">
        <f>IFERROR(__xludf.DUMMYFUNCTION("GOOGLETRANSLATE(D9348,""pt"",""es"")"),"orinar")</f>
        <v>orinar</v>
      </c>
      <c r="H9348" s="4" t="s">
        <v>3000</v>
      </c>
      <c r="I9348" s="4" t="s">
        <v>7248</v>
      </c>
      <c r="J9348" s="4" t="s">
        <v>7243</v>
      </c>
      <c r="K9348" s="4" t="s">
        <v>4723</v>
      </c>
      <c r="L9348" s="4" t="s">
        <v>7249</v>
      </c>
      <c r="M9348" s="4" t="s">
        <v>7239</v>
      </c>
      <c r="N9348" s="4" t="s">
        <v>7242</v>
      </c>
      <c r="O9348" s="4" t="s">
        <v>7250</v>
      </c>
      <c r="P9348" s="4" t="s">
        <v>7251</v>
      </c>
      <c r="Q9348" s="4" t="s">
        <v>7252</v>
      </c>
      <c r="R9348" s="4" t="s">
        <v>7253</v>
      </c>
      <c r="S9348" s="4" t="s">
        <v>7254</v>
      </c>
      <c r="T9348" s="4" t="s">
        <v>4693</v>
      </c>
      <c r="U9348" s="4" t="s">
        <v>7255</v>
      </c>
      <c r="V9348" s="4" t="s">
        <v>7256</v>
      </c>
    </row>
    <row r="9349">
      <c r="A9349" s="4">
        <v>202.0</v>
      </c>
      <c r="B9349" s="4" t="s">
        <v>19555</v>
      </c>
      <c r="C9349" s="4"/>
      <c r="D9349" s="4" t="s">
        <v>19498</v>
      </c>
      <c r="E9349" s="4" t="s">
        <v>19499</v>
      </c>
      <c r="F9349" s="4" t="s">
        <v>19500</v>
      </c>
      <c r="G9349" s="5" t="str">
        <f>IFERROR(__xludf.DUMMYFUNCTION("GOOGLETRANSLATE(D9349,""pt"",""es"")"),"uRO")</f>
        <v>uRO</v>
      </c>
    </row>
    <row r="9350">
      <c r="A9350" s="4">
        <v>203.0</v>
      </c>
      <c r="B9350" s="4" t="s">
        <v>19555</v>
      </c>
      <c r="C9350" s="4"/>
      <c r="D9350" s="4" t="s">
        <v>19501</v>
      </c>
      <c r="E9350" s="4" t="s">
        <v>14671</v>
      </c>
      <c r="F9350" s="4" t="s">
        <v>14672</v>
      </c>
      <c r="G9350" s="5" t="str">
        <f>IFERROR(__xludf.DUMMYFUNCTION("GOOGLETRANSLATE(D9350,""pt"",""es"")"),"USSO")</f>
        <v>USSO</v>
      </c>
    </row>
    <row r="9351">
      <c r="A9351" s="4">
        <v>204.0</v>
      </c>
      <c r="B9351" s="4" t="s">
        <v>19555</v>
      </c>
      <c r="C9351" s="4"/>
      <c r="D9351" s="4" t="s">
        <v>19723</v>
      </c>
      <c r="E9351" s="4" t="s">
        <v>6032</v>
      </c>
      <c r="F9351" s="4" t="s">
        <v>6033</v>
      </c>
      <c r="G9351" s="5" t="str">
        <f>IFERROR(__xludf.DUMMYFUNCTION("GOOGLETRANSLATE(D9351,""pt"",""es"")"),"pipí")</f>
        <v>pipí</v>
      </c>
      <c r="H9351" s="4" t="s">
        <v>7246</v>
      </c>
      <c r="I9351" s="4" t="s">
        <v>7242</v>
      </c>
      <c r="J9351" s="4" t="s">
        <v>7247</v>
      </c>
      <c r="K9351" s="4" t="s">
        <v>7239</v>
      </c>
      <c r="L9351" s="4" t="s">
        <v>7241</v>
      </c>
      <c r="M9351" s="4" t="s">
        <v>7239</v>
      </c>
      <c r="N9351" s="4" t="s">
        <v>7242</v>
      </c>
      <c r="O9351" s="4" t="s">
        <v>7243</v>
      </c>
      <c r="P9351" s="4" t="s">
        <v>7244</v>
      </c>
      <c r="Q9351" s="4" t="s">
        <v>7245</v>
      </c>
    </row>
    <row r="9352">
      <c r="A9352" s="4">
        <v>205.0</v>
      </c>
      <c r="B9352" s="4" t="s">
        <v>19555</v>
      </c>
      <c r="C9352" s="4"/>
      <c r="D9352" s="4" t="s">
        <v>19506</v>
      </c>
      <c r="E9352" s="4" t="s">
        <v>4671</v>
      </c>
      <c r="F9352" s="4" t="s">
        <v>4672</v>
      </c>
      <c r="G9352" s="5" t="str">
        <f>IFERROR(__xludf.DUMMYFUNCTION("GOOGLETRANSLATE(D9352,""pt"",""es"")"),"cha")</f>
        <v>cha</v>
      </c>
      <c r="H9352" s="4" t="s">
        <v>4673</v>
      </c>
      <c r="I9352" s="4" t="s">
        <v>4674</v>
      </c>
      <c r="J9352" s="4" t="s">
        <v>4673</v>
      </c>
      <c r="K9352" s="4" t="s">
        <v>4674</v>
      </c>
    </row>
    <row r="9353">
      <c r="A9353" s="4">
        <v>206.0</v>
      </c>
      <c r="B9353" s="4" t="s">
        <v>19555</v>
      </c>
      <c r="C9353" s="4"/>
      <c r="D9353" s="4" t="s">
        <v>19510</v>
      </c>
      <c r="E9353" s="4" t="s">
        <v>19511</v>
      </c>
      <c r="F9353" s="4" t="s">
        <v>19512</v>
      </c>
      <c r="G9353" s="5" t="str">
        <f>IFERROR(__xludf.DUMMYFUNCTION("GOOGLETRANSLATE(D9353,""pt"",""es"")"),"Yukiko")</f>
        <v>Yukiko</v>
      </c>
    </row>
    <row r="9354">
      <c r="A9354" s="4">
        <v>207.0</v>
      </c>
      <c r="B9354" s="4" t="s">
        <v>19555</v>
      </c>
      <c r="C9354" s="4"/>
      <c r="D9354" s="4" t="s">
        <v>19513</v>
      </c>
      <c r="E9354" s="4" t="s">
        <v>19514</v>
      </c>
      <c r="F9354" s="4" t="s">
        <v>19515</v>
      </c>
      <c r="G9354" s="5" t="str">
        <f>IFERROR(__xludf.DUMMYFUNCTION("GOOGLETRANSLATE(D9354,""pt"",""es"")"),"yuko")</f>
        <v>yuko</v>
      </c>
    </row>
    <row r="9355">
      <c r="A9355" s="4">
        <v>208.0</v>
      </c>
      <c r="B9355" s="4" t="s">
        <v>19555</v>
      </c>
      <c r="C9355" s="4"/>
      <c r="D9355" s="4" t="s">
        <v>19516</v>
      </c>
      <c r="E9355" s="4" t="s">
        <v>19517</v>
      </c>
      <c r="F9355" s="4" t="s">
        <v>19516</v>
      </c>
      <c r="G9355" s="5" t="str">
        <f>IFERROR(__xludf.DUMMYFUNCTION("GOOGLETRANSLATE(D9355,""pt"",""es"")"),"Yuri")</f>
        <v>Yuri</v>
      </c>
    </row>
    <row r="9356">
      <c r="A9356" s="4">
        <v>209.0</v>
      </c>
      <c r="B9356" s="4" t="s">
        <v>19555</v>
      </c>
      <c r="C9356" s="4"/>
      <c r="D9356" s="4" t="s">
        <v>19518</v>
      </c>
      <c r="E9356" s="4" t="s">
        <v>19519</v>
      </c>
      <c r="F9356" s="4" t="s">
        <v>19520</v>
      </c>
      <c r="G9356" s="5" t="str">
        <f>IFERROR(__xludf.DUMMYFUNCTION("GOOGLETRANSLATE(D9356,""pt"",""es"")"),"Yuriko")</f>
        <v>Yuriko</v>
      </c>
    </row>
    <row r="9357">
      <c r="A9357" s="4">
        <v>210.0</v>
      </c>
      <c r="B9357" s="4" t="s">
        <v>19555</v>
      </c>
      <c r="C9357" s="4"/>
      <c r="D9357" s="4" t="s">
        <v>19521</v>
      </c>
      <c r="E9357" s="4" t="s">
        <v>19522</v>
      </c>
      <c r="F9357" s="4" t="s">
        <v>19523</v>
      </c>
      <c r="G9357" s="5" t="str">
        <f>IFERROR(__xludf.DUMMYFUNCTION("GOOGLETRANSLATE(D9357,""pt"",""es"")"),"Aquél")</f>
        <v>Aquél</v>
      </c>
    </row>
    <row r="9358">
      <c r="A9358" s="4">
        <v>211.0</v>
      </c>
      <c r="B9358" s="4" t="s">
        <v>19555</v>
      </c>
      <c r="C9358" s="4"/>
      <c r="D9358" s="4" t="s">
        <v>19528</v>
      </c>
      <c r="E9358" s="4" t="s">
        <v>19529</v>
      </c>
      <c r="F9358" s="4" t="s">
        <v>19530</v>
      </c>
      <c r="G9358" s="5" t="str">
        <f>IFERROR(__xludf.DUMMYFUNCTION("GOOGLETRANSLATE(D9358,""pt"",""es"")"),"único")</f>
        <v>único</v>
      </c>
      <c r="H9358" s="4" t="s">
        <v>4792</v>
      </c>
      <c r="I9358" s="4" t="s">
        <v>4787</v>
      </c>
      <c r="J9358" s="4" t="s">
        <v>4788</v>
      </c>
      <c r="K9358" s="4" t="s">
        <v>4789</v>
      </c>
      <c r="L9358" s="4" t="s">
        <v>4790</v>
      </c>
      <c r="M9358" s="4" t="s">
        <v>4791</v>
      </c>
      <c r="N9358" s="4" t="s">
        <v>19531</v>
      </c>
      <c r="O9358" s="4" t="s">
        <v>6955</v>
      </c>
      <c r="P9358" s="4" t="s">
        <v>19532</v>
      </c>
      <c r="Q9358" s="4" t="s">
        <v>19533</v>
      </c>
      <c r="R9358" s="4" t="s">
        <v>19534</v>
      </c>
      <c r="S9358" s="4" t="s">
        <v>19535</v>
      </c>
      <c r="T9358" s="4" t="s">
        <v>8181</v>
      </c>
      <c r="U9358" s="4" t="s">
        <v>16288</v>
      </c>
      <c r="V9358" s="4" t="s">
        <v>15564</v>
      </c>
      <c r="W9358" s="4" t="s">
        <v>2489</v>
      </c>
      <c r="X9358" s="4" t="s">
        <v>19536</v>
      </c>
      <c r="Y9358" s="4" t="s">
        <v>18540</v>
      </c>
      <c r="Z9358" s="4" t="s">
        <v>4792</v>
      </c>
      <c r="AA9358" s="4" t="s">
        <v>4037</v>
      </c>
      <c r="AB9358" s="4" t="s">
        <v>4038</v>
      </c>
      <c r="AC9358" s="4" t="s">
        <v>4039</v>
      </c>
      <c r="AD9358" s="4" t="s">
        <v>4040</v>
      </c>
      <c r="AE9358" s="4" t="s">
        <v>4030</v>
      </c>
      <c r="AF9358" s="4" t="s">
        <v>4792</v>
      </c>
      <c r="AG9358" s="4" t="s">
        <v>4788</v>
      </c>
    </row>
    <row r="9359">
      <c r="A9359" s="4">
        <v>1.0</v>
      </c>
      <c r="B9359" s="4" t="s">
        <v>19724</v>
      </c>
      <c r="C9359" s="4"/>
      <c r="D9359" s="4" t="s">
        <v>18919</v>
      </c>
      <c r="E9359" s="4" t="s">
        <v>18920</v>
      </c>
      <c r="F9359" s="4" t="s">
        <v>18921</v>
      </c>
      <c r="G9359" s="5" t="str">
        <f>IFERROR(__xludf.DUMMYFUNCTION("GOOGLETRANSLATE(D9359,""pt"",""es"")"),"pensar")</f>
        <v>pensar</v>
      </c>
    </row>
    <row r="9360">
      <c r="A9360" s="4">
        <v>2.0</v>
      </c>
      <c r="B9360" s="4" t="s">
        <v>19724</v>
      </c>
      <c r="C9360" s="4"/>
      <c r="D9360" s="4" t="s">
        <v>19556</v>
      </c>
      <c r="E9360" s="4" t="s">
        <v>19557</v>
      </c>
      <c r="F9360" s="4" t="s">
        <v>19558</v>
      </c>
      <c r="G9360" s="5" t="str">
        <f>IFERROR(__xludf.DUMMYFUNCTION("GOOGLETRANSLATE(D9360,""pt"",""es"")"),"acumulación")</f>
        <v>acumulación</v>
      </c>
      <c r="H9360" s="4" t="s">
        <v>1732</v>
      </c>
      <c r="I9360" s="4" t="s">
        <v>19559</v>
      </c>
      <c r="J9360" s="4" t="s">
        <v>19560</v>
      </c>
      <c r="K9360" s="4" t="s">
        <v>19561</v>
      </c>
      <c r="L9360" s="4" t="s">
        <v>1730</v>
      </c>
      <c r="M9360" s="4" t="s">
        <v>1731</v>
      </c>
      <c r="N9360" s="4" t="s">
        <v>1732</v>
      </c>
      <c r="O9360" s="4" t="s">
        <v>1733</v>
      </c>
      <c r="P9360" s="4" t="s">
        <v>11263</v>
      </c>
      <c r="Q9360" s="4" t="s">
        <v>483</v>
      </c>
      <c r="R9360" s="4" t="s">
        <v>484</v>
      </c>
      <c r="S9360" s="4" t="s">
        <v>2824</v>
      </c>
      <c r="T9360" s="4" t="s">
        <v>2825</v>
      </c>
      <c r="U9360" s="4" t="s">
        <v>2826</v>
      </c>
      <c r="V9360" s="4" t="s">
        <v>1734</v>
      </c>
      <c r="W9360" s="4" t="s">
        <v>19562</v>
      </c>
      <c r="X9360" s="4" t="s">
        <v>11263</v>
      </c>
      <c r="Y9360" s="4" t="s">
        <v>19563</v>
      </c>
    </row>
    <row r="9361">
      <c r="A9361" s="4">
        <v>3.0</v>
      </c>
      <c r="B9361" s="4" t="s">
        <v>19724</v>
      </c>
      <c r="C9361" s="4"/>
      <c r="D9361" s="4" t="s">
        <v>503</v>
      </c>
      <c r="E9361" s="4" t="s">
        <v>504</v>
      </c>
      <c r="F9361" s="4" t="s">
        <v>505</v>
      </c>
      <c r="G9361" s="5" t="str">
        <f>IFERROR(__xludf.DUMMYFUNCTION("GOOGLETRANSLATE(D9361,""pt"",""es"")"),"allá")</f>
        <v>allá</v>
      </c>
      <c r="H9361" s="4" t="s">
        <v>6489</v>
      </c>
      <c r="I9361" s="4" t="s">
        <v>6490</v>
      </c>
      <c r="J9361" s="4" t="s">
        <v>6491</v>
      </c>
      <c r="K9361" s="4" t="s">
        <v>6492</v>
      </c>
      <c r="L9361" s="4" t="s">
        <v>6493</v>
      </c>
      <c r="M9361" s="4" t="s">
        <v>6494</v>
      </c>
      <c r="N9361" s="4" t="s">
        <v>6495</v>
      </c>
      <c r="O9361" s="4" t="s">
        <v>6496</v>
      </c>
      <c r="P9361" s="4" t="s">
        <v>6497</v>
      </c>
      <c r="Q9361" s="4" t="s">
        <v>6498</v>
      </c>
      <c r="R9361" s="4" t="s">
        <v>6499</v>
      </c>
      <c r="S9361" s="4" t="s">
        <v>6500</v>
      </c>
      <c r="T9361" s="4" t="s">
        <v>6488</v>
      </c>
      <c r="U9361" s="4" t="s">
        <v>6501</v>
      </c>
      <c r="V9361" s="4" t="s">
        <v>6502</v>
      </c>
      <c r="W9361" s="4" t="s">
        <v>6503</v>
      </c>
      <c r="X9361" s="4" t="s">
        <v>6504</v>
      </c>
      <c r="Y9361" s="4" t="s">
        <v>6505</v>
      </c>
      <c r="Z9361" s="4" t="s">
        <v>6506</v>
      </c>
      <c r="AA9361" s="4" t="s">
        <v>6507</v>
      </c>
      <c r="AB9361" s="4" t="s">
        <v>6508</v>
      </c>
      <c r="AC9361" s="4" t="s">
        <v>6509</v>
      </c>
      <c r="AD9361" s="4" t="s">
        <v>6510</v>
      </c>
    </row>
    <row r="9362">
      <c r="A9362" s="4">
        <v>4.0</v>
      </c>
      <c r="B9362" s="4" t="s">
        <v>19724</v>
      </c>
      <c r="C9362" s="4"/>
      <c r="D9362" s="4" t="s">
        <v>14299</v>
      </c>
      <c r="E9362" s="4" t="s">
        <v>11785</v>
      </c>
      <c r="F9362" s="4" t="s">
        <v>9204</v>
      </c>
      <c r="G9362" s="5" t="str">
        <f>IFERROR(__xludf.DUMMYFUNCTION("GOOGLETRANSLATE(D9362,""pt"",""es"")"),"AIO")</f>
        <v>AIO</v>
      </c>
    </row>
    <row r="9363">
      <c r="A9363" s="4">
        <v>5.0</v>
      </c>
      <c r="B9363" s="4" t="s">
        <v>19724</v>
      </c>
      <c r="C9363" s="4"/>
      <c r="D9363" s="4" t="s">
        <v>18922</v>
      </c>
      <c r="E9363" s="4" t="s">
        <v>18923</v>
      </c>
      <c r="F9363" s="4" t="s">
        <v>14308</v>
      </c>
      <c r="G9363" s="5" t="str">
        <f>IFERROR(__xludf.DUMMYFUNCTION("GOOGLETRANSLATE(D9363,""pt"",""es"")"),"ajo")</f>
        <v>ajo</v>
      </c>
      <c r="H9363" s="4" t="s">
        <v>526</v>
      </c>
      <c r="I9363" s="4" t="s">
        <v>527</v>
      </c>
      <c r="J9363" s="4" t="s">
        <v>18924</v>
      </c>
      <c r="K9363" s="4" t="s">
        <v>18925</v>
      </c>
      <c r="L9363" s="4" t="s">
        <v>18926</v>
      </c>
      <c r="M9363" s="4" t="s">
        <v>18927</v>
      </c>
      <c r="N9363" s="4" t="s">
        <v>18928</v>
      </c>
      <c r="O9363" s="4" t="s">
        <v>18929</v>
      </c>
      <c r="P9363" s="4" t="s">
        <v>18930</v>
      </c>
      <c r="Q9363" s="4" t="s">
        <v>526</v>
      </c>
      <c r="R9363" s="4" t="s">
        <v>528</v>
      </c>
      <c r="S9363" s="4" t="s">
        <v>526</v>
      </c>
      <c r="T9363" s="4" t="s">
        <v>528</v>
      </c>
    </row>
    <row r="9364">
      <c r="A9364" s="4">
        <v>6.0</v>
      </c>
      <c r="B9364" s="4" t="s">
        <v>19724</v>
      </c>
      <c r="C9364" s="4"/>
      <c r="D9364" s="4" t="s">
        <v>18952</v>
      </c>
      <c r="E9364" s="4" t="s">
        <v>18953</v>
      </c>
      <c r="F9364" s="4" t="s">
        <v>18954</v>
      </c>
      <c r="G9364" s="5" t="str">
        <f>IFERROR(__xludf.DUMMYFUNCTION("GOOGLETRANSLATE(D9364,""pt"",""es"")"),"abuso")</f>
        <v>abuso</v>
      </c>
      <c r="H9364" s="4" t="s">
        <v>18955</v>
      </c>
      <c r="I9364" s="4" t="s">
        <v>18956</v>
      </c>
      <c r="J9364" s="4" t="s">
        <v>18957</v>
      </c>
    </row>
    <row r="9365">
      <c r="A9365" s="4">
        <v>7.0</v>
      </c>
      <c r="B9365" s="4" t="s">
        <v>19724</v>
      </c>
      <c r="C9365" s="4"/>
      <c r="D9365" s="4" t="s">
        <v>18958</v>
      </c>
      <c r="E9365" s="4" t="s">
        <v>18959</v>
      </c>
      <c r="F9365" s="4" t="s">
        <v>18960</v>
      </c>
      <c r="G9365" s="5" t="str">
        <f>IFERROR(__xludf.DUMMYFUNCTION("GOOGLETRANSLATE(D9365,""pt"",""es"")"),"aquí no")</f>
        <v>aquí no</v>
      </c>
    </row>
    <row r="9366">
      <c r="A9366" s="4">
        <v>8.0</v>
      </c>
      <c r="B9366" s="4" t="s">
        <v>19724</v>
      </c>
      <c r="C9366" s="4"/>
      <c r="D9366" s="4" t="s">
        <v>18961</v>
      </c>
      <c r="E9366" s="4" t="s">
        <v>18962</v>
      </c>
      <c r="F9366" s="4" t="s">
        <v>18963</v>
      </c>
      <c r="G9366" s="5" t="str">
        <f>IFERROR(__xludf.DUMMYFUNCTION("GOOGLETRANSLATE(D9366,""pt"",""es"")"),"borde")</f>
        <v>borde</v>
      </c>
      <c r="H9366" s="4" t="s">
        <v>18964</v>
      </c>
      <c r="I9366" s="4" t="s">
        <v>18965</v>
      </c>
      <c r="J9366" s="4" t="s">
        <v>9512</v>
      </c>
      <c r="K9366" s="4" t="s">
        <v>9512</v>
      </c>
    </row>
    <row r="9367">
      <c r="A9367" s="4">
        <v>9.0</v>
      </c>
      <c r="B9367" s="4" t="s">
        <v>19724</v>
      </c>
      <c r="C9367" s="4"/>
      <c r="D9367" s="4" t="s">
        <v>18977</v>
      </c>
      <c r="E9367" s="4" t="s">
        <v>15678</v>
      </c>
      <c r="F9367" s="4" t="s">
        <v>9347</v>
      </c>
      <c r="G9367" s="5" t="str">
        <f>IFERROR(__xludf.DUMMYFUNCTION("GOOGLETRANSLATE(D9367,""pt"",""es"")"),"roca")</f>
        <v>roca</v>
      </c>
    </row>
    <row r="9368">
      <c r="A9368" s="4">
        <v>10.0</v>
      </c>
      <c r="B9368" s="4" t="s">
        <v>19724</v>
      </c>
      <c r="C9368" s="4"/>
      <c r="D9368" s="4" t="s">
        <v>18978</v>
      </c>
      <c r="E9368" s="4" t="s">
        <v>18979</v>
      </c>
      <c r="F9368" s="4" t="s">
        <v>18980</v>
      </c>
      <c r="G9368" s="5" t="str">
        <f>IFERROR(__xludf.DUMMYFUNCTION("GOOGLETRANSLATE(D9368,""pt"",""es"")"),"atribuir")</f>
        <v>atribuir</v>
      </c>
      <c r="H9368" s="4" t="s">
        <v>18981</v>
      </c>
      <c r="I9368" s="4" t="s">
        <v>18982</v>
      </c>
      <c r="J9368" s="4" t="s">
        <v>18983</v>
      </c>
    </row>
    <row r="9369">
      <c r="A9369" s="4">
        <v>11.0</v>
      </c>
      <c r="B9369" s="4" t="s">
        <v>19724</v>
      </c>
      <c r="C9369" s="4"/>
      <c r="D9369" s="4" t="s">
        <v>18984</v>
      </c>
      <c r="E9369" s="4" t="s">
        <v>11761</v>
      </c>
      <c r="F9369" s="4" t="s">
        <v>11762</v>
      </c>
      <c r="G9369" s="5" t="str">
        <f>IFERROR(__xludf.DUMMYFUNCTION("GOOGLETRANSLATE(D9369,""pt"",""es"")"),"Actuar")</f>
        <v>Actuar</v>
      </c>
      <c r="H9369" s="4" t="s">
        <v>3993</v>
      </c>
      <c r="I9369" s="4" t="s">
        <v>15704</v>
      </c>
      <c r="J9369" s="4" t="s">
        <v>15705</v>
      </c>
      <c r="K9369" s="4" t="s">
        <v>15706</v>
      </c>
      <c r="L9369" s="4" t="s">
        <v>18985</v>
      </c>
      <c r="M9369" s="4" t="s">
        <v>9219</v>
      </c>
      <c r="N9369" s="4" t="s">
        <v>18986</v>
      </c>
      <c r="O9369" s="4" t="s">
        <v>18987</v>
      </c>
      <c r="P9369" s="4" t="s">
        <v>3993</v>
      </c>
      <c r="Q9369" s="4" t="s">
        <v>10236</v>
      </c>
      <c r="R9369" s="4" t="s">
        <v>15704</v>
      </c>
      <c r="S9369" s="4" t="s">
        <v>18988</v>
      </c>
      <c r="T9369" s="4" t="s">
        <v>4599</v>
      </c>
      <c r="U9369" s="4" t="s">
        <v>3993</v>
      </c>
    </row>
    <row r="9370">
      <c r="A9370" s="4">
        <v>12.0</v>
      </c>
      <c r="B9370" s="4" t="s">
        <v>19724</v>
      </c>
      <c r="C9370" s="4"/>
      <c r="D9370" s="4" t="s">
        <v>18989</v>
      </c>
      <c r="E9370" s="4" t="s">
        <v>18990</v>
      </c>
      <c r="F9370" s="4" t="s">
        <v>18991</v>
      </c>
      <c r="G9370" s="5" t="str">
        <f>IFERROR(__xludf.DUMMYFUNCTION("GOOGLETRANSLATE(D9370,""pt"",""es"")"),"tuler")</f>
        <v>tuler</v>
      </c>
    </row>
    <row r="9371">
      <c r="A9371" s="4">
        <v>13.0</v>
      </c>
      <c r="B9371" s="4" t="s">
        <v>19724</v>
      </c>
      <c r="C9371" s="4"/>
      <c r="D9371" s="4" t="s">
        <v>18992</v>
      </c>
      <c r="E9371" s="4" t="s">
        <v>15678</v>
      </c>
      <c r="F9371" s="4" t="s">
        <v>9347</v>
      </c>
      <c r="G9371" s="5" t="str">
        <f>IFERROR(__xludf.DUMMYFUNCTION("GOOGLETRANSLATE(D9371,""pt"",""es"")"),"acero")</f>
        <v>acero</v>
      </c>
      <c r="H9371" s="4" t="s">
        <v>16711</v>
      </c>
      <c r="I9371" s="4" t="s">
        <v>16711</v>
      </c>
    </row>
    <row r="9372">
      <c r="A9372" s="4">
        <v>14.0</v>
      </c>
      <c r="B9372" s="4" t="s">
        <v>19724</v>
      </c>
      <c r="C9372" s="4"/>
      <c r="D9372" s="4" t="s">
        <v>18993</v>
      </c>
      <c r="E9372" s="4" t="s">
        <v>504</v>
      </c>
      <c r="F9372" s="4" t="s">
        <v>505</v>
      </c>
      <c r="G9372" s="5" t="str">
        <f>IFERROR(__xludf.DUMMYFUNCTION("GOOGLETRANSLATE(D9372,""pt"",""es"")"),"poner")</f>
        <v>poner</v>
      </c>
    </row>
    <row r="9373">
      <c r="A9373" s="4">
        <v>15.0</v>
      </c>
      <c r="B9373" s="4" t="s">
        <v>19724</v>
      </c>
      <c r="C9373" s="4"/>
      <c r="D9373" s="4" t="s">
        <v>19000</v>
      </c>
      <c r="E9373" s="4" t="s">
        <v>19001</v>
      </c>
      <c r="F9373" s="4" t="s">
        <v>19002</v>
      </c>
      <c r="G9373" s="5" t="str">
        <f>IFERROR(__xludf.DUMMYFUNCTION("GOOGLETRANSLATE(D9373,""pt"",""es"")"),"racimo")</f>
        <v>racimo</v>
      </c>
      <c r="H9373" s="4" t="s">
        <v>3282</v>
      </c>
      <c r="I9373" s="4" t="s">
        <v>8445</v>
      </c>
      <c r="J9373" s="4" t="s">
        <v>8446</v>
      </c>
      <c r="K9373" s="4" t="s">
        <v>8447</v>
      </c>
      <c r="L9373" s="4" t="s">
        <v>19003</v>
      </c>
      <c r="M9373" s="4" t="s">
        <v>19004</v>
      </c>
      <c r="N9373" s="4" t="s">
        <v>7299</v>
      </c>
      <c r="O9373" s="4" t="s">
        <v>19005</v>
      </c>
    </row>
    <row r="9374">
      <c r="A9374" s="4">
        <v>16.0</v>
      </c>
      <c r="B9374" s="4" t="s">
        <v>19724</v>
      </c>
      <c r="C9374" s="4"/>
      <c r="D9374" s="4" t="s">
        <v>19006</v>
      </c>
      <c r="E9374" s="4" t="s">
        <v>19007</v>
      </c>
      <c r="F9374" s="4" t="s">
        <v>19008</v>
      </c>
      <c r="G9374" s="5" t="str">
        <f>IFERROR(__xludf.DUMMYFUNCTION("GOOGLETRANSLATE(D9374,""pt"",""es"")"),"agudo")</f>
        <v>agudo</v>
      </c>
      <c r="H9374" s="4" t="s">
        <v>19009</v>
      </c>
      <c r="I9374" s="4" t="s">
        <v>19010</v>
      </c>
      <c r="J9374" s="4" t="s">
        <v>19011</v>
      </c>
    </row>
    <row r="9375">
      <c r="A9375" s="4">
        <v>17.0</v>
      </c>
      <c r="B9375" s="4" t="s">
        <v>19724</v>
      </c>
      <c r="C9375" s="4"/>
      <c r="D9375" s="4" t="s">
        <v>14116</v>
      </c>
      <c r="E9375" s="4" t="s">
        <v>11951</v>
      </c>
      <c r="F9375" s="4" t="s">
        <v>11811</v>
      </c>
      <c r="G9375" s="5" t="str">
        <f>IFERROR(__xludf.DUMMYFUNCTION("GOOGLETRANSLATE(D9375,""pt"",""es"")"),"caídas")</f>
        <v>caídas</v>
      </c>
    </row>
    <row r="9376">
      <c r="A9376" s="4">
        <v>18.0</v>
      </c>
      <c r="B9376" s="4" t="s">
        <v>19724</v>
      </c>
      <c r="C9376" s="4"/>
      <c r="D9376" s="4" t="s">
        <v>19012</v>
      </c>
      <c r="E9376" s="4" t="s">
        <v>11814</v>
      </c>
      <c r="F9376" s="4" t="s">
        <v>11815</v>
      </c>
      <c r="G9376" s="5" t="str">
        <f>IFERROR(__xludf.DUMMYFUNCTION("GOOGLETRANSLATE(D9376,""pt"",""es"")"),"jaula")</f>
        <v>jaula</v>
      </c>
      <c r="H9376" s="4" t="s">
        <v>19013</v>
      </c>
      <c r="I9376" s="4" t="s">
        <v>19014</v>
      </c>
      <c r="J9376" s="4" t="s">
        <v>19015</v>
      </c>
    </row>
    <row r="9377">
      <c r="A9377" s="4">
        <v>19.0</v>
      </c>
      <c r="B9377" s="4" t="s">
        <v>19724</v>
      </c>
      <c r="C9377" s="4"/>
      <c r="D9377" s="4" t="s">
        <v>1033</v>
      </c>
      <c r="E9377" s="4" t="s">
        <v>1034</v>
      </c>
      <c r="F9377" s="4" t="s">
        <v>1035</v>
      </c>
      <c r="G9377" s="5" t="str">
        <f>IFERROR(__xludf.DUMMYFUNCTION("GOOGLETRANSLATE(D9377,""pt"",""es"")"),"callo")</f>
        <v>callo</v>
      </c>
      <c r="H9377" s="4" t="s">
        <v>1013</v>
      </c>
      <c r="I9377" s="4" t="s">
        <v>1013</v>
      </c>
      <c r="J9377" s="4" t="s">
        <v>11820</v>
      </c>
      <c r="K9377" s="4" t="s">
        <v>1013</v>
      </c>
    </row>
    <row r="9378">
      <c r="A9378" s="4">
        <v>20.0</v>
      </c>
      <c r="B9378" s="4" t="s">
        <v>19724</v>
      </c>
      <c r="C9378" s="4"/>
      <c r="D9378" s="4" t="s">
        <v>14351</v>
      </c>
      <c r="E9378" s="4" t="s">
        <v>19024</v>
      </c>
      <c r="F9378" s="4" t="s">
        <v>14353</v>
      </c>
      <c r="G9378" s="5" t="str">
        <f>IFERROR(__xludf.DUMMYFUNCTION("GOOGLETRANSLATE(D9378,""pt"",""es"")"),"caro")</f>
        <v>caro</v>
      </c>
      <c r="H9378" s="4" t="s">
        <v>1304</v>
      </c>
      <c r="I9378" s="4" t="s">
        <v>13997</v>
      </c>
      <c r="J9378" s="4" t="s">
        <v>6556</v>
      </c>
      <c r="K9378" s="4" t="s">
        <v>13998</v>
      </c>
      <c r="L9378" s="4" t="s">
        <v>13999</v>
      </c>
      <c r="M9378" s="4" t="s">
        <v>14000</v>
      </c>
      <c r="N9378" s="4" t="s">
        <v>14001</v>
      </c>
      <c r="O9378" s="4" t="s">
        <v>13997</v>
      </c>
      <c r="P9378" s="4" t="s">
        <v>14002</v>
      </c>
      <c r="Q9378" s="4" t="s">
        <v>5680</v>
      </c>
      <c r="R9378" s="4" t="s">
        <v>6556</v>
      </c>
    </row>
    <row r="9379">
      <c r="A9379" s="4">
        <v>21.0</v>
      </c>
      <c r="B9379" s="4" t="s">
        <v>19724</v>
      </c>
      <c r="C9379" s="4"/>
      <c r="D9379" s="4" t="s">
        <v>19031</v>
      </c>
      <c r="E9379" s="4" t="s">
        <v>9104</v>
      </c>
      <c r="F9379" s="4" t="s">
        <v>9103</v>
      </c>
      <c r="G9379" s="5" t="str">
        <f>IFERROR(__xludf.DUMMYFUNCTION("GOOGLETRANSLATE(D9379,""pt"",""es"")"),"Cato")</f>
        <v>Cato</v>
      </c>
    </row>
    <row r="9380">
      <c r="A9380" s="4">
        <v>22.0</v>
      </c>
      <c r="B9380" s="4" t="s">
        <v>19724</v>
      </c>
      <c r="C9380" s="4"/>
      <c r="D9380" s="4" t="s">
        <v>1376</v>
      </c>
      <c r="E9380" s="4" t="s">
        <v>1377</v>
      </c>
      <c r="F9380" s="4" t="s">
        <v>1378</v>
      </c>
      <c r="G9380" s="5" t="str">
        <f>IFERROR(__xludf.DUMMYFUNCTION("GOOGLETRANSLATE(D9380,""pt"",""es"")"),"esquina")</f>
        <v>esquina</v>
      </c>
    </row>
    <row r="9381">
      <c r="A9381" s="4">
        <v>23.0</v>
      </c>
      <c r="B9381" s="4" t="s">
        <v>19724</v>
      </c>
      <c r="C9381" s="4"/>
      <c r="D9381" s="4" t="s">
        <v>19032</v>
      </c>
      <c r="E9381" s="4" t="s">
        <v>19033</v>
      </c>
      <c r="F9381" s="4" t="s">
        <v>19034</v>
      </c>
      <c r="G9381" s="5" t="str">
        <f>IFERROR(__xludf.DUMMYFUNCTION("GOOGLETRANSLATE(D9381,""pt"",""es"")"),"sacrificio")</f>
        <v>sacrificio</v>
      </c>
    </row>
    <row r="9382">
      <c r="A9382" s="4">
        <v>24.0</v>
      </c>
      <c r="B9382" s="4" t="s">
        <v>19724</v>
      </c>
      <c r="C9382" s="4"/>
      <c r="D9382" s="4" t="s">
        <v>19035</v>
      </c>
      <c r="E9382" s="4" t="s">
        <v>4684</v>
      </c>
      <c r="F9382" s="4" t="s">
        <v>4685</v>
      </c>
      <c r="G9382" s="5" t="str">
        <f>IFERROR(__xludf.DUMMYFUNCTION("GOOGLETRANSLATE(D9382,""pt"",""es"")"),"irritante")</f>
        <v>irritante</v>
      </c>
      <c r="H9382" s="4" t="s">
        <v>19036</v>
      </c>
      <c r="I9382" s="4" t="s">
        <v>19037</v>
      </c>
      <c r="J9382" s="4" t="s">
        <v>3225</v>
      </c>
      <c r="K9382" s="4" t="s">
        <v>19038</v>
      </c>
      <c r="L9382" s="4" t="s">
        <v>19039</v>
      </c>
      <c r="M9382" s="4" t="s">
        <v>3228</v>
      </c>
      <c r="N9382" s="4" t="s">
        <v>19040</v>
      </c>
      <c r="O9382" s="4" t="s">
        <v>19041</v>
      </c>
      <c r="P9382" s="4" t="s">
        <v>19042</v>
      </c>
      <c r="Q9382" s="4" t="s">
        <v>2339</v>
      </c>
      <c r="R9382" s="4" t="s">
        <v>19043</v>
      </c>
      <c r="S9382" s="4" t="s">
        <v>19044</v>
      </c>
    </row>
    <row r="9383">
      <c r="A9383" s="4">
        <v>25.0</v>
      </c>
      <c r="B9383" s="4" t="s">
        <v>19724</v>
      </c>
      <c r="C9383" s="4"/>
      <c r="D9383" s="4" t="s">
        <v>19045</v>
      </c>
      <c r="E9383" s="4" t="s">
        <v>19046</v>
      </c>
      <c r="F9383" s="4" t="s">
        <v>19047</v>
      </c>
      <c r="G9383" s="5" t="str">
        <f>IFERROR(__xludf.DUMMYFUNCTION("GOOGLETRANSLATE(D9383,""pt"",""es"")"),"chicho")</f>
        <v>chicho</v>
      </c>
    </row>
    <row r="9384">
      <c r="A9384" s="4">
        <v>26.0</v>
      </c>
      <c r="B9384" s="4" t="s">
        <v>19724</v>
      </c>
      <c r="C9384" s="4"/>
      <c r="D9384" s="4" t="s">
        <v>19048</v>
      </c>
      <c r="E9384" s="4" t="s">
        <v>19049</v>
      </c>
      <c r="F9384" s="4" t="s">
        <v>19050</v>
      </c>
      <c r="G9384" s="5" t="str">
        <f>IFERROR(__xludf.DUMMYFUNCTION("GOOGLETRANSLATE(D9384,""pt"",""es"")"),"Chico")</f>
        <v>Chico</v>
      </c>
    </row>
    <row r="9385">
      <c r="A9385" s="4">
        <v>27.0</v>
      </c>
      <c r="B9385" s="4" t="s">
        <v>19724</v>
      </c>
      <c r="C9385" s="4"/>
      <c r="D9385" s="4" t="s">
        <v>19564</v>
      </c>
      <c r="E9385" s="4" t="s">
        <v>19565</v>
      </c>
      <c r="F9385" s="4" t="s">
        <v>19566</v>
      </c>
      <c r="G9385" s="5" t="str">
        <f>IFERROR(__xludf.DUMMYFUNCTION("GOOGLETRANSLATE(D9385,""pt"",""es"")"),"traqueteo")</f>
        <v>traqueteo</v>
      </c>
      <c r="H9385" s="4" t="s">
        <v>19567</v>
      </c>
      <c r="I9385" s="4" t="s">
        <v>19568</v>
      </c>
    </row>
    <row r="9386">
      <c r="A9386" s="4">
        <v>28.0</v>
      </c>
      <c r="B9386" s="4" t="s">
        <v>19724</v>
      </c>
      <c r="C9386" s="4"/>
      <c r="D9386" s="4" t="s">
        <v>19569</v>
      </c>
      <c r="E9386" s="4" t="s">
        <v>19570</v>
      </c>
      <c r="F9386" s="4" t="s">
        <v>19571</v>
      </c>
      <c r="G9386" s="5" t="str">
        <f>IFERROR(__xludf.DUMMYFUNCTION("GOOGLETRANSLATE(D9386,""pt"",""es"")"),"choque")</f>
        <v>choque</v>
      </c>
      <c r="H9386" s="4" t="s">
        <v>8416</v>
      </c>
      <c r="I9386" s="4" t="s">
        <v>3462</v>
      </c>
      <c r="J9386" s="4" t="s">
        <v>8732</v>
      </c>
    </row>
    <row r="9387">
      <c r="A9387" s="4">
        <v>29.0</v>
      </c>
      <c r="B9387" s="4" t="s">
        <v>19724</v>
      </c>
      <c r="C9387" s="4"/>
      <c r="D9387" s="4" t="s">
        <v>19572</v>
      </c>
      <c r="E9387" s="4" t="s">
        <v>14581</v>
      </c>
      <c r="F9387" s="4" t="s">
        <v>14582</v>
      </c>
      <c r="G9387" s="5" t="str">
        <f>IFERROR(__xludf.DUMMYFUNCTION("GOOGLETRANSLATE(D9387,""pt"",""es"")"),"llorar")</f>
        <v>llorar</v>
      </c>
      <c r="H9387" s="4" t="s">
        <v>8068</v>
      </c>
      <c r="I9387" s="4" t="s">
        <v>19573</v>
      </c>
    </row>
    <row r="9388">
      <c r="A9388" s="4">
        <v>30.0</v>
      </c>
      <c r="B9388" s="4" t="s">
        <v>19724</v>
      </c>
      <c r="C9388" s="4"/>
      <c r="D9388" s="4" t="s">
        <v>19051</v>
      </c>
      <c r="E9388" s="4" t="s">
        <v>19052</v>
      </c>
      <c r="F9388" s="4" t="s">
        <v>12114</v>
      </c>
      <c r="G9388" s="5" t="str">
        <f>IFERROR(__xludf.DUMMYFUNCTION("GOOGLETRANSLATE(D9388,""pt"",""es"")"),"chuca")</f>
        <v>chuca</v>
      </c>
    </row>
    <row r="9389">
      <c r="A9389" s="4">
        <v>31.0</v>
      </c>
      <c r="B9389" s="4" t="s">
        <v>19724</v>
      </c>
      <c r="C9389" s="4"/>
      <c r="D9389" s="4" t="s">
        <v>19053</v>
      </c>
      <c r="E9389" s="4" t="s">
        <v>19054</v>
      </c>
      <c r="F9389" s="4" t="s">
        <v>19055</v>
      </c>
      <c r="G9389" s="5" t="str">
        <f>IFERROR(__xludf.DUMMYFUNCTION("GOOGLETRANSLATE(D9389,""pt"",""es"")"),"Pendiente")</f>
        <v>Pendiente</v>
      </c>
      <c r="H9389" s="4" t="s">
        <v>19056</v>
      </c>
      <c r="I9389" s="4" t="s">
        <v>19057</v>
      </c>
      <c r="J9389" s="4" t="s">
        <v>19058</v>
      </c>
      <c r="K9389" s="4" t="s">
        <v>19059</v>
      </c>
      <c r="L9389" s="4" t="s">
        <v>19060</v>
      </c>
      <c r="M9389" s="4" t="s">
        <v>19061</v>
      </c>
      <c r="N9389" s="4" t="s">
        <v>19062</v>
      </c>
    </row>
    <row r="9390">
      <c r="A9390" s="4">
        <v>32.0</v>
      </c>
      <c r="B9390" s="4" t="s">
        <v>19724</v>
      </c>
      <c r="C9390" s="4"/>
      <c r="D9390" s="4" t="s">
        <v>19063</v>
      </c>
      <c r="E9390" s="4" t="s">
        <v>19064</v>
      </c>
      <c r="F9390" s="4" t="s">
        <v>19065</v>
      </c>
      <c r="G9390" s="5" t="str">
        <f>IFERROR(__xludf.DUMMYFUNCTION("GOOGLETRANSLATE(D9390,""pt"",""es"")"),"taco")</f>
        <v>taco</v>
      </c>
      <c r="H9390" s="4" t="s">
        <v>19066</v>
      </c>
      <c r="I9390" s="4" t="s">
        <v>19067</v>
      </c>
      <c r="J9390" s="4" t="s">
        <v>19068</v>
      </c>
    </row>
    <row r="9391">
      <c r="A9391" s="4">
        <v>33.0</v>
      </c>
      <c r="B9391" s="4" t="s">
        <v>19724</v>
      </c>
      <c r="C9391" s="4"/>
      <c r="D9391" s="4" t="s">
        <v>19574</v>
      </c>
      <c r="E9391" s="4" t="s">
        <v>19575</v>
      </c>
      <c r="F9391" s="4" t="s">
        <v>19576</v>
      </c>
      <c r="G9391" s="5" t="str">
        <f>IFERROR(__xludf.DUMMYFUNCTION("GOOGLETRANSLATE(D9391,""pt"",""es"")"),"para chupar")</f>
        <v>para chupar</v>
      </c>
      <c r="H9391" s="4" t="s">
        <v>19577</v>
      </c>
      <c r="I9391" s="4" t="s">
        <v>19577</v>
      </c>
      <c r="J9391" s="4" t="s">
        <v>19577</v>
      </c>
      <c r="K9391" s="4" t="s">
        <v>19578</v>
      </c>
    </row>
    <row r="9392">
      <c r="A9392" s="4">
        <v>34.0</v>
      </c>
      <c r="B9392" s="4" t="s">
        <v>19724</v>
      </c>
      <c r="C9392" s="4"/>
      <c r="D9392" s="4" t="s">
        <v>19579</v>
      </c>
      <c r="E9392" s="4" t="s">
        <v>19580</v>
      </c>
      <c r="F9392" s="4" t="s">
        <v>19581</v>
      </c>
      <c r="G9392" s="5" t="str">
        <f>IFERROR(__xludf.DUMMYFUNCTION("GOOGLETRANSLATE(D9392,""pt"",""es"")"),"patada")</f>
        <v>patada</v>
      </c>
      <c r="H9392" s="4" t="s">
        <v>15338</v>
      </c>
      <c r="I9392" s="4" t="s">
        <v>15339</v>
      </c>
      <c r="J9392" s="4" t="s">
        <v>15340</v>
      </c>
      <c r="K9392" s="4" t="s">
        <v>15341</v>
      </c>
      <c r="L9392" s="4" t="s">
        <v>3130</v>
      </c>
      <c r="M9392" s="4" t="s">
        <v>4744</v>
      </c>
      <c r="N9392" s="4" t="s">
        <v>4744</v>
      </c>
    </row>
    <row r="9393">
      <c r="A9393" s="4">
        <v>35.0</v>
      </c>
      <c r="B9393" s="4" t="s">
        <v>19724</v>
      </c>
      <c r="C9393" s="4"/>
      <c r="D9393" s="4" t="s">
        <v>19069</v>
      </c>
      <c r="E9393" s="4" t="s">
        <v>19070</v>
      </c>
      <c r="F9393" s="4" t="s">
        <v>19071</v>
      </c>
      <c r="G9393" s="5" t="str">
        <f>IFERROR(__xludf.DUMMYFUNCTION("GOOGLETRANSLATE(D9393,""pt"",""es"")"),"patada")</f>
        <v>patada</v>
      </c>
    </row>
    <row r="9394">
      <c r="A9394" s="4">
        <v>36.0</v>
      </c>
      <c r="B9394" s="4" t="s">
        <v>19724</v>
      </c>
      <c r="C9394" s="4"/>
      <c r="D9394" s="4" t="s">
        <v>19072</v>
      </c>
      <c r="E9394" s="4" t="s">
        <v>19073</v>
      </c>
      <c r="F9394" s="4" t="s">
        <v>19074</v>
      </c>
      <c r="G9394" s="5" t="str">
        <f>IFERROR(__xludf.DUMMYFUNCTION("GOOGLETRANSLATE(D9394,""pt"",""es"")"),"espinilla")</f>
        <v>espinilla</v>
      </c>
      <c r="H9394" s="4" t="s">
        <v>3466</v>
      </c>
    </row>
    <row r="9395">
      <c r="A9395" s="4">
        <v>37.0</v>
      </c>
      <c r="B9395" s="4" t="s">
        <v>19724</v>
      </c>
      <c r="C9395" s="4"/>
      <c r="D9395" s="4" t="s">
        <v>19075</v>
      </c>
      <c r="E9395" s="4" t="s">
        <v>4671</v>
      </c>
      <c r="F9395" s="4" t="s">
        <v>4672</v>
      </c>
      <c r="G9395" s="5" t="str">
        <f>IFERROR(__xludf.DUMMYFUNCTION("GOOGLETRANSLATE(D9395,""pt"",""es"")"),"té")</f>
        <v>té</v>
      </c>
      <c r="H9395" s="4" t="s">
        <v>8821</v>
      </c>
      <c r="I9395" s="4" t="s">
        <v>8825</v>
      </c>
      <c r="J9395" s="4" t="s">
        <v>8821</v>
      </c>
      <c r="K9395" s="4" t="s">
        <v>19076</v>
      </c>
      <c r="L9395" s="4" t="s">
        <v>19077</v>
      </c>
      <c r="M9395" s="4" t="s">
        <v>19078</v>
      </c>
      <c r="N9395" s="4" t="s">
        <v>19079</v>
      </c>
      <c r="O9395" s="4" t="s">
        <v>19080</v>
      </c>
      <c r="P9395" s="4" t="s">
        <v>19081</v>
      </c>
    </row>
    <row r="9396">
      <c r="A9396" s="4">
        <v>38.0</v>
      </c>
      <c r="B9396" s="4" t="s">
        <v>19724</v>
      </c>
      <c r="C9396" s="4"/>
      <c r="D9396" s="4" t="s">
        <v>1433</v>
      </c>
      <c r="E9396" s="4" t="s">
        <v>1441</v>
      </c>
      <c r="F9396" s="4" t="s">
        <v>1442</v>
      </c>
      <c r="G9396" s="5" t="str">
        <f>IFERROR(__xludf.DUMMYFUNCTION("GOOGLETRANSLATE(D9396,""pt"",""es"")"),"citar")</f>
        <v>citar</v>
      </c>
      <c r="H9396" s="4" t="s">
        <v>1428</v>
      </c>
      <c r="I9396" s="4" t="s">
        <v>1434</v>
      </c>
      <c r="J9396" s="4" t="s">
        <v>1428</v>
      </c>
      <c r="K9396" s="4" t="s">
        <v>1434</v>
      </c>
      <c r="L9396" s="4" t="s">
        <v>1435</v>
      </c>
      <c r="M9396" s="4" t="s">
        <v>1436</v>
      </c>
      <c r="N9396" s="4" t="s">
        <v>1437</v>
      </c>
      <c r="O9396" s="4" t="s">
        <v>1434</v>
      </c>
      <c r="P9396" s="4" t="s">
        <v>1438</v>
      </c>
      <c r="Q9396" s="4" t="s">
        <v>1439</v>
      </c>
      <c r="R9396" s="4" t="s">
        <v>1440</v>
      </c>
      <c r="S9396" s="4" t="s">
        <v>1434</v>
      </c>
    </row>
    <row r="9397">
      <c r="A9397" s="4">
        <v>39.0</v>
      </c>
      <c r="B9397" s="4" t="s">
        <v>19724</v>
      </c>
      <c r="C9397" s="4"/>
      <c r="D9397" s="4" t="s">
        <v>19085</v>
      </c>
      <c r="E9397" s="4" t="s">
        <v>19086</v>
      </c>
      <c r="F9397" s="4" t="s">
        <v>19087</v>
      </c>
      <c r="G9397" s="5" t="str">
        <f>IFERROR(__xludf.DUMMYFUNCTION("GOOGLETRANSLATE(D9397,""pt"",""es"")"),"susurro")</f>
        <v>susurro</v>
      </c>
      <c r="H9397" s="4" t="s">
        <v>9876</v>
      </c>
      <c r="I9397" s="4" t="s">
        <v>9877</v>
      </c>
      <c r="J9397" s="4" t="s">
        <v>19088</v>
      </c>
      <c r="K9397" s="4" t="s">
        <v>19089</v>
      </c>
    </row>
    <row r="9398">
      <c r="A9398" s="4">
        <v>40.0</v>
      </c>
      <c r="B9398" s="4" t="s">
        <v>19724</v>
      </c>
      <c r="C9398" s="4"/>
      <c r="D9398" s="4" t="s">
        <v>14141</v>
      </c>
      <c r="E9398" s="4" t="s">
        <v>19582</v>
      </c>
      <c r="F9398" s="4" t="s">
        <v>14143</v>
      </c>
      <c r="G9398" s="5" t="str">
        <f>IFERROR(__xludf.DUMMYFUNCTION("GOOGLETRANSLATE(D9398,""pt"",""es"")"),"collar")</f>
        <v>collar</v>
      </c>
      <c r="H9398" s="4" t="s">
        <v>19583</v>
      </c>
      <c r="I9398" s="4" t="s">
        <v>4302</v>
      </c>
      <c r="J9398" s="4" t="s">
        <v>19584</v>
      </c>
      <c r="K9398" s="4" t="s">
        <v>3169</v>
      </c>
      <c r="L9398" s="4" t="s">
        <v>19585</v>
      </c>
      <c r="M9398" s="4" t="s">
        <v>19586</v>
      </c>
      <c r="N9398" s="4" t="s">
        <v>15872</v>
      </c>
      <c r="O9398" s="4" t="s">
        <v>19587</v>
      </c>
      <c r="P9398" s="4" t="s">
        <v>19588</v>
      </c>
      <c r="Q9398" s="4" t="s">
        <v>19589</v>
      </c>
      <c r="R9398" s="4" t="s">
        <v>19590</v>
      </c>
      <c r="S9398" s="4" t="s">
        <v>19591</v>
      </c>
      <c r="T9398" s="4" t="s">
        <v>19592</v>
      </c>
      <c r="U9398" s="4" t="s">
        <v>1457</v>
      </c>
      <c r="V9398" s="4" t="s">
        <v>19593</v>
      </c>
      <c r="W9398" s="4" t="s">
        <v>19594</v>
      </c>
      <c r="X9398" s="4" t="s">
        <v>1462</v>
      </c>
    </row>
    <row r="9399">
      <c r="A9399" s="4">
        <v>41.0</v>
      </c>
      <c r="B9399" s="4" t="s">
        <v>19724</v>
      </c>
      <c r="C9399" s="4"/>
      <c r="D9399" s="4" t="s">
        <v>19595</v>
      </c>
      <c r="E9399" s="4" t="s">
        <v>19596</v>
      </c>
      <c r="F9399" s="4" t="s">
        <v>19597</v>
      </c>
      <c r="G9399" s="5" t="str">
        <f>IFERROR(__xludf.DUMMYFUNCTION("GOOGLETRANSLATE(D9399,""pt"",""es"")"),"colorear")</f>
        <v>colorear</v>
      </c>
      <c r="H9399" s="4" t="s">
        <v>19598</v>
      </c>
      <c r="I9399" s="4" t="s">
        <v>19599</v>
      </c>
      <c r="J9399" s="4" t="s">
        <v>2586</v>
      </c>
      <c r="K9399" s="4" t="s">
        <v>2585</v>
      </c>
      <c r="L9399" s="4" t="s">
        <v>2585</v>
      </c>
      <c r="M9399" s="4" t="s">
        <v>2586</v>
      </c>
      <c r="N9399" s="4" t="s">
        <v>19600</v>
      </c>
    </row>
    <row r="9400">
      <c r="A9400" s="4">
        <v>42.0</v>
      </c>
      <c r="B9400" s="4" t="s">
        <v>19724</v>
      </c>
      <c r="C9400" s="4"/>
      <c r="D9400" s="4" t="s">
        <v>1490</v>
      </c>
      <c r="E9400" s="4" t="s">
        <v>19601</v>
      </c>
      <c r="F9400" s="4" t="s">
        <v>19602</v>
      </c>
      <c r="G9400" s="5" t="str">
        <f>IFERROR(__xludf.DUMMYFUNCTION("GOOGLETRANSLATE(D9400,""pt"",""es"")"),"comunicar")</f>
        <v>comunicar</v>
      </c>
      <c r="H9400" s="4" t="s">
        <v>1494</v>
      </c>
      <c r="I9400" s="4" t="s">
        <v>1495</v>
      </c>
      <c r="J9400" s="4" t="s">
        <v>19603</v>
      </c>
      <c r="K9400" s="4" t="s">
        <v>19604</v>
      </c>
      <c r="L9400" s="4" t="s">
        <v>5960</v>
      </c>
      <c r="M9400" s="4" t="s">
        <v>19605</v>
      </c>
      <c r="N9400" s="4" t="s">
        <v>19606</v>
      </c>
      <c r="O9400" s="4" t="s">
        <v>19607</v>
      </c>
    </row>
    <row r="9401">
      <c r="A9401" s="4">
        <v>43.0</v>
      </c>
      <c r="B9401" s="4" t="s">
        <v>19724</v>
      </c>
      <c r="C9401" s="4"/>
      <c r="D9401" s="4" t="s">
        <v>1554</v>
      </c>
      <c r="E9401" s="4" t="s">
        <v>1555</v>
      </c>
      <c r="F9401" s="4" t="s">
        <v>1556</v>
      </c>
      <c r="G9401" s="5" t="str">
        <f>IFERROR(__xludf.DUMMYFUNCTION("GOOGLETRANSLATE(D9401,""pt"",""es"")"),"Galleta")</f>
        <v>Galleta</v>
      </c>
      <c r="H9401" s="4" t="s">
        <v>1554</v>
      </c>
      <c r="I9401" s="4" t="s">
        <v>6087</v>
      </c>
      <c r="J9401" s="4" t="s">
        <v>6088</v>
      </c>
    </row>
    <row r="9402">
      <c r="A9402" s="4">
        <v>44.0</v>
      </c>
      <c r="B9402" s="4" t="s">
        <v>19724</v>
      </c>
      <c r="C9402" s="4"/>
      <c r="D9402" s="4" t="s">
        <v>19608</v>
      </c>
      <c r="E9402" s="4" t="s">
        <v>19609</v>
      </c>
      <c r="F9402" s="4" t="s">
        <v>19610</v>
      </c>
      <c r="G9402" s="5" t="str">
        <f>IFERROR(__xludf.DUMMYFUNCTION("GOOGLETRANSLATE(D9402,""pt"",""es"")"),"a la altura")</f>
        <v>a la altura</v>
      </c>
      <c r="H9402" s="4" t="s">
        <v>3634</v>
      </c>
      <c r="I9402" s="4" t="s">
        <v>19611</v>
      </c>
      <c r="J9402" s="4" t="s">
        <v>19612</v>
      </c>
    </row>
    <row r="9403">
      <c r="A9403" s="4">
        <v>45.0</v>
      </c>
      <c r="B9403" s="4" t="s">
        <v>19724</v>
      </c>
      <c r="C9403" s="4"/>
      <c r="D9403" s="4" t="s">
        <v>1580</v>
      </c>
      <c r="E9403" s="4" t="s">
        <v>1581</v>
      </c>
      <c r="F9403" s="4" t="s">
        <v>1582</v>
      </c>
      <c r="G9403" s="5" t="str">
        <f>IFERROR(__xludf.DUMMYFUNCTION("GOOGLETRANSLATE(D9403,""pt"",""es"")"),"culo")</f>
        <v>culo</v>
      </c>
      <c r="H9403" s="4" t="s">
        <v>1602</v>
      </c>
      <c r="I9403" s="4" t="s">
        <v>1603</v>
      </c>
      <c r="J9403" s="4" t="s">
        <v>1604</v>
      </c>
      <c r="K9403" s="4" t="s">
        <v>1605</v>
      </c>
      <c r="L9403" s="4" t="s">
        <v>1606</v>
      </c>
      <c r="M9403" s="4" t="s">
        <v>1147</v>
      </c>
      <c r="N9403" s="4" t="s">
        <v>1607</v>
      </c>
      <c r="O9403" s="4" t="s">
        <v>1120</v>
      </c>
      <c r="P9403" s="4" t="s">
        <v>1608</v>
      </c>
      <c r="Q9403" s="4" t="s">
        <v>1609</v>
      </c>
      <c r="R9403" s="4" t="s">
        <v>1610</v>
      </c>
      <c r="S9403" s="4" t="s">
        <v>1611</v>
      </c>
      <c r="T9403" s="4" t="s">
        <v>1612</v>
      </c>
      <c r="U9403" s="4" t="s">
        <v>1613</v>
      </c>
      <c r="V9403" s="4" t="s">
        <v>1614</v>
      </c>
      <c r="W9403" s="4" t="s">
        <v>1615</v>
      </c>
      <c r="X9403" s="4" t="s">
        <v>1616</v>
      </c>
      <c r="Y9403" s="4" t="s">
        <v>1617</v>
      </c>
      <c r="Z9403" s="4" t="s">
        <v>1618</v>
      </c>
      <c r="AA9403" s="4" t="s">
        <v>1619</v>
      </c>
      <c r="AB9403" s="4" t="s">
        <v>1620</v>
      </c>
      <c r="AC9403" s="4" t="s">
        <v>1621</v>
      </c>
      <c r="AD9403" s="4" t="s">
        <v>1622</v>
      </c>
      <c r="AE9403" s="4" t="s">
        <v>1623</v>
      </c>
      <c r="AF9403" s="4" t="s">
        <v>1624</v>
      </c>
      <c r="AG9403" s="4" t="s">
        <v>1625</v>
      </c>
      <c r="AH9403" s="4" t="s">
        <v>1626</v>
      </c>
      <c r="AI9403" s="4" t="s">
        <v>1627</v>
      </c>
    </row>
    <row r="9404">
      <c r="A9404" s="4">
        <v>46.0</v>
      </c>
      <c r="B9404" s="4" t="s">
        <v>19724</v>
      </c>
      <c r="C9404" s="4"/>
      <c r="D9404" s="4" t="s">
        <v>19090</v>
      </c>
      <c r="E9404" s="4" t="s">
        <v>19091</v>
      </c>
      <c r="F9404" s="4" t="s">
        <v>19092</v>
      </c>
      <c r="G9404" s="5" t="str">
        <f>IFERROR(__xludf.DUMMYFUNCTION("GOOGLETRANSLATE(D9404,""pt"",""es"")"),"curar")</f>
        <v>curar</v>
      </c>
    </row>
    <row r="9405">
      <c r="A9405" s="4">
        <v>47.0</v>
      </c>
      <c r="B9405" s="4" t="s">
        <v>19724</v>
      </c>
      <c r="C9405" s="4"/>
      <c r="D9405" s="4" t="s">
        <v>19093</v>
      </c>
      <c r="E9405" s="4" t="s">
        <v>961</v>
      </c>
      <c r="F9405" s="4" t="s">
        <v>962</v>
      </c>
      <c r="G9405" s="5" t="str">
        <f>IFERROR(__xludf.DUMMYFUNCTION("GOOGLETRANSLATE(D9405,""pt"",""es"")"),"aquí")</f>
        <v>aquí</v>
      </c>
      <c r="H9405" s="4" t="s">
        <v>12448</v>
      </c>
      <c r="I9405" s="4" t="s">
        <v>12389</v>
      </c>
    </row>
    <row r="9406">
      <c r="A9406" s="4">
        <v>48.0</v>
      </c>
      <c r="B9406" s="4" t="s">
        <v>19724</v>
      </c>
      <c r="C9406" s="4"/>
      <c r="D9406" s="4" t="s">
        <v>19094</v>
      </c>
      <c r="E9406" s="4" t="s">
        <v>1296</v>
      </c>
      <c r="F9406" s="4" t="s">
        <v>1297</v>
      </c>
      <c r="G9406" s="5" t="str">
        <f>IFERROR(__xludf.DUMMYFUNCTION("GOOGLETRANSLATE(D9406,""pt"",""es"")"),"caqui")</f>
        <v>caqui</v>
      </c>
    </row>
    <row r="9407">
      <c r="A9407" s="4">
        <v>49.0</v>
      </c>
      <c r="B9407" s="4" t="s">
        <v>19724</v>
      </c>
      <c r="C9407" s="4"/>
      <c r="D9407" s="4" t="s">
        <v>19613</v>
      </c>
      <c r="E9407" s="4" t="s">
        <v>19614</v>
      </c>
      <c r="F9407" s="4" t="s">
        <v>19615</v>
      </c>
      <c r="G9407" s="5" t="str">
        <f>IFERROR(__xludf.DUMMYFUNCTION("GOOGLETRANSLATE(D9407,""pt"",""es"")"),"emular")</f>
        <v>emular</v>
      </c>
      <c r="H9407" s="4" t="s">
        <v>19616</v>
      </c>
    </row>
    <row r="9408">
      <c r="A9408" s="4">
        <v>50.0</v>
      </c>
      <c r="B9408" s="4" t="s">
        <v>19724</v>
      </c>
      <c r="C9408" s="4"/>
      <c r="D9408" s="4" t="s">
        <v>19617</v>
      </c>
      <c r="E9408" s="4" t="s">
        <v>19618</v>
      </c>
      <c r="F9408" s="4" t="s">
        <v>19619</v>
      </c>
      <c r="G9408" s="5" t="str">
        <f>IFERROR(__xludf.DUMMYFUNCTION("GOOGLETRANSLATE(D9408,""pt"",""es"")"),"equipar")</f>
        <v>equipar</v>
      </c>
      <c r="H9408" s="4" t="s">
        <v>3601</v>
      </c>
      <c r="I9408" s="4" t="s">
        <v>19620</v>
      </c>
      <c r="J9408" s="4" t="s">
        <v>1266</v>
      </c>
      <c r="K9408" s="4" t="s">
        <v>19621</v>
      </c>
      <c r="L9408" s="4" t="s">
        <v>9357</v>
      </c>
    </row>
    <row r="9409">
      <c r="A9409" s="4">
        <v>51.0</v>
      </c>
      <c r="B9409" s="4" t="s">
        <v>19724</v>
      </c>
      <c r="C9409" s="4"/>
      <c r="D9409" s="4" t="s">
        <v>19102</v>
      </c>
      <c r="E9409" s="4" t="s">
        <v>19103</v>
      </c>
      <c r="F9409" s="4" t="s">
        <v>14399</v>
      </c>
      <c r="G9409" s="5" t="str">
        <f>IFERROR(__xludf.DUMMYFUNCTION("GOOGLETRANSLATE(D9409,""pt"",""es"")"),"himno")</f>
        <v>himno</v>
      </c>
      <c r="H9409" s="4" t="s">
        <v>6321</v>
      </c>
      <c r="I9409" s="4" t="s">
        <v>6322</v>
      </c>
      <c r="J9409" s="4" t="s">
        <v>6322</v>
      </c>
    </row>
    <row r="9410">
      <c r="A9410" s="4">
        <v>52.0</v>
      </c>
      <c r="B9410" s="4" t="s">
        <v>19724</v>
      </c>
      <c r="C9410" s="4"/>
      <c r="D9410" s="4" t="s">
        <v>19104</v>
      </c>
      <c r="E9410" s="4" t="s">
        <v>19105</v>
      </c>
      <c r="F9410" s="4" t="s">
        <v>19106</v>
      </c>
      <c r="G9410" s="5" t="str">
        <f>IFERROR(__xludf.DUMMYFUNCTION("GOOGLETRANSLATE(D9410,""pt"",""es"")"),"humor")</f>
        <v>humor</v>
      </c>
    </row>
    <row r="9411">
      <c r="A9411" s="4">
        <v>53.0</v>
      </c>
      <c r="B9411" s="4" t="s">
        <v>19724</v>
      </c>
      <c r="C9411" s="4"/>
      <c r="D9411" s="4" t="s">
        <v>19107</v>
      </c>
      <c r="E9411" s="4" t="s">
        <v>19108</v>
      </c>
      <c r="F9411" s="4" t="s">
        <v>19109</v>
      </c>
      <c r="G9411" s="5" t="str">
        <f>IFERROR(__xludf.DUMMYFUNCTION("GOOGLETRANSLATE(D9411,""pt"",""es"")"),"humus")</f>
        <v>humus</v>
      </c>
      <c r="H9411" s="4" t="s">
        <v>9554</v>
      </c>
    </row>
    <row r="9412">
      <c r="A9412" s="4">
        <v>54.0</v>
      </c>
      <c r="B9412" s="4" t="s">
        <v>19724</v>
      </c>
      <c r="C9412" s="4"/>
      <c r="D9412" s="4" t="s">
        <v>19622</v>
      </c>
      <c r="E9412" s="4" t="s">
        <v>19623</v>
      </c>
      <c r="F9412" s="4" t="s">
        <v>19622</v>
      </c>
      <c r="G9412" s="5" t="str">
        <f>IFERROR(__xludf.DUMMYFUNCTION("GOOGLETRANSLATE(D9412,""pt"",""es"")"),"iluminar")</f>
        <v>iluminar</v>
      </c>
      <c r="H9412" s="4" t="s">
        <v>997</v>
      </c>
      <c r="I9412" s="4" t="s">
        <v>19624</v>
      </c>
      <c r="J9412" s="4" t="s">
        <v>19625</v>
      </c>
      <c r="K9412" s="4" t="s">
        <v>995</v>
      </c>
      <c r="L9412" s="4" t="s">
        <v>19626</v>
      </c>
    </row>
    <row r="9413">
      <c r="A9413" s="4">
        <v>55.0</v>
      </c>
      <c r="B9413" s="4" t="s">
        <v>19724</v>
      </c>
      <c r="C9413" s="4"/>
      <c r="D9413" s="4" t="s">
        <v>1905</v>
      </c>
      <c r="E9413" s="4" t="s">
        <v>1912</v>
      </c>
      <c r="F9413" s="4" t="s">
        <v>1905</v>
      </c>
      <c r="G9413" s="5" t="str">
        <f>IFERROR(__xludf.DUMMYFUNCTION("GOOGLETRANSLATE(D9413,""pt"",""es"")"),"imitar")</f>
        <v>imitar</v>
      </c>
      <c r="H9413" s="4" t="s">
        <v>1909</v>
      </c>
      <c r="I9413" s="4" t="s">
        <v>1910</v>
      </c>
      <c r="J9413" s="4" t="s">
        <v>1911</v>
      </c>
      <c r="K9413" s="4" t="s">
        <v>1909</v>
      </c>
      <c r="L9413" s="4" t="s">
        <v>2617</v>
      </c>
      <c r="M9413" s="4" t="s">
        <v>19616</v>
      </c>
      <c r="N9413" s="4" t="s">
        <v>19616</v>
      </c>
    </row>
    <row r="9414">
      <c r="A9414" s="4">
        <v>56.0</v>
      </c>
      <c r="B9414" s="4" t="s">
        <v>19724</v>
      </c>
      <c r="C9414" s="4"/>
      <c r="D9414" s="4" t="s">
        <v>19110</v>
      </c>
      <c r="E9414" s="4" t="s">
        <v>1984</v>
      </c>
      <c r="F9414" s="4" t="s">
        <v>1983</v>
      </c>
      <c r="G9414" s="5" t="str">
        <f>IFERROR(__xludf.DUMMYFUNCTION("GOOGLETRANSLATE(D9414,""pt"",""es"")"),"voluntad")</f>
        <v>voluntad</v>
      </c>
    </row>
    <row r="9415">
      <c r="A9415" s="4">
        <v>57.0</v>
      </c>
      <c r="B9415" s="4" t="s">
        <v>19724</v>
      </c>
      <c r="C9415" s="4"/>
      <c r="D9415" s="4" t="s">
        <v>19111</v>
      </c>
      <c r="E9415" s="4" t="s">
        <v>19112</v>
      </c>
      <c r="F9415" s="4" t="s">
        <v>14416</v>
      </c>
      <c r="G9415" s="5" t="str">
        <f>IFERROR(__xludf.DUMMYFUNCTION("GOOGLETRANSLATE(D9415,""pt"",""es"")"),"eso")</f>
        <v>eso</v>
      </c>
    </row>
    <row r="9416">
      <c r="A9416" s="4">
        <v>58.0</v>
      </c>
      <c r="B9416" s="4" t="s">
        <v>19724</v>
      </c>
      <c r="C9416" s="4"/>
      <c r="D9416" s="4" t="s">
        <v>19627</v>
      </c>
      <c r="E9416" s="4" t="s">
        <v>2010</v>
      </c>
      <c r="F9416" s="4" t="s">
        <v>2011</v>
      </c>
      <c r="G9416" s="5" t="str">
        <f>IFERROR(__xludf.DUMMYFUNCTION("GOOGLETRANSLATE(D9416,""pt"",""es"")"),"I a")</f>
        <v>I a</v>
      </c>
    </row>
    <row r="9417">
      <c r="A9417" s="4">
        <v>59.0</v>
      </c>
      <c r="B9417" s="4" t="s">
        <v>19724</v>
      </c>
      <c r="C9417" s="4"/>
      <c r="D9417" s="4" t="s">
        <v>19628</v>
      </c>
      <c r="E9417" s="4" t="s">
        <v>1803</v>
      </c>
      <c r="F9417" s="4" t="s">
        <v>1804</v>
      </c>
      <c r="G9417" s="5" t="str">
        <f>IFERROR(__xludf.DUMMYFUNCTION("GOOGLETRANSLATE(D9417,""pt"",""es"")"),"levantar")</f>
        <v>levantar</v>
      </c>
      <c r="H9417" s="4" t="s">
        <v>1799</v>
      </c>
      <c r="I9417" s="4" t="s">
        <v>1800</v>
      </c>
      <c r="J9417" s="4" t="s">
        <v>1801</v>
      </c>
    </row>
    <row r="9418">
      <c r="A9418" s="4">
        <v>60.0</v>
      </c>
      <c r="B9418" s="4" t="s">
        <v>19724</v>
      </c>
      <c r="C9418" s="4"/>
      <c r="D9418" s="4" t="s">
        <v>19113</v>
      </c>
      <c r="E9418" s="4" t="s">
        <v>19112</v>
      </c>
      <c r="F9418" s="4" t="s">
        <v>14416</v>
      </c>
      <c r="G9418" s="5" t="str">
        <f>IFERROR(__xludf.DUMMYFUNCTION("GOOGLETRANSLATE(D9418,""pt"",""es"")"),"co")</f>
        <v>co</v>
      </c>
    </row>
    <row r="9419">
      <c r="A9419" s="4">
        <v>61.0</v>
      </c>
      <c r="B9419" s="4" t="s">
        <v>19724</v>
      </c>
      <c r="C9419" s="4"/>
      <c r="D9419" s="4" t="s">
        <v>2627</v>
      </c>
      <c r="E9419" s="4" t="s">
        <v>1232</v>
      </c>
      <c r="F9419" s="4" t="s">
        <v>1233</v>
      </c>
      <c r="G9419" s="5" t="str">
        <f>IFERROR(__xludf.DUMMYFUNCTION("GOOGLETRANSLATE(D9419,""pt"",""es"")"),"K")</f>
        <v>K</v>
      </c>
      <c r="H9419" s="4" t="s">
        <v>2629</v>
      </c>
      <c r="I9419" s="4" t="s">
        <v>2627</v>
      </c>
    </row>
    <row r="9420">
      <c r="A9420" s="4">
        <v>62.0</v>
      </c>
      <c r="B9420" s="4" t="s">
        <v>19724</v>
      </c>
      <c r="C9420" s="4"/>
      <c r="D9420" s="4" t="s">
        <v>1122</v>
      </c>
      <c r="E9420" s="4" t="s">
        <v>1121</v>
      </c>
      <c r="F9420" s="4" t="s">
        <v>1122</v>
      </c>
      <c r="G9420" s="5" t="str">
        <f>IFERROR(__xludf.DUMMYFUNCTION("GOOGLETRANSLATE(D9420,""pt"",""es"")"),"kan")</f>
        <v>kan</v>
      </c>
    </row>
    <row r="9421">
      <c r="A9421" s="4">
        <v>63.0</v>
      </c>
      <c r="B9421" s="4" t="s">
        <v>19724</v>
      </c>
      <c r="C9421" s="4"/>
      <c r="D9421" s="4" t="s">
        <v>2015</v>
      </c>
      <c r="E9421" s="4" t="s">
        <v>2016</v>
      </c>
      <c r="F9421" s="4" t="s">
        <v>2015</v>
      </c>
      <c r="G9421" s="5" t="str">
        <f>IFERROR(__xludf.DUMMYFUNCTION("GOOGLETRANSLATE(D9421,""pt"",""es"")"),"allí")</f>
        <v>allí</v>
      </c>
    </row>
    <row r="9422">
      <c r="A9422" s="4">
        <v>64.0</v>
      </c>
      <c r="B9422" s="4" t="s">
        <v>19724</v>
      </c>
      <c r="C9422" s="4"/>
      <c r="D9422" s="4" t="s">
        <v>19629</v>
      </c>
      <c r="E9422" s="4" t="s">
        <v>19630</v>
      </c>
      <c r="F9422" s="4" t="s">
        <v>19631</v>
      </c>
      <c r="G9422" s="5" t="str">
        <f>IFERROR(__xludf.DUMMYFUNCTION("GOOGLETRANSLATE(D9422,""pt"",""es"")"),"lagos")</f>
        <v>lagos</v>
      </c>
      <c r="H9422" s="4" t="s">
        <v>19632</v>
      </c>
    </row>
    <row r="9423">
      <c r="A9423" s="4">
        <v>65.0</v>
      </c>
      <c r="B9423" s="4" t="s">
        <v>19724</v>
      </c>
      <c r="C9423" s="4"/>
      <c r="D9423" s="4" t="s">
        <v>2146</v>
      </c>
      <c r="E9423" s="4" t="s">
        <v>17980</v>
      </c>
      <c r="F9423" s="4" t="s">
        <v>8430</v>
      </c>
      <c r="G9423" s="5" t="str">
        <f>IFERROR(__xludf.DUMMYFUNCTION("GOOGLETRANSLATE(D9423,""pt"",""es"")"),"lazo")</f>
        <v>lazo</v>
      </c>
      <c r="H9423" s="4" t="s">
        <v>19115</v>
      </c>
      <c r="I9423" s="4" t="s">
        <v>2760</v>
      </c>
      <c r="J9423" s="4" t="s">
        <v>19115</v>
      </c>
      <c r="K9423" s="4" t="s">
        <v>19115</v>
      </c>
    </row>
    <row r="9424">
      <c r="A9424" s="4">
        <v>66.0</v>
      </c>
      <c r="B9424" s="4" t="s">
        <v>19724</v>
      </c>
      <c r="C9424" s="4"/>
      <c r="D9424" s="4" t="s">
        <v>19116</v>
      </c>
      <c r="E9424" s="4" t="s">
        <v>17998</v>
      </c>
      <c r="F9424" s="4" t="s">
        <v>10277</v>
      </c>
      <c r="G9424" s="5" t="str">
        <f>IFERROR(__xludf.DUMMYFUNCTION("GOOGLETRANSLATE(D9424,""pt"",""es"")"),"listón")</f>
        <v>listón</v>
      </c>
    </row>
    <row r="9425">
      <c r="A9425" s="4">
        <v>67.0</v>
      </c>
      <c r="B9425" s="4" t="s">
        <v>19724</v>
      </c>
      <c r="C9425" s="4"/>
      <c r="D9425" s="4" t="s">
        <v>19117</v>
      </c>
      <c r="E9425" s="4" t="s">
        <v>17980</v>
      </c>
      <c r="F9425" s="4" t="s">
        <v>8430</v>
      </c>
      <c r="G9425" s="5" t="str">
        <f>IFERROR(__xludf.DUMMYFUNCTION("GOOGLETRANSLATE(D9425,""pt"",""es"")"),"Enlace")</f>
        <v>Enlace</v>
      </c>
      <c r="H9425" s="4" t="s">
        <v>19118</v>
      </c>
      <c r="I9425" s="4" t="s">
        <v>19119</v>
      </c>
      <c r="J9425" s="4" t="s">
        <v>19120</v>
      </c>
      <c r="K9425" s="4" t="s">
        <v>19121</v>
      </c>
      <c r="L9425" s="4" t="s">
        <v>2146</v>
      </c>
      <c r="M9425" s="4" t="s">
        <v>2147</v>
      </c>
      <c r="N9425" s="4" t="s">
        <v>2148</v>
      </c>
      <c r="O9425" s="4" t="s">
        <v>2149</v>
      </c>
      <c r="P9425" s="4" t="s">
        <v>19122</v>
      </c>
      <c r="Q9425" s="4" t="s">
        <v>19123</v>
      </c>
      <c r="R9425" s="4" t="s">
        <v>19124</v>
      </c>
    </row>
    <row r="9426">
      <c r="A9426" s="4">
        <v>68.0</v>
      </c>
      <c r="B9426" s="4" t="s">
        <v>19724</v>
      </c>
      <c r="C9426" s="4"/>
      <c r="D9426" s="4" t="s">
        <v>19633</v>
      </c>
      <c r="E9426" s="4" t="s">
        <v>19634</v>
      </c>
      <c r="F9426" s="4" t="s">
        <v>19635</v>
      </c>
      <c r="G9426" s="5" t="str">
        <f>IFERROR(__xludf.DUMMYFUNCTION("GOOGLETRANSLATE(D9426,""pt"",""es"")"),"lho")</f>
        <v>lho</v>
      </c>
    </row>
    <row r="9427">
      <c r="A9427" s="4">
        <v>69.0</v>
      </c>
      <c r="B9427" s="4" t="s">
        <v>19724</v>
      </c>
      <c r="C9427" s="4"/>
      <c r="D9427" s="4" t="s">
        <v>19636</v>
      </c>
      <c r="E9427" s="4" t="s">
        <v>19637</v>
      </c>
      <c r="F9427" s="4" t="s">
        <v>19638</v>
      </c>
      <c r="G9427" s="5" t="str">
        <f>IFERROR(__xludf.DUMMYFUNCTION("GOOGLETRANSLATE(D9427,""pt"",""es"")"),"lys")</f>
        <v>lys</v>
      </c>
    </row>
    <row r="9428">
      <c r="A9428" s="4">
        <v>70.0</v>
      </c>
      <c r="B9428" s="4" t="s">
        <v>19724</v>
      </c>
      <c r="C9428" s="4"/>
      <c r="D9428" s="4" t="s">
        <v>2037</v>
      </c>
      <c r="E9428" s="4" t="s">
        <v>2038</v>
      </c>
      <c r="F9428" s="4" t="s">
        <v>2037</v>
      </c>
      <c r="G9428" s="5" t="str">
        <f>IFERROR(__xludf.DUMMYFUNCTION("GOOGLETRANSLATE(D9428,""pt"",""es"")"),"Li")</f>
        <v>Li</v>
      </c>
    </row>
    <row r="9429">
      <c r="A9429" s="4">
        <v>71.0</v>
      </c>
      <c r="B9429" s="4" t="s">
        <v>19724</v>
      </c>
      <c r="C9429" s="4"/>
      <c r="D9429" s="4" t="s">
        <v>19639</v>
      </c>
      <c r="E9429" s="4" t="s">
        <v>19640</v>
      </c>
      <c r="F9429" s="4" t="s">
        <v>19641</v>
      </c>
      <c r="G9429" s="5" t="str">
        <f>IFERROR(__xludf.DUMMYFUNCTION("GOOGLETRANSLATE(D9429,""pt"",""es"")"),"encender")</f>
        <v>encender</v>
      </c>
      <c r="H9429" s="4" t="s">
        <v>1009</v>
      </c>
      <c r="I9429" s="4" t="s">
        <v>8077</v>
      </c>
      <c r="J9429" s="4" t="s">
        <v>8078</v>
      </c>
      <c r="K9429" s="4" t="s">
        <v>8079</v>
      </c>
      <c r="L9429" s="4" t="s">
        <v>4080</v>
      </c>
      <c r="M9429" s="4" t="s">
        <v>3050</v>
      </c>
      <c r="N9429" s="4" t="s">
        <v>19642</v>
      </c>
      <c r="O9429" s="4" t="s">
        <v>4652</v>
      </c>
      <c r="P9429" s="4" t="s">
        <v>3048</v>
      </c>
      <c r="Q9429" s="4" t="s">
        <v>3050</v>
      </c>
      <c r="R9429" s="4" t="s">
        <v>4653</v>
      </c>
      <c r="S9429" s="4" t="s">
        <v>3050</v>
      </c>
      <c r="T9429" s="4" t="s">
        <v>17125</v>
      </c>
      <c r="U9429" s="4" t="s">
        <v>19643</v>
      </c>
    </row>
    <row r="9430">
      <c r="A9430" s="4">
        <v>72.0</v>
      </c>
      <c r="B9430" s="4" t="s">
        <v>19724</v>
      </c>
      <c r="C9430" s="4"/>
      <c r="D9430" s="4" t="s">
        <v>10313</v>
      </c>
      <c r="E9430" s="4" t="s">
        <v>12589</v>
      </c>
      <c r="F9430" s="4" t="s">
        <v>10313</v>
      </c>
      <c r="G9430" s="5" t="str">
        <f>IFERROR(__xludf.DUMMYFUNCTION("GOOGLETRANSLATE(D9430,""pt"",""es"")"),"Lima")</f>
        <v>Lima</v>
      </c>
      <c r="H9430" s="4" t="s">
        <v>1</v>
      </c>
      <c r="I9430" s="4" t="s">
        <v>2166</v>
      </c>
      <c r="J9430" s="4" t="s">
        <v>10319</v>
      </c>
      <c r="K9430" s="4" t="s">
        <v>10320</v>
      </c>
    </row>
    <row r="9431">
      <c r="A9431" s="4">
        <v>73.0</v>
      </c>
      <c r="B9431" s="4" t="s">
        <v>19724</v>
      </c>
      <c r="C9431" s="4"/>
      <c r="D9431" s="4" t="s">
        <v>2051</v>
      </c>
      <c r="E9431" s="4" t="s">
        <v>2077</v>
      </c>
      <c r="F9431" s="4" t="s">
        <v>2051</v>
      </c>
      <c r="G9431" s="5" t="str">
        <f>IFERROR(__xludf.DUMMYFUNCTION("GOOGLETRANSLATE(D9431,""pt"",""es"")"),"límite")</f>
        <v>límite</v>
      </c>
      <c r="H9431" s="4" t="s">
        <v>2055</v>
      </c>
      <c r="I9431" s="4" t="s">
        <v>2056</v>
      </c>
      <c r="J9431" s="4" t="s">
        <v>2057</v>
      </c>
      <c r="K9431" s="4" t="s">
        <v>2058</v>
      </c>
      <c r="L9431" s="4" t="s">
        <v>2059</v>
      </c>
      <c r="M9431" s="4" t="s">
        <v>2060</v>
      </c>
      <c r="N9431" s="4" t="s">
        <v>2061</v>
      </c>
      <c r="O9431" s="4" t="s">
        <v>2058</v>
      </c>
      <c r="P9431" s="4" t="s">
        <v>2062</v>
      </c>
      <c r="Q9431" s="4" t="s">
        <v>2060</v>
      </c>
      <c r="R9431" s="4" t="s">
        <v>2055</v>
      </c>
      <c r="S9431" s="4" t="s">
        <v>929</v>
      </c>
      <c r="T9431" s="4" t="s">
        <v>2063</v>
      </c>
      <c r="U9431" s="4" t="s">
        <v>2064</v>
      </c>
      <c r="V9431" s="4" t="s">
        <v>2055</v>
      </c>
      <c r="W9431" s="4" t="s">
        <v>2072</v>
      </c>
      <c r="X9431" s="4" t="s">
        <v>2073</v>
      </c>
      <c r="Y9431" s="4" t="s">
        <v>313</v>
      </c>
      <c r="Z9431" s="4" t="s">
        <v>2074</v>
      </c>
      <c r="AA9431" s="4" t="s">
        <v>2075</v>
      </c>
      <c r="AB9431" s="4" t="s">
        <v>2063</v>
      </c>
      <c r="AC9431" s="4" t="s">
        <v>2076</v>
      </c>
    </row>
    <row r="9432">
      <c r="A9432" s="4">
        <v>74.0</v>
      </c>
      <c r="B9432" s="4" t="s">
        <v>19724</v>
      </c>
      <c r="C9432" s="4"/>
      <c r="D9432" s="4" t="s">
        <v>19126</v>
      </c>
      <c r="E9432" s="4" t="s">
        <v>19127</v>
      </c>
      <c r="F9432" s="4" t="s">
        <v>19128</v>
      </c>
      <c r="G9432" s="5" t="str">
        <f>IFERROR(__xludf.DUMMYFUNCTION("GOOGLETRANSLATE(D9432,""pt"",""es"")"),"lino")</f>
        <v>lino</v>
      </c>
      <c r="H9432" s="4" t="s">
        <v>6643</v>
      </c>
      <c r="I9432" s="4" t="s">
        <v>2152</v>
      </c>
      <c r="J9432" s="4" t="s">
        <v>2152</v>
      </c>
    </row>
    <row r="9433">
      <c r="A9433" s="4">
        <v>75.0</v>
      </c>
      <c r="B9433" s="4" t="s">
        <v>19724</v>
      </c>
      <c r="C9433" s="4"/>
      <c r="D9433" s="4" t="s">
        <v>19129</v>
      </c>
      <c r="E9433" s="4" t="s">
        <v>19130</v>
      </c>
      <c r="F9433" s="4" t="s">
        <v>19131</v>
      </c>
      <c r="G9433" s="5" t="str">
        <f>IFERROR(__xludf.DUMMYFUNCTION("GOOGLETRANSLATE(D9433,""pt"",""es"")"),"basura")</f>
        <v>basura</v>
      </c>
      <c r="H9433" s="4" t="s">
        <v>19132</v>
      </c>
      <c r="I9433" s="4" t="s">
        <v>19133</v>
      </c>
      <c r="J9433" s="4" t="s">
        <v>19134</v>
      </c>
      <c r="K9433" s="4" t="s">
        <v>19135</v>
      </c>
      <c r="L9433" s="4" t="s">
        <v>3189</v>
      </c>
      <c r="M9433" s="4" t="s">
        <v>3192</v>
      </c>
      <c r="N9433" s="4" t="s">
        <v>2606</v>
      </c>
    </row>
    <row r="9434">
      <c r="A9434" s="4">
        <v>76.0</v>
      </c>
      <c r="B9434" s="4" t="s">
        <v>19724</v>
      </c>
      <c r="C9434" s="4"/>
      <c r="D9434" s="4" t="s">
        <v>2239</v>
      </c>
      <c r="E9434" s="4" t="s">
        <v>2240</v>
      </c>
      <c r="F9434" s="4" t="s">
        <v>2241</v>
      </c>
      <c r="G9434" s="5" t="str">
        <f>IFERROR(__xludf.DUMMYFUNCTION("GOOGLETRANSLATE(D9434,""pt"",""es"")"),"eso")</f>
        <v>eso</v>
      </c>
    </row>
    <row r="9435">
      <c r="A9435" s="4">
        <v>77.0</v>
      </c>
      <c r="B9435" s="4" t="s">
        <v>19724</v>
      </c>
      <c r="C9435" s="4"/>
      <c r="D9435" s="4" t="s">
        <v>19136</v>
      </c>
      <c r="E9435" s="4" t="s">
        <v>8496</v>
      </c>
      <c r="F9435" s="4" t="s">
        <v>8497</v>
      </c>
      <c r="G9435" s="5" t="str">
        <f>IFERROR(__xludf.DUMMYFUNCTION("GOOGLETRANSLATE(D9435,""pt"",""es"")"),"Loss")</f>
        <v>Loss</v>
      </c>
    </row>
    <row r="9436">
      <c r="A9436" s="4">
        <v>78.0</v>
      </c>
      <c r="B9436" s="4" t="s">
        <v>19724</v>
      </c>
      <c r="C9436" s="4"/>
      <c r="D9436" s="4" t="s">
        <v>19644</v>
      </c>
      <c r="E9436" s="4" t="s">
        <v>19645</v>
      </c>
      <c r="F9436" s="4" t="s">
        <v>19646</v>
      </c>
      <c r="G9436" s="5" t="str">
        <f>IFERROR(__xludf.DUMMYFUNCTION("GOOGLETRANSLATE(D9436,""pt"",""es"")"),"llenar")</f>
        <v>llenar</v>
      </c>
    </row>
    <row r="9437">
      <c r="A9437" s="4">
        <v>79.0</v>
      </c>
      <c r="B9437" s="4" t="s">
        <v>19724</v>
      </c>
      <c r="C9437" s="4"/>
      <c r="D9437" s="4" t="s">
        <v>19647</v>
      </c>
      <c r="E9437" s="4" t="s">
        <v>19648</v>
      </c>
      <c r="F9437" s="4" t="s">
        <v>19649</v>
      </c>
      <c r="G9437" s="5" t="str">
        <f>IFERROR(__xludf.DUMMYFUNCTION("GOOGLETRANSLATE(D9437,""pt"",""es"")"),"lunático")</f>
        <v>lunático</v>
      </c>
    </row>
    <row r="9438">
      <c r="A9438" s="4">
        <v>80.0</v>
      </c>
      <c r="B9438" s="4" t="s">
        <v>19724</v>
      </c>
      <c r="C9438" s="4"/>
      <c r="D9438" s="4" t="s">
        <v>19646</v>
      </c>
      <c r="E9438" s="4" t="s">
        <v>19645</v>
      </c>
      <c r="F9438" s="4" t="s">
        <v>19646</v>
      </c>
      <c r="G9438" s="5" t="str">
        <f>IFERROR(__xludf.DUMMYFUNCTION("GOOGLETRANSLATE(D9438,""pt"",""es"")"),"lucha")</f>
        <v>lucha</v>
      </c>
      <c r="H9438" s="4" t="s">
        <v>16389</v>
      </c>
      <c r="I9438" s="4" t="s">
        <v>7339</v>
      </c>
      <c r="J9438" s="4" t="s">
        <v>7501</v>
      </c>
      <c r="K9438" s="4" t="s">
        <v>7339</v>
      </c>
      <c r="L9438" s="4" t="s">
        <v>19650</v>
      </c>
      <c r="M9438" s="4" t="s">
        <v>19651</v>
      </c>
      <c r="N9438" s="4" t="s">
        <v>19652</v>
      </c>
      <c r="O9438" s="4" t="s">
        <v>19653</v>
      </c>
      <c r="P9438" s="4" t="s">
        <v>19654</v>
      </c>
      <c r="Q9438" s="4" t="s">
        <v>19655</v>
      </c>
      <c r="R9438" s="4" t="s">
        <v>19656</v>
      </c>
      <c r="S9438" s="4" t="s">
        <v>19657</v>
      </c>
      <c r="T9438" s="4" t="s">
        <v>5740</v>
      </c>
      <c r="U9438" s="4" t="s">
        <v>19658</v>
      </c>
    </row>
    <row r="9439">
      <c r="A9439" s="4">
        <v>81.0</v>
      </c>
      <c r="B9439" s="4" t="s">
        <v>19724</v>
      </c>
      <c r="C9439" s="4"/>
      <c r="D9439" s="4" t="s">
        <v>19142</v>
      </c>
      <c r="E9439" s="4" t="s">
        <v>18093</v>
      </c>
      <c r="F9439" s="4" t="s">
        <v>18092</v>
      </c>
      <c r="G9439" s="5" t="str">
        <f>IFERROR(__xludf.DUMMYFUNCTION("GOOGLETRANSLATE(D9439,""pt"",""es"")"),"luto")</f>
        <v>luto</v>
      </c>
      <c r="H9439" s="4" t="s">
        <v>19143</v>
      </c>
      <c r="I9439" s="4" t="s">
        <v>19144</v>
      </c>
      <c r="J9439" s="4" t="s">
        <v>19145</v>
      </c>
    </row>
    <row r="9440">
      <c r="A9440" s="4">
        <v>82.0</v>
      </c>
      <c r="B9440" s="4" t="s">
        <v>19724</v>
      </c>
      <c r="C9440" s="4"/>
      <c r="D9440" s="4" t="s">
        <v>19146</v>
      </c>
      <c r="E9440" s="4" t="s">
        <v>19147</v>
      </c>
      <c r="F9440" s="4" t="s">
        <v>19148</v>
      </c>
      <c r="G9440" s="5" t="str">
        <f>IFERROR(__xludf.DUMMYFUNCTION("GOOGLETRANSLATE(D9440,""pt"",""es"")"),"Lux")</f>
        <v>Lux</v>
      </c>
      <c r="H9440" s="4" t="s">
        <v>19149</v>
      </c>
      <c r="I9440" s="4" t="s">
        <v>19150</v>
      </c>
      <c r="J9440" s="4" t="s">
        <v>19149</v>
      </c>
      <c r="K9440" s="4" t="s">
        <v>19151</v>
      </c>
      <c r="L9440" s="4" t="s">
        <v>19152</v>
      </c>
      <c r="M9440" s="4" t="s">
        <v>19149</v>
      </c>
      <c r="N9440" s="4" t="s">
        <v>19153</v>
      </c>
      <c r="O9440" s="4" t="s">
        <v>19154</v>
      </c>
      <c r="P9440" s="4" t="s">
        <v>19152</v>
      </c>
    </row>
    <row r="9441">
      <c r="A9441" s="4">
        <v>83.0</v>
      </c>
      <c r="B9441" s="4" t="s">
        <v>19724</v>
      </c>
      <c r="C9441" s="4"/>
      <c r="D9441" s="4" t="s">
        <v>19155</v>
      </c>
      <c r="E9441" s="4" t="s">
        <v>2016</v>
      </c>
      <c r="F9441" s="4" t="s">
        <v>2015</v>
      </c>
      <c r="G9441" s="5" t="str">
        <f>IFERROR(__xludf.DUMMYFUNCTION("GOOGLETRANSLATE(D9441,""pt"",""es"")"),"allí")</f>
        <v>allí</v>
      </c>
      <c r="H9441" s="4" t="s">
        <v>8911</v>
      </c>
      <c r="I9441" s="4" t="s">
        <v>8910</v>
      </c>
      <c r="J9441" s="4" t="s">
        <v>2015</v>
      </c>
      <c r="K9441" s="4" t="s">
        <v>2017</v>
      </c>
    </row>
    <row r="9442">
      <c r="A9442" s="4">
        <v>84.0</v>
      </c>
      <c r="B9442" s="4" t="s">
        <v>19724</v>
      </c>
      <c r="C9442" s="4"/>
      <c r="D9442" s="4" t="s">
        <v>19156</v>
      </c>
      <c r="E9442" s="4" t="s">
        <v>19659</v>
      </c>
      <c r="F9442" s="4" t="s">
        <v>19660</v>
      </c>
      <c r="G9442" s="5" t="str">
        <f>IFERROR(__xludf.DUMMYFUNCTION("GOOGLETRANSLATE(D9442,""pt"",""es"")"),"lápiz")</f>
        <v>lápiz</v>
      </c>
      <c r="H9442" s="4" t="s">
        <v>19157</v>
      </c>
      <c r="I9442" s="4" t="s">
        <v>2118</v>
      </c>
      <c r="J9442" s="4" t="s">
        <v>2118</v>
      </c>
      <c r="K9442" s="4" t="s">
        <v>2118</v>
      </c>
    </row>
    <row r="9443">
      <c r="A9443" s="4">
        <v>85.0</v>
      </c>
      <c r="B9443" s="4" t="s">
        <v>19724</v>
      </c>
      <c r="C9443" s="4"/>
      <c r="D9443" s="4" t="s">
        <v>19158</v>
      </c>
      <c r="E9443" s="4" t="s">
        <v>19159</v>
      </c>
      <c r="F9443" s="4" t="s">
        <v>19160</v>
      </c>
      <c r="G9443" s="5" t="str">
        <f>IFERROR(__xludf.DUMMYFUNCTION("GOOGLETRANSLATE(D9443,""pt"",""es"")"),"lírico")</f>
        <v>lírico</v>
      </c>
      <c r="H9443" s="4" t="s">
        <v>19161</v>
      </c>
      <c r="I9443" s="4" t="s">
        <v>19162</v>
      </c>
      <c r="J9443" s="4" t="s">
        <v>19161</v>
      </c>
      <c r="K9443" s="4" t="s">
        <v>19162</v>
      </c>
      <c r="L9443" s="4" t="s">
        <v>19161</v>
      </c>
      <c r="M9443" s="4" t="s">
        <v>19161</v>
      </c>
    </row>
    <row r="9444">
      <c r="A9444" s="4">
        <v>86.0</v>
      </c>
      <c r="B9444" s="4" t="s">
        <v>19724</v>
      </c>
      <c r="C9444" s="4"/>
      <c r="D9444" s="4" t="s">
        <v>19166</v>
      </c>
      <c r="E9444" s="4" t="s">
        <v>14745</v>
      </c>
      <c r="F9444" s="4" t="s">
        <v>14746</v>
      </c>
      <c r="G9444" s="5" t="str">
        <f>IFERROR(__xludf.DUMMYFUNCTION("GOOGLETRANSLATE(D9444,""pt"",""es"")"),"masculino")</f>
        <v>masculino</v>
      </c>
      <c r="H9444" s="4" t="s">
        <v>13033</v>
      </c>
      <c r="I9444" s="4" t="s">
        <v>13036</v>
      </c>
      <c r="J9444" s="4" t="s">
        <v>13034</v>
      </c>
      <c r="K9444" s="4" t="s">
        <v>13035</v>
      </c>
      <c r="L9444" s="4" t="s">
        <v>13033</v>
      </c>
      <c r="M9444" s="4" t="s">
        <v>13038</v>
      </c>
      <c r="N9444" s="4" t="s">
        <v>13033</v>
      </c>
      <c r="O9444" s="4" t="s">
        <v>13034</v>
      </c>
      <c r="P9444" s="4" t="s">
        <v>13035</v>
      </c>
      <c r="Q9444" s="4" t="s">
        <v>13036</v>
      </c>
      <c r="R9444" s="4" t="s">
        <v>13037</v>
      </c>
      <c r="S9444" s="4" t="s">
        <v>8234</v>
      </c>
      <c r="T9444" s="4" t="s">
        <v>13033</v>
      </c>
      <c r="U9444" s="4" t="s">
        <v>13040</v>
      </c>
      <c r="V9444" s="4" t="s">
        <v>4282</v>
      </c>
      <c r="W9444" s="4" t="s">
        <v>9152</v>
      </c>
      <c r="X9444" s="4" t="s">
        <v>19167</v>
      </c>
      <c r="Y9444" s="4" t="s">
        <v>19168</v>
      </c>
      <c r="Z9444" s="4" t="s">
        <v>19169</v>
      </c>
      <c r="AA9444" s="4" t="s">
        <v>19170</v>
      </c>
      <c r="AB9444" s="4" t="s">
        <v>19171</v>
      </c>
      <c r="AC9444" s="4" t="s">
        <v>19172</v>
      </c>
      <c r="AD9444" s="4" t="s">
        <v>19173</v>
      </c>
      <c r="AE9444" s="4" t="s">
        <v>1856</v>
      </c>
      <c r="AF9444" s="4" t="s">
        <v>6742</v>
      </c>
      <c r="AG9444" s="4" t="s">
        <v>1856</v>
      </c>
      <c r="AH9444" s="4" t="s">
        <v>19174</v>
      </c>
      <c r="AI9444" s="4" t="s">
        <v>19175</v>
      </c>
      <c r="AJ9444" s="4" t="s">
        <v>19176</v>
      </c>
    </row>
    <row r="9445">
      <c r="A9445" s="4">
        <v>87.0</v>
      </c>
      <c r="B9445" s="4" t="s">
        <v>19724</v>
      </c>
      <c r="C9445" s="4"/>
      <c r="D9445" s="4" t="s">
        <v>19177</v>
      </c>
      <c r="E9445" s="4" t="s">
        <v>18136</v>
      </c>
      <c r="F9445" s="4" t="s">
        <v>18137</v>
      </c>
      <c r="G9445" s="5" t="str">
        <f>IFERROR(__xludf.DUMMYFUNCTION("GOOGLETRANSLATE(D9445,""pt"",""es"")"),"Mayo")</f>
        <v>Mayo</v>
      </c>
      <c r="H9445" s="4" t="s">
        <v>18128</v>
      </c>
      <c r="I9445" s="4" t="s">
        <v>18128</v>
      </c>
    </row>
    <row r="9446">
      <c r="A9446" s="4">
        <v>88.0</v>
      </c>
      <c r="B9446" s="4" t="s">
        <v>19724</v>
      </c>
      <c r="C9446" s="4"/>
      <c r="D9446" s="4" t="s">
        <v>19178</v>
      </c>
      <c r="E9446" s="4" t="s">
        <v>19179</v>
      </c>
      <c r="F9446" s="4" t="s">
        <v>19180</v>
      </c>
      <c r="G9446" s="5" t="str">
        <f>IFERROR(__xludf.DUMMYFUNCTION("GOOGLETRANSLATE(D9446,""pt"",""es"")"),"mazo")</f>
        <v>mazo</v>
      </c>
      <c r="H9446" s="4" t="s">
        <v>9997</v>
      </c>
      <c r="I9446" s="4" t="s">
        <v>19181</v>
      </c>
      <c r="J9446" s="4" t="s">
        <v>2367</v>
      </c>
      <c r="K9446" s="4" t="s">
        <v>2368</v>
      </c>
      <c r="L9446" s="4" t="s">
        <v>2369</v>
      </c>
    </row>
    <row r="9447">
      <c r="A9447" s="4">
        <v>89.0</v>
      </c>
      <c r="B9447" s="4" t="s">
        <v>19724</v>
      </c>
      <c r="C9447" s="4"/>
      <c r="D9447" s="4" t="s">
        <v>5314</v>
      </c>
      <c r="E9447" s="4" t="s">
        <v>5313</v>
      </c>
      <c r="F9447" s="4" t="s">
        <v>5314</v>
      </c>
      <c r="G9447" s="5" t="str">
        <f>IFERROR(__xludf.DUMMYFUNCTION("GOOGLETRANSLATE(D9447,""pt"",""es"")"),"Malí")</f>
        <v>Malí</v>
      </c>
      <c r="H9447" s="4" t="s">
        <v>5347</v>
      </c>
      <c r="I9447" s="4" t="s">
        <v>5348</v>
      </c>
      <c r="J9447" s="4" t="s">
        <v>5349</v>
      </c>
    </row>
    <row r="9448">
      <c r="A9448" s="4">
        <v>90.0</v>
      </c>
      <c r="B9448" s="4" t="s">
        <v>19724</v>
      </c>
      <c r="C9448" s="4"/>
      <c r="D9448" s="4" t="s">
        <v>19184</v>
      </c>
      <c r="E9448" s="4" t="s">
        <v>19185</v>
      </c>
      <c r="F9448" s="4" t="s">
        <v>19186</v>
      </c>
      <c r="G9448" s="5" t="str">
        <f>IFERROR(__xludf.DUMMYFUNCTION("GOOGLETRANSLATE(D9448,""pt"",""es"")"),"mata Mata")</f>
        <v>mata Mata</v>
      </c>
    </row>
    <row r="9449">
      <c r="A9449" s="4">
        <v>91.0</v>
      </c>
      <c r="B9449" s="4" t="s">
        <v>19724</v>
      </c>
      <c r="C9449" s="4"/>
      <c r="D9449" s="4" t="s">
        <v>19187</v>
      </c>
      <c r="E9449" s="4" t="s">
        <v>12866</v>
      </c>
      <c r="F9449" s="4" t="s">
        <v>12867</v>
      </c>
      <c r="G9449" s="5" t="str">
        <f>IFERROR(__xludf.DUMMYFUNCTION("GOOGLETRANSLATE(D9449,""pt"",""es"")"),"Arbusto")</f>
        <v>Arbusto</v>
      </c>
      <c r="H9449" s="4" t="s">
        <v>14974</v>
      </c>
      <c r="I9449" s="4" t="s">
        <v>2956</v>
      </c>
      <c r="J9449" s="4" t="s">
        <v>2555</v>
      </c>
      <c r="K9449" s="4" t="s">
        <v>2556</v>
      </c>
    </row>
    <row r="9450">
      <c r="A9450" s="4">
        <v>92.0</v>
      </c>
      <c r="B9450" s="4" t="s">
        <v>19724</v>
      </c>
      <c r="C9450" s="4"/>
      <c r="D9450" s="4" t="s">
        <v>19188</v>
      </c>
      <c r="E9450" s="4" t="s">
        <v>19189</v>
      </c>
      <c r="F9450" s="4" t="s">
        <v>10530</v>
      </c>
      <c r="G9450" s="5" t="str">
        <f>IFERROR(__xludf.DUMMYFUNCTION("GOOGLETRANSLATE(D9450,""pt"",""es"")"),"paquete")</f>
        <v>paquete</v>
      </c>
      <c r="H9450" s="4" t="s">
        <v>1736</v>
      </c>
    </row>
    <row r="9451">
      <c r="A9451" s="4">
        <v>93.0</v>
      </c>
      <c r="B9451" s="4" t="s">
        <v>19724</v>
      </c>
      <c r="C9451" s="4"/>
      <c r="D9451" s="4" t="s">
        <v>342</v>
      </c>
      <c r="E9451" s="4" t="s">
        <v>341</v>
      </c>
      <c r="F9451" s="4" t="s">
        <v>342</v>
      </c>
      <c r="G9451" s="5" t="str">
        <f>IFERROR(__xludf.DUMMYFUNCTION("GOOGLETRANSLATE(D9451,""pt"",""es"")"),"mi")</f>
        <v>mi</v>
      </c>
      <c r="H9451" s="4" t="s">
        <v>367</v>
      </c>
    </row>
    <row r="9452">
      <c r="A9452" s="4">
        <v>94.0</v>
      </c>
      <c r="B9452" s="4" t="s">
        <v>19724</v>
      </c>
      <c r="C9452" s="4"/>
      <c r="D9452" s="4" t="s">
        <v>19200</v>
      </c>
      <c r="E9452" s="4" t="s">
        <v>14647</v>
      </c>
      <c r="F9452" s="4" t="s">
        <v>14648</v>
      </c>
      <c r="G9452" s="5" t="str">
        <f>IFERROR(__xludf.DUMMYFUNCTION("GOOGLETRANSLATE(D9452,""pt"",""es"")"),"Micé")</f>
        <v>Micé</v>
      </c>
    </row>
    <row r="9453">
      <c r="A9453" s="4">
        <v>95.0</v>
      </c>
      <c r="B9453" s="4" t="s">
        <v>19724</v>
      </c>
      <c r="C9453" s="4"/>
      <c r="D9453" s="4" t="s">
        <v>2614</v>
      </c>
      <c r="E9453" s="4" t="s">
        <v>2615</v>
      </c>
      <c r="F9453" s="4" t="s">
        <v>2616</v>
      </c>
      <c r="G9453" s="5" t="str">
        <f>IFERROR(__xludf.DUMMYFUNCTION("GOOGLETRANSLATE(D9453,""pt"",""es"")"),"masculino")</f>
        <v>masculino</v>
      </c>
    </row>
    <row r="9454">
      <c r="A9454" s="4">
        <v>96.0</v>
      </c>
      <c r="B9454" s="4" t="s">
        <v>19724</v>
      </c>
      <c r="C9454" s="4"/>
      <c r="D9454" s="4" t="s">
        <v>6811</v>
      </c>
      <c r="E9454" s="4" t="s">
        <v>10550</v>
      </c>
      <c r="F9454" s="4" t="s">
        <v>6811</v>
      </c>
      <c r="G9454" s="5" t="str">
        <f>IFERROR(__xludf.DUMMYFUNCTION("GOOGLETRANSLATE(D9454,""pt"",""es"")"),"Miki")</f>
        <v>Miki</v>
      </c>
    </row>
    <row r="9455">
      <c r="A9455" s="4">
        <v>97.0</v>
      </c>
      <c r="B9455" s="4" t="s">
        <v>19724</v>
      </c>
      <c r="C9455" s="4"/>
      <c r="D9455" s="4" t="s">
        <v>19201</v>
      </c>
      <c r="E9455" s="4" t="s">
        <v>19202</v>
      </c>
      <c r="F9455" s="4" t="s">
        <v>19203</v>
      </c>
      <c r="G9455" s="5" t="str">
        <f>IFERROR(__xludf.DUMMYFUNCTION("GOOGLETRANSLATE(D9455,""pt"",""es"")"),"Mikiko")</f>
        <v>Mikiko</v>
      </c>
    </row>
    <row r="9456">
      <c r="A9456" s="4">
        <v>98.0</v>
      </c>
      <c r="B9456" s="4" t="s">
        <v>19724</v>
      </c>
      <c r="C9456" s="4"/>
      <c r="D9456" s="4" t="s">
        <v>19207</v>
      </c>
      <c r="E9456" s="4" t="s">
        <v>19208</v>
      </c>
      <c r="F9456" s="4" t="s">
        <v>14476</v>
      </c>
      <c r="G9456" s="5" t="str">
        <f>IFERROR(__xludf.DUMMYFUNCTION("GOOGLETRANSLATE(D9456,""pt"",""es"")"),"maíz")</f>
        <v>maíz</v>
      </c>
      <c r="H9456" s="4" t="s">
        <v>3288</v>
      </c>
      <c r="I9456" s="4" t="s">
        <v>19209</v>
      </c>
      <c r="J9456" s="4" t="s">
        <v>3286</v>
      </c>
      <c r="K9456" s="4" t="s">
        <v>3287</v>
      </c>
      <c r="L9456" s="4" t="s">
        <v>2650</v>
      </c>
      <c r="M9456" s="4" t="s">
        <v>3288</v>
      </c>
      <c r="N9456" s="4" t="s">
        <v>3289</v>
      </c>
      <c r="O9456" s="4" t="s">
        <v>3290</v>
      </c>
      <c r="P9456" s="4" t="s">
        <v>3291</v>
      </c>
      <c r="Q9456" s="4" t="s">
        <v>3288</v>
      </c>
      <c r="R9456" s="4" t="s">
        <v>3289</v>
      </c>
      <c r="S9456" s="4" t="s">
        <v>3290</v>
      </c>
      <c r="T9456" s="4" t="s">
        <v>3291</v>
      </c>
      <c r="U9456" s="4" t="s">
        <v>3288</v>
      </c>
      <c r="V9456" s="4" t="s">
        <v>3288</v>
      </c>
    </row>
    <row r="9457">
      <c r="A9457" s="4">
        <v>99.0</v>
      </c>
      <c r="B9457" s="4" t="s">
        <v>19724</v>
      </c>
      <c r="C9457" s="4"/>
      <c r="D9457" s="4" t="s">
        <v>2639</v>
      </c>
      <c r="E9457" s="4" t="s">
        <v>2645</v>
      </c>
      <c r="F9457" s="4" t="s">
        <v>2639</v>
      </c>
      <c r="G9457" s="5" t="str">
        <f>IFERROR(__xludf.DUMMYFUNCTION("GOOGLETRANSLATE(D9457,""pt"",""es"")"),"militar")</f>
        <v>militar</v>
      </c>
      <c r="H9457" s="4" t="s">
        <v>2641</v>
      </c>
      <c r="I9457" s="4" t="s">
        <v>19661</v>
      </c>
      <c r="J9457" s="4" t="s">
        <v>19662</v>
      </c>
      <c r="K9457" s="4" t="s">
        <v>19663</v>
      </c>
      <c r="L9457" s="4" t="s">
        <v>19664</v>
      </c>
      <c r="M9457" s="4" t="s">
        <v>2641</v>
      </c>
      <c r="N9457" s="4" t="s">
        <v>19661</v>
      </c>
      <c r="O9457" s="4" t="s">
        <v>19662</v>
      </c>
      <c r="P9457" s="4" t="s">
        <v>19663</v>
      </c>
      <c r="Q9457" s="4" t="s">
        <v>19664</v>
      </c>
      <c r="R9457" s="4" t="s">
        <v>2642</v>
      </c>
      <c r="S9457" s="4" t="s">
        <v>2643</v>
      </c>
      <c r="T9457" s="4" t="s">
        <v>1856</v>
      </c>
      <c r="U9457" s="4" t="s">
        <v>2644</v>
      </c>
      <c r="V9457" s="4" t="s">
        <v>2640</v>
      </c>
    </row>
    <row r="9458">
      <c r="A9458" s="4">
        <v>100.0</v>
      </c>
      <c r="B9458" s="4" t="s">
        <v>19724</v>
      </c>
      <c r="C9458" s="4"/>
      <c r="D9458" s="4" t="s">
        <v>19210</v>
      </c>
      <c r="E9458" s="4" t="s">
        <v>19211</v>
      </c>
      <c r="F9458" s="4" t="s">
        <v>19210</v>
      </c>
      <c r="G9458" s="5" t="str">
        <f>IFERROR(__xludf.DUMMYFUNCTION("GOOGLETRANSLATE(D9458,""pt"",""es"")"),"mimimi")</f>
        <v>mimimi</v>
      </c>
    </row>
    <row r="9459">
      <c r="A9459" s="4">
        <v>101.0</v>
      </c>
      <c r="B9459" s="4" t="s">
        <v>19724</v>
      </c>
      <c r="C9459" s="4"/>
      <c r="D9459" s="4" t="s">
        <v>19212</v>
      </c>
      <c r="E9459" s="4" t="s">
        <v>19213</v>
      </c>
      <c r="F9459" s="4" t="s">
        <v>19214</v>
      </c>
      <c r="G9459" s="5" t="str">
        <f>IFERROR(__xludf.DUMMYFUNCTION("GOOGLETRANSLATE(D9459,""pt"",""es"")"),"mimar")</f>
        <v>mimar</v>
      </c>
    </row>
    <row r="9460">
      <c r="A9460" s="4">
        <v>102.0</v>
      </c>
      <c r="B9460" s="4" t="s">
        <v>19724</v>
      </c>
      <c r="C9460" s="4"/>
      <c r="D9460" s="4" t="s">
        <v>19215</v>
      </c>
      <c r="E9460" s="4" t="s">
        <v>19216</v>
      </c>
      <c r="F9460" s="4" t="s">
        <v>19217</v>
      </c>
      <c r="G9460" s="5" t="str">
        <f>IFERROR(__xludf.DUMMYFUNCTION("GOOGLETRANSLATE(D9460,""pt"",""es"")"),"minuko")</f>
        <v>minuko</v>
      </c>
    </row>
    <row r="9461">
      <c r="A9461" s="4">
        <v>103.0</v>
      </c>
      <c r="B9461" s="4" t="s">
        <v>19724</v>
      </c>
      <c r="C9461" s="4"/>
      <c r="D9461" s="4" t="s">
        <v>19218</v>
      </c>
      <c r="E9461" s="4" t="s">
        <v>19219</v>
      </c>
      <c r="F9461" s="4" t="s">
        <v>19220</v>
      </c>
      <c r="G9461" s="5" t="str">
        <f>IFERROR(__xludf.DUMMYFUNCTION("GOOGLETRANSLATE(D9461,""pt"",""es"")"),"minuto")</f>
        <v>minuto</v>
      </c>
      <c r="H9461" s="4" t="s">
        <v>15991</v>
      </c>
      <c r="I9461" s="4" t="s">
        <v>6843</v>
      </c>
      <c r="J9461" s="4" t="s">
        <v>6843</v>
      </c>
      <c r="K9461" s="4" t="s">
        <v>18286</v>
      </c>
      <c r="L9461" s="4" t="s">
        <v>18287</v>
      </c>
      <c r="M9461" s="4" t="s">
        <v>6843</v>
      </c>
      <c r="N9461" s="4" t="s">
        <v>6841</v>
      </c>
      <c r="O9461" s="4" t="s">
        <v>15994</v>
      </c>
      <c r="P9461" s="4" t="s">
        <v>15995</v>
      </c>
      <c r="Q9461" s="4" t="s">
        <v>6843</v>
      </c>
      <c r="R9461" s="4" t="s">
        <v>15996</v>
      </c>
      <c r="S9461" s="4" t="s">
        <v>2602</v>
      </c>
    </row>
    <row r="9462">
      <c r="A9462" s="4">
        <v>104.0</v>
      </c>
      <c r="B9462" s="4" t="s">
        <v>19724</v>
      </c>
      <c r="C9462" s="4"/>
      <c r="D9462" s="4" t="s">
        <v>14212</v>
      </c>
      <c r="E9462" s="4" t="s">
        <v>14213</v>
      </c>
      <c r="F9462" s="4" t="s">
        <v>14212</v>
      </c>
      <c r="G9462" s="5" t="str">
        <f>IFERROR(__xludf.DUMMYFUNCTION("GOOGLETRANSLATE(D9462,""pt"",""es"")"),"para apuntar")</f>
        <v>para apuntar</v>
      </c>
      <c r="H9462" s="4" t="s">
        <v>7937</v>
      </c>
      <c r="I9462" s="4" t="s">
        <v>887</v>
      </c>
      <c r="J9462" s="4" t="s">
        <v>7938</v>
      </c>
      <c r="K9462" s="4" t="s">
        <v>7939</v>
      </c>
      <c r="L9462" s="4" t="s">
        <v>7909</v>
      </c>
      <c r="M9462" s="4" t="s">
        <v>6669</v>
      </c>
      <c r="N9462" s="4" t="s">
        <v>19665</v>
      </c>
      <c r="O9462" s="4" t="s">
        <v>19666</v>
      </c>
      <c r="P9462" s="4" t="s">
        <v>19667</v>
      </c>
      <c r="Q9462" s="4" t="s">
        <v>14882</v>
      </c>
      <c r="R9462" s="4" t="s">
        <v>7918</v>
      </c>
      <c r="S9462" s="4" t="s">
        <v>4619</v>
      </c>
      <c r="T9462" s="4" t="s">
        <v>19668</v>
      </c>
      <c r="U9462" s="4" t="s">
        <v>1755</v>
      </c>
      <c r="V9462" s="4" t="s">
        <v>14214</v>
      </c>
      <c r="W9462" s="4" t="s">
        <v>3011</v>
      </c>
      <c r="X9462" s="4" t="s">
        <v>8017</v>
      </c>
      <c r="Y9462" s="4" t="s">
        <v>19669</v>
      </c>
      <c r="Z9462" s="4" t="s">
        <v>19670</v>
      </c>
    </row>
    <row r="9463">
      <c r="A9463" s="4">
        <v>105.0</v>
      </c>
      <c r="B9463" s="4" t="s">
        <v>19724</v>
      </c>
      <c r="C9463" s="4"/>
      <c r="D9463" s="4" t="s">
        <v>8517</v>
      </c>
      <c r="E9463" s="4" t="s">
        <v>2717</v>
      </c>
      <c r="F9463" s="4" t="s">
        <v>2718</v>
      </c>
      <c r="G9463" s="5" t="str">
        <f>IFERROR(__xludf.DUMMYFUNCTION("GOOGLETRANSLATE(D9463,""pt"",""es"")"),"Misisipí")</f>
        <v>Misisipí</v>
      </c>
      <c r="H9463" s="4" t="s">
        <v>8519</v>
      </c>
      <c r="I9463" s="4" t="s">
        <v>8521</v>
      </c>
      <c r="J9463" s="4" t="s">
        <v>8522</v>
      </c>
      <c r="K9463" s="4" t="s">
        <v>8519</v>
      </c>
      <c r="L9463" s="4" t="s">
        <v>8520</v>
      </c>
    </row>
    <row r="9464">
      <c r="A9464" s="4">
        <v>106.0</v>
      </c>
      <c r="B9464" s="4" t="s">
        <v>19724</v>
      </c>
      <c r="C9464" s="4"/>
      <c r="D9464" s="4" t="s">
        <v>19224</v>
      </c>
      <c r="E9464" s="4" t="s">
        <v>18301</v>
      </c>
      <c r="F9464" s="4" t="s">
        <v>18300</v>
      </c>
      <c r="G9464" s="5" t="str">
        <f>IFERROR(__xludf.DUMMYFUNCTION("GOOGLETRANSLATE(D9464,""pt"",""es"")"),"mito")</f>
        <v>mito</v>
      </c>
      <c r="H9464" s="4" t="s">
        <v>6917</v>
      </c>
    </row>
    <row r="9465">
      <c r="A9465" s="4">
        <v>107.0</v>
      </c>
      <c r="B9465" s="4" t="s">
        <v>19724</v>
      </c>
      <c r="C9465" s="4"/>
      <c r="D9465" s="4" t="s">
        <v>19225</v>
      </c>
      <c r="E9465" s="4" t="s">
        <v>19226</v>
      </c>
      <c r="F9465" s="4" t="s">
        <v>19227</v>
      </c>
      <c r="G9465" s="5" t="str">
        <f>IFERROR(__xludf.DUMMYFUNCTION("GOOGLETRANSLATE(D9465,""pt"",""es"")"),"mixuruca")</f>
        <v>mixuruca</v>
      </c>
    </row>
    <row r="9466">
      <c r="A9466" s="4">
        <v>108.0</v>
      </c>
      <c r="B9466" s="4" t="s">
        <v>19724</v>
      </c>
      <c r="C9466" s="4"/>
      <c r="D9466" s="4" t="s">
        <v>12940</v>
      </c>
      <c r="E9466" s="4" t="s">
        <v>12941</v>
      </c>
      <c r="F9466" s="4" t="s">
        <v>12940</v>
      </c>
      <c r="G9466" s="5" t="str">
        <f>IFERROR(__xludf.DUMMYFUNCTION("GOOGLETRANSLATE(D9466,""pt"",""es"")"),"miyuki")</f>
        <v>miyuki</v>
      </c>
    </row>
    <row r="9467">
      <c r="A9467" s="4">
        <v>109.0</v>
      </c>
      <c r="B9467" s="4" t="s">
        <v>19724</v>
      </c>
      <c r="C9467" s="4"/>
      <c r="D9467" s="4" t="s">
        <v>15995</v>
      </c>
      <c r="E9467" s="4" t="s">
        <v>366</v>
      </c>
      <c r="F9467" s="4" t="s">
        <v>367</v>
      </c>
      <c r="G9467" s="5" t="str">
        <f>IFERROR(__xludf.DUMMYFUNCTION("GOOGLETRANSLATE(D9467,""pt"",""es"")"),"mes")</f>
        <v>mes</v>
      </c>
    </row>
    <row r="9468">
      <c r="A9468" s="4">
        <v>110.0</v>
      </c>
      <c r="B9468" s="4" t="s">
        <v>19724</v>
      </c>
      <c r="C9468" s="4"/>
      <c r="D9468" s="4" t="s">
        <v>19228</v>
      </c>
      <c r="E9468" s="4" t="s">
        <v>12970</v>
      </c>
      <c r="F9468" s="4" t="s">
        <v>12971</v>
      </c>
      <c r="G9468" s="5" t="str">
        <f>IFERROR(__xludf.DUMMYFUNCTION("GOOGLETRANSLATE(D9468,""pt"",""es"")"),"Mui")</f>
        <v>Mui</v>
      </c>
      <c r="H9468" s="4" t="s">
        <v>19229</v>
      </c>
      <c r="I9468" s="4" t="s">
        <v>1762</v>
      </c>
      <c r="J9468" s="4" t="s">
        <v>19230</v>
      </c>
      <c r="K9468" s="4" t="s">
        <v>19231</v>
      </c>
      <c r="L9468" s="4" t="s">
        <v>18305</v>
      </c>
      <c r="M9468" s="4" t="s">
        <v>19232</v>
      </c>
    </row>
    <row r="9469">
      <c r="A9469" s="4">
        <v>111.0</v>
      </c>
      <c r="B9469" s="4" t="s">
        <v>19724</v>
      </c>
      <c r="C9469" s="4"/>
      <c r="D9469" s="4" t="s">
        <v>19233</v>
      </c>
      <c r="E9469" s="4" t="s">
        <v>19234</v>
      </c>
      <c r="F9469" s="4" t="s">
        <v>19235</v>
      </c>
      <c r="G9469" s="5" t="str">
        <f>IFERROR(__xludf.DUMMYFUNCTION("GOOGLETRANSLATE(D9469,""pt"",""es"")"),"mulato")</f>
        <v>mulato</v>
      </c>
      <c r="H9469" s="4" t="s">
        <v>19236</v>
      </c>
    </row>
    <row r="9470">
      <c r="A9470" s="4">
        <v>112.0</v>
      </c>
      <c r="B9470" s="4" t="s">
        <v>19724</v>
      </c>
      <c r="C9470" s="4"/>
      <c r="D9470" s="4" t="s">
        <v>19237</v>
      </c>
      <c r="E9470" s="4" t="s">
        <v>19238</v>
      </c>
      <c r="F9470" s="4" t="s">
        <v>19237</v>
      </c>
      <c r="G9470" s="5" t="str">
        <f>IFERROR(__xludf.DUMMYFUNCTION("GOOGLETRANSLATE(D9470,""pt"",""es"")"),"munir")</f>
        <v>munir</v>
      </c>
    </row>
    <row r="9471">
      <c r="A9471" s="4">
        <v>113.0</v>
      </c>
      <c r="B9471" s="4" t="s">
        <v>19724</v>
      </c>
      <c r="C9471" s="4"/>
      <c r="D9471" s="4" t="s">
        <v>19239</v>
      </c>
      <c r="E9471" s="4" t="s">
        <v>19240</v>
      </c>
      <c r="F9471" s="4" t="s">
        <v>19241</v>
      </c>
      <c r="G9471" s="5" t="str">
        <f>IFERROR(__xludf.DUMMYFUNCTION("GOOGLETRANSLATE(D9471,""pt"",""es"")"),"pared")</f>
        <v>pared</v>
      </c>
      <c r="H9471" s="4" t="s">
        <v>2835</v>
      </c>
      <c r="I9471" s="4" t="s">
        <v>2835</v>
      </c>
    </row>
    <row r="9472">
      <c r="A9472" s="4">
        <v>114.0</v>
      </c>
      <c r="B9472" s="4" t="s">
        <v>19724</v>
      </c>
      <c r="C9472" s="4"/>
      <c r="D9472" s="4" t="s">
        <v>19671</v>
      </c>
      <c r="E9472" s="4" t="s">
        <v>19672</v>
      </c>
      <c r="F9472" s="4" t="s">
        <v>19673</v>
      </c>
      <c r="G9472" s="5" t="str">
        <f>IFERROR(__xludf.DUMMYFUNCTION("GOOGLETRANSLATE(D9472,""pt"",""es"")"),"paredes")</f>
        <v>paredes</v>
      </c>
    </row>
    <row r="9473">
      <c r="A9473" s="4">
        <v>115.0</v>
      </c>
      <c r="B9473" s="4" t="s">
        <v>19724</v>
      </c>
      <c r="C9473" s="4"/>
      <c r="D9473" s="4" t="s">
        <v>2848</v>
      </c>
      <c r="E9473" s="4" t="s">
        <v>2852</v>
      </c>
      <c r="F9473" s="4" t="s">
        <v>2848</v>
      </c>
      <c r="G9473" s="5" t="str">
        <f>IFERROR(__xludf.DUMMYFUNCTION("GOOGLETRANSLATE(D9473,""pt"",""es"")"),"mudar")</f>
        <v>mudar</v>
      </c>
    </row>
    <row r="9474">
      <c r="A9474" s="4">
        <v>116.0</v>
      </c>
      <c r="B9474" s="4" t="s">
        <v>19724</v>
      </c>
      <c r="C9474" s="4"/>
      <c r="D9474" s="4" t="s">
        <v>19242</v>
      </c>
      <c r="E9474" s="4" t="s">
        <v>2279</v>
      </c>
      <c r="F9474" s="4" t="s">
        <v>2278</v>
      </c>
      <c r="G9474" s="5" t="str">
        <f>IFERROR(__xludf.DUMMYFUNCTION("GOOGLETRANSLATE(D9474,""pt"",""es"")"),"malo")</f>
        <v>malo</v>
      </c>
      <c r="H9474" s="4" t="s">
        <v>2332</v>
      </c>
    </row>
    <row r="9475">
      <c r="A9475" s="4">
        <v>117.0</v>
      </c>
      <c r="B9475" s="4" t="s">
        <v>19724</v>
      </c>
      <c r="C9475" s="4"/>
      <c r="D9475" s="4" t="s">
        <v>19252</v>
      </c>
      <c r="E9475" s="4" t="s">
        <v>19253</v>
      </c>
      <c r="F9475" s="4" t="s">
        <v>19254</v>
      </c>
      <c r="G9475" s="5" t="str">
        <f>IFERROR(__xludf.DUMMYFUNCTION("GOOGLETRANSLATE(D9475,""pt"",""es"")"),"máximo")</f>
        <v>máximo</v>
      </c>
      <c r="H9475" s="4" t="s">
        <v>19255</v>
      </c>
      <c r="I9475" s="4" t="s">
        <v>19256</v>
      </c>
      <c r="J9475" s="4" t="s">
        <v>19257</v>
      </c>
      <c r="K9475" s="4" t="s">
        <v>19258</v>
      </c>
      <c r="L9475" s="4" t="s">
        <v>19257</v>
      </c>
      <c r="M9475" s="4" t="s">
        <v>19259</v>
      </c>
      <c r="N9475" s="4" t="s">
        <v>1400</v>
      </c>
      <c r="O9475" s="4" t="s">
        <v>19257</v>
      </c>
      <c r="P9475" s="4" t="s">
        <v>19260</v>
      </c>
    </row>
    <row r="9476">
      <c r="A9476" s="4">
        <v>118.0</v>
      </c>
      <c r="B9476" s="4" t="s">
        <v>19724</v>
      </c>
      <c r="C9476" s="4"/>
      <c r="D9476" s="4" t="s">
        <v>19261</v>
      </c>
      <c r="E9476" s="4" t="s">
        <v>19262</v>
      </c>
      <c r="F9476" s="4" t="s">
        <v>10688</v>
      </c>
      <c r="G9476" s="5" t="str">
        <f>IFERROR(__xludf.DUMMYFUNCTION("GOOGLETRANSLATE(D9476,""pt"",""es"")"),"naco")</f>
        <v>naco</v>
      </c>
      <c r="H9476" s="4" t="s">
        <v>10892</v>
      </c>
      <c r="I9476" s="4" t="s">
        <v>10893</v>
      </c>
    </row>
    <row r="9477">
      <c r="A9477" s="4">
        <v>119.0</v>
      </c>
      <c r="B9477" s="4" t="s">
        <v>19724</v>
      </c>
      <c r="C9477" s="4"/>
      <c r="D9477" s="4" t="s">
        <v>19270</v>
      </c>
      <c r="E9477" s="4" t="s">
        <v>19271</v>
      </c>
      <c r="F9477" s="4" t="s">
        <v>19272</v>
      </c>
      <c r="G9477" s="5" t="str">
        <f>IFERROR(__xludf.DUMMYFUNCTION("GOOGLETRANSLATE(D9477,""pt"",""es"")"),"desequilibrado")</f>
        <v>desequilibrado</v>
      </c>
      <c r="H9477" s="4" t="s">
        <v>19273</v>
      </c>
    </row>
    <row r="9478">
      <c r="A9478" s="4">
        <v>120.0</v>
      </c>
      <c r="B9478" s="4" t="s">
        <v>19724</v>
      </c>
      <c r="C9478" s="4"/>
      <c r="D9478" s="4" t="s">
        <v>19276</v>
      </c>
      <c r="E9478" s="4" t="s">
        <v>19277</v>
      </c>
      <c r="F9478" s="4" t="s">
        <v>19278</v>
      </c>
      <c r="G9478" s="5" t="str">
        <f>IFERROR(__xludf.DUMMYFUNCTION("GOOGLETRANSLATE(D9478,""pt"",""es"")"),"Navidad")</f>
        <v>Navidad</v>
      </c>
    </row>
    <row r="9479">
      <c r="A9479" s="4">
        <v>121.0</v>
      </c>
      <c r="B9479" s="4" t="s">
        <v>19724</v>
      </c>
      <c r="C9479" s="4"/>
      <c r="D9479" s="4" t="s">
        <v>19279</v>
      </c>
      <c r="E9479" s="4" t="s">
        <v>19280</v>
      </c>
      <c r="F9479" s="4" t="s">
        <v>19281</v>
      </c>
      <c r="G9479" s="5" t="str">
        <f>IFERROR(__xludf.DUMMYFUNCTION("GOOGLETRANSLATE(D9479,""pt"",""es"")"),"nicho")</f>
        <v>nicho</v>
      </c>
      <c r="H9479" s="4" t="s">
        <v>19282</v>
      </c>
      <c r="I9479" s="4" t="s">
        <v>11390</v>
      </c>
      <c r="J9479" s="4" t="s">
        <v>983</v>
      </c>
      <c r="K9479" s="4" t="s">
        <v>8556</v>
      </c>
      <c r="L9479" s="4" t="s">
        <v>983</v>
      </c>
      <c r="M9479" s="4" t="s">
        <v>8559</v>
      </c>
      <c r="N9479" s="4" t="s">
        <v>8556</v>
      </c>
      <c r="O9479" s="4" t="s">
        <v>7029</v>
      </c>
    </row>
    <row r="9480">
      <c r="A9480" s="4">
        <v>122.0</v>
      </c>
      <c r="B9480" s="4" t="s">
        <v>19724</v>
      </c>
      <c r="C9480" s="4"/>
      <c r="D9480" s="4" t="s">
        <v>19283</v>
      </c>
      <c r="E9480" s="4" t="s">
        <v>19284</v>
      </c>
      <c r="F9480" s="4" t="s">
        <v>19285</v>
      </c>
      <c r="G9480" s="5" t="str">
        <f>IFERROR(__xludf.DUMMYFUNCTION("GOOGLETRANSLATE(D9480,""pt"",""es"")"),"Nilo")</f>
        <v>Nilo</v>
      </c>
      <c r="H9480" s="4" t="s">
        <v>2978</v>
      </c>
      <c r="I9480" s="4" t="s">
        <v>2979</v>
      </c>
    </row>
    <row r="9481">
      <c r="A9481" s="4">
        <v>123.0</v>
      </c>
      <c r="B9481" s="4" t="s">
        <v>19724</v>
      </c>
      <c r="C9481" s="4"/>
      <c r="D9481" s="4" t="s">
        <v>19286</v>
      </c>
      <c r="E9481" s="4" t="s">
        <v>19287</v>
      </c>
      <c r="F9481" s="4" t="s">
        <v>19288</v>
      </c>
      <c r="G9481" s="5" t="str">
        <f>IFERROR(__xludf.DUMMYFUNCTION("GOOGLETRANSLATE(D9481,""pt"",""es"")"),"niño")</f>
        <v>niño</v>
      </c>
      <c r="H9481" s="4" t="s">
        <v>13082</v>
      </c>
    </row>
    <row r="9482">
      <c r="A9482" s="4">
        <v>124.0</v>
      </c>
      <c r="B9482" s="4" t="s">
        <v>19724</v>
      </c>
      <c r="C9482" s="4"/>
      <c r="D9482" s="4" t="s">
        <v>19289</v>
      </c>
      <c r="E9482" s="4" t="s">
        <v>10767</v>
      </c>
      <c r="F9482" s="4" t="s">
        <v>10766</v>
      </c>
      <c r="G9482" s="5" t="str">
        <f>IFERROR(__xludf.DUMMYFUNCTION("GOOGLETRANSLATE(D9482,""pt"",""es"")"),"en eso")</f>
        <v>en eso</v>
      </c>
    </row>
    <row r="9483">
      <c r="A9483" s="4">
        <v>125.0</v>
      </c>
      <c r="B9483" s="4" t="s">
        <v>19724</v>
      </c>
      <c r="C9483" s="4"/>
      <c r="D9483" s="4" t="s">
        <v>13239</v>
      </c>
      <c r="E9483" s="4" t="s">
        <v>3018</v>
      </c>
      <c r="F9483" s="4" t="s">
        <v>2972</v>
      </c>
      <c r="G9483" s="5" t="str">
        <f>IFERROR(__xludf.DUMMYFUNCTION("GOOGLETRANSLATE(D9483,""pt"",""es"")"),"en el")</f>
        <v>en el</v>
      </c>
      <c r="H9483" s="4" t="s">
        <v>19290</v>
      </c>
      <c r="I9483" s="4" t="s">
        <v>19291</v>
      </c>
      <c r="J9483" s="4" t="s">
        <v>19292</v>
      </c>
    </row>
    <row r="9484">
      <c r="A9484" s="4">
        <v>126.0</v>
      </c>
      <c r="B9484" s="4" t="s">
        <v>19724</v>
      </c>
      <c r="C9484" s="4"/>
      <c r="D9484" s="4" t="s">
        <v>2972</v>
      </c>
      <c r="E9484" s="4" t="s">
        <v>3018</v>
      </c>
      <c r="F9484" s="4" t="s">
        <v>2972</v>
      </c>
      <c r="G9484" s="5" t="str">
        <f>IFERROR(__xludf.DUMMYFUNCTION("GOOGLETRANSLATE(D9484,""pt"",""es"")"),"desnudo")</f>
        <v>desnudo</v>
      </c>
      <c r="H9484" s="4" t="s">
        <v>3019</v>
      </c>
      <c r="I9484" s="4" t="s">
        <v>3020</v>
      </c>
      <c r="J9484" s="4" t="s">
        <v>3021</v>
      </c>
      <c r="K9484" s="4" t="s">
        <v>3022</v>
      </c>
      <c r="L9484" s="4" t="s">
        <v>19293</v>
      </c>
      <c r="M9484" s="4" t="s">
        <v>19294</v>
      </c>
    </row>
    <row r="9485">
      <c r="A9485" s="4">
        <v>127.0</v>
      </c>
      <c r="B9485" s="4" t="s">
        <v>19724</v>
      </c>
      <c r="C9485" s="4"/>
      <c r="D9485" s="4" t="s">
        <v>8580</v>
      </c>
      <c r="E9485" s="4" t="s">
        <v>13110</v>
      </c>
      <c r="F9485" s="4" t="s">
        <v>13111</v>
      </c>
      <c r="G9485" s="5" t="str">
        <f>IFERROR(__xludf.DUMMYFUNCTION("GOOGLETRANSLATE(D9485,""pt"",""es"")"),"tú")</f>
        <v>tú</v>
      </c>
    </row>
    <row r="9486">
      <c r="A9486" s="4">
        <v>128.0</v>
      </c>
      <c r="B9486" s="4" t="s">
        <v>19724</v>
      </c>
      <c r="C9486" s="4"/>
      <c r="D9486" s="4" t="s">
        <v>14238</v>
      </c>
      <c r="E9486" s="4" t="s">
        <v>4850</v>
      </c>
      <c r="F9486" s="4" t="s">
        <v>3910</v>
      </c>
      <c r="G9486" s="5" t="str">
        <f>IFERROR(__xludf.DUMMYFUNCTION("GOOGLETRANSLATE(D9486,""pt"",""es"")"),"papá")</f>
        <v>papá</v>
      </c>
      <c r="H9486" s="4" t="s">
        <v>9713</v>
      </c>
      <c r="I9486" s="4" t="s">
        <v>9714</v>
      </c>
      <c r="J9486" s="4" t="s">
        <v>9715</v>
      </c>
      <c r="K9486" s="4" t="s">
        <v>3294</v>
      </c>
      <c r="L9486" s="4" t="s">
        <v>3295</v>
      </c>
      <c r="M9486" s="4" t="s">
        <v>3296</v>
      </c>
      <c r="N9486" s="4" t="s">
        <v>3147</v>
      </c>
      <c r="O9486" s="4" t="s">
        <v>3292</v>
      </c>
      <c r="P9486" s="4" t="s">
        <v>3297</v>
      </c>
      <c r="Q9486" s="4" t="s">
        <v>3298</v>
      </c>
      <c r="R9486" s="4" t="s">
        <v>3299</v>
      </c>
      <c r="S9486" s="4" t="s">
        <v>3300</v>
      </c>
      <c r="T9486" s="4" t="s">
        <v>3301</v>
      </c>
      <c r="U9486" s="4" t="s">
        <v>19295</v>
      </c>
      <c r="V9486" s="4" t="s">
        <v>9723</v>
      </c>
    </row>
    <row r="9487">
      <c r="A9487" s="4">
        <v>129.0</v>
      </c>
      <c r="B9487" s="4" t="s">
        <v>19724</v>
      </c>
      <c r="C9487" s="4"/>
      <c r="D9487" s="4" t="s">
        <v>3158</v>
      </c>
      <c r="E9487" s="4" t="s">
        <v>3159</v>
      </c>
      <c r="F9487" s="4" t="s">
        <v>3160</v>
      </c>
      <c r="G9487" s="5" t="str">
        <f>IFERROR(__xludf.DUMMYFUNCTION("GOOGLETRANSLATE(D9487,""pt"",""es"")"),"paio")</f>
        <v>paio</v>
      </c>
    </row>
    <row r="9488">
      <c r="A9488" s="4">
        <v>130.0</v>
      </c>
      <c r="B9488" s="4" t="s">
        <v>19724</v>
      </c>
      <c r="C9488" s="4"/>
      <c r="D9488" s="4" t="s">
        <v>19306</v>
      </c>
      <c r="E9488" s="4" t="s">
        <v>19307</v>
      </c>
      <c r="F9488" s="4" t="s">
        <v>19308</v>
      </c>
      <c r="G9488" s="5" t="str">
        <f>IFERROR(__xludf.DUMMYFUNCTION("GOOGLETRANSLATE(D9488,""pt"",""es"")"),"papárico")</f>
        <v>papárico</v>
      </c>
    </row>
    <row r="9489">
      <c r="A9489" s="4">
        <v>131.0</v>
      </c>
      <c r="B9489" s="4" t="s">
        <v>19724</v>
      </c>
      <c r="C9489" s="4"/>
      <c r="D9489" s="4" t="s">
        <v>19309</v>
      </c>
      <c r="E9489" s="4" t="s">
        <v>3322</v>
      </c>
      <c r="F9489" s="4" t="s">
        <v>3323</v>
      </c>
      <c r="G9489" s="5" t="str">
        <f>IFERROR(__xludf.DUMMYFUNCTION("GOOGLETRANSLATE(D9489,""pt"",""es"")"),"charlar")</f>
        <v>charlar</v>
      </c>
      <c r="H9489" s="4" t="s">
        <v>8799</v>
      </c>
    </row>
    <row r="9490">
      <c r="A9490" s="4">
        <v>132.0</v>
      </c>
      <c r="B9490" s="4" t="s">
        <v>19724</v>
      </c>
      <c r="C9490" s="4"/>
      <c r="D9490" s="4" t="s">
        <v>3427</v>
      </c>
      <c r="E9490" s="4" t="s">
        <v>3428</v>
      </c>
      <c r="F9490" s="4" t="s">
        <v>3429</v>
      </c>
      <c r="G9490" s="5" t="str">
        <f>IFERROR(__xludf.DUMMYFUNCTION("GOOGLETRANSLATE(D9490,""pt"",""es"")"),"paso")</f>
        <v>paso</v>
      </c>
      <c r="H9490" s="4" t="s">
        <v>639</v>
      </c>
      <c r="I9490" s="4" t="s">
        <v>3365</v>
      </c>
      <c r="J9490" s="4" t="s">
        <v>3366</v>
      </c>
      <c r="K9490" s="4" t="s">
        <v>3367</v>
      </c>
      <c r="L9490" s="4" t="s">
        <v>3368</v>
      </c>
      <c r="M9490" s="4" t="s">
        <v>13236</v>
      </c>
      <c r="N9490" s="4" t="s">
        <v>3365</v>
      </c>
      <c r="O9490" s="4" t="s">
        <v>3366</v>
      </c>
      <c r="P9490" s="4" t="s">
        <v>3372</v>
      </c>
      <c r="Q9490" s="4" t="s">
        <v>3381</v>
      </c>
      <c r="R9490" s="4" t="s">
        <v>3366</v>
      </c>
      <c r="S9490" s="4" t="s">
        <v>3365</v>
      </c>
      <c r="T9490" s="4" t="s">
        <v>3367</v>
      </c>
    </row>
    <row r="9491">
      <c r="A9491" s="4">
        <v>133.0</v>
      </c>
      <c r="B9491" s="4" t="s">
        <v>19724</v>
      </c>
      <c r="C9491" s="4"/>
      <c r="D9491" s="4" t="s">
        <v>19674</v>
      </c>
      <c r="E9491" s="4" t="s">
        <v>19675</v>
      </c>
      <c r="F9491" s="4" t="s">
        <v>19676</v>
      </c>
      <c r="G9491" s="5" t="str">
        <f>IFERROR(__xludf.DUMMYFUNCTION("GOOGLETRANSLATE(D9491,""pt"",""es"")"),"pasos")</f>
        <v>pasos</v>
      </c>
    </row>
    <row r="9492">
      <c r="A9492" s="4">
        <v>134.0</v>
      </c>
      <c r="B9492" s="4" t="s">
        <v>19724</v>
      </c>
      <c r="C9492" s="4"/>
      <c r="D9492" s="4" t="s">
        <v>14516</v>
      </c>
      <c r="E9492" s="4" t="s">
        <v>19313</v>
      </c>
      <c r="F9492" s="4" t="s">
        <v>14518</v>
      </c>
      <c r="G9492" s="5" t="str">
        <f>IFERROR(__xludf.DUMMYFUNCTION("GOOGLETRANSLATE(D9492,""pt"",""es"")"),"pato")</f>
        <v>pato</v>
      </c>
      <c r="H9492" s="4" t="s">
        <v>11872</v>
      </c>
      <c r="I9492" s="4" t="s">
        <v>19314</v>
      </c>
      <c r="J9492" s="4" t="s">
        <v>11872</v>
      </c>
    </row>
    <row r="9493">
      <c r="A9493" s="4">
        <v>135.0</v>
      </c>
      <c r="B9493" s="4" t="s">
        <v>19724</v>
      </c>
      <c r="C9493" s="4"/>
      <c r="D9493" s="4" t="s">
        <v>19315</v>
      </c>
      <c r="E9493" s="4" t="s">
        <v>3428</v>
      </c>
      <c r="F9493" s="4" t="s">
        <v>3429</v>
      </c>
      <c r="G9493" s="5" t="str">
        <f>IFERROR(__xludf.DUMMYFUNCTION("GOOGLETRANSLATE(D9493,""pt"",""es"")"),"ritmo")</f>
        <v>ritmo</v>
      </c>
    </row>
    <row r="9494">
      <c r="A9494" s="4">
        <v>136.0</v>
      </c>
      <c r="B9494" s="4" t="s">
        <v>19724</v>
      </c>
      <c r="C9494" s="4"/>
      <c r="D9494" s="4" t="s">
        <v>230</v>
      </c>
      <c r="E9494" s="4" t="s">
        <v>229</v>
      </c>
      <c r="F9494" s="4" t="s">
        <v>230</v>
      </c>
      <c r="G9494" s="5" t="str">
        <f>IFERROR(__xludf.DUMMYFUNCTION("GOOGLETRANSLATE(D9494,""pt"",""es"")"),"Pi")</f>
        <v>Pi</v>
      </c>
      <c r="H9494" s="4" t="s">
        <v>230</v>
      </c>
      <c r="I9494" s="4" t="s">
        <v>230</v>
      </c>
    </row>
    <row r="9495">
      <c r="A9495" s="4">
        <v>137.0</v>
      </c>
      <c r="B9495" s="4" t="s">
        <v>19724</v>
      </c>
      <c r="C9495" s="4"/>
      <c r="D9495" s="4" t="s">
        <v>19331</v>
      </c>
      <c r="E9495" s="4" t="s">
        <v>19332</v>
      </c>
      <c r="F9495" s="4" t="s">
        <v>14538</v>
      </c>
      <c r="G9495" s="5" t="str">
        <f>IFERROR(__xludf.DUMMYFUNCTION("GOOGLETRANSLATE(D9495,""pt"",""es"")"),"pichu")</f>
        <v>pichu</v>
      </c>
    </row>
    <row r="9496">
      <c r="A9496" s="4">
        <v>138.0</v>
      </c>
      <c r="B9496" s="4" t="s">
        <v>19724</v>
      </c>
      <c r="C9496" s="4"/>
      <c r="D9496" s="4" t="s">
        <v>3511</v>
      </c>
      <c r="E9496" s="4" t="s">
        <v>3512</v>
      </c>
      <c r="F9496" s="4" t="s">
        <v>3513</v>
      </c>
      <c r="G9496" s="5" t="str">
        <f>IFERROR(__xludf.DUMMYFUNCTION("GOOGLETRANSLATE(D9496,""pt"",""es"")"),"cima")</f>
        <v>cima</v>
      </c>
      <c r="H9496" s="4" t="s">
        <v>1400</v>
      </c>
      <c r="I9496" s="4" t="s">
        <v>1401</v>
      </c>
      <c r="J9496" s="4" t="s">
        <v>1402</v>
      </c>
      <c r="K9496" s="4" t="s">
        <v>1403</v>
      </c>
      <c r="L9496" s="4" t="s">
        <v>425</v>
      </c>
      <c r="M9496" s="4" t="s">
        <v>1404</v>
      </c>
      <c r="N9496" s="4" t="s">
        <v>425</v>
      </c>
    </row>
    <row r="9497">
      <c r="A9497" s="4">
        <v>139.0</v>
      </c>
      <c r="B9497" s="4" t="s">
        <v>19724</v>
      </c>
      <c r="C9497" s="4"/>
      <c r="D9497" s="4" t="s">
        <v>19333</v>
      </c>
      <c r="E9497" s="4" t="s">
        <v>19317</v>
      </c>
      <c r="F9497" s="4" t="s">
        <v>19318</v>
      </c>
      <c r="G9497" s="5" t="str">
        <f>IFERROR(__xludf.DUMMYFUNCTION("GOOGLETRANSLATE(D9497,""pt"",""es"")"),"píldora")</f>
        <v>píldora</v>
      </c>
    </row>
    <row r="9498">
      <c r="A9498" s="4">
        <v>140.0</v>
      </c>
      <c r="B9498" s="4" t="s">
        <v>19724</v>
      </c>
      <c r="C9498" s="4"/>
      <c r="D9498" s="4" t="s">
        <v>5504</v>
      </c>
      <c r="E9498" s="4" t="s">
        <v>5503</v>
      </c>
      <c r="F9498" s="4" t="s">
        <v>5504</v>
      </c>
      <c r="G9498" s="5" t="str">
        <f>IFERROR(__xludf.DUMMYFUNCTION("GOOGLETRANSLATE(D9498,""pt"",""es"")"),"pipi")</f>
        <v>pipi</v>
      </c>
      <c r="H9498" s="4" t="s">
        <v>7246</v>
      </c>
      <c r="I9498" s="4" t="s">
        <v>7242</v>
      </c>
      <c r="J9498" s="4" t="s">
        <v>7247</v>
      </c>
      <c r="K9498" s="4" t="s">
        <v>7239</v>
      </c>
      <c r="L9498" s="4" t="s">
        <v>7241</v>
      </c>
      <c r="M9498" s="4" t="s">
        <v>7239</v>
      </c>
      <c r="N9498" s="4" t="s">
        <v>7242</v>
      </c>
      <c r="O9498" s="4" t="s">
        <v>7243</v>
      </c>
      <c r="P9498" s="4" t="s">
        <v>7244</v>
      </c>
      <c r="Q9498" s="4" t="s">
        <v>7245</v>
      </c>
    </row>
    <row r="9499">
      <c r="A9499" s="4">
        <v>141.0</v>
      </c>
      <c r="B9499" s="4" t="s">
        <v>19724</v>
      </c>
      <c r="C9499" s="4"/>
      <c r="D9499" s="4" t="s">
        <v>919</v>
      </c>
      <c r="E9499" s="4" t="s">
        <v>10973</v>
      </c>
      <c r="F9499" s="4" t="s">
        <v>7175</v>
      </c>
      <c r="G9499" s="5" t="str">
        <f>IFERROR(__xludf.DUMMYFUNCTION("GOOGLETRANSLATE(D9499,""pt"",""es"")"),"recogedor")</f>
        <v>recogedor</v>
      </c>
      <c r="H9499" s="4" t="s">
        <v>3466</v>
      </c>
      <c r="I9499" s="4" t="s">
        <v>3466</v>
      </c>
    </row>
    <row r="9500">
      <c r="A9500" s="4">
        <v>142.0</v>
      </c>
      <c r="B9500" s="4" t="s">
        <v>19724</v>
      </c>
      <c r="C9500" s="4"/>
      <c r="D9500" s="4" t="s">
        <v>19334</v>
      </c>
      <c r="E9500" s="4" t="s">
        <v>19335</v>
      </c>
      <c r="F9500" s="4" t="s">
        <v>19336</v>
      </c>
      <c r="G9500" s="5" t="str">
        <f>IFERROR(__xludf.DUMMYFUNCTION("GOOGLETRANSLATE(D9500,""pt"",""es"")"),"platillo")</f>
        <v>platillo</v>
      </c>
      <c r="H9500" s="4" t="s">
        <v>13706</v>
      </c>
      <c r="I9500" s="4" t="s">
        <v>13706</v>
      </c>
    </row>
    <row r="9501">
      <c r="A9501" s="4">
        <v>143.0</v>
      </c>
      <c r="B9501" s="4" t="s">
        <v>19724</v>
      </c>
      <c r="C9501" s="4"/>
      <c r="D9501" s="4" t="s">
        <v>19337</v>
      </c>
      <c r="E9501" s="4" t="s">
        <v>19338</v>
      </c>
      <c r="F9501" s="4" t="s">
        <v>19337</v>
      </c>
      <c r="G9501" s="5" t="str">
        <f>IFERROR(__xludf.DUMMYFUNCTION("GOOGLETRANSLATE(D9501,""pt"",""es"")"),"piriri")</f>
        <v>piriri</v>
      </c>
    </row>
    <row r="9502">
      <c r="A9502" s="4">
        <v>144.0</v>
      </c>
      <c r="B9502" s="4" t="s">
        <v>19724</v>
      </c>
      <c r="C9502" s="4"/>
      <c r="D9502" s="4" t="s">
        <v>19325</v>
      </c>
      <c r="E9502" s="4" t="s">
        <v>19324</v>
      </c>
      <c r="F9502" s="4" t="s">
        <v>19325</v>
      </c>
      <c r="G9502" s="5" t="str">
        <f>IFERROR(__xludf.DUMMYFUNCTION("GOOGLETRANSLATE(D9502,""pt"",""es"")"),"pirus")</f>
        <v>pirus</v>
      </c>
    </row>
    <row r="9503">
      <c r="A9503" s="4">
        <v>145.0</v>
      </c>
      <c r="B9503" s="4" t="s">
        <v>19724</v>
      </c>
      <c r="C9503" s="4"/>
      <c r="D9503" s="4" t="s">
        <v>19342</v>
      </c>
      <c r="E9503" s="4" t="s">
        <v>19343</v>
      </c>
      <c r="F9503" s="4" t="s">
        <v>19344</v>
      </c>
      <c r="G9503" s="5" t="str">
        <f>IFERROR(__xludf.DUMMYFUNCTION("GOOGLETRANSLATE(D9503,""pt"",""es"")"),"pitaco")</f>
        <v>pitaco</v>
      </c>
    </row>
    <row r="9504">
      <c r="A9504" s="4">
        <v>146.0</v>
      </c>
      <c r="B9504" s="4" t="s">
        <v>19724</v>
      </c>
      <c r="C9504" s="4"/>
      <c r="D9504" s="4" t="s">
        <v>19345</v>
      </c>
      <c r="E9504" s="4" t="s">
        <v>13389</v>
      </c>
      <c r="F9504" s="4" t="s">
        <v>13390</v>
      </c>
      <c r="G9504" s="5" t="str">
        <f>IFERROR(__xludf.DUMMYFUNCTION("GOOGLETRANSLATE(D9504,""pt"",""es"")"),"pito")</f>
        <v>pito</v>
      </c>
    </row>
    <row r="9505">
      <c r="A9505" s="4">
        <v>147.0</v>
      </c>
      <c r="B9505" s="4" t="s">
        <v>19724</v>
      </c>
      <c r="C9505" s="4"/>
      <c r="D9505" s="4" t="s">
        <v>13390</v>
      </c>
      <c r="E9505" s="4" t="s">
        <v>13389</v>
      </c>
      <c r="F9505" s="4" t="s">
        <v>13390</v>
      </c>
      <c r="G9505" s="5" t="str">
        <f>IFERROR(__xludf.DUMMYFUNCTION("GOOGLETRANSLATE(D9505,""pt"",""es"")"),"pitú")</f>
        <v>pitú</v>
      </c>
    </row>
    <row r="9506">
      <c r="A9506" s="4">
        <v>148.0</v>
      </c>
      <c r="B9506" s="4" t="s">
        <v>19724</v>
      </c>
      <c r="C9506" s="4"/>
      <c r="D9506" s="4" t="s">
        <v>3614</v>
      </c>
      <c r="E9506" s="4" t="s">
        <v>19677</v>
      </c>
      <c r="F9506" s="4" t="s">
        <v>19678</v>
      </c>
      <c r="G9506" s="5" t="str">
        <f>IFERROR(__xludf.DUMMYFUNCTION("GOOGLETRANSLATE(D9506,""pt"",""es"")"),"pulir")</f>
        <v>pulir</v>
      </c>
      <c r="H9506" s="4" t="s">
        <v>3617</v>
      </c>
      <c r="I9506" s="4" t="s">
        <v>3622</v>
      </c>
      <c r="J9506" s="4" t="s">
        <v>3623</v>
      </c>
      <c r="K9506" s="4" t="s">
        <v>3624</v>
      </c>
      <c r="L9506" s="4" t="s">
        <v>3617</v>
      </c>
      <c r="M9506" s="4" t="s">
        <v>3625</v>
      </c>
      <c r="N9506" s="4" t="s">
        <v>3626</v>
      </c>
      <c r="O9506" s="4" t="s">
        <v>3627</v>
      </c>
      <c r="P9506" s="4" t="s">
        <v>599</v>
      </c>
      <c r="Q9506" s="4" t="s">
        <v>3628</v>
      </c>
      <c r="R9506" s="4" t="s">
        <v>3629</v>
      </c>
      <c r="S9506" s="4" t="s">
        <v>2584</v>
      </c>
    </row>
    <row r="9507">
      <c r="A9507" s="4">
        <v>149.0</v>
      </c>
      <c r="B9507" s="4" t="s">
        <v>19724</v>
      </c>
      <c r="C9507" s="4"/>
      <c r="D9507" s="4" t="s">
        <v>19679</v>
      </c>
      <c r="E9507" s="4" t="s">
        <v>19680</v>
      </c>
      <c r="F9507" s="4" t="s">
        <v>19681</v>
      </c>
      <c r="G9507" s="5" t="str">
        <f>IFERROR(__xludf.DUMMYFUNCTION("GOOGLETRANSLATE(D9507,""pt"",""es"")"),"político")</f>
        <v>político</v>
      </c>
      <c r="H9507" s="4" t="s">
        <v>3645</v>
      </c>
      <c r="I9507" s="4" t="s">
        <v>3645</v>
      </c>
      <c r="J9507" s="4" t="s">
        <v>3646</v>
      </c>
      <c r="K9507" s="4" t="s">
        <v>3647</v>
      </c>
      <c r="L9507" s="4" t="s">
        <v>3648</v>
      </c>
      <c r="M9507" s="4" t="s">
        <v>3649</v>
      </c>
      <c r="N9507" s="4" t="s">
        <v>3646</v>
      </c>
    </row>
    <row r="9508">
      <c r="A9508" s="4">
        <v>150.0</v>
      </c>
      <c r="B9508" s="4" t="s">
        <v>19724</v>
      </c>
      <c r="C9508" s="4"/>
      <c r="D9508" s="4" t="s">
        <v>19553</v>
      </c>
      <c r="E9508" s="4" t="s">
        <v>3738</v>
      </c>
      <c r="F9508" s="4" t="s">
        <v>3737</v>
      </c>
      <c r="G9508" s="5" t="str">
        <f>IFERROR(__xludf.DUMMYFUNCTION("GOOGLETRANSLATE(D9508,""pt"",""es"")"),"por")</f>
        <v>por</v>
      </c>
      <c r="H9508" s="4" t="s">
        <v>19554</v>
      </c>
      <c r="I9508" s="4" t="s">
        <v>14751</v>
      </c>
      <c r="J9508" s="4" t="s">
        <v>3000</v>
      </c>
    </row>
    <row r="9509">
      <c r="A9509" s="4">
        <v>151.0</v>
      </c>
      <c r="B9509" s="4" t="s">
        <v>19724</v>
      </c>
      <c r="C9509" s="4"/>
      <c r="D9509" s="4" t="s">
        <v>19682</v>
      </c>
      <c r="E9509" s="4" t="s">
        <v>19683</v>
      </c>
      <c r="F9509" s="4" t="s">
        <v>19684</v>
      </c>
      <c r="G9509" s="5" t="str">
        <f>IFERROR(__xludf.DUMMYFUNCTION("GOOGLETRANSLATE(D9509,""pt"",""es"")"),"puños")</f>
        <v>puños</v>
      </c>
    </row>
    <row r="9510">
      <c r="A9510" s="4">
        <v>152.0</v>
      </c>
      <c r="B9510" s="4" t="s">
        <v>19724</v>
      </c>
      <c r="C9510" s="4"/>
      <c r="D9510" s="4" t="s">
        <v>19351</v>
      </c>
      <c r="E9510" s="4" t="s">
        <v>19352</v>
      </c>
      <c r="F9510" s="4" t="s">
        <v>19353</v>
      </c>
      <c r="G9510" s="5" t="str">
        <f>IFERROR(__xludf.DUMMYFUNCTION("GOOGLETRANSLATE(D9510,""pt"",""es"")"),"puro")</f>
        <v>puro</v>
      </c>
      <c r="H9510" s="4" t="s">
        <v>19354</v>
      </c>
      <c r="I9510" s="4" t="s">
        <v>3739</v>
      </c>
      <c r="J9510" s="4" t="s">
        <v>3739</v>
      </c>
      <c r="K9510" s="4" t="s">
        <v>3739</v>
      </c>
      <c r="L9510" s="4" t="s">
        <v>6415</v>
      </c>
      <c r="M9510" s="4" t="s">
        <v>16125</v>
      </c>
      <c r="N9510" s="4" t="s">
        <v>19355</v>
      </c>
      <c r="O9510" s="4" t="s">
        <v>19356</v>
      </c>
    </row>
    <row r="9511">
      <c r="A9511" s="4">
        <v>153.0</v>
      </c>
      <c r="B9511" s="4" t="s">
        <v>19724</v>
      </c>
      <c r="C9511" s="4"/>
      <c r="D9511" s="4" t="s">
        <v>19357</v>
      </c>
      <c r="E9511" s="4" t="s">
        <v>11052</v>
      </c>
      <c r="F9511" s="4" t="s">
        <v>11051</v>
      </c>
      <c r="G9511" s="5" t="str">
        <f>IFERROR(__xludf.DUMMYFUNCTION("GOOGLETRANSLATE(D9511,""pt"",""es"")"),"Molesto")</f>
        <v>Molesto</v>
      </c>
      <c r="H9511" s="4" t="s">
        <v>19358</v>
      </c>
      <c r="I9511" s="4" t="s">
        <v>19359</v>
      </c>
      <c r="J9511" s="4" t="s">
        <v>19360</v>
      </c>
      <c r="K9511" s="4" t="s">
        <v>19361</v>
      </c>
      <c r="L9511" s="4" t="s">
        <v>19362</v>
      </c>
      <c r="M9511" s="4" t="s">
        <v>11480</v>
      </c>
      <c r="N9511" s="4" t="s">
        <v>5892</v>
      </c>
      <c r="O9511" s="4" t="s">
        <v>19363</v>
      </c>
      <c r="P9511" s="4" t="s">
        <v>19364</v>
      </c>
    </row>
    <row r="9512">
      <c r="A9512" s="4">
        <v>154.0</v>
      </c>
      <c r="B9512" s="4" t="s">
        <v>19724</v>
      </c>
      <c r="C9512" s="4"/>
      <c r="D9512" s="4" t="s">
        <v>14541</v>
      </c>
      <c r="E9512" s="4" t="s">
        <v>14542</v>
      </c>
      <c r="F9512" s="4" t="s">
        <v>14543</v>
      </c>
      <c r="G9512" s="5" t="str">
        <f>IFERROR(__xludf.DUMMYFUNCTION("GOOGLETRANSLATE(D9512,""pt"",""es"")"),"jalar")</f>
        <v>jalar</v>
      </c>
      <c r="H9512" s="4" t="s">
        <v>4433</v>
      </c>
      <c r="I9512" s="4" t="s">
        <v>7309</v>
      </c>
      <c r="J9512" s="4" t="s">
        <v>4433</v>
      </c>
      <c r="K9512" s="4" t="s">
        <v>3414</v>
      </c>
      <c r="L9512" s="4" t="s">
        <v>4434</v>
      </c>
      <c r="M9512" s="4" t="s">
        <v>7334</v>
      </c>
      <c r="N9512" s="4" t="s">
        <v>4437</v>
      </c>
      <c r="O9512" s="4" t="s">
        <v>4439</v>
      </c>
      <c r="P9512" s="4" t="s">
        <v>4436</v>
      </c>
      <c r="Q9512" s="4" t="s">
        <v>4438</v>
      </c>
      <c r="R9512" s="4" t="s">
        <v>7301</v>
      </c>
      <c r="S9512" s="4" t="s">
        <v>4433</v>
      </c>
      <c r="T9512" s="4" t="s">
        <v>7302</v>
      </c>
      <c r="U9512" s="4" t="s">
        <v>3414</v>
      </c>
      <c r="V9512" s="4" t="s">
        <v>7303</v>
      </c>
    </row>
    <row r="9513">
      <c r="A9513" s="4">
        <v>155.0</v>
      </c>
      <c r="B9513" s="4" t="s">
        <v>19724</v>
      </c>
      <c r="C9513" s="4"/>
      <c r="D9513" s="4" t="s">
        <v>19365</v>
      </c>
      <c r="E9513" s="4" t="s">
        <v>3148</v>
      </c>
      <c r="F9513" s="4" t="s">
        <v>3147</v>
      </c>
      <c r="G9513" s="5" t="str">
        <f>IFERROR(__xludf.DUMMYFUNCTION("GOOGLETRANSLATE(D9513,""pt"",""es"")"),"pala")</f>
        <v>pala</v>
      </c>
      <c r="H9513" s="4" t="s">
        <v>19366</v>
      </c>
      <c r="I9513" s="4" t="s">
        <v>19367</v>
      </c>
      <c r="J9513" s="4" t="s">
        <v>13178</v>
      </c>
      <c r="K9513" s="4" t="s">
        <v>19368</v>
      </c>
      <c r="L9513" s="4" t="s">
        <v>3175</v>
      </c>
      <c r="M9513" s="4" t="s">
        <v>3175</v>
      </c>
      <c r="N9513" s="4" t="s">
        <v>8226</v>
      </c>
    </row>
    <row r="9514">
      <c r="A9514" s="4">
        <v>156.0</v>
      </c>
      <c r="B9514" s="4" t="s">
        <v>19724</v>
      </c>
      <c r="C9514" s="4"/>
      <c r="D9514" s="4" t="s">
        <v>19369</v>
      </c>
      <c r="E9514" s="4" t="s">
        <v>3185</v>
      </c>
      <c r="F9514" s="4" t="s">
        <v>3184</v>
      </c>
      <c r="G9514" s="5" t="str">
        <f>IFERROR(__xludf.DUMMYFUNCTION("GOOGLETRANSLATE(D9514,""pt"",""es"")"),"Pali")</f>
        <v>Pali</v>
      </c>
      <c r="H9514" s="4" t="s">
        <v>19370</v>
      </c>
      <c r="I9514" s="4" t="s">
        <v>19370</v>
      </c>
    </row>
    <row r="9515">
      <c r="A9515" s="4">
        <v>157.0</v>
      </c>
      <c r="B9515" s="4" t="s">
        <v>19724</v>
      </c>
      <c r="C9515" s="4"/>
      <c r="D9515" s="4" t="s">
        <v>3806</v>
      </c>
      <c r="E9515" s="4" t="s">
        <v>3807</v>
      </c>
      <c r="F9515" s="4" t="s">
        <v>3808</v>
      </c>
      <c r="G9515" s="5" t="str">
        <f>IFERROR(__xludf.DUMMYFUNCTION("GOOGLETRANSLATE(D9515,""pt"",""es"")"),"kilo")</f>
        <v>kilo</v>
      </c>
      <c r="H9515" s="4" t="s">
        <v>3809</v>
      </c>
      <c r="I9515" s="4" t="s">
        <v>3810</v>
      </c>
      <c r="J9515" s="4" t="s">
        <v>3811</v>
      </c>
    </row>
    <row r="9516">
      <c r="A9516" s="4">
        <v>158.0</v>
      </c>
      <c r="B9516" s="4" t="s">
        <v>19724</v>
      </c>
      <c r="C9516" s="4"/>
      <c r="D9516" s="4" t="s">
        <v>19374</v>
      </c>
      <c r="E9516" s="4" t="s">
        <v>12476</v>
      </c>
      <c r="F9516" s="4" t="s">
        <v>12477</v>
      </c>
      <c r="G9516" s="5" t="str">
        <f>IFERROR(__xludf.DUMMYFUNCTION("GOOGLETRANSLATE(D9516,""pt"",""es"")"),"quipá")</f>
        <v>quipá</v>
      </c>
    </row>
    <row r="9517">
      <c r="A9517" s="4">
        <v>159.0</v>
      </c>
      <c r="B9517" s="4" t="s">
        <v>19724</v>
      </c>
      <c r="C9517" s="4"/>
      <c r="D9517" s="4" t="s">
        <v>19375</v>
      </c>
      <c r="E9517" s="4" t="s">
        <v>3831</v>
      </c>
      <c r="F9517" s="4" t="s">
        <v>3832</v>
      </c>
      <c r="G9517" s="5" t="str">
        <f>IFERROR(__xludf.DUMMYFUNCTION("GOOGLETRANSLATE(D9517,""pt"",""es"")"),"quizás")</f>
        <v>quizás</v>
      </c>
      <c r="H9517" s="4" t="s">
        <v>19376</v>
      </c>
      <c r="I9517" s="4" t="s">
        <v>19377</v>
      </c>
      <c r="J9517" s="4" t="s">
        <v>19378</v>
      </c>
      <c r="K9517" s="4" t="s">
        <v>19379</v>
      </c>
      <c r="L9517" s="4" t="s">
        <v>19380</v>
      </c>
      <c r="M9517" s="4" t="s">
        <v>19381</v>
      </c>
    </row>
    <row r="9518">
      <c r="A9518" s="4">
        <v>160.0</v>
      </c>
      <c r="B9518" s="4" t="s">
        <v>19724</v>
      </c>
      <c r="C9518" s="4"/>
      <c r="D9518" s="4" t="s">
        <v>19382</v>
      </c>
      <c r="E9518" s="4" t="s">
        <v>19383</v>
      </c>
      <c r="F9518" s="4" t="s">
        <v>19384</v>
      </c>
      <c r="G9518" s="5" t="str">
        <f>IFERROR(__xludf.DUMMYFUNCTION("GOOGLETRANSLATE(D9518,""pt"",""es"")"),"químico")</f>
        <v>químico</v>
      </c>
      <c r="H9518" s="4" t="s">
        <v>3851</v>
      </c>
      <c r="I9518" s="4" t="s">
        <v>3852</v>
      </c>
      <c r="J9518" s="4" t="s">
        <v>3851</v>
      </c>
      <c r="K9518" s="4" t="s">
        <v>3853</v>
      </c>
    </row>
    <row r="9519">
      <c r="A9519" s="4">
        <v>161.0</v>
      </c>
      <c r="B9519" s="4" t="s">
        <v>19724</v>
      </c>
      <c r="C9519" s="4"/>
      <c r="D9519" s="4" t="s">
        <v>19385</v>
      </c>
      <c r="E9519" s="4" t="s">
        <v>19386</v>
      </c>
      <c r="F9519" s="4" t="s">
        <v>19387</v>
      </c>
      <c r="G9519" s="5" t="str">
        <f>IFERROR(__xludf.DUMMYFUNCTION("GOOGLETRANSLATE(D9519,""pt"",""es"")"),"azada")</f>
        <v>azada</v>
      </c>
    </row>
    <row r="9520">
      <c r="A9520" s="4">
        <v>162.0</v>
      </c>
      <c r="B9520" s="4" t="s">
        <v>19724</v>
      </c>
      <c r="C9520" s="4"/>
      <c r="D9520" s="4" t="s">
        <v>19388</v>
      </c>
      <c r="E9520" s="4" t="s">
        <v>16261</v>
      </c>
      <c r="F9520" s="4" t="s">
        <v>11075</v>
      </c>
      <c r="G9520" s="5" t="str">
        <f>IFERROR(__xludf.DUMMYFUNCTION("GOOGLETRANSLATE(D9520,""pt"",""es"")"),"bolsa")</f>
        <v>bolsa</v>
      </c>
      <c r="H9520" s="4" t="s">
        <v>3869</v>
      </c>
      <c r="I9520" s="4" t="s">
        <v>7361</v>
      </c>
      <c r="J9520" s="4" t="s">
        <v>3866</v>
      </c>
      <c r="K9520" s="4" t="s">
        <v>1785</v>
      </c>
      <c r="L9520" s="4" t="s">
        <v>7362</v>
      </c>
    </row>
    <row r="9521">
      <c r="A9521" s="4">
        <v>163.0</v>
      </c>
      <c r="B9521" s="4" t="s">
        <v>19724</v>
      </c>
      <c r="C9521" s="4"/>
      <c r="D9521" s="4" t="s">
        <v>19389</v>
      </c>
      <c r="E9521" s="4" t="s">
        <v>4855</v>
      </c>
      <c r="F9521" s="4" t="s">
        <v>2407</v>
      </c>
      <c r="G9521" s="5" t="str">
        <f>IFERROR(__xludf.DUMMYFUNCTION("GOOGLETRANSLATE(D9521,""pt"",""es"")"),"hojas")</f>
        <v>hojas</v>
      </c>
    </row>
    <row r="9522">
      <c r="A9522" s="4">
        <v>164.0</v>
      </c>
      <c r="B9522" s="4" t="s">
        <v>19724</v>
      </c>
      <c r="C9522" s="4"/>
      <c r="D9522" s="4" t="s">
        <v>14550</v>
      </c>
      <c r="E9522" s="4" t="s">
        <v>19390</v>
      </c>
      <c r="F9522" s="4" t="s">
        <v>14552</v>
      </c>
      <c r="G9522" s="5" t="str">
        <f>IFERROR(__xludf.DUMMYFUNCTION("GOOGLETRANSLATE(D9522,""pt"",""es"")"),"saio")</f>
        <v>saio</v>
      </c>
    </row>
    <row r="9523">
      <c r="A9523" s="4">
        <v>165.0</v>
      </c>
      <c r="B9523" s="4" t="s">
        <v>19724</v>
      </c>
      <c r="C9523" s="4"/>
      <c r="D9523" s="4" t="s">
        <v>19391</v>
      </c>
      <c r="E9523" s="4" t="s">
        <v>19392</v>
      </c>
      <c r="F9523" s="4" t="s">
        <v>11099</v>
      </c>
      <c r="G9523" s="5" t="str">
        <f>IFERROR(__xludf.DUMMYFUNCTION("GOOGLETRANSLATE(D9523,""pt"",""es"")"),"samo")</f>
        <v>samo</v>
      </c>
    </row>
    <row r="9524">
      <c r="A9524" s="4">
        <v>166.0</v>
      </c>
      <c r="B9524" s="4" t="s">
        <v>19724</v>
      </c>
      <c r="C9524" s="4"/>
      <c r="D9524" s="4" t="s">
        <v>19405</v>
      </c>
      <c r="E9524" s="4" t="s">
        <v>19406</v>
      </c>
      <c r="F9524" s="4" t="s">
        <v>19407</v>
      </c>
      <c r="G9524" s="5" t="str">
        <f>IFERROR(__xludf.DUMMYFUNCTION("GOOGLETRANSLATE(D9524,""pt"",""es"")"),"rana")</f>
        <v>rana</v>
      </c>
      <c r="H9524" s="4" t="s">
        <v>19408</v>
      </c>
      <c r="I9524" s="4" t="s">
        <v>19409</v>
      </c>
      <c r="J9524" s="4" t="s">
        <v>19410</v>
      </c>
      <c r="K9524" s="4" t="s">
        <v>19411</v>
      </c>
      <c r="L9524" s="4" t="s">
        <v>19412</v>
      </c>
      <c r="M9524" s="4" t="s">
        <v>19413</v>
      </c>
      <c r="N9524" s="4" t="s">
        <v>19414</v>
      </c>
      <c r="O9524" s="4" t="s">
        <v>19415</v>
      </c>
      <c r="P9524" s="4" t="s">
        <v>19414</v>
      </c>
      <c r="Q9524" s="4" t="s">
        <v>19415</v>
      </c>
      <c r="R9524" s="4" t="s">
        <v>19416</v>
      </c>
    </row>
    <row r="9525">
      <c r="A9525" s="4">
        <v>167.0</v>
      </c>
      <c r="B9525" s="4" t="s">
        <v>19724</v>
      </c>
      <c r="C9525" s="4"/>
      <c r="D9525" s="4" t="s">
        <v>401</v>
      </c>
      <c r="E9525" s="4" t="s">
        <v>400</v>
      </c>
      <c r="F9525" s="4" t="s">
        <v>401</v>
      </c>
      <c r="G9525" s="5" t="str">
        <f>IFERROR(__xludf.DUMMYFUNCTION("GOOGLETRANSLATE(D9525,""pt"",""es"")"),"si")</f>
        <v>si</v>
      </c>
      <c r="H9525" s="4" t="s">
        <v>422</v>
      </c>
      <c r="I9525" s="4" t="s">
        <v>3975</v>
      </c>
      <c r="J9525" s="4" t="s">
        <v>401</v>
      </c>
    </row>
    <row r="9526">
      <c r="A9526" s="4">
        <v>168.0</v>
      </c>
      <c r="B9526" s="4" t="s">
        <v>19724</v>
      </c>
      <c r="C9526" s="4"/>
      <c r="D9526" s="4" t="s">
        <v>19424</v>
      </c>
      <c r="E9526" s="4" t="s">
        <v>19425</v>
      </c>
      <c r="F9526" s="4" t="s">
        <v>19426</v>
      </c>
      <c r="G9526" s="5" t="str">
        <f>IFERROR(__xludf.DUMMYFUNCTION("GOOGLETRANSLATE(D9526,""pt"",""es"")"),"siririca")</f>
        <v>siririca</v>
      </c>
    </row>
    <row r="9527">
      <c r="A9527" s="4">
        <v>169.0</v>
      </c>
      <c r="B9527" s="4" t="s">
        <v>19724</v>
      </c>
      <c r="C9527" s="4"/>
      <c r="D9527" s="4" t="s">
        <v>19685</v>
      </c>
      <c r="E9527" s="4" t="s">
        <v>19686</v>
      </c>
      <c r="F9527" s="4" t="s">
        <v>19687</v>
      </c>
      <c r="G9527" s="5" t="str">
        <f>IFERROR(__xludf.DUMMYFUNCTION("GOOGLETRANSLATE(D9527,""pt"",""es"")"),"hipo")</f>
        <v>hipo</v>
      </c>
      <c r="H9527" s="4" t="s">
        <v>19688</v>
      </c>
      <c r="I9527" s="4" t="s">
        <v>19689</v>
      </c>
    </row>
    <row r="9528">
      <c r="A9528" s="4">
        <v>170.0</v>
      </c>
      <c r="B9528" s="4" t="s">
        <v>19724</v>
      </c>
      <c r="C9528" s="4"/>
      <c r="D9528" s="4" t="s">
        <v>19690</v>
      </c>
      <c r="E9528" s="4" t="s">
        <v>19691</v>
      </c>
      <c r="F9528" s="4" t="s">
        <v>19692</v>
      </c>
      <c r="G9528" s="5" t="str">
        <f>IFERROR(__xludf.DUMMYFUNCTION("GOOGLETRANSLATE(D9528,""pt"",""es"")"),"hipo")</f>
        <v>hipo</v>
      </c>
      <c r="H9528" s="4" t="s">
        <v>19688</v>
      </c>
      <c r="I9528" s="4" t="s">
        <v>19689</v>
      </c>
      <c r="J9528" s="4" t="s">
        <v>19693</v>
      </c>
    </row>
    <row r="9529">
      <c r="A9529" s="4">
        <v>171.0</v>
      </c>
      <c r="B9529" s="4" t="s">
        <v>19724</v>
      </c>
      <c r="C9529" s="4"/>
      <c r="D9529" s="4" t="s">
        <v>19694</v>
      </c>
      <c r="E9529" s="4" t="s">
        <v>19695</v>
      </c>
      <c r="F9529" s="4" t="s">
        <v>19696</v>
      </c>
      <c r="G9529" s="5" t="str">
        <f>IFERROR(__xludf.DUMMYFUNCTION("GOOGLETRANSLATE(D9529,""pt"",""es"")"),"soñar")</f>
        <v>soñar</v>
      </c>
      <c r="H9529" s="4" t="s">
        <v>19697</v>
      </c>
      <c r="I9529" s="4" t="s">
        <v>19698</v>
      </c>
      <c r="J9529" s="4" t="s">
        <v>15757</v>
      </c>
      <c r="K9529" s="4" t="s">
        <v>19697</v>
      </c>
      <c r="L9529" s="4" t="s">
        <v>19698</v>
      </c>
      <c r="M9529" s="4" t="s">
        <v>11545</v>
      </c>
      <c r="N9529" s="4" t="s">
        <v>8536</v>
      </c>
      <c r="O9529" s="4" t="s">
        <v>19699</v>
      </c>
      <c r="P9529" s="4" t="s">
        <v>19700</v>
      </c>
      <c r="Q9529" s="4" t="s">
        <v>11545</v>
      </c>
    </row>
    <row r="9530">
      <c r="A9530" s="4">
        <v>172.0</v>
      </c>
      <c r="B9530" s="4" t="s">
        <v>19724</v>
      </c>
      <c r="C9530" s="4"/>
      <c r="D9530" s="4" t="s">
        <v>19427</v>
      </c>
      <c r="E9530" s="4" t="s">
        <v>11234</v>
      </c>
      <c r="F9530" s="4" t="s">
        <v>11233</v>
      </c>
      <c r="G9530" s="5" t="str">
        <f>IFERROR(__xludf.DUMMYFUNCTION("GOOGLETRANSLATE(D9530,""pt"",""es"")"),"jugo")</f>
        <v>jugo</v>
      </c>
      <c r="H9530" s="4" t="s">
        <v>4110</v>
      </c>
      <c r="I9530" s="4" t="s">
        <v>4111</v>
      </c>
      <c r="J9530" s="4" t="s">
        <v>4112</v>
      </c>
    </row>
    <row r="9531">
      <c r="A9531" s="4">
        <v>173.0</v>
      </c>
      <c r="B9531" s="4" t="s">
        <v>19724</v>
      </c>
      <c r="C9531" s="4"/>
      <c r="D9531" s="4" t="s">
        <v>19428</v>
      </c>
      <c r="E9531" s="4" t="s">
        <v>19429</v>
      </c>
      <c r="F9531" s="4" t="s">
        <v>19430</v>
      </c>
      <c r="G9531" s="5" t="str">
        <f>IFERROR(__xludf.DUMMYFUNCTION("GOOGLETRANSLATE(D9531,""pt"",""es"")"),"Sumiko")</f>
        <v>Sumiko</v>
      </c>
    </row>
    <row r="9532">
      <c r="A9532" s="4">
        <v>174.0</v>
      </c>
      <c r="B9532" s="4" t="s">
        <v>19724</v>
      </c>
      <c r="C9532" s="4"/>
      <c r="D9532" s="4" t="s">
        <v>19434</v>
      </c>
      <c r="E9532" s="4" t="s">
        <v>19435</v>
      </c>
      <c r="F9532" s="4" t="s">
        <v>19436</v>
      </c>
      <c r="G9532" s="5" t="str">
        <f>IFERROR(__xludf.DUMMYFUNCTION("GOOGLETRANSLATE(D9532,""pt"",""es"")"),"excedente")</f>
        <v>excedente</v>
      </c>
    </row>
    <row r="9533">
      <c r="A9533" s="4">
        <v>175.0</v>
      </c>
      <c r="B9533" s="4" t="s">
        <v>19724</v>
      </c>
      <c r="C9533" s="4"/>
      <c r="D9533" s="4" t="s">
        <v>19437</v>
      </c>
      <c r="E9533" s="4" t="s">
        <v>19438</v>
      </c>
      <c r="F9533" s="4" t="s">
        <v>19439</v>
      </c>
      <c r="G9533" s="5" t="str">
        <f>IFERROR(__xludf.DUMMYFUNCTION("GOOGLETRANSLATE(D9533,""pt"",""es"")"),"tacho")</f>
        <v>tacho</v>
      </c>
      <c r="H9533" s="4" t="s">
        <v>19440</v>
      </c>
    </row>
    <row r="9534">
      <c r="A9534" s="4">
        <v>176.0</v>
      </c>
      <c r="B9534" s="4" t="s">
        <v>19724</v>
      </c>
      <c r="C9534" s="4"/>
      <c r="D9534" s="4" t="s">
        <v>4247</v>
      </c>
      <c r="E9534" s="4" t="s">
        <v>4248</v>
      </c>
      <c r="F9534" s="4" t="s">
        <v>4249</v>
      </c>
      <c r="G9534" s="5" t="str">
        <f>IFERROR(__xludf.DUMMYFUNCTION("GOOGLETRANSLATE(D9534,""pt"",""es"")"),"taco")</f>
        <v>taco</v>
      </c>
      <c r="H9534" s="4" t="s">
        <v>6604</v>
      </c>
      <c r="I9534" s="4" t="s">
        <v>19441</v>
      </c>
      <c r="J9534" s="4" t="s">
        <v>19442</v>
      </c>
      <c r="K9534" s="4" t="s">
        <v>19443</v>
      </c>
      <c r="L9534" s="4" t="s">
        <v>19444</v>
      </c>
      <c r="M9534" s="4" t="s">
        <v>3164</v>
      </c>
      <c r="N9534" s="4" t="s">
        <v>3165</v>
      </c>
      <c r="O9534" s="4" t="s">
        <v>3166</v>
      </c>
      <c r="P9534" s="4" t="s">
        <v>4247</v>
      </c>
    </row>
    <row r="9535">
      <c r="A9535" s="4">
        <v>177.0</v>
      </c>
      <c r="B9535" s="4" t="s">
        <v>19724</v>
      </c>
      <c r="C9535" s="4"/>
      <c r="D9535" s="4" t="s">
        <v>19448</v>
      </c>
      <c r="E9535" s="4" t="s">
        <v>19449</v>
      </c>
      <c r="F9535" s="4" t="s">
        <v>19450</v>
      </c>
      <c r="G9535" s="5" t="str">
        <f>IFERROR(__xludf.DUMMYFUNCTION("GOOGLETRANSLATE(D9535,""pt"",""es"")"),"tallado")</f>
        <v>tallado</v>
      </c>
      <c r="H9535" s="4" t="s">
        <v>13767</v>
      </c>
      <c r="I9535" s="4" t="s">
        <v>13773</v>
      </c>
    </row>
    <row r="9536">
      <c r="A9536" s="4">
        <v>178.0</v>
      </c>
      <c r="B9536" s="4" t="s">
        <v>19724</v>
      </c>
      <c r="C9536" s="4"/>
      <c r="D9536" s="4" t="s">
        <v>19451</v>
      </c>
      <c r="E9536" s="4" t="s">
        <v>19452</v>
      </c>
      <c r="F9536" s="4" t="s">
        <v>19453</v>
      </c>
      <c r="G9536" s="5" t="str">
        <f>IFERROR(__xludf.DUMMYFUNCTION("GOOGLETRANSLATE(D9536,""pt"",""es"")"),"carnicero")</f>
        <v>carnicero</v>
      </c>
      <c r="H9536" s="4" t="s">
        <v>19454</v>
      </c>
      <c r="I9536" s="4" t="s">
        <v>19455</v>
      </c>
    </row>
    <row r="9537">
      <c r="A9537" s="4">
        <v>179.0</v>
      </c>
      <c r="B9537" s="4" t="s">
        <v>19724</v>
      </c>
      <c r="C9537" s="4"/>
      <c r="D9537" s="4" t="s">
        <v>19456</v>
      </c>
      <c r="E9537" s="4" t="s">
        <v>19457</v>
      </c>
      <c r="F9537" s="4" t="s">
        <v>19458</v>
      </c>
      <c r="G9537" s="5" t="str">
        <f>IFERROR(__xludf.DUMMYFUNCTION("GOOGLETRANSLATE(D9537,""pt"",""es"")"),"acechar")</f>
        <v>acechar</v>
      </c>
      <c r="H9537" s="4" t="s">
        <v>19459</v>
      </c>
    </row>
    <row r="9538">
      <c r="A9538" s="4">
        <v>180.0</v>
      </c>
      <c r="B9538" s="4" t="s">
        <v>19724</v>
      </c>
      <c r="C9538" s="4"/>
      <c r="D9538" s="4" t="s">
        <v>2509</v>
      </c>
      <c r="E9538" s="4" t="s">
        <v>19701</v>
      </c>
      <c r="F9538" s="4" t="s">
        <v>2509</v>
      </c>
      <c r="G9538" s="5" t="str">
        <f>IFERROR(__xludf.DUMMYFUNCTION("GOOGLETRANSLATE(D9538,""pt"",""es"")"),"alquitrán")</f>
        <v>alquitrán</v>
      </c>
      <c r="H9538" s="4" t="s">
        <v>2509</v>
      </c>
    </row>
    <row r="9539">
      <c r="A9539" s="4">
        <v>181.0</v>
      </c>
      <c r="B9539" s="4" t="s">
        <v>19724</v>
      </c>
      <c r="C9539" s="4"/>
      <c r="D9539" s="4" t="s">
        <v>19460</v>
      </c>
      <c r="E9539" s="4" t="s">
        <v>13825</v>
      </c>
      <c r="F9539" s="4" t="s">
        <v>11378</v>
      </c>
      <c r="G9539" s="5" t="str">
        <f>IFERROR(__xludf.DUMMYFUNCTION("GOOGLETRANSLATE(D9539,""pt"",""es"")"),"tacto")</f>
        <v>tacto</v>
      </c>
      <c r="H9539" s="4" t="s">
        <v>19461</v>
      </c>
      <c r="I9539" s="4" t="s">
        <v>19462</v>
      </c>
    </row>
    <row r="9540">
      <c r="A9540" s="4">
        <v>182.0</v>
      </c>
      <c r="B9540" s="4" t="s">
        <v>19724</v>
      </c>
      <c r="C9540" s="4"/>
      <c r="D9540" s="4" t="s">
        <v>11378</v>
      </c>
      <c r="E9540" s="4" t="s">
        <v>13825</v>
      </c>
      <c r="F9540" s="4" t="s">
        <v>11378</v>
      </c>
      <c r="G9540" s="5" t="str">
        <f>IFERROR(__xludf.DUMMYFUNCTION("GOOGLETRANSLATE(D9540,""pt"",""es"")"),"armadillo")</f>
        <v>armadillo</v>
      </c>
      <c r="H9540" s="4" t="s">
        <v>13826</v>
      </c>
    </row>
    <row r="9541">
      <c r="A9541" s="4">
        <v>183.0</v>
      </c>
      <c r="B9541" s="4" t="s">
        <v>19724</v>
      </c>
      <c r="C9541" s="4"/>
      <c r="D9541" s="4" t="s">
        <v>19463</v>
      </c>
      <c r="E9541" s="4" t="s">
        <v>19438</v>
      </c>
      <c r="F9541" s="4" t="s">
        <v>19439</v>
      </c>
      <c r="G9541" s="5" t="str">
        <f>IFERROR(__xludf.DUMMYFUNCTION("GOOGLETRANSLATE(D9541,""pt"",""es"")"),"agotador")</f>
        <v>agotador</v>
      </c>
    </row>
    <row r="9542">
      <c r="A9542" s="4">
        <v>184.0</v>
      </c>
      <c r="B9542" s="4" t="s">
        <v>19724</v>
      </c>
      <c r="C9542" s="4"/>
      <c r="D9542" s="4" t="s">
        <v>19702</v>
      </c>
      <c r="E9542" s="4" t="s">
        <v>19703</v>
      </c>
      <c r="F9542" s="4" t="s">
        <v>19702</v>
      </c>
      <c r="G9542" s="5" t="str">
        <f>IFERROR(__xludf.DUMMYFUNCTION("GOOGLETRANSLATE(D9542,""pt"",""es"")"),"tintineo")</f>
        <v>tintineo</v>
      </c>
      <c r="H9542" s="4" t="s">
        <v>10046</v>
      </c>
      <c r="I9542" s="4" t="s">
        <v>19704</v>
      </c>
      <c r="J9542" s="4" t="s">
        <v>10047</v>
      </c>
    </row>
    <row r="9543">
      <c r="A9543" s="4">
        <v>185.0</v>
      </c>
      <c r="B9543" s="4" t="s">
        <v>19724</v>
      </c>
      <c r="C9543" s="4"/>
      <c r="D9543" s="4" t="s">
        <v>4451</v>
      </c>
      <c r="E9543" s="4" t="s">
        <v>4452</v>
      </c>
      <c r="F9543" s="4" t="s">
        <v>4453</v>
      </c>
      <c r="G9543" s="5" t="str">
        <f>IFERROR(__xludf.DUMMYFUNCTION("GOOGLETRANSLATE(D9543,""pt"",""es"")"),"Disparo")</f>
        <v>Disparo</v>
      </c>
      <c r="H9543" s="4" t="s">
        <v>19705</v>
      </c>
      <c r="I9543" s="4" t="s">
        <v>6998</v>
      </c>
      <c r="J9543" s="4" t="s">
        <v>907</v>
      </c>
      <c r="K9543" s="4" t="s">
        <v>5527</v>
      </c>
      <c r="L9543" s="4" t="s">
        <v>19706</v>
      </c>
      <c r="M9543" s="4" t="s">
        <v>19707</v>
      </c>
    </row>
    <row r="9544">
      <c r="A9544" s="4">
        <v>186.0</v>
      </c>
      <c r="B9544" s="4" t="s">
        <v>19724</v>
      </c>
      <c r="C9544" s="4"/>
      <c r="D9544" s="4" t="s">
        <v>19708</v>
      </c>
      <c r="E9544" s="4" t="s">
        <v>19709</v>
      </c>
      <c r="F9544" s="4" t="s">
        <v>19710</v>
      </c>
      <c r="G9544" s="5" t="str">
        <f>IFERROR(__xludf.DUMMYFUNCTION("GOOGLETRANSLATE(D9544,""pt"",""es"")"),"disparos")</f>
        <v>disparos</v>
      </c>
    </row>
    <row r="9545">
      <c r="A9545" s="4">
        <v>187.0</v>
      </c>
      <c r="B9545" s="4" t="s">
        <v>19724</v>
      </c>
      <c r="C9545" s="4"/>
      <c r="D9545" s="4" t="s">
        <v>19711</v>
      </c>
      <c r="E9545" s="4" t="s">
        <v>19712</v>
      </c>
      <c r="F9545" s="4" t="s">
        <v>19713</v>
      </c>
      <c r="G9545" s="5" t="str">
        <f>IFERROR(__xludf.DUMMYFUNCTION("GOOGLETRANSLATE(D9545,""pt"",""es"")"),"tomar")</f>
        <v>tomar</v>
      </c>
      <c r="H9545" s="4" t="s">
        <v>7930</v>
      </c>
      <c r="I9545" s="4" t="s">
        <v>879</v>
      </c>
      <c r="J9545" s="4" t="s">
        <v>486</v>
      </c>
      <c r="K9545" s="4" t="s">
        <v>887</v>
      </c>
      <c r="L9545" s="4" t="s">
        <v>311</v>
      </c>
      <c r="M9545" s="4" t="s">
        <v>16051</v>
      </c>
      <c r="N9545" s="4" t="s">
        <v>16055</v>
      </c>
      <c r="O9545" s="4" t="s">
        <v>16051</v>
      </c>
      <c r="P9545" s="4" t="s">
        <v>16056</v>
      </c>
      <c r="Q9545" s="4" t="s">
        <v>16057</v>
      </c>
      <c r="R9545" s="4" t="s">
        <v>16051</v>
      </c>
      <c r="S9545" s="4" t="s">
        <v>16058</v>
      </c>
      <c r="T9545" s="4" t="s">
        <v>19714</v>
      </c>
      <c r="U9545" s="4" t="s">
        <v>19715</v>
      </c>
      <c r="V9545" s="4" t="s">
        <v>12594</v>
      </c>
      <c r="W9545" s="4" t="s">
        <v>887</v>
      </c>
      <c r="X9545" s="4" t="s">
        <v>7911</v>
      </c>
      <c r="Y9545" s="4" t="s">
        <v>887</v>
      </c>
      <c r="Z9545" s="4" t="s">
        <v>1375</v>
      </c>
    </row>
    <row r="9546">
      <c r="A9546" s="4">
        <v>188.0</v>
      </c>
      <c r="B9546" s="4" t="s">
        <v>19724</v>
      </c>
      <c r="C9546" s="4"/>
      <c r="D9546" s="4" t="s">
        <v>4555</v>
      </c>
      <c r="E9546" s="4" t="s">
        <v>4556</v>
      </c>
      <c r="F9546" s="4" t="s">
        <v>4555</v>
      </c>
      <c r="G9546" s="5" t="str">
        <f>IFERROR(__xludf.DUMMYFUNCTION("GOOGLETRANSLATE(D9546,""pt"",""es"")"),"tú")</f>
        <v>tú</v>
      </c>
    </row>
    <row r="9547">
      <c r="A9547" s="4">
        <v>189.0</v>
      </c>
      <c r="B9547" s="4" t="s">
        <v>19724</v>
      </c>
      <c r="C9547" s="4"/>
      <c r="D9547" s="4" t="s">
        <v>19465</v>
      </c>
      <c r="E9547" s="4" t="s">
        <v>19466</v>
      </c>
      <c r="F9547" s="4" t="s">
        <v>19467</v>
      </c>
      <c r="G9547" s="5" t="str">
        <f>IFERROR(__xludf.DUMMYFUNCTION("GOOGLETRANSLATE(D9547,""pt"",""es"")"),"tucux")</f>
        <v>tucux</v>
      </c>
    </row>
    <row r="9548">
      <c r="A9548" s="4">
        <v>190.0</v>
      </c>
      <c r="B9548" s="4" t="s">
        <v>19724</v>
      </c>
      <c r="C9548" s="4"/>
      <c r="D9548" s="4" t="s">
        <v>19468</v>
      </c>
      <c r="E9548" s="4" t="s">
        <v>452</v>
      </c>
      <c r="F9548" s="4" t="s">
        <v>453</v>
      </c>
      <c r="G9548" s="5" t="str">
        <f>IFERROR(__xludf.DUMMYFUNCTION("GOOGLETRANSLATE(D9548,""pt"",""es"")"),"tui")</f>
        <v>tui</v>
      </c>
    </row>
    <row r="9549">
      <c r="A9549" s="4">
        <v>191.0</v>
      </c>
      <c r="B9549" s="4" t="s">
        <v>19724</v>
      </c>
      <c r="C9549" s="4"/>
      <c r="D9549" s="4" t="s">
        <v>19469</v>
      </c>
      <c r="E9549" s="4" t="s">
        <v>19470</v>
      </c>
      <c r="F9549" s="4" t="s">
        <v>19471</v>
      </c>
      <c r="G9549" s="5" t="str">
        <f>IFERROR(__xludf.DUMMYFUNCTION("GOOGLETRANSLATE(D9549,""pt"",""es"")"),"tuiuiu")</f>
        <v>tuiuiu</v>
      </c>
      <c r="H9549" s="4" t="s">
        <v>19472</v>
      </c>
      <c r="I9549" s="4" t="s">
        <v>19473</v>
      </c>
    </row>
    <row r="9550">
      <c r="A9550" s="4">
        <v>192.0</v>
      </c>
      <c r="B9550" s="4" t="s">
        <v>19724</v>
      </c>
      <c r="C9550" s="4"/>
      <c r="D9550" s="4" t="s">
        <v>4523</v>
      </c>
      <c r="E9550" s="4" t="s">
        <v>4522</v>
      </c>
      <c r="F9550" s="4" t="s">
        <v>4523</v>
      </c>
      <c r="G9550" s="5" t="str">
        <f>IFERROR(__xludf.DUMMYFUNCTION("GOOGLETRANSLATE(D9550,""pt"",""es"")"),"Tupi")</f>
        <v>Tupi</v>
      </c>
      <c r="H9550" s="4" t="s">
        <v>13912</v>
      </c>
      <c r="I9550" s="4" t="s">
        <v>13912</v>
      </c>
    </row>
    <row r="9551">
      <c r="A9551" s="4">
        <v>193.0</v>
      </c>
      <c r="B9551" s="4" t="s">
        <v>19724</v>
      </c>
      <c r="C9551" s="4"/>
      <c r="D9551" s="4" t="s">
        <v>19474</v>
      </c>
      <c r="E9551" s="4" t="s">
        <v>19475</v>
      </c>
      <c r="F9551" s="4" t="s">
        <v>19474</v>
      </c>
      <c r="G9551" s="5" t="str">
        <f>IFERROR(__xludf.DUMMYFUNCTION("GOOGLETRANSLATE(D9551,""pt"",""es"")"),"turu")</f>
        <v>turu</v>
      </c>
    </row>
    <row r="9552">
      <c r="A9552" s="4">
        <v>194.0</v>
      </c>
      <c r="B9552" s="4" t="s">
        <v>19724</v>
      </c>
      <c r="C9552" s="4"/>
      <c r="D9552" s="4" t="s">
        <v>19476</v>
      </c>
      <c r="E9552" s="4" t="s">
        <v>13750</v>
      </c>
      <c r="F9552" s="4" t="s">
        <v>11522</v>
      </c>
      <c r="G9552" s="5" t="str">
        <f>IFERROR(__xludf.DUMMYFUNCTION("GOOGLETRANSLATE(D9552,""pt"",""es"")"),"OK")</f>
        <v>OK</v>
      </c>
    </row>
    <row r="9553">
      <c r="A9553" s="4">
        <v>195.0</v>
      </c>
      <c r="B9553" s="4" t="s">
        <v>19724</v>
      </c>
      <c r="C9553" s="4"/>
      <c r="D9553" s="4" t="s">
        <v>19477</v>
      </c>
      <c r="E9553" s="4" t="s">
        <v>19478</v>
      </c>
      <c r="F9553" s="4" t="s">
        <v>19479</v>
      </c>
      <c r="G9553" s="5" t="str">
        <f>IFERROR(__xludf.DUMMYFUNCTION("GOOGLETRANSLATE(D9553,""pt"",""es"")"),"tácito")</f>
        <v>tácito</v>
      </c>
      <c r="H9553" s="4" t="s">
        <v>16326</v>
      </c>
      <c r="I9553" s="4" t="s">
        <v>19480</v>
      </c>
      <c r="J9553" s="4" t="s">
        <v>19481</v>
      </c>
    </row>
    <row r="9554">
      <c r="A9554" s="4">
        <v>196.0</v>
      </c>
      <c r="B9554" s="4" t="s">
        <v>19724</v>
      </c>
      <c r="C9554" s="4"/>
      <c r="D9554" s="4" t="s">
        <v>19482</v>
      </c>
      <c r="E9554" s="4" t="s">
        <v>19483</v>
      </c>
      <c r="F9554" s="4" t="s">
        <v>19484</v>
      </c>
      <c r="G9554" s="5" t="str">
        <f>IFERROR(__xludf.DUMMYFUNCTION("GOOGLETRANSLATE(D9554,""pt"",""es"")"),"talón")</f>
        <v>talón</v>
      </c>
      <c r="H9554" s="4" t="s">
        <v>19485</v>
      </c>
      <c r="I9554" s="4" t="s">
        <v>19486</v>
      </c>
      <c r="J9554" s="4" t="s">
        <v>19487</v>
      </c>
      <c r="K9554" s="4" t="s">
        <v>19484</v>
      </c>
      <c r="L9554" s="4" t="s">
        <v>19485</v>
      </c>
      <c r="M9554" s="4" t="s">
        <v>19486</v>
      </c>
      <c r="N9554" s="4" t="s">
        <v>19487</v>
      </c>
      <c r="O9554" s="4" t="s">
        <v>19484</v>
      </c>
    </row>
    <row r="9555">
      <c r="A9555" s="4">
        <v>197.0</v>
      </c>
      <c r="B9555" s="4" t="s">
        <v>19724</v>
      </c>
      <c r="C9555" s="4"/>
      <c r="D9555" s="4" t="s">
        <v>19488</v>
      </c>
      <c r="E9555" s="4" t="s">
        <v>19489</v>
      </c>
      <c r="F9555" s="4" t="s">
        <v>19490</v>
      </c>
      <c r="G9555" s="5" t="str">
        <f>IFERROR(__xludf.DUMMYFUNCTION("GOOGLETRANSLATE(D9555,""pt"",""es"")"),"tumba")</f>
        <v>tumba</v>
      </c>
      <c r="H9555" s="4" t="s">
        <v>19491</v>
      </c>
      <c r="I9555" s="4" t="s">
        <v>19492</v>
      </c>
      <c r="J9555" s="4" t="s">
        <v>19493</v>
      </c>
      <c r="K9555" s="4" t="s">
        <v>19494</v>
      </c>
      <c r="L9555" s="4" t="s">
        <v>8848</v>
      </c>
      <c r="M9555" s="4" t="s">
        <v>8845</v>
      </c>
    </row>
    <row r="9556">
      <c r="A9556" s="4">
        <v>198.0</v>
      </c>
      <c r="B9556" s="4" t="s">
        <v>19724</v>
      </c>
      <c r="C9556" s="4"/>
      <c r="D9556" s="4" t="s">
        <v>19495</v>
      </c>
      <c r="E9556" s="4" t="s">
        <v>19496</v>
      </c>
      <c r="F9556" s="4" t="s">
        <v>19497</v>
      </c>
      <c r="G9556" s="5" t="str">
        <f>IFERROR(__xludf.DUMMYFUNCTION("GOOGLETRANSLATE(D9556,""pt"",""es"")"),"uña")</f>
        <v>uña</v>
      </c>
    </row>
    <row r="9557">
      <c r="A9557" s="4">
        <v>199.0</v>
      </c>
      <c r="B9557" s="4" t="s">
        <v>19724</v>
      </c>
      <c r="C9557" s="4"/>
      <c r="D9557" s="4" t="s">
        <v>4638</v>
      </c>
      <c r="E9557" s="4" t="s">
        <v>4656</v>
      </c>
      <c r="F9557" s="4" t="s">
        <v>4638</v>
      </c>
      <c r="G9557" s="5" t="str">
        <f>IFERROR(__xludf.DUMMYFUNCTION("GOOGLETRANSLATE(D9557,""pt"",""es"")"),"unirse")</f>
        <v>unirse</v>
      </c>
      <c r="H9557" s="4" t="s">
        <v>4641</v>
      </c>
      <c r="I9557" s="4" t="s">
        <v>4642</v>
      </c>
      <c r="J9557" s="4" t="s">
        <v>4643</v>
      </c>
      <c r="K9557" s="4" t="s">
        <v>4644</v>
      </c>
      <c r="L9557" s="4" t="s">
        <v>4645</v>
      </c>
      <c r="M9557" s="4" t="s">
        <v>4646</v>
      </c>
      <c r="N9557" s="4" t="s">
        <v>4645</v>
      </c>
      <c r="O9557" s="4" t="s">
        <v>4644</v>
      </c>
      <c r="P9557" s="4" t="s">
        <v>4646</v>
      </c>
      <c r="Q9557" s="4" t="s">
        <v>4649</v>
      </c>
      <c r="R9557" s="4" t="s">
        <v>4650</v>
      </c>
      <c r="S9557" s="4" t="s">
        <v>4649</v>
      </c>
      <c r="T9557" s="4" t="s">
        <v>4651</v>
      </c>
      <c r="U9557" s="4" t="s">
        <v>4496</v>
      </c>
      <c r="V9557" s="4" t="s">
        <v>4652</v>
      </c>
      <c r="W9557" s="4" t="s">
        <v>3048</v>
      </c>
      <c r="X9557" s="4" t="s">
        <v>3050</v>
      </c>
      <c r="Y9557" s="4" t="s">
        <v>4653</v>
      </c>
      <c r="Z9557" s="4" t="s">
        <v>14579</v>
      </c>
      <c r="AA9557" s="4" t="s">
        <v>4643</v>
      </c>
      <c r="AB9557" s="4" t="s">
        <v>19716</v>
      </c>
    </row>
    <row r="9558">
      <c r="A9558" s="4">
        <v>200.0</v>
      </c>
      <c r="B9558" s="4" t="s">
        <v>19724</v>
      </c>
      <c r="C9558" s="4"/>
      <c r="D9558" s="4" t="s">
        <v>19717</v>
      </c>
      <c r="E9558" s="4" t="s">
        <v>19718</v>
      </c>
      <c r="F9558" s="4" t="s">
        <v>19719</v>
      </c>
      <c r="G9558" s="5" t="str">
        <f>IFERROR(__xludf.DUMMYFUNCTION("GOOGLETRANSLATE(D9558,""pt"",""es"")"),"unísono")</f>
        <v>unísono</v>
      </c>
      <c r="H9558" s="4" t="s">
        <v>19720</v>
      </c>
    </row>
    <row r="9559">
      <c r="A9559" s="4">
        <v>201.0</v>
      </c>
      <c r="B9559" s="4" t="s">
        <v>19724</v>
      </c>
      <c r="C9559" s="4"/>
      <c r="D9559" s="4" t="s">
        <v>19721</v>
      </c>
      <c r="E9559" s="4" t="s">
        <v>19722</v>
      </c>
      <c r="F9559" s="4" t="s">
        <v>19721</v>
      </c>
      <c r="G9559" s="5" t="str">
        <f>IFERROR(__xludf.DUMMYFUNCTION("GOOGLETRANSLATE(D9559,""pt"",""es"")"),"orinar")</f>
        <v>orinar</v>
      </c>
      <c r="H9559" s="4" t="s">
        <v>3000</v>
      </c>
      <c r="I9559" s="4" t="s">
        <v>7248</v>
      </c>
      <c r="J9559" s="4" t="s">
        <v>7243</v>
      </c>
      <c r="K9559" s="4" t="s">
        <v>4723</v>
      </c>
      <c r="L9559" s="4" t="s">
        <v>7249</v>
      </c>
      <c r="M9559" s="4" t="s">
        <v>7239</v>
      </c>
      <c r="N9559" s="4" t="s">
        <v>7242</v>
      </c>
      <c r="O9559" s="4" t="s">
        <v>7250</v>
      </c>
      <c r="P9559" s="4" t="s">
        <v>7251</v>
      </c>
      <c r="Q9559" s="4" t="s">
        <v>7252</v>
      </c>
      <c r="R9559" s="4" t="s">
        <v>7253</v>
      </c>
      <c r="S9559" s="4" t="s">
        <v>7254</v>
      </c>
      <c r="T9559" s="4" t="s">
        <v>4693</v>
      </c>
      <c r="U9559" s="4" t="s">
        <v>7255</v>
      </c>
      <c r="V9559" s="4" t="s">
        <v>7256</v>
      </c>
    </row>
    <row r="9560">
      <c r="A9560" s="4">
        <v>202.0</v>
      </c>
      <c r="B9560" s="4" t="s">
        <v>19724</v>
      </c>
      <c r="C9560" s="4"/>
      <c r="D9560" s="4" t="s">
        <v>19498</v>
      </c>
      <c r="E9560" s="4" t="s">
        <v>19499</v>
      </c>
      <c r="F9560" s="4" t="s">
        <v>19500</v>
      </c>
      <c r="G9560" s="5" t="str">
        <f>IFERROR(__xludf.DUMMYFUNCTION("GOOGLETRANSLATE(D9560,""pt"",""es"")"),"uRO")</f>
        <v>uRO</v>
      </c>
    </row>
    <row r="9561">
      <c r="A9561" s="4">
        <v>203.0</v>
      </c>
      <c r="B9561" s="4" t="s">
        <v>19724</v>
      </c>
      <c r="C9561" s="4"/>
      <c r="D9561" s="4" t="s">
        <v>19501</v>
      </c>
      <c r="E9561" s="4" t="s">
        <v>14671</v>
      </c>
      <c r="F9561" s="4" t="s">
        <v>14672</v>
      </c>
      <c r="G9561" s="5" t="str">
        <f>IFERROR(__xludf.DUMMYFUNCTION("GOOGLETRANSLATE(D9561,""pt"",""es"")"),"USSO")</f>
        <v>USSO</v>
      </c>
    </row>
    <row r="9562">
      <c r="A9562" s="4">
        <v>204.0</v>
      </c>
      <c r="B9562" s="4" t="s">
        <v>19724</v>
      </c>
      <c r="C9562" s="4"/>
      <c r="D9562" s="4" t="s">
        <v>19723</v>
      </c>
      <c r="E9562" s="4" t="s">
        <v>6032</v>
      </c>
      <c r="F9562" s="4" t="s">
        <v>6033</v>
      </c>
      <c r="G9562" s="5" t="str">
        <f>IFERROR(__xludf.DUMMYFUNCTION("GOOGLETRANSLATE(D9562,""pt"",""es"")"),"pipí")</f>
        <v>pipí</v>
      </c>
      <c r="H9562" s="4" t="s">
        <v>7246</v>
      </c>
      <c r="I9562" s="4" t="s">
        <v>7242</v>
      </c>
      <c r="J9562" s="4" t="s">
        <v>7247</v>
      </c>
      <c r="K9562" s="4" t="s">
        <v>7239</v>
      </c>
      <c r="L9562" s="4" t="s">
        <v>7241</v>
      </c>
      <c r="M9562" s="4" t="s">
        <v>7239</v>
      </c>
      <c r="N9562" s="4" t="s">
        <v>7242</v>
      </c>
      <c r="O9562" s="4" t="s">
        <v>7243</v>
      </c>
      <c r="P9562" s="4" t="s">
        <v>7244</v>
      </c>
      <c r="Q9562" s="4" t="s">
        <v>7245</v>
      </c>
    </row>
    <row r="9563">
      <c r="A9563" s="4">
        <v>205.0</v>
      </c>
      <c r="B9563" s="4" t="s">
        <v>19724</v>
      </c>
      <c r="C9563" s="4"/>
      <c r="D9563" s="4" t="s">
        <v>19506</v>
      </c>
      <c r="E9563" s="4" t="s">
        <v>4671</v>
      </c>
      <c r="F9563" s="4" t="s">
        <v>4672</v>
      </c>
      <c r="G9563" s="5" t="str">
        <f>IFERROR(__xludf.DUMMYFUNCTION("GOOGLETRANSLATE(D9563,""pt"",""es"")"),"cha")</f>
        <v>cha</v>
      </c>
      <c r="H9563" s="4" t="s">
        <v>4673</v>
      </c>
      <c r="I9563" s="4" t="s">
        <v>4674</v>
      </c>
      <c r="J9563" s="4" t="s">
        <v>4673</v>
      </c>
      <c r="K9563" s="4" t="s">
        <v>4674</v>
      </c>
    </row>
    <row r="9564">
      <c r="A9564" s="4">
        <v>206.0</v>
      </c>
      <c r="B9564" s="4" t="s">
        <v>19724</v>
      </c>
      <c r="C9564" s="4"/>
      <c r="D9564" s="4" t="s">
        <v>19510</v>
      </c>
      <c r="E9564" s="4" t="s">
        <v>19511</v>
      </c>
      <c r="F9564" s="4" t="s">
        <v>19512</v>
      </c>
      <c r="G9564" s="5" t="str">
        <f>IFERROR(__xludf.DUMMYFUNCTION("GOOGLETRANSLATE(D9564,""pt"",""es"")"),"Yukiko")</f>
        <v>Yukiko</v>
      </c>
    </row>
    <row r="9565">
      <c r="A9565" s="4">
        <v>207.0</v>
      </c>
      <c r="B9565" s="4" t="s">
        <v>19724</v>
      </c>
      <c r="C9565" s="4"/>
      <c r="D9565" s="4" t="s">
        <v>19513</v>
      </c>
      <c r="E9565" s="4" t="s">
        <v>19514</v>
      </c>
      <c r="F9565" s="4" t="s">
        <v>19515</v>
      </c>
      <c r="G9565" s="5" t="str">
        <f>IFERROR(__xludf.DUMMYFUNCTION("GOOGLETRANSLATE(D9565,""pt"",""es"")"),"yuko")</f>
        <v>yuko</v>
      </c>
    </row>
    <row r="9566">
      <c r="A9566" s="4">
        <v>208.0</v>
      </c>
      <c r="B9566" s="4" t="s">
        <v>19724</v>
      </c>
      <c r="C9566" s="4"/>
      <c r="D9566" s="4" t="s">
        <v>19516</v>
      </c>
      <c r="E9566" s="4" t="s">
        <v>19517</v>
      </c>
      <c r="F9566" s="4" t="s">
        <v>19516</v>
      </c>
      <c r="G9566" s="5" t="str">
        <f>IFERROR(__xludf.DUMMYFUNCTION("GOOGLETRANSLATE(D9566,""pt"",""es"")"),"Yuri")</f>
        <v>Yuri</v>
      </c>
    </row>
    <row r="9567">
      <c r="A9567" s="4">
        <v>209.0</v>
      </c>
      <c r="B9567" s="4" t="s">
        <v>19724</v>
      </c>
      <c r="C9567" s="4"/>
      <c r="D9567" s="4" t="s">
        <v>19518</v>
      </c>
      <c r="E9567" s="4" t="s">
        <v>19519</v>
      </c>
      <c r="F9567" s="4" t="s">
        <v>19520</v>
      </c>
      <c r="G9567" s="5" t="str">
        <f>IFERROR(__xludf.DUMMYFUNCTION("GOOGLETRANSLATE(D9567,""pt"",""es"")"),"Yuriko")</f>
        <v>Yuriko</v>
      </c>
    </row>
    <row r="9568">
      <c r="A9568" s="4">
        <v>210.0</v>
      </c>
      <c r="B9568" s="4" t="s">
        <v>19724</v>
      </c>
      <c r="C9568" s="4"/>
      <c r="D9568" s="4" t="s">
        <v>19521</v>
      </c>
      <c r="E9568" s="4" t="s">
        <v>19522</v>
      </c>
      <c r="F9568" s="4" t="s">
        <v>19523</v>
      </c>
      <c r="G9568" s="5" t="str">
        <f>IFERROR(__xludf.DUMMYFUNCTION("GOOGLETRANSLATE(D9568,""pt"",""es"")"),"Aquél")</f>
        <v>Aquél</v>
      </c>
    </row>
    <row r="9569">
      <c r="A9569" s="4">
        <v>211.0</v>
      </c>
      <c r="B9569" s="4" t="s">
        <v>19724</v>
      </c>
      <c r="C9569" s="4"/>
      <c r="D9569" s="4" t="s">
        <v>19528</v>
      </c>
      <c r="E9569" s="4" t="s">
        <v>19529</v>
      </c>
      <c r="F9569" s="4" t="s">
        <v>19530</v>
      </c>
      <c r="G9569" s="5" t="str">
        <f>IFERROR(__xludf.DUMMYFUNCTION("GOOGLETRANSLATE(D9569,""pt"",""es"")"),"único")</f>
        <v>único</v>
      </c>
      <c r="H9569" s="4" t="s">
        <v>4792</v>
      </c>
      <c r="I9569" s="4" t="s">
        <v>4787</v>
      </c>
      <c r="J9569" s="4" t="s">
        <v>4788</v>
      </c>
      <c r="K9569" s="4" t="s">
        <v>4789</v>
      </c>
      <c r="L9569" s="4" t="s">
        <v>4790</v>
      </c>
      <c r="M9569" s="4" t="s">
        <v>4791</v>
      </c>
      <c r="N9569" s="4" t="s">
        <v>19531</v>
      </c>
      <c r="O9569" s="4" t="s">
        <v>6955</v>
      </c>
      <c r="P9569" s="4" t="s">
        <v>19532</v>
      </c>
      <c r="Q9569" s="4" t="s">
        <v>19533</v>
      </c>
      <c r="R9569" s="4" t="s">
        <v>19534</v>
      </c>
      <c r="S9569" s="4" t="s">
        <v>19535</v>
      </c>
      <c r="T9569" s="4" t="s">
        <v>8181</v>
      </c>
      <c r="U9569" s="4" t="s">
        <v>16288</v>
      </c>
      <c r="V9569" s="4" t="s">
        <v>15564</v>
      </c>
      <c r="W9569" s="4" t="s">
        <v>2489</v>
      </c>
      <c r="X9569" s="4" t="s">
        <v>19536</v>
      </c>
      <c r="Y9569" s="4" t="s">
        <v>18540</v>
      </c>
      <c r="Z9569" s="4" t="s">
        <v>4792</v>
      </c>
      <c r="AA9569" s="4" t="s">
        <v>4037</v>
      </c>
      <c r="AB9569" s="4" t="s">
        <v>4038</v>
      </c>
      <c r="AC9569" s="4" t="s">
        <v>4039</v>
      </c>
      <c r="AD9569" s="4" t="s">
        <v>4040</v>
      </c>
      <c r="AE9569" s="4" t="s">
        <v>4030</v>
      </c>
      <c r="AF9569" s="4" t="s">
        <v>4792</v>
      </c>
      <c r="AG9569" s="4" t="s">
        <v>4788</v>
      </c>
    </row>
    <row r="9570">
      <c r="A9570" s="4">
        <v>1.0</v>
      </c>
      <c r="B9570" s="4" t="s">
        <v>19725</v>
      </c>
      <c r="C9570" s="4"/>
      <c r="D9570" s="4" t="s">
        <v>18919</v>
      </c>
      <c r="E9570" s="4" t="s">
        <v>18920</v>
      </c>
      <c r="F9570" s="4" t="s">
        <v>18921</v>
      </c>
      <c r="G9570" s="5" t="str">
        <f>IFERROR(__xludf.DUMMYFUNCTION("GOOGLETRANSLATE(D9570,""pt"",""es"")"),"pensar")</f>
        <v>pensar</v>
      </c>
    </row>
    <row r="9571">
      <c r="A9571" s="4">
        <v>2.0</v>
      </c>
      <c r="B9571" s="4" t="s">
        <v>19725</v>
      </c>
      <c r="C9571" s="4"/>
      <c r="D9571" s="4" t="s">
        <v>18922</v>
      </c>
      <c r="E9571" s="4" t="s">
        <v>18923</v>
      </c>
      <c r="F9571" s="4" t="s">
        <v>14308</v>
      </c>
      <c r="G9571" s="5" t="str">
        <f>IFERROR(__xludf.DUMMYFUNCTION("GOOGLETRANSLATE(D9571,""pt"",""es"")"),"ajo")</f>
        <v>ajo</v>
      </c>
      <c r="H9571" s="4" t="s">
        <v>526</v>
      </c>
      <c r="I9571" s="4" t="s">
        <v>527</v>
      </c>
      <c r="J9571" s="4" t="s">
        <v>18924</v>
      </c>
      <c r="K9571" s="4" t="s">
        <v>18925</v>
      </c>
      <c r="L9571" s="4" t="s">
        <v>18926</v>
      </c>
      <c r="M9571" s="4" t="s">
        <v>18927</v>
      </c>
      <c r="N9571" s="4" t="s">
        <v>18928</v>
      </c>
      <c r="O9571" s="4" t="s">
        <v>18929</v>
      </c>
      <c r="P9571" s="4" t="s">
        <v>18930</v>
      </c>
      <c r="Q9571" s="4" t="s">
        <v>526</v>
      </c>
      <c r="R9571" s="4" t="s">
        <v>528</v>
      </c>
      <c r="S9571" s="4" t="s">
        <v>526</v>
      </c>
      <c r="T9571" s="4" t="s">
        <v>528</v>
      </c>
    </row>
    <row r="9572">
      <c r="A9572" s="4">
        <v>3.0</v>
      </c>
      <c r="B9572" s="4" t="s">
        <v>19725</v>
      </c>
      <c r="C9572" s="4"/>
      <c r="D9572" s="4" t="s">
        <v>18961</v>
      </c>
      <c r="E9572" s="4" t="s">
        <v>18962</v>
      </c>
      <c r="F9572" s="4" t="s">
        <v>18963</v>
      </c>
      <c r="G9572" s="5" t="str">
        <f>IFERROR(__xludf.DUMMYFUNCTION("GOOGLETRANSLATE(D9572,""pt"",""es"")"),"borde")</f>
        <v>borde</v>
      </c>
      <c r="H9572" s="4" t="s">
        <v>18964</v>
      </c>
      <c r="I9572" s="4" t="s">
        <v>18965</v>
      </c>
      <c r="J9572" s="4" t="s">
        <v>9512</v>
      </c>
      <c r="K9572" s="4" t="s">
        <v>9512</v>
      </c>
    </row>
    <row r="9573">
      <c r="A9573" s="4">
        <v>4.0</v>
      </c>
      <c r="B9573" s="4" t="s">
        <v>19725</v>
      </c>
      <c r="C9573" s="4"/>
      <c r="D9573" s="4" t="s">
        <v>18977</v>
      </c>
      <c r="E9573" s="4" t="s">
        <v>15678</v>
      </c>
      <c r="F9573" s="4" t="s">
        <v>9347</v>
      </c>
      <c r="G9573" s="5" t="str">
        <f>IFERROR(__xludf.DUMMYFUNCTION("GOOGLETRANSLATE(D9573,""pt"",""es"")"),"roca")</f>
        <v>roca</v>
      </c>
    </row>
    <row r="9574">
      <c r="A9574" s="4">
        <v>5.0</v>
      </c>
      <c r="B9574" s="4" t="s">
        <v>19725</v>
      </c>
      <c r="C9574" s="4"/>
      <c r="D9574" s="4" t="s">
        <v>18984</v>
      </c>
      <c r="E9574" s="4" t="s">
        <v>11761</v>
      </c>
      <c r="F9574" s="4" t="s">
        <v>11762</v>
      </c>
      <c r="G9574" s="5" t="str">
        <f>IFERROR(__xludf.DUMMYFUNCTION("GOOGLETRANSLATE(D9574,""pt"",""es"")"),"Actuar")</f>
        <v>Actuar</v>
      </c>
      <c r="H9574" s="4" t="s">
        <v>3993</v>
      </c>
      <c r="I9574" s="4" t="s">
        <v>15704</v>
      </c>
      <c r="J9574" s="4" t="s">
        <v>15705</v>
      </c>
      <c r="K9574" s="4" t="s">
        <v>15706</v>
      </c>
      <c r="L9574" s="4" t="s">
        <v>18985</v>
      </c>
      <c r="M9574" s="4" t="s">
        <v>9219</v>
      </c>
      <c r="N9574" s="4" t="s">
        <v>18986</v>
      </c>
      <c r="O9574" s="4" t="s">
        <v>18987</v>
      </c>
      <c r="P9574" s="4" t="s">
        <v>3993</v>
      </c>
      <c r="Q9574" s="4" t="s">
        <v>10236</v>
      </c>
      <c r="R9574" s="4" t="s">
        <v>15704</v>
      </c>
      <c r="S9574" s="4" t="s">
        <v>18988</v>
      </c>
      <c r="T9574" s="4" t="s">
        <v>4599</v>
      </c>
      <c r="U9574" s="4" t="s">
        <v>3993</v>
      </c>
    </row>
    <row r="9575">
      <c r="A9575" s="4">
        <v>6.0</v>
      </c>
      <c r="B9575" s="4" t="s">
        <v>19725</v>
      </c>
      <c r="C9575" s="4"/>
      <c r="D9575" s="4" t="s">
        <v>18992</v>
      </c>
      <c r="E9575" s="4" t="s">
        <v>15678</v>
      </c>
      <c r="F9575" s="4" t="s">
        <v>9347</v>
      </c>
      <c r="G9575" s="5" t="str">
        <f>IFERROR(__xludf.DUMMYFUNCTION("GOOGLETRANSLATE(D9575,""pt"",""es"")"),"acero")</f>
        <v>acero</v>
      </c>
      <c r="H9575" s="4" t="s">
        <v>16711</v>
      </c>
      <c r="I9575" s="4" t="s">
        <v>16711</v>
      </c>
    </row>
    <row r="9576">
      <c r="A9576" s="4">
        <v>7.0</v>
      </c>
      <c r="B9576" s="4" t="s">
        <v>19725</v>
      </c>
      <c r="C9576" s="4"/>
      <c r="D9576" s="4" t="s">
        <v>19000</v>
      </c>
      <c r="E9576" s="4" t="s">
        <v>19001</v>
      </c>
      <c r="F9576" s="4" t="s">
        <v>19002</v>
      </c>
      <c r="G9576" s="5" t="str">
        <f>IFERROR(__xludf.DUMMYFUNCTION("GOOGLETRANSLATE(D9576,""pt"",""es"")"),"racimo")</f>
        <v>racimo</v>
      </c>
      <c r="H9576" s="4" t="s">
        <v>3282</v>
      </c>
      <c r="I9576" s="4" t="s">
        <v>8445</v>
      </c>
      <c r="J9576" s="4" t="s">
        <v>8446</v>
      </c>
      <c r="K9576" s="4" t="s">
        <v>8447</v>
      </c>
      <c r="L9576" s="4" t="s">
        <v>19003</v>
      </c>
      <c r="M9576" s="4" t="s">
        <v>19004</v>
      </c>
      <c r="N9576" s="4" t="s">
        <v>7299</v>
      </c>
      <c r="O9576" s="4" t="s">
        <v>19005</v>
      </c>
    </row>
    <row r="9577">
      <c r="A9577" s="4">
        <v>8.0</v>
      </c>
      <c r="B9577" s="4" t="s">
        <v>19725</v>
      </c>
      <c r="C9577" s="4"/>
      <c r="D9577" s="4" t="s">
        <v>19006</v>
      </c>
      <c r="E9577" s="4" t="s">
        <v>19007</v>
      </c>
      <c r="F9577" s="4" t="s">
        <v>19008</v>
      </c>
      <c r="G9577" s="5" t="str">
        <f>IFERROR(__xludf.DUMMYFUNCTION("GOOGLETRANSLATE(D9577,""pt"",""es"")"),"agudo")</f>
        <v>agudo</v>
      </c>
      <c r="H9577" s="4" t="s">
        <v>19009</v>
      </c>
      <c r="I9577" s="4" t="s">
        <v>19010</v>
      </c>
      <c r="J9577" s="4" t="s">
        <v>19011</v>
      </c>
    </row>
    <row r="9578">
      <c r="A9578" s="4">
        <v>9.0</v>
      </c>
      <c r="B9578" s="4" t="s">
        <v>19725</v>
      </c>
      <c r="C9578" s="4"/>
      <c r="D9578" s="4" t="s">
        <v>1033</v>
      </c>
      <c r="E9578" s="4" t="s">
        <v>1034</v>
      </c>
      <c r="F9578" s="4" t="s">
        <v>1035</v>
      </c>
      <c r="G9578" s="5" t="str">
        <f>IFERROR(__xludf.DUMMYFUNCTION("GOOGLETRANSLATE(D9578,""pt"",""es"")"),"callo")</f>
        <v>callo</v>
      </c>
      <c r="H9578" s="4" t="s">
        <v>1013</v>
      </c>
      <c r="I9578" s="4" t="s">
        <v>1013</v>
      </c>
      <c r="J9578" s="4" t="s">
        <v>11820</v>
      </c>
      <c r="K9578" s="4" t="s">
        <v>1013</v>
      </c>
    </row>
    <row r="9579">
      <c r="A9579" s="4">
        <v>10.0</v>
      </c>
      <c r="B9579" s="4" t="s">
        <v>19725</v>
      </c>
      <c r="C9579" s="4"/>
      <c r="D9579" s="4" t="s">
        <v>14351</v>
      </c>
      <c r="E9579" s="4" t="s">
        <v>19024</v>
      </c>
      <c r="F9579" s="4" t="s">
        <v>14353</v>
      </c>
      <c r="G9579" s="5" t="str">
        <f>IFERROR(__xludf.DUMMYFUNCTION("GOOGLETRANSLATE(D9579,""pt"",""es"")"),"caro")</f>
        <v>caro</v>
      </c>
      <c r="H9579" s="4" t="s">
        <v>1304</v>
      </c>
      <c r="I9579" s="4" t="s">
        <v>13997</v>
      </c>
      <c r="J9579" s="4" t="s">
        <v>6556</v>
      </c>
      <c r="K9579" s="4" t="s">
        <v>13998</v>
      </c>
      <c r="L9579" s="4" t="s">
        <v>13999</v>
      </c>
      <c r="M9579" s="4" t="s">
        <v>14000</v>
      </c>
      <c r="N9579" s="4" t="s">
        <v>14001</v>
      </c>
      <c r="O9579" s="4" t="s">
        <v>13997</v>
      </c>
      <c r="P9579" s="4" t="s">
        <v>14002</v>
      </c>
      <c r="Q9579" s="4" t="s">
        <v>5680</v>
      </c>
      <c r="R9579" s="4" t="s">
        <v>6556</v>
      </c>
    </row>
    <row r="9580">
      <c r="A9580" s="4">
        <v>11.0</v>
      </c>
      <c r="B9580" s="4" t="s">
        <v>19725</v>
      </c>
      <c r="C9580" s="4"/>
      <c r="D9580" s="4" t="s">
        <v>19031</v>
      </c>
      <c r="E9580" s="4" t="s">
        <v>9104</v>
      </c>
      <c r="F9580" s="4" t="s">
        <v>9103</v>
      </c>
      <c r="G9580" s="5" t="str">
        <f>IFERROR(__xludf.DUMMYFUNCTION("GOOGLETRANSLATE(D9580,""pt"",""es"")"),"Cato")</f>
        <v>Cato</v>
      </c>
    </row>
    <row r="9581">
      <c r="A9581" s="4">
        <v>12.0</v>
      </c>
      <c r="B9581" s="4" t="s">
        <v>19725</v>
      </c>
      <c r="C9581" s="4"/>
      <c r="D9581" s="4" t="s">
        <v>1376</v>
      </c>
      <c r="E9581" s="4" t="s">
        <v>1377</v>
      </c>
      <c r="F9581" s="4" t="s">
        <v>1378</v>
      </c>
      <c r="G9581" s="5" t="str">
        <f>IFERROR(__xludf.DUMMYFUNCTION("GOOGLETRANSLATE(D9581,""pt"",""es"")"),"esquina")</f>
        <v>esquina</v>
      </c>
    </row>
    <row r="9582">
      <c r="A9582" s="4">
        <v>13.0</v>
      </c>
      <c r="B9582" s="4" t="s">
        <v>19725</v>
      </c>
      <c r="C9582" s="4"/>
      <c r="D9582" s="4" t="s">
        <v>19035</v>
      </c>
      <c r="E9582" s="4" t="s">
        <v>4684</v>
      </c>
      <c r="F9582" s="4" t="s">
        <v>4685</v>
      </c>
      <c r="G9582" s="5" t="str">
        <f>IFERROR(__xludf.DUMMYFUNCTION("GOOGLETRANSLATE(D9582,""pt"",""es"")"),"irritante")</f>
        <v>irritante</v>
      </c>
      <c r="H9582" s="4" t="s">
        <v>19036</v>
      </c>
      <c r="I9582" s="4" t="s">
        <v>19037</v>
      </c>
      <c r="J9582" s="4" t="s">
        <v>3225</v>
      </c>
      <c r="K9582" s="4" t="s">
        <v>19038</v>
      </c>
      <c r="L9582" s="4" t="s">
        <v>19039</v>
      </c>
      <c r="M9582" s="4" t="s">
        <v>3228</v>
      </c>
      <c r="N9582" s="4" t="s">
        <v>19040</v>
      </c>
      <c r="O9582" s="4" t="s">
        <v>19041</v>
      </c>
      <c r="P9582" s="4" t="s">
        <v>19042</v>
      </c>
      <c r="Q9582" s="4" t="s">
        <v>2339</v>
      </c>
      <c r="R9582" s="4" t="s">
        <v>19043</v>
      </c>
      <c r="S9582" s="4" t="s">
        <v>19044</v>
      </c>
    </row>
    <row r="9583">
      <c r="A9583" s="4">
        <v>14.0</v>
      </c>
      <c r="B9583" s="4" t="s">
        <v>19725</v>
      </c>
      <c r="C9583" s="4"/>
      <c r="D9583" s="4" t="s">
        <v>19053</v>
      </c>
      <c r="E9583" s="4" t="s">
        <v>19054</v>
      </c>
      <c r="F9583" s="4" t="s">
        <v>19055</v>
      </c>
      <c r="G9583" s="5" t="str">
        <f>IFERROR(__xludf.DUMMYFUNCTION("GOOGLETRANSLATE(D9583,""pt"",""es"")"),"Pendiente")</f>
        <v>Pendiente</v>
      </c>
      <c r="H9583" s="4" t="s">
        <v>19056</v>
      </c>
      <c r="I9583" s="4" t="s">
        <v>19057</v>
      </c>
      <c r="J9583" s="4" t="s">
        <v>19058</v>
      </c>
      <c r="K9583" s="4" t="s">
        <v>19059</v>
      </c>
      <c r="L9583" s="4" t="s">
        <v>19060</v>
      </c>
      <c r="M9583" s="4" t="s">
        <v>19061</v>
      </c>
      <c r="N9583" s="4" t="s">
        <v>19062</v>
      </c>
    </row>
    <row r="9584">
      <c r="A9584" s="4">
        <v>15.0</v>
      </c>
      <c r="B9584" s="4" t="s">
        <v>19725</v>
      </c>
      <c r="C9584" s="4"/>
      <c r="D9584" s="4" t="s">
        <v>19063</v>
      </c>
      <c r="E9584" s="4" t="s">
        <v>19064</v>
      </c>
      <c r="F9584" s="4" t="s">
        <v>19065</v>
      </c>
      <c r="G9584" s="5" t="str">
        <f>IFERROR(__xludf.DUMMYFUNCTION("GOOGLETRANSLATE(D9584,""pt"",""es"")"),"taco")</f>
        <v>taco</v>
      </c>
      <c r="H9584" s="4" t="s">
        <v>19066</v>
      </c>
      <c r="I9584" s="4" t="s">
        <v>19067</v>
      </c>
      <c r="J9584" s="4" t="s">
        <v>19068</v>
      </c>
    </row>
    <row r="9585">
      <c r="A9585" s="4">
        <v>16.0</v>
      </c>
      <c r="B9585" s="4" t="s">
        <v>19725</v>
      </c>
      <c r="C9585" s="4"/>
      <c r="D9585" s="4" t="s">
        <v>19069</v>
      </c>
      <c r="E9585" s="4" t="s">
        <v>19070</v>
      </c>
      <c r="F9585" s="4" t="s">
        <v>19071</v>
      </c>
      <c r="G9585" s="5" t="str">
        <f>IFERROR(__xludf.DUMMYFUNCTION("GOOGLETRANSLATE(D9585,""pt"",""es"")"),"patada")</f>
        <v>patada</v>
      </c>
    </row>
    <row r="9586">
      <c r="A9586" s="4">
        <v>17.0</v>
      </c>
      <c r="B9586" s="4" t="s">
        <v>19725</v>
      </c>
      <c r="C9586" s="4"/>
      <c r="D9586" s="4" t="s">
        <v>19075</v>
      </c>
      <c r="E9586" s="4" t="s">
        <v>4671</v>
      </c>
      <c r="F9586" s="4" t="s">
        <v>4672</v>
      </c>
      <c r="G9586" s="5" t="str">
        <f>IFERROR(__xludf.DUMMYFUNCTION("GOOGLETRANSLATE(D9586,""pt"",""es"")"),"té")</f>
        <v>té</v>
      </c>
      <c r="H9586" s="4" t="s">
        <v>8821</v>
      </c>
      <c r="I9586" s="4" t="s">
        <v>8825</v>
      </c>
      <c r="J9586" s="4" t="s">
        <v>8821</v>
      </c>
      <c r="K9586" s="4" t="s">
        <v>19076</v>
      </c>
      <c r="L9586" s="4" t="s">
        <v>19077</v>
      </c>
      <c r="M9586" s="4" t="s">
        <v>19078</v>
      </c>
      <c r="N9586" s="4" t="s">
        <v>19079</v>
      </c>
      <c r="O9586" s="4" t="s">
        <v>19080</v>
      </c>
      <c r="P9586" s="4" t="s">
        <v>19081</v>
      </c>
    </row>
    <row r="9587">
      <c r="A9587" s="4">
        <v>18.0</v>
      </c>
      <c r="B9587" s="4" t="s">
        <v>19725</v>
      </c>
      <c r="C9587" s="4"/>
      <c r="D9587" s="4" t="s">
        <v>1554</v>
      </c>
      <c r="E9587" s="4" t="s">
        <v>1555</v>
      </c>
      <c r="F9587" s="4" t="s">
        <v>1556</v>
      </c>
      <c r="G9587" s="5" t="str">
        <f>IFERROR(__xludf.DUMMYFUNCTION("GOOGLETRANSLATE(D9587,""pt"",""es"")"),"Galleta")</f>
        <v>Galleta</v>
      </c>
      <c r="H9587" s="4" t="s">
        <v>1554</v>
      </c>
      <c r="I9587" s="4" t="s">
        <v>6087</v>
      </c>
      <c r="J9587" s="4" t="s">
        <v>6088</v>
      </c>
    </row>
    <row r="9588">
      <c r="A9588" s="4">
        <v>19.0</v>
      </c>
      <c r="B9588" s="4" t="s">
        <v>19725</v>
      </c>
      <c r="C9588" s="4"/>
      <c r="D9588" s="4" t="s">
        <v>1580</v>
      </c>
      <c r="E9588" s="4" t="s">
        <v>1581</v>
      </c>
      <c r="F9588" s="4" t="s">
        <v>1582</v>
      </c>
      <c r="G9588" s="5" t="str">
        <f>IFERROR(__xludf.DUMMYFUNCTION("GOOGLETRANSLATE(D9588,""pt"",""es"")"),"culo")</f>
        <v>culo</v>
      </c>
      <c r="H9588" s="4" t="s">
        <v>1602</v>
      </c>
      <c r="I9588" s="4" t="s">
        <v>1603</v>
      </c>
      <c r="J9588" s="4" t="s">
        <v>1604</v>
      </c>
      <c r="K9588" s="4" t="s">
        <v>1605</v>
      </c>
      <c r="L9588" s="4" t="s">
        <v>1606</v>
      </c>
      <c r="M9588" s="4" t="s">
        <v>1147</v>
      </c>
      <c r="N9588" s="4" t="s">
        <v>1607</v>
      </c>
      <c r="O9588" s="4" t="s">
        <v>1120</v>
      </c>
      <c r="P9588" s="4" t="s">
        <v>1608</v>
      </c>
      <c r="Q9588" s="4" t="s">
        <v>1609</v>
      </c>
      <c r="R9588" s="4" t="s">
        <v>1610</v>
      </c>
      <c r="S9588" s="4" t="s">
        <v>1611</v>
      </c>
      <c r="T9588" s="4" t="s">
        <v>1612</v>
      </c>
      <c r="U9588" s="4" t="s">
        <v>1613</v>
      </c>
      <c r="V9588" s="4" t="s">
        <v>1614</v>
      </c>
      <c r="W9588" s="4" t="s">
        <v>1615</v>
      </c>
      <c r="X9588" s="4" t="s">
        <v>1616</v>
      </c>
      <c r="Y9588" s="4" t="s">
        <v>1617</v>
      </c>
      <c r="Z9588" s="4" t="s">
        <v>1618</v>
      </c>
      <c r="AA9588" s="4" t="s">
        <v>1619</v>
      </c>
      <c r="AB9588" s="4" t="s">
        <v>1620</v>
      </c>
      <c r="AC9588" s="4" t="s">
        <v>1621</v>
      </c>
      <c r="AD9588" s="4" t="s">
        <v>1622</v>
      </c>
      <c r="AE9588" s="4" t="s">
        <v>1623</v>
      </c>
      <c r="AF9588" s="4" t="s">
        <v>1624</v>
      </c>
      <c r="AG9588" s="4" t="s">
        <v>1625</v>
      </c>
      <c r="AH9588" s="4" t="s">
        <v>1626</v>
      </c>
      <c r="AI9588" s="4" t="s">
        <v>1627</v>
      </c>
    </row>
    <row r="9589">
      <c r="A9589" s="4">
        <v>20.0</v>
      </c>
      <c r="B9589" s="4" t="s">
        <v>19725</v>
      </c>
      <c r="C9589" s="4"/>
      <c r="D9589" s="4" t="s">
        <v>19090</v>
      </c>
      <c r="E9589" s="4" t="s">
        <v>19091</v>
      </c>
      <c r="F9589" s="4" t="s">
        <v>19092</v>
      </c>
      <c r="G9589" s="5" t="str">
        <f>IFERROR(__xludf.DUMMYFUNCTION("GOOGLETRANSLATE(D9589,""pt"",""es"")"),"curar")</f>
        <v>curar</v>
      </c>
    </row>
    <row r="9590">
      <c r="A9590" s="4">
        <v>21.0</v>
      </c>
      <c r="B9590" s="4" t="s">
        <v>19725</v>
      </c>
      <c r="C9590" s="4"/>
      <c r="D9590" s="4" t="s">
        <v>19093</v>
      </c>
      <c r="E9590" s="4" t="s">
        <v>961</v>
      </c>
      <c r="F9590" s="4" t="s">
        <v>962</v>
      </c>
      <c r="G9590" s="5" t="str">
        <f>IFERROR(__xludf.DUMMYFUNCTION("GOOGLETRANSLATE(D9590,""pt"",""es"")"),"aquí")</f>
        <v>aquí</v>
      </c>
      <c r="H9590" s="4" t="s">
        <v>12448</v>
      </c>
      <c r="I9590" s="4" t="s">
        <v>12389</v>
      </c>
    </row>
    <row r="9591">
      <c r="A9591" s="4">
        <v>22.0</v>
      </c>
      <c r="B9591" s="4" t="s">
        <v>19725</v>
      </c>
      <c r="C9591" s="4"/>
      <c r="D9591" s="4" t="s">
        <v>19094</v>
      </c>
      <c r="E9591" s="4" t="s">
        <v>1296</v>
      </c>
      <c r="F9591" s="4" t="s">
        <v>1297</v>
      </c>
      <c r="G9591" s="5" t="str">
        <f>IFERROR(__xludf.DUMMYFUNCTION("GOOGLETRANSLATE(D9591,""pt"",""es"")"),"caqui")</f>
        <v>caqui</v>
      </c>
    </row>
    <row r="9592">
      <c r="A9592" s="4">
        <v>23.0</v>
      </c>
      <c r="B9592" s="4" t="s">
        <v>19725</v>
      </c>
      <c r="C9592" s="4"/>
      <c r="D9592" s="4" t="s">
        <v>19110</v>
      </c>
      <c r="E9592" s="4" t="s">
        <v>1984</v>
      </c>
      <c r="F9592" s="4" t="s">
        <v>1983</v>
      </c>
      <c r="G9592" s="5" t="str">
        <f>IFERROR(__xludf.DUMMYFUNCTION("GOOGLETRANSLATE(D9592,""pt"",""es"")"),"voluntad")</f>
        <v>voluntad</v>
      </c>
    </row>
    <row r="9593">
      <c r="A9593" s="4">
        <v>24.0</v>
      </c>
      <c r="B9593" s="4" t="s">
        <v>19725</v>
      </c>
      <c r="C9593" s="4"/>
      <c r="D9593" s="4" t="s">
        <v>19111</v>
      </c>
      <c r="E9593" s="4" t="s">
        <v>19112</v>
      </c>
      <c r="F9593" s="4" t="s">
        <v>14416</v>
      </c>
      <c r="G9593" s="5" t="str">
        <f>IFERROR(__xludf.DUMMYFUNCTION("GOOGLETRANSLATE(D9593,""pt"",""es"")"),"eso")</f>
        <v>eso</v>
      </c>
    </row>
    <row r="9594">
      <c r="A9594" s="4">
        <v>25.0</v>
      </c>
      <c r="B9594" s="4" t="s">
        <v>19725</v>
      </c>
      <c r="C9594" s="4"/>
      <c r="D9594" s="4" t="s">
        <v>19113</v>
      </c>
      <c r="E9594" s="4" t="s">
        <v>19112</v>
      </c>
      <c r="F9594" s="4" t="s">
        <v>14416</v>
      </c>
      <c r="G9594" s="5" t="str">
        <f>IFERROR(__xludf.DUMMYFUNCTION("GOOGLETRANSLATE(D9594,""pt"",""es"")"),"co")</f>
        <v>co</v>
      </c>
    </row>
    <row r="9595">
      <c r="A9595" s="4">
        <v>26.0</v>
      </c>
      <c r="B9595" s="4" t="s">
        <v>19725</v>
      </c>
      <c r="C9595" s="4"/>
      <c r="D9595" s="4" t="s">
        <v>1122</v>
      </c>
      <c r="E9595" s="4" t="s">
        <v>1121</v>
      </c>
      <c r="F9595" s="4" t="s">
        <v>1122</v>
      </c>
      <c r="G9595" s="5" t="str">
        <f>IFERROR(__xludf.DUMMYFUNCTION("GOOGLETRANSLATE(D9595,""pt"",""es"")"),"kan")</f>
        <v>kan</v>
      </c>
    </row>
    <row r="9596">
      <c r="A9596" s="4">
        <v>27.0</v>
      </c>
      <c r="B9596" s="4" t="s">
        <v>19725</v>
      </c>
      <c r="C9596" s="4"/>
      <c r="D9596" s="4" t="s">
        <v>2146</v>
      </c>
      <c r="E9596" s="4" t="s">
        <v>17980</v>
      </c>
      <c r="F9596" s="4" t="s">
        <v>8430</v>
      </c>
      <c r="G9596" s="5" t="str">
        <f>IFERROR(__xludf.DUMMYFUNCTION("GOOGLETRANSLATE(D9596,""pt"",""es"")"),"lazo")</f>
        <v>lazo</v>
      </c>
      <c r="H9596" s="4" t="s">
        <v>19115</v>
      </c>
      <c r="I9596" s="4" t="s">
        <v>2760</v>
      </c>
      <c r="J9596" s="4" t="s">
        <v>19115</v>
      </c>
      <c r="K9596" s="4" t="s">
        <v>19115</v>
      </c>
    </row>
    <row r="9597">
      <c r="A9597" s="4">
        <v>28.0</v>
      </c>
      <c r="B9597" s="4" t="s">
        <v>19725</v>
      </c>
      <c r="C9597" s="4"/>
      <c r="D9597" s="4" t="s">
        <v>19117</v>
      </c>
      <c r="E9597" s="4" t="s">
        <v>17980</v>
      </c>
      <c r="F9597" s="4" t="s">
        <v>8430</v>
      </c>
      <c r="G9597" s="5" t="str">
        <f>IFERROR(__xludf.DUMMYFUNCTION("GOOGLETRANSLATE(D9597,""pt"",""es"")"),"Enlace")</f>
        <v>Enlace</v>
      </c>
      <c r="H9597" s="4" t="s">
        <v>19118</v>
      </c>
      <c r="I9597" s="4" t="s">
        <v>19119</v>
      </c>
      <c r="J9597" s="4" t="s">
        <v>19120</v>
      </c>
      <c r="K9597" s="4" t="s">
        <v>19121</v>
      </c>
      <c r="L9597" s="4" t="s">
        <v>2146</v>
      </c>
      <c r="M9597" s="4" t="s">
        <v>2147</v>
      </c>
      <c r="N9597" s="4" t="s">
        <v>2148</v>
      </c>
      <c r="O9597" s="4" t="s">
        <v>2149</v>
      </c>
      <c r="P9597" s="4" t="s">
        <v>19122</v>
      </c>
      <c r="Q9597" s="4" t="s">
        <v>19123</v>
      </c>
      <c r="R9597" s="4" t="s">
        <v>19124</v>
      </c>
    </row>
    <row r="9598">
      <c r="A9598" s="4">
        <v>29.0</v>
      </c>
      <c r="B9598" s="4" t="s">
        <v>19725</v>
      </c>
      <c r="C9598" s="4"/>
      <c r="D9598" s="4" t="s">
        <v>2037</v>
      </c>
      <c r="E9598" s="4" t="s">
        <v>2038</v>
      </c>
      <c r="F9598" s="4" t="s">
        <v>2037</v>
      </c>
      <c r="G9598" s="5" t="str">
        <f>IFERROR(__xludf.DUMMYFUNCTION("GOOGLETRANSLATE(D9598,""pt"",""es"")"),"Li")</f>
        <v>Li</v>
      </c>
    </row>
    <row r="9599">
      <c r="A9599" s="4">
        <v>30.0</v>
      </c>
      <c r="B9599" s="4" t="s">
        <v>19725</v>
      </c>
      <c r="C9599" s="4"/>
      <c r="D9599" s="4" t="s">
        <v>19129</v>
      </c>
      <c r="E9599" s="4" t="s">
        <v>19130</v>
      </c>
      <c r="F9599" s="4" t="s">
        <v>19131</v>
      </c>
      <c r="G9599" s="5" t="str">
        <f>IFERROR(__xludf.DUMMYFUNCTION("GOOGLETRANSLATE(D9599,""pt"",""es"")"),"basura")</f>
        <v>basura</v>
      </c>
      <c r="H9599" s="4" t="s">
        <v>19132</v>
      </c>
      <c r="I9599" s="4" t="s">
        <v>19133</v>
      </c>
      <c r="J9599" s="4" t="s">
        <v>19134</v>
      </c>
      <c r="K9599" s="4" t="s">
        <v>19135</v>
      </c>
      <c r="L9599" s="4" t="s">
        <v>3189</v>
      </c>
      <c r="M9599" s="4" t="s">
        <v>3192</v>
      </c>
      <c r="N9599" s="4" t="s">
        <v>2606</v>
      </c>
    </row>
    <row r="9600">
      <c r="A9600" s="4">
        <v>31.0</v>
      </c>
      <c r="B9600" s="4" t="s">
        <v>19725</v>
      </c>
      <c r="C9600" s="4"/>
      <c r="D9600" s="4" t="s">
        <v>2239</v>
      </c>
      <c r="E9600" s="4" t="s">
        <v>2240</v>
      </c>
      <c r="F9600" s="4" t="s">
        <v>2241</v>
      </c>
      <c r="G9600" s="5" t="str">
        <f>IFERROR(__xludf.DUMMYFUNCTION("GOOGLETRANSLATE(D9600,""pt"",""es"")"),"eso")</f>
        <v>eso</v>
      </c>
    </row>
    <row r="9601">
      <c r="A9601" s="4">
        <v>32.0</v>
      </c>
      <c r="B9601" s="4" t="s">
        <v>19725</v>
      </c>
      <c r="C9601" s="4"/>
      <c r="D9601" s="4" t="s">
        <v>19155</v>
      </c>
      <c r="E9601" s="4" t="s">
        <v>2016</v>
      </c>
      <c r="F9601" s="4" t="s">
        <v>2015</v>
      </c>
      <c r="G9601" s="5" t="str">
        <f>IFERROR(__xludf.DUMMYFUNCTION("GOOGLETRANSLATE(D9601,""pt"",""es"")"),"allí")</f>
        <v>allí</v>
      </c>
      <c r="H9601" s="4" t="s">
        <v>8911</v>
      </c>
      <c r="I9601" s="4" t="s">
        <v>8910</v>
      </c>
      <c r="J9601" s="4" t="s">
        <v>2015</v>
      </c>
      <c r="K9601" s="4" t="s">
        <v>2017</v>
      </c>
    </row>
    <row r="9602">
      <c r="A9602" s="4">
        <v>33.0</v>
      </c>
      <c r="B9602" s="4" t="s">
        <v>19725</v>
      </c>
      <c r="C9602" s="4"/>
      <c r="D9602" s="4" t="s">
        <v>19166</v>
      </c>
      <c r="E9602" s="4" t="s">
        <v>14745</v>
      </c>
      <c r="F9602" s="4" t="s">
        <v>14746</v>
      </c>
      <c r="G9602" s="5" t="str">
        <f>IFERROR(__xludf.DUMMYFUNCTION("GOOGLETRANSLATE(D9602,""pt"",""es"")"),"masculino")</f>
        <v>masculino</v>
      </c>
      <c r="H9602" s="4" t="s">
        <v>13033</v>
      </c>
      <c r="I9602" s="4" t="s">
        <v>13036</v>
      </c>
      <c r="J9602" s="4" t="s">
        <v>13034</v>
      </c>
      <c r="K9602" s="4" t="s">
        <v>13035</v>
      </c>
      <c r="L9602" s="4" t="s">
        <v>13033</v>
      </c>
      <c r="M9602" s="4" t="s">
        <v>13038</v>
      </c>
      <c r="N9602" s="4" t="s">
        <v>13033</v>
      </c>
      <c r="O9602" s="4" t="s">
        <v>13034</v>
      </c>
      <c r="P9602" s="4" t="s">
        <v>13035</v>
      </c>
      <c r="Q9602" s="4" t="s">
        <v>13036</v>
      </c>
      <c r="R9602" s="4" t="s">
        <v>13037</v>
      </c>
      <c r="S9602" s="4" t="s">
        <v>8234</v>
      </c>
      <c r="T9602" s="4" t="s">
        <v>13033</v>
      </c>
      <c r="U9602" s="4" t="s">
        <v>13040</v>
      </c>
      <c r="V9602" s="4" t="s">
        <v>4282</v>
      </c>
      <c r="W9602" s="4" t="s">
        <v>9152</v>
      </c>
      <c r="X9602" s="4" t="s">
        <v>19167</v>
      </c>
      <c r="Y9602" s="4" t="s">
        <v>19168</v>
      </c>
      <c r="Z9602" s="4" t="s">
        <v>19169</v>
      </c>
      <c r="AA9602" s="4" t="s">
        <v>19170</v>
      </c>
      <c r="AB9602" s="4" t="s">
        <v>19171</v>
      </c>
      <c r="AC9602" s="4" t="s">
        <v>19172</v>
      </c>
      <c r="AD9602" s="4" t="s">
        <v>19173</v>
      </c>
      <c r="AE9602" s="4" t="s">
        <v>1856</v>
      </c>
      <c r="AF9602" s="4" t="s">
        <v>6742</v>
      </c>
      <c r="AG9602" s="4" t="s">
        <v>1856</v>
      </c>
      <c r="AH9602" s="4" t="s">
        <v>19174</v>
      </c>
      <c r="AI9602" s="4" t="s">
        <v>19175</v>
      </c>
      <c r="AJ9602" s="4" t="s">
        <v>19176</v>
      </c>
    </row>
    <row r="9603">
      <c r="A9603" s="4">
        <v>34.0</v>
      </c>
      <c r="B9603" s="4" t="s">
        <v>19725</v>
      </c>
      <c r="C9603" s="4"/>
      <c r="D9603" s="4" t="s">
        <v>19178</v>
      </c>
      <c r="E9603" s="4" t="s">
        <v>19179</v>
      </c>
      <c r="F9603" s="4" t="s">
        <v>19180</v>
      </c>
      <c r="G9603" s="5" t="str">
        <f>IFERROR(__xludf.DUMMYFUNCTION("GOOGLETRANSLATE(D9603,""pt"",""es"")"),"mazo")</f>
        <v>mazo</v>
      </c>
      <c r="H9603" s="4" t="s">
        <v>9997</v>
      </c>
      <c r="I9603" s="4" t="s">
        <v>19181</v>
      </c>
      <c r="J9603" s="4" t="s">
        <v>2367</v>
      </c>
      <c r="K9603" s="4" t="s">
        <v>2368</v>
      </c>
      <c r="L9603" s="4" t="s">
        <v>2369</v>
      </c>
    </row>
    <row r="9604">
      <c r="A9604" s="4">
        <v>35.0</v>
      </c>
      <c r="B9604" s="4" t="s">
        <v>19725</v>
      </c>
      <c r="C9604" s="4"/>
      <c r="D9604" s="4" t="s">
        <v>5314</v>
      </c>
      <c r="E9604" s="4" t="s">
        <v>5313</v>
      </c>
      <c r="F9604" s="4" t="s">
        <v>5314</v>
      </c>
      <c r="G9604" s="5" t="str">
        <f>IFERROR(__xludf.DUMMYFUNCTION("GOOGLETRANSLATE(D9604,""pt"",""es"")"),"Malí")</f>
        <v>Malí</v>
      </c>
      <c r="H9604" s="4" t="s">
        <v>5347</v>
      </c>
      <c r="I9604" s="4" t="s">
        <v>5348</v>
      </c>
      <c r="J9604" s="4" t="s">
        <v>5349</v>
      </c>
    </row>
    <row r="9605">
      <c r="A9605" s="4">
        <v>36.0</v>
      </c>
      <c r="B9605" s="4" t="s">
        <v>19725</v>
      </c>
      <c r="C9605" s="4"/>
      <c r="D9605" s="4" t="s">
        <v>19188</v>
      </c>
      <c r="E9605" s="4" t="s">
        <v>19189</v>
      </c>
      <c r="F9605" s="4" t="s">
        <v>10530</v>
      </c>
      <c r="G9605" s="5" t="str">
        <f>IFERROR(__xludf.DUMMYFUNCTION("GOOGLETRANSLATE(D9605,""pt"",""es"")"),"paquete")</f>
        <v>paquete</v>
      </c>
      <c r="H9605" s="4" t="s">
        <v>1736</v>
      </c>
    </row>
    <row r="9606">
      <c r="A9606" s="4">
        <v>37.0</v>
      </c>
      <c r="B9606" s="4" t="s">
        <v>19725</v>
      </c>
      <c r="C9606" s="4"/>
      <c r="D9606" s="4" t="s">
        <v>342</v>
      </c>
      <c r="E9606" s="4" t="s">
        <v>341</v>
      </c>
      <c r="F9606" s="4" t="s">
        <v>342</v>
      </c>
      <c r="G9606" s="5" t="str">
        <f>IFERROR(__xludf.DUMMYFUNCTION("GOOGLETRANSLATE(D9606,""pt"",""es"")"),"mi")</f>
        <v>mi</v>
      </c>
      <c r="H9606" s="4" t="s">
        <v>367</v>
      </c>
    </row>
    <row r="9607">
      <c r="A9607" s="4">
        <v>38.0</v>
      </c>
      <c r="B9607" s="4" t="s">
        <v>19725</v>
      </c>
      <c r="C9607" s="4"/>
      <c r="D9607" s="4" t="s">
        <v>19200</v>
      </c>
      <c r="E9607" s="4" t="s">
        <v>14647</v>
      </c>
      <c r="F9607" s="4" t="s">
        <v>14648</v>
      </c>
      <c r="G9607" s="5" t="str">
        <f>IFERROR(__xludf.DUMMYFUNCTION("GOOGLETRANSLATE(D9607,""pt"",""es"")"),"Micé")</f>
        <v>Micé</v>
      </c>
    </row>
    <row r="9608">
      <c r="A9608" s="4">
        <v>39.0</v>
      </c>
      <c r="B9608" s="4" t="s">
        <v>19725</v>
      </c>
      <c r="C9608" s="4"/>
      <c r="D9608" s="4" t="s">
        <v>2614</v>
      </c>
      <c r="E9608" s="4" t="s">
        <v>2615</v>
      </c>
      <c r="F9608" s="4" t="s">
        <v>2616</v>
      </c>
      <c r="G9608" s="5" t="str">
        <f>IFERROR(__xludf.DUMMYFUNCTION("GOOGLETRANSLATE(D9608,""pt"",""es"")"),"masculino")</f>
        <v>masculino</v>
      </c>
    </row>
    <row r="9609">
      <c r="A9609" s="4">
        <v>40.0</v>
      </c>
      <c r="B9609" s="4" t="s">
        <v>19725</v>
      </c>
      <c r="C9609" s="4"/>
      <c r="D9609" s="4" t="s">
        <v>6811</v>
      </c>
      <c r="E9609" s="4" t="s">
        <v>10550</v>
      </c>
      <c r="F9609" s="4" t="s">
        <v>6811</v>
      </c>
      <c r="G9609" s="5" t="str">
        <f>IFERROR(__xludf.DUMMYFUNCTION("GOOGLETRANSLATE(D9609,""pt"",""es"")"),"Miki")</f>
        <v>Miki</v>
      </c>
    </row>
    <row r="9610">
      <c r="A9610" s="4">
        <v>41.0</v>
      </c>
      <c r="B9610" s="4" t="s">
        <v>19725</v>
      </c>
      <c r="C9610" s="4"/>
      <c r="D9610" s="4" t="s">
        <v>19201</v>
      </c>
      <c r="E9610" s="4" t="s">
        <v>19202</v>
      </c>
      <c r="F9610" s="4" t="s">
        <v>19203</v>
      </c>
      <c r="G9610" s="5" t="str">
        <f>IFERROR(__xludf.DUMMYFUNCTION("GOOGLETRANSLATE(D9610,""pt"",""es"")"),"Mikiko")</f>
        <v>Mikiko</v>
      </c>
    </row>
    <row r="9611">
      <c r="A9611" s="4">
        <v>42.0</v>
      </c>
      <c r="B9611" s="4" t="s">
        <v>19725</v>
      </c>
      <c r="C9611" s="4"/>
      <c r="D9611" s="4" t="s">
        <v>19207</v>
      </c>
      <c r="E9611" s="4" t="s">
        <v>19208</v>
      </c>
      <c r="F9611" s="4" t="s">
        <v>14476</v>
      </c>
      <c r="G9611" s="5" t="str">
        <f>IFERROR(__xludf.DUMMYFUNCTION("GOOGLETRANSLATE(D9611,""pt"",""es"")"),"maíz")</f>
        <v>maíz</v>
      </c>
      <c r="H9611" s="4" t="s">
        <v>3288</v>
      </c>
      <c r="I9611" s="4" t="s">
        <v>19209</v>
      </c>
      <c r="J9611" s="4" t="s">
        <v>3286</v>
      </c>
      <c r="K9611" s="4" t="s">
        <v>3287</v>
      </c>
      <c r="L9611" s="4" t="s">
        <v>2650</v>
      </c>
      <c r="M9611" s="4" t="s">
        <v>3288</v>
      </c>
      <c r="N9611" s="4" t="s">
        <v>3289</v>
      </c>
      <c r="O9611" s="4" t="s">
        <v>3290</v>
      </c>
      <c r="P9611" s="4" t="s">
        <v>3291</v>
      </c>
      <c r="Q9611" s="4" t="s">
        <v>3288</v>
      </c>
      <c r="R9611" s="4" t="s">
        <v>3289</v>
      </c>
      <c r="S9611" s="4" t="s">
        <v>3290</v>
      </c>
      <c r="T9611" s="4" t="s">
        <v>3291</v>
      </c>
      <c r="U9611" s="4" t="s">
        <v>3288</v>
      </c>
      <c r="V9611" s="4" t="s">
        <v>3288</v>
      </c>
    </row>
    <row r="9612">
      <c r="A9612" s="4">
        <v>43.0</v>
      </c>
      <c r="B9612" s="4" t="s">
        <v>19725</v>
      </c>
      <c r="C9612" s="4"/>
      <c r="D9612" s="4" t="s">
        <v>19212</v>
      </c>
      <c r="E9612" s="4" t="s">
        <v>19213</v>
      </c>
      <c r="F9612" s="4" t="s">
        <v>19214</v>
      </c>
      <c r="G9612" s="5" t="str">
        <f>IFERROR(__xludf.DUMMYFUNCTION("GOOGLETRANSLATE(D9612,""pt"",""es"")"),"mimar")</f>
        <v>mimar</v>
      </c>
    </row>
    <row r="9613">
      <c r="A9613" s="4">
        <v>44.0</v>
      </c>
      <c r="B9613" s="4" t="s">
        <v>19725</v>
      </c>
      <c r="C9613" s="4"/>
      <c r="D9613" s="4" t="s">
        <v>19215</v>
      </c>
      <c r="E9613" s="4" t="s">
        <v>19216</v>
      </c>
      <c r="F9613" s="4" t="s">
        <v>19217</v>
      </c>
      <c r="G9613" s="5" t="str">
        <f>IFERROR(__xludf.DUMMYFUNCTION("GOOGLETRANSLATE(D9613,""pt"",""es"")"),"minuko")</f>
        <v>minuko</v>
      </c>
    </row>
    <row r="9614">
      <c r="A9614" s="4">
        <v>45.0</v>
      </c>
      <c r="B9614" s="4" t="s">
        <v>19725</v>
      </c>
      <c r="C9614" s="4"/>
      <c r="D9614" s="4" t="s">
        <v>8517</v>
      </c>
      <c r="E9614" s="4" t="s">
        <v>2717</v>
      </c>
      <c r="F9614" s="4" t="s">
        <v>2718</v>
      </c>
      <c r="G9614" s="5" t="str">
        <f>IFERROR(__xludf.DUMMYFUNCTION("GOOGLETRANSLATE(D9614,""pt"",""es"")"),"Misisipí")</f>
        <v>Misisipí</v>
      </c>
      <c r="H9614" s="4" t="s">
        <v>8519</v>
      </c>
      <c r="I9614" s="4" t="s">
        <v>8521</v>
      </c>
      <c r="J9614" s="4" t="s">
        <v>8522</v>
      </c>
      <c r="K9614" s="4" t="s">
        <v>8519</v>
      </c>
      <c r="L9614" s="4" t="s">
        <v>8520</v>
      </c>
    </row>
    <row r="9615">
      <c r="A9615" s="4">
        <v>46.0</v>
      </c>
      <c r="B9615" s="4" t="s">
        <v>19725</v>
      </c>
      <c r="C9615" s="4"/>
      <c r="D9615" s="4" t="s">
        <v>19224</v>
      </c>
      <c r="E9615" s="4" t="s">
        <v>18301</v>
      </c>
      <c r="F9615" s="4" t="s">
        <v>18300</v>
      </c>
      <c r="G9615" s="5" t="str">
        <f>IFERROR(__xludf.DUMMYFUNCTION("GOOGLETRANSLATE(D9615,""pt"",""es"")"),"mito")</f>
        <v>mito</v>
      </c>
      <c r="H9615" s="4" t="s">
        <v>6917</v>
      </c>
    </row>
    <row r="9616">
      <c r="A9616" s="4">
        <v>47.0</v>
      </c>
      <c r="B9616" s="4" t="s">
        <v>19725</v>
      </c>
      <c r="C9616" s="4"/>
      <c r="D9616" s="4" t="s">
        <v>12940</v>
      </c>
      <c r="E9616" s="4" t="s">
        <v>12941</v>
      </c>
      <c r="F9616" s="4" t="s">
        <v>12940</v>
      </c>
      <c r="G9616" s="5" t="str">
        <f>IFERROR(__xludf.DUMMYFUNCTION("GOOGLETRANSLATE(D9616,""pt"",""es"")"),"miyuki")</f>
        <v>miyuki</v>
      </c>
    </row>
    <row r="9617">
      <c r="A9617" s="4">
        <v>48.0</v>
      </c>
      <c r="B9617" s="4" t="s">
        <v>19725</v>
      </c>
      <c r="C9617" s="4"/>
      <c r="D9617" s="4" t="s">
        <v>19242</v>
      </c>
      <c r="E9617" s="4" t="s">
        <v>2279</v>
      </c>
      <c r="F9617" s="4" t="s">
        <v>2278</v>
      </c>
      <c r="G9617" s="5" t="str">
        <f>IFERROR(__xludf.DUMMYFUNCTION("GOOGLETRANSLATE(D9617,""pt"",""es"")"),"malo")</f>
        <v>malo</v>
      </c>
      <c r="H9617" s="4" t="s">
        <v>2332</v>
      </c>
    </row>
    <row r="9618">
      <c r="A9618" s="4">
        <v>49.0</v>
      </c>
      <c r="B9618" s="4" t="s">
        <v>19725</v>
      </c>
      <c r="C9618" s="4"/>
      <c r="D9618" s="4" t="s">
        <v>19252</v>
      </c>
      <c r="E9618" s="4" t="s">
        <v>19253</v>
      </c>
      <c r="F9618" s="4" t="s">
        <v>19254</v>
      </c>
      <c r="G9618" s="5" t="str">
        <f>IFERROR(__xludf.DUMMYFUNCTION("GOOGLETRANSLATE(D9618,""pt"",""es"")"),"máximo")</f>
        <v>máximo</v>
      </c>
      <c r="H9618" s="4" t="s">
        <v>19255</v>
      </c>
      <c r="I9618" s="4" t="s">
        <v>19256</v>
      </c>
      <c r="J9618" s="4" t="s">
        <v>19257</v>
      </c>
      <c r="K9618" s="4" t="s">
        <v>19258</v>
      </c>
      <c r="L9618" s="4" t="s">
        <v>19257</v>
      </c>
      <c r="M9618" s="4" t="s">
        <v>19259</v>
      </c>
      <c r="N9618" s="4" t="s">
        <v>1400</v>
      </c>
      <c r="O9618" s="4" t="s">
        <v>19257</v>
      </c>
      <c r="P9618" s="4" t="s">
        <v>19260</v>
      </c>
    </row>
    <row r="9619">
      <c r="A9619" s="4">
        <v>50.0</v>
      </c>
      <c r="B9619" s="4" t="s">
        <v>19725</v>
      </c>
      <c r="C9619" s="4"/>
      <c r="D9619" s="4" t="s">
        <v>19261</v>
      </c>
      <c r="E9619" s="4" t="s">
        <v>19262</v>
      </c>
      <c r="F9619" s="4" t="s">
        <v>10688</v>
      </c>
      <c r="G9619" s="5" t="str">
        <f>IFERROR(__xludf.DUMMYFUNCTION("GOOGLETRANSLATE(D9619,""pt"",""es"")"),"naco")</f>
        <v>naco</v>
      </c>
      <c r="H9619" s="4" t="s">
        <v>10892</v>
      </c>
      <c r="I9619" s="4" t="s">
        <v>10893</v>
      </c>
    </row>
    <row r="9620">
      <c r="A9620" s="4">
        <v>51.0</v>
      </c>
      <c r="B9620" s="4" t="s">
        <v>19725</v>
      </c>
      <c r="C9620" s="4"/>
      <c r="D9620" s="4" t="s">
        <v>13239</v>
      </c>
      <c r="E9620" s="4" t="s">
        <v>3018</v>
      </c>
      <c r="F9620" s="4" t="s">
        <v>2972</v>
      </c>
      <c r="G9620" s="5" t="str">
        <f>IFERROR(__xludf.DUMMYFUNCTION("GOOGLETRANSLATE(D9620,""pt"",""es"")"),"en el")</f>
        <v>en el</v>
      </c>
      <c r="H9620" s="4" t="s">
        <v>19290</v>
      </c>
      <c r="I9620" s="4" t="s">
        <v>19291</v>
      </c>
      <c r="J9620" s="4" t="s">
        <v>19292</v>
      </c>
    </row>
    <row r="9621">
      <c r="A9621" s="4">
        <v>52.0</v>
      </c>
      <c r="B9621" s="4" t="s">
        <v>19725</v>
      </c>
      <c r="C9621" s="4"/>
      <c r="D9621" s="4" t="s">
        <v>2972</v>
      </c>
      <c r="E9621" s="4" t="s">
        <v>3018</v>
      </c>
      <c r="F9621" s="4" t="s">
        <v>2972</v>
      </c>
      <c r="G9621" s="5" t="str">
        <f>IFERROR(__xludf.DUMMYFUNCTION("GOOGLETRANSLATE(D9621,""pt"",""es"")"),"desnudo")</f>
        <v>desnudo</v>
      </c>
      <c r="H9621" s="4" t="s">
        <v>3019</v>
      </c>
      <c r="I9621" s="4" t="s">
        <v>3020</v>
      </c>
      <c r="J9621" s="4" t="s">
        <v>3021</v>
      </c>
      <c r="K9621" s="4" t="s">
        <v>3022</v>
      </c>
      <c r="L9621" s="4" t="s">
        <v>19293</v>
      </c>
      <c r="M9621" s="4" t="s">
        <v>19294</v>
      </c>
    </row>
    <row r="9622">
      <c r="A9622" s="4">
        <v>53.0</v>
      </c>
      <c r="B9622" s="4" t="s">
        <v>19725</v>
      </c>
      <c r="C9622" s="4"/>
      <c r="D9622" s="4" t="s">
        <v>3427</v>
      </c>
      <c r="E9622" s="4" t="s">
        <v>3428</v>
      </c>
      <c r="F9622" s="4" t="s">
        <v>3429</v>
      </c>
      <c r="G9622" s="5" t="str">
        <f>IFERROR(__xludf.DUMMYFUNCTION("GOOGLETRANSLATE(D9622,""pt"",""es"")"),"paso")</f>
        <v>paso</v>
      </c>
      <c r="H9622" s="4" t="s">
        <v>639</v>
      </c>
      <c r="I9622" s="4" t="s">
        <v>3365</v>
      </c>
      <c r="J9622" s="4" t="s">
        <v>3366</v>
      </c>
      <c r="K9622" s="4" t="s">
        <v>3367</v>
      </c>
      <c r="L9622" s="4" t="s">
        <v>3368</v>
      </c>
      <c r="M9622" s="4" t="s">
        <v>13236</v>
      </c>
      <c r="N9622" s="4" t="s">
        <v>3365</v>
      </c>
      <c r="O9622" s="4" t="s">
        <v>3366</v>
      </c>
      <c r="P9622" s="4" t="s">
        <v>3372</v>
      </c>
      <c r="Q9622" s="4" t="s">
        <v>3381</v>
      </c>
      <c r="R9622" s="4" t="s">
        <v>3366</v>
      </c>
      <c r="S9622" s="4" t="s">
        <v>3365</v>
      </c>
      <c r="T9622" s="4" t="s">
        <v>3367</v>
      </c>
    </row>
    <row r="9623">
      <c r="A9623" s="4">
        <v>54.0</v>
      </c>
      <c r="B9623" s="4" t="s">
        <v>19725</v>
      </c>
      <c r="C9623" s="4"/>
      <c r="D9623" s="4" t="s">
        <v>14516</v>
      </c>
      <c r="E9623" s="4" t="s">
        <v>19313</v>
      </c>
      <c r="F9623" s="4" t="s">
        <v>14518</v>
      </c>
      <c r="G9623" s="5" t="str">
        <f>IFERROR(__xludf.DUMMYFUNCTION("GOOGLETRANSLATE(D9623,""pt"",""es"")"),"pato")</f>
        <v>pato</v>
      </c>
      <c r="H9623" s="4" t="s">
        <v>11872</v>
      </c>
      <c r="I9623" s="4" t="s">
        <v>19314</v>
      </c>
      <c r="J9623" s="4" t="s">
        <v>11872</v>
      </c>
    </row>
    <row r="9624">
      <c r="A9624" s="4">
        <v>55.0</v>
      </c>
      <c r="B9624" s="4" t="s">
        <v>19725</v>
      </c>
      <c r="C9624" s="4"/>
      <c r="D9624" s="4" t="s">
        <v>3511</v>
      </c>
      <c r="E9624" s="4" t="s">
        <v>3512</v>
      </c>
      <c r="F9624" s="4" t="s">
        <v>3513</v>
      </c>
      <c r="G9624" s="5" t="str">
        <f>IFERROR(__xludf.DUMMYFUNCTION("GOOGLETRANSLATE(D9624,""pt"",""es"")"),"cima")</f>
        <v>cima</v>
      </c>
      <c r="H9624" s="4" t="s">
        <v>1400</v>
      </c>
      <c r="I9624" s="4" t="s">
        <v>1401</v>
      </c>
      <c r="J9624" s="4" t="s">
        <v>1402</v>
      </c>
      <c r="K9624" s="4" t="s">
        <v>1403</v>
      </c>
      <c r="L9624" s="4" t="s">
        <v>425</v>
      </c>
      <c r="M9624" s="4" t="s">
        <v>1404</v>
      </c>
      <c r="N9624" s="4" t="s">
        <v>425</v>
      </c>
    </row>
    <row r="9625">
      <c r="A9625" s="4">
        <v>56.0</v>
      </c>
      <c r="B9625" s="4" t="s">
        <v>19725</v>
      </c>
      <c r="C9625" s="4"/>
      <c r="D9625" s="4" t="s">
        <v>5504</v>
      </c>
      <c r="E9625" s="4" t="s">
        <v>5503</v>
      </c>
      <c r="F9625" s="4" t="s">
        <v>5504</v>
      </c>
      <c r="G9625" s="5" t="str">
        <f>IFERROR(__xludf.DUMMYFUNCTION("GOOGLETRANSLATE(D9625,""pt"",""es"")"),"pipi")</f>
        <v>pipi</v>
      </c>
      <c r="H9625" s="4" t="s">
        <v>7246</v>
      </c>
      <c r="I9625" s="4" t="s">
        <v>7242</v>
      </c>
      <c r="J9625" s="4" t="s">
        <v>7247</v>
      </c>
      <c r="K9625" s="4" t="s">
        <v>7239</v>
      </c>
      <c r="L9625" s="4" t="s">
        <v>7241</v>
      </c>
      <c r="M9625" s="4" t="s">
        <v>7239</v>
      </c>
      <c r="N9625" s="4" t="s">
        <v>7242</v>
      </c>
      <c r="O9625" s="4" t="s">
        <v>7243</v>
      </c>
      <c r="P9625" s="4" t="s">
        <v>7244</v>
      </c>
      <c r="Q9625" s="4" t="s">
        <v>7245</v>
      </c>
    </row>
    <row r="9626">
      <c r="A9626" s="4">
        <v>57.0</v>
      </c>
      <c r="B9626" s="4" t="s">
        <v>19725</v>
      </c>
      <c r="C9626" s="4"/>
      <c r="D9626" s="4" t="s">
        <v>19325</v>
      </c>
      <c r="E9626" s="4" t="s">
        <v>19324</v>
      </c>
      <c r="F9626" s="4" t="s">
        <v>19325</v>
      </c>
      <c r="G9626" s="5" t="str">
        <f>IFERROR(__xludf.DUMMYFUNCTION("GOOGLETRANSLATE(D9626,""pt"",""es"")"),"pirus")</f>
        <v>pirus</v>
      </c>
    </row>
    <row r="9627">
      <c r="A9627" s="4">
        <v>58.0</v>
      </c>
      <c r="B9627" s="4" t="s">
        <v>19725</v>
      </c>
      <c r="C9627" s="4"/>
      <c r="D9627" s="4" t="s">
        <v>19345</v>
      </c>
      <c r="E9627" s="4" t="s">
        <v>13389</v>
      </c>
      <c r="F9627" s="4" t="s">
        <v>13390</v>
      </c>
      <c r="G9627" s="5" t="str">
        <f>IFERROR(__xludf.DUMMYFUNCTION("GOOGLETRANSLATE(D9627,""pt"",""es"")"),"pito")</f>
        <v>pito</v>
      </c>
    </row>
    <row r="9628">
      <c r="A9628" s="4">
        <v>59.0</v>
      </c>
      <c r="B9628" s="4" t="s">
        <v>19725</v>
      </c>
      <c r="C9628" s="4"/>
      <c r="D9628" s="4" t="s">
        <v>19357</v>
      </c>
      <c r="E9628" s="4" t="s">
        <v>11052</v>
      </c>
      <c r="F9628" s="4" t="s">
        <v>11051</v>
      </c>
      <c r="G9628" s="5" t="str">
        <f>IFERROR(__xludf.DUMMYFUNCTION("GOOGLETRANSLATE(D9628,""pt"",""es"")"),"Molesto")</f>
        <v>Molesto</v>
      </c>
      <c r="H9628" s="4" t="s">
        <v>19358</v>
      </c>
      <c r="I9628" s="4" t="s">
        <v>19359</v>
      </c>
      <c r="J9628" s="4" t="s">
        <v>19360</v>
      </c>
      <c r="K9628" s="4" t="s">
        <v>19361</v>
      </c>
      <c r="L9628" s="4" t="s">
        <v>19362</v>
      </c>
      <c r="M9628" s="4" t="s">
        <v>11480</v>
      </c>
      <c r="N9628" s="4" t="s">
        <v>5892</v>
      </c>
      <c r="O9628" s="4" t="s">
        <v>19363</v>
      </c>
      <c r="P9628" s="4" t="s">
        <v>19364</v>
      </c>
    </row>
    <row r="9629">
      <c r="A9629" s="4">
        <v>60.0</v>
      </c>
      <c r="B9629" s="4" t="s">
        <v>19725</v>
      </c>
      <c r="C9629" s="4"/>
      <c r="D9629" s="4" t="s">
        <v>3806</v>
      </c>
      <c r="E9629" s="4" t="s">
        <v>3807</v>
      </c>
      <c r="F9629" s="4" t="s">
        <v>3808</v>
      </c>
      <c r="G9629" s="5" t="str">
        <f>IFERROR(__xludf.DUMMYFUNCTION("GOOGLETRANSLATE(D9629,""pt"",""es"")"),"kilo")</f>
        <v>kilo</v>
      </c>
      <c r="H9629" s="4" t="s">
        <v>3809</v>
      </c>
      <c r="I9629" s="4" t="s">
        <v>3810</v>
      </c>
      <c r="J9629" s="4" t="s">
        <v>3811</v>
      </c>
    </row>
    <row r="9630">
      <c r="A9630" s="4">
        <v>61.0</v>
      </c>
      <c r="B9630" s="4" t="s">
        <v>19725</v>
      </c>
      <c r="C9630" s="4"/>
      <c r="D9630" s="4" t="s">
        <v>19374</v>
      </c>
      <c r="E9630" s="4" t="s">
        <v>12476</v>
      </c>
      <c r="F9630" s="4" t="s">
        <v>12477</v>
      </c>
      <c r="G9630" s="5" t="str">
        <f>IFERROR(__xludf.DUMMYFUNCTION("GOOGLETRANSLATE(D9630,""pt"",""es"")"),"quipá")</f>
        <v>quipá</v>
      </c>
    </row>
    <row r="9631">
      <c r="A9631" s="4">
        <v>62.0</v>
      </c>
      <c r="B9631" s="4" t="s">
        <v>19725</v>
      </c>
      <c r="C9631" s="4"/>
      <c r="D9631" s="4" t="s">
        <v>19375</v>
      </c>
      <c r="E9631" s="4" t="s">
        <v>3831</v>
      </c>
      <c r="F9631" s="4" t="s">
        <v>3832</v>
      </c>
      <c r="G9631" s="5" t="str">
        <f>IFERROR(__xludf.DUMMYFUNCTION("GOOGLETRANSLATE(D9631,""pt"",""es"")"),"quizás")</f>
        <v>quizás</v>
      </c>
      <c r="H9631" s="4" t="s">
        <v>19376</v>
      </c>
      <c r="I9631" s="4" t="s">
        <v>19377</v>
      </c>
      <c r="J9631" s="4" t="s">
        <v>19378</v>
      </c>
      <c r="K9631" s="4" t="s">
        <v>19379</v>
      </c>
      <c r="L9631" s="4" t="s">
        <v>19380</v>
      </c>
      <c r="M9631" s="4" t="s">
        <v>19381</v>
      </c>
    </row>
    <row r="9632">
      <c r="A9632" s="4">
        <v>63.0</v>
      </c>
      <c r="B9632" s="4" t="s">
        <v>19725</v>
      </c>
      <c r="C9632" s="4"/>
      <c r="D9632" s="4" t="s">
        <v>19405</v>
      </c>
      <c r="E9632" s="4" t="s">
        <v>19406</v>
      </c>
      <c r="F9632" s="4" t="s">
        <v>19407</v>
      </c>
      <c r="G9632" s="5" t="str">
        <f>IFERROR(__xludf.DUMMYFUNCTION("GOOGLETRANSLATE(D9632,""pt"",""es"")"),"rana")</f>
        <v>rana</v>
      </c>
      <c r="H9632" s="4" t="s">
        <v>19408</v>
      </c>
      <c r="I9632" s="4" t="s">
        <v>19409</v>
      </c>
      <c r="J9632" s="4" t="s">
        <v>19410</v>
      </c>
      <c r="K9632" s="4" t="s">
        <v>19411</v>
      </c>
      <c r="L9632" s="4" t="s">
        <v>19412</v>
      </c>
      <c r="M9632" s="4" t="s">
        <v>19413</v>
      </c>
      <c r="N9632" s="4" t="s">
        <v>19414</v>
      </c>
      <c r="O9632" s="4" t="s">
        <v>19415</v>
      </c>
      <c r="P9632" s="4" t="s">
        <v>19414</v>
      </c>
      <c r="Q9632" s="4" t="s">
        <v>19415</v>
      </c>
      <c r="R9632" s="4" t="s">
        <v>19416</v>
      </c>
    </row>
    <row r="9633">
      <c r="A9633" s="4">
        <v>64.0</v>
      </c>
      <c r="B9633" s="4" t="s">
        <v>19725</v>
      </c>
      <c r="C9633" s="4"/>
      <c r="D9633" s="4" t="s">
        <v>401</v>
      </c>
      <c r="E9633" s="4" t="s">
        <v>400</v>
      </c>
      <c r="F9633" s="4" t="s">
        <v>401</v>
      </c>
      <c r="G9633" s="5" t="str">
        <f>IFERROR(__xludf.DUMMYFUNCTION("GOOGLETRANSLATE(D9633,""pt"",""es"")"),"si")</f>
        <v>si</v>
      </c>
      <c r="H9633" s="4" t="s">
        <v>422</v>
      </c>
      <c r="I9633" s="4" t="s">
        <v>3975</v>
      </c>
      <c r="J9633" s="4" t="s">
        <v>401</v>
      </c>
    </row>
    <row r="9634">
      <c r="A9634" s="4">
        <v>65.0</v>
      </c>
      <c r="B9634" s="4" t="s">
        <v>19725</v>
      </c>
      <c r="C9634" s="4"/>
      <c r="D9634" s="4" t="s">
        <v>19427</v>
      </c>
      <c r="E9634" s="4" t="s">
        <v>11234</v>
      </c>
      <c r="F9634" s="4" t="s">
        <v>11233</v>
      </c>
      <c r="G9634" s="5" t="str">
        <f>IFERROR(__xludf.DUMMYFUNCTION("GOOGLETRANSLATE(D9634,""pt"",""es"")"),"jugo")</f>
        <v>jugo</v>
      </c>
      <c r="H9634" s="4" t="s">
        <v>4110</v>
      </c>
      <c r="I9634" s="4" t="s">
        <v>4111</v>
      </c>
      <c r="J9634" s="4" t="s">
        <v>4112</v>
      </c>
    </row>
    <row r="9635">
      <c r="A9635" s="4">
        <v>66.0</v>
      </c>
      <c r="B9635" s="4" t="s">
        <v>19725</v>
      </c>
      <c r="C9635" s="4"/>
      <c r="D9635" s="4" t="s">
        <v>19428</v>
      </c>
      <c r="E9635" s="4" t="s">
        <v>19429</v>
      </c>
      <c r="F9635" s="4" t="s">
        <v>19430</v>
      </c>
      <c r="G9635" s="5" t="str">
        <f>IFERROR(__xludf.DUMMYFUNCTION("GOOGLETRANSLATE(D9635,""pt"",""es"")"),"Sumiko")</f>
        <v>Sumiko</v>
      </c>
    </row>
    <row r="9636">
      <c r="A9636" s="4">
        <v>67.0</v>
      </c>
      <c r="B9636" s="4" t="s">
        <v>19725</v>
      </c>
      <c r="C9636" s="4"/>
      <c r="D9636" s="4" t="s">
        <v>19434</v>
      </c>
      <c r="E9636" s="4" t="s">
        <v>19435</v>
      </c>
      <c r="F9636" s="4" t="s">
        <v>19436</v>
      </c>
      <c r="G9636" s="5" t="str">
        <f>IFERROR(__xludf.DUMMYFUNCTION("GOOGLETRANSLATE(D9636,""pt"",""es"")"),"excedente")</f>
        <v>excedente</v>
      </c>
    </row>
    <row r="9637">
      <c r="A9637" s="4">
        <v>68.0</v>
      </c>
      <c r="B9637" s="4" t="s">
        <v>19725</v>
      </c>
      <c r="C9637" s="4"/>
      <c r="D9637" s="4" t="s">
        <v>19437</v>
      </c>
      <c r="E9637" s="4" t="s">
        <v>19438</v>
      </c>
      <c r="F9637" s="4" t="s">
        <v>19439</v>
      </c>
      <c r="G9637" s="5" t="str">
        <f>IFERROR(__xludf.DUMMYFUNCTION("GOOGLETRANSLATE(D9637,""pt"",""es"")"),"tacho")</f>
        <v>tacho</v>
      </c>
      <c r="H9637" s="4" t="s">
        <v>19440</v>
      </c>
    </row>
    <row r="9638">
      <c r="A9638" s="4">
        <v>69.0</v>
      </c>
      <c r="B9638" s="4" t="s">
        <v>19725</v>
      </c>
      <c r="C9638" s="4"/>
      <c r="D9638" s="4" t="s">
        <v>4247</v>
      </c>
      <c r="E9638" s="4" t="s">
        <v>4248</v>
      </c>
      <c r="F9638" s="4" t="s">
        <v>4249</v>
      </c>
      <c r="G9638" s="5" t="str">
        <f>IFERROR(__xludf.DUMMYFUNCTION("GOOGLETRANSLATE(D9638,""pt"",""es"")"),"taco")</f>
        <v>taco</v>
      </c>
      <c r="H9638" s="4" t="s">
        <v>6604</v>
      </c>
      <c r="I9638" s="4" t="s">
        <v>19441</v>
      </c>
      <c r="J9638" s="4" t="s">
        <v>19442</v>
      </c>
      <c r="K9638" s="4" t="s">
        <v>19443</v>
      </c>
      <c r="L9638" s="4" t="s">
        <v>19444</v>
      </c>
      <c r="M9638" s="4" t="s">
        <v>3164</v>
      </c>
      <c r="N9638" s="4" t="s">
        <v>3165</v>
      </c>
      <c r="O9638" s="4" t="s">
        <v>3166</v>
      </c>
      <c r="P9638" s="4" t="s">
        <v>4247</v>
      </c>
    </row>
    <row r="9639">
      <c r="A9639" s="4">
        <v>70.0</v>
      </c>
      <c r="B9639" s="4" t="s">
        <v>19725</v>
      </c>
      <c r="C9639" s="4"/>
      <c r="D9639" s="4" t="s">
        <v>19451</v>
      </c>
      <c r="E9639" s="4" t="s">
        <v>19452</v>
      </c>
      <c r="F9639" s="4" t="s">
        <v>19453</v>
      </c>
      <c r="G9639" s="5" t="str">
        <f>IFERROR(__xludf.DUMMYFUNCTION("GOOGLETRANSLATE(D9639,""pt"",""es"")"),"carnicero")</f>
        <v>carnicero</v>
      </c>
      <c r="H9639" s="4" t="s">
        <v>19454</v>
      </c>
      <c r="I9639" s="4" t="s">
        <v>19455</v>
      </c>
    </row>
    <row r="9640">
      <c r="A9640" s="4">
        <v>71.0</v>
      </c>
      <c r="B9640" s="4" t="s">
        <v>19725</v>
      </c>
      <c r="C9640" s="4"/>
      <c r="D9640" s="4" t="s">
        <v>19460</v>
      </c>
      <c r="E9640" s="4" t="s">
        <v>13825</v>
      </c>
      <c r="F9640" s="4" t="s">
        <v>11378</v>
      </c>
      <c r="G9640" s="5" t="str">
        <f>IFERROR(__xludf.DUMMYFUNCTION("GOOGLETRANSLATE(D9640,""pt"",""es"")"),"tacto")</f>
        <v>tacto</v>
      </c>
      <c r="H9640" s="4" t="s">
        <v>19461</v>
      </c>
      <c r="I9640" s="4" t="s">
        <v>19462</v>
      </c>
    </row>
    <row r="9641">
      <c r="A9641" s="4">
        <v>72.0</v>
      </c>
      <c r="B9641" s="4" t="s">
        <v>19725</v>
      </c>
      <c r="C9641" s="4"/>
      <c r="D9641" s="4" t="s">
        <v>11378</v>
      </c>
      <c r="E9641" s="4" t="s">
        <v>13825</v>
      </c>
      <c r="F9641" s="4" t="s">
        <v>11378</v>
      </c>
      <c r="G9641" s="5" t="str">
        <f>IFERROR(__xludf.DUMMYFUNCTION("GOOGLETRANSLATE(D9641,""pt"",""es"")"),"armadillo")</f>
        <v>armadillo</v>
      </c>
      <c r="H9641" s="4" t="s">
        <v>13826</v>
      </c>
    </row>
    <row r="9642">
      <c r="A9642" s="4">
        <v>73.0</v>
      </c>
      <c r="B9642" s="4" t="s">
        <v>19725</v>
      </c>
      <c r="C9642" s="4"/>
      <c r="D9642" s="4" t="s">
        <v>19463</v>
      </c>
      <c r="E9642" s="4" t="s">
        <v>19438</v>
      </c>
      <c r="F9642" s="4" t="s">
        <v>19439</v>
      </c>
      <c r="G9642" s="5" t="str">
        <f>IFERROR(__xludf.DUMMYFUNCTION("GOOGLETRANSLATE(D9642,""pt"",""es"")"),"agotador")</f>
        <v>agotador</v>
      </c>
    </row>
    <row r="9643">
      <c r="A9643" s="4">
        <v>74.0</v>
      </c>
      <c r="B9643" s="4" t="s">
        <v>19725</v>
      </c>
      <c r="C9643" s="4"/>
      <c r="D9643" s="4" t="s">
        <v>4555</v>
      </c>
      <c r="E9643" s="4" t="s">
        <v>4556</v>
      </c>
      <c r="F9643" s="4" t="s">
        <v>4555</v>
      </c>
      <c r="G9643" s="5" t="str">
        <f>IFERROR(__xludf.DUMMYFUNCTION("GOOGLETRANSLATE(D9643,""pt"",""es"")"),"tú")</f>
        <v>tú</v>
      </c>
    </row>
    <row r="9644">
      <c r="A9644" s="4">
        <v>75.0</v>
      </c>
      <c r="B9644" s="4" t="s">
        <v>19725</v>
      </c>
      <c r="C9644" s="4"/>
      <c r="D9644" s="4" t="s">
        <v>19465</v>
      </c>
      <c r="E9644" s="4" t="s">
        <v>19466</v>
      </c>
      <c r="F9644" s="4" t="s">
        <v>19467</v>
      </c>
      <c r="G9644" s="5" t="str">
        <f>IFERROR(__xludf.DUMMYFUNCTION("GOOGLETRANSLATE(D9644,""pt"",""es"")"),"tucux")</f>
        <v>tucux</v>
      </c>
    </row>
    <row r="9645">
      <c r="A9645" s="4">
        <v>76.0</v>
      </c>
      <c r="B9645" s="4" t="s">
        <v>19725</v>
      </c>
      <c r="C9645" s="4"/>
      <c r="D9645" s="4" t="s">
        <v>19469</v>
      </c>
      <c r="E9645" s="4" t="s">
        <v>19470</v>
      </c>
      <c r="F9645" s="4" t="s">
        <v>19471</v>
      </c>
      <c r="G9645" s="5" t="str">
        <f>IFERROR(__xludf.DUMMYFUNCTION("GOOGLETRANSLATE(D9645,""pt"",""es"")"),"tuiuiu")</f>
        <v>tuiuiu</v>
      </c>
      <c r="H9645" s="4" t="s">
        <v>19472</v>
      </c>
      <c r="I9645" s="4" t="s">
        <v>19473</v>
      </c>
    </row>
    <row r="9646">
      <c r="A9646" s="4">
        <v>77.0</v>
      </c>
      <c r="B9646" s="4" t="s">
        <v>19725</v>
      </c>
      <c r="C9646" s="4"/>
      <c r="D9646" s="4" t="s">
        <v>4523</v>
      </c>
      <c r="E9646" s="4" t="s">
        <v>4522</v>
      </c>
      <c r="F9646" s="4" t="s">
        <v>4523</v>
      </c>
      <c r="G9646" s="5" t="str">
        <f>IFERROR(__xludf.DUMMYFUNCTION("GOOGLETRANSLATE(D9646,""pt"",""es"")"),"Tupi")</f>
        <v>Tupi</v>
      </c>
      <c r="H9646" s="4" t="s">
        <v>13912</v>
      </c>
      <c r="I9646" s="4" t="s">
        <v>13912</v>
      </c>
    </row>
    <row r="9647">
      <c r="A9647" s="4">
        <v>78.0</v>
      </c>
      <c r="B9647" s="4" t="s">
        <v>19725</v>
      </c>
      <c r="C9647" s="4"/>
      <c r="D9647" s="4" t="s">
        <v>19501</v>
      </c>
      <c r="E9647" s="4" t="s">
        <v>14671</v>
      </c>
      <c r="F9647" s="4" t="s">
        <v>14672</v>
      </c>
      <c r="G9647" s="4" t="s">
        <v>19726</v>
      </c>
    </row>
    <row r="9648">
      <c r="A9648" s="4">
        <v>79.0</v>
      </c>
      <c r="B9648" s="4" t="s">
        <v>19725</v>
      </c>
      <c r="C9648" s="4"/>
      <c r="D9648" s="4" t="s">
        <v>19506</v>
      </c>
      <c r="E9648" s="4" t="s">
        <v>4671</v>
      </c>
      <c r="F9648" s="4" t="s">
        <v>4672</v>
      </c>
      <c r="G9648" s="5" t="str">
        <f>IFERROR(__xludf.DUMMYFUNCTION("GOOGLETRANSLATE(D9648,""pt"",""es"")"),"cha")</f>
        <v>cha</v>
      </c>
      <c r="H9648" s="4" t="s">
        <v>4673</v>
      </c>
      <c r="I9648" s="4" t="s">
        <v>4674</v>
      </c>
      <c r="J9648" s="4" t="s">
        <v>4673</v>
      </c>
      <c r="K9648" s="4" t="s">
        <v>4674</v>
      </c>
    </row>
    <row r="9649">
      <c r="A9649" s="4">
        <v>1.0</v>
      </c>
      <c r="B9649" s="4" t="s">
        <v>19727</v>
      </c>
      <c r="C9649" s="4"/>
      <c r="D9649" s="4" t="s">
        <v>19728</v>
      </c>
      <c r="E9649" s="4" t="s">
        <v>19729</v>
      </c>
      <c r="F9649" s="4" t="s">
        <v>19730</v>
      </c>
      <c r="G9649" s="5" t="str">
        <f>IFERROR(__xludf.DUMMYFUNCTION("GOOGLETRANSLATE(D9649,""ro"",""es"")"),"ahora")</f>
        <v>ahora</v>
      </c>
    </row>
    <row r="9650">
      <c r="A9650" s="4">
        <v>2.0</v>
      </c>
      <c r="B9650" s="4" t="s">
        <v>19727</v>
      </c>
      <c r="C9650" s="4"/>
      <c r="D9650" s="4" t="s">
        <v>19731</v>
      </c>
      <c r="E9650" s="4" t="s">
        <v>19732</v>
      </c>
      <c r="F9650" s="4" t="s">
        <v>19733</v>
      </c>
      <c r="G9650" s="5" t="str">
        <f>IFERROR(__xludf.DUMMYFUNCTION("GOOGLETRANSLATE(D9650,""ro"",""es"")"),"acumular")</f>
        <v>acumular</v>
      </c>
      <c r="H9650" s="4" t="s">
        <v>486</v>
      </c>
      <c r="I9650" s="4" t="s">
        <v>7932</v>
      </c>
      <c r="J9650" s="4" t="s">
        <v>494</v>
      </c>
      <c r="K9650" s="4" t="s">
        <v>495</v>
      </c>
      <c r="L9650" s="4" t="s">
        <v>496</v>
      </c>
      <c r="M9650" s="4" t="s">
        <v>497</v>
      </c>
      <c r="N9650" s="4" t="s">
        <v>498</v>
      </c>
      <c r="O9650" s="4" t="s">
        <v>499</v>
      </c>
    </row>
    <row r="9651">
      <c r="A9651" s="4">
        <v>3.0</v>
      </c>
      <c r="B9651" s="4" t="s">
        <v>19727</v>
      </c>
      <c r="C9651" s="4"/>
      <c r="D9651" s="4" t="s">
        <v>503</v>
      </c>
      <c r="E9651" s="4" t="s">
        <v>504</v>
      </c>
      <c r="F9651" s="4" t="s">
        <v>505</v>
      </c>
      <c r="G9651" s="5" t="str">
        <f>IFERROR(__xludf.DUMMYFUNCTION("GOOGLETRANSLATE(D9651,""ro"",""es"")"),"tú")</f>
        <v>tú</v>
      </c>
      <c r="H9651" s="4" t="s">
        <v>526</v>
      </c>
      <c r="I9651" s="4" t="s">
        <v>528</v>
      </c>
    </row>
    <row r="9652">
      <c r="A9652" s="4">
        <v>4.0</v>
      </c>
      <c r="B9652" s="4" t="s">
        <v>19727</v>
      </c>
      <c r="C9652" s="4"/>
      <c r="D9652" s="4" t="s">
        <v>16542</v>
      </c>
      <c r="E9652" s="4" t="s">
        <v>11782</v>
      </c>
      <c r="F9652" s="4" t="s">
        <v>11781</v>
      </c>
      <c r="G9652" s="5" t="str">
        <f>IFERROR(__xludf.DUMMYFUNCTION("GOOGLETRANSLATE(D9652,""ro"",""es"")"),"que")</f>
        <v>que</v>
      </c>
    </row>
    <row r="9653">
      <c r="A9653" s="4">
        <v>5.0</v>
      </c>
      <c r="B9653" s="4" t="s">
        <v>19727</v>
      </c>
      <c r="C9653" s="4"/>
      <c r="D9653" s="4" t="s">
        <v>506</v>
      </c>
      <c r="E9653" s="4" t="s">
        <v>507</v>
      </c>
      <c r="F9653" s="4" t="s">
        <v>506</v>
      </c>
      <c r="G9653" s="5" t="str">
        <f>IFERROR(__xludf.DUMMYFUNCTION("GOOGLETRANSLATE(D9653,""ro"",""es"")"),"de")</f>
        <v>de</v>
      </c>
    </row>
    <row r="9654">
      <c r="A9654" s="4">
        <v>6.0</v>
      </c>
      <c r="B9654" s="4" t="s">
        <v>19727</v>
      </c>
      <c r="C9654" s="4"/>
      <c r="D9654" s="4" t="s">
        <v>9267</v>
      </c>
      <c r="E9654" s="4" t="s">
        <v>19734</v>
      </c>
      <c r="F9654" s="4" t="s">
        <v>9267</v>
      </c>
      <c r="G9654" s="5" t="str">
        <f>IFERROR(__xludf.DUMMYFUNCTION("GOOGLETRANSLATE(D9654,""ro"",""es"")"),"facilitar")</f>
        <v>facilitar</v>
      </c>
      <c r="H9654" s="4" t="s">
        <v>715</v>
      </c>
      <c r="I9654" s="4" t="s">
        <v>19735</v>
      </c>
      <c r="J9654" s="4" t="s">
        <v>19736</v>
      </c>
      <c r="K9654" s="4" t="s">
        <v>19737</v>
      </c>
      <c r="L9654" s="4" t="s">
        <v>19738</v>
      </c>
      <c r="M9654" s="4" t="s">
        <v>714</v>
      </c>
      <c r="N9654" s="4" t="s">
        <v>18094</v>
      </c>
      <c r="O9654" s="4" t="s">
        <v>8107</v>
      </c>
      <c r="P9654" s="4" t="s">
        <v>8103</v>
      </c>
      <c r="Q9654" s="4" t="s">
        <v>714</v>
      </c>
      <c r="R9654" s="4" t="s">
        <v>715</v>
      </c>
      <c r="S9654" s="4" t="s">
        <v>716</v>
      </c>
      <c r="T9654" s="4" t="s">
        <v>717</v>
      </c>
    </row>
    <row r="9655">
      <c r="A9655" s="4">
        <v>7.0</v>
      </c>
      <c r="B9655" s="4" t="s">
        <v>19727</v>
      </c>
      <c r="C9655" s="4"/>
      <c r="D9655" s="4" t="s">
        <v>592</v>
      </c>
      <c r="E9655" s="4" t="s">
        <v>591</v>
      </c>
      <c r="F9655" s="4" t="s">
        <v>592</v>
      </c>
      <c r="G9655" s="5" t="str">
        <f>IFERROR(__xludf.DUMMYFUNCTION("GOOGLETRANSLATE(D9655,""ro"",""es"")"),"tengo")</f>
        <v>tengo</v>
      </c>
      <c r="H9655" s="4" t="s">
        <v>19739</v>
      </c>
      <c r="I9655" s="4" t="s">
        <v>19740</v>
      </c>
      <c r="J9655" s="4" t="s">
        <v>8007</v>
      </c>
      <c r="K9655" s="4" t="s">
        <v>8008</v>
      </c>
      <c r="L9655" s="4" t="s">
        <v>8009</v>
      </c>
    </row>
    <row r="9656">
      <c r="A9656" s="4">
        <v>8.0</v>
      </c>
      <c r="B9656" s="4" t="s">
        <v>19727</v>
      </c>
      <c r="C9656" s="4"/>
      <c r="D9656" s="4" t="s">
        <v>595</v>
      </c>
      <c r="E9656" s="4" t="s">
        <v>596</v>
      </c>
      <c r="F9656" s="4" t="s">
        <v>597</v>
      </c>
      <c r="G9656" s="5" t="str">
        <f>IFERROR(__xludf.DUMMYFUNCTION("GOOGLETRANSLATE(D9656,""ro"",""es"")"),"amigo")</f>
        <v>amigo</v>
      </c>
      <c r="H9656" s="4" t="s">
        <v>19741</v>
      </c>
      <c r="I9656" s="4" t="s">
        <v>9152</v>
      </c>
      <c r="J9656" s="4" t="s">
        <v>13921</v>
      </c>
      <c r="K9656" s="4" t="s">
        <v>19742</v>
      </c>
      <c r="L9656" s="4" t="s">
        <v>602</v>
      </c>
      <c r="M9656" s="4" t="s">
        <v>12852</v>
      </c>
    </row>
    <row r="9657">
      <c r="A9657" s="4">
        <v>9.0</v>
      </c>
      <c r="B9657" s="4" t="s">
        <v>19727</v>
      </c>
      <c r="C9657" s="4"/>
      <c r="D9657" s="4" t="s">
        <v>11659</v>
      </c>
      <c r="E9657" s="4" t="s">
        <v>11660</v>
      </c>
      <c r="F9657" s="4" t="s">
        <v>11661</v>
      </c>
      <c r="G9657" s="5" t="str">
        <f>IFERROR(__xludf.DUMMYFUNCTION("GOOGLETRANSLATE(D9657,""ro"",""es"")"),"amigable")</f>
        <v>amigable</v>
      </c>
      <c r="H9657" s="4" t="s">
        <v>19743</v>
      </c>
      <c r="I9657" s="4" t="s">
        <v>11666</v>
      </c>
    </row>
    <row r="9658">
      <c r="A9658" s="4">
        <v>10.0</v>
      </c>
      <c r="B9658" s="4" t="s">
        <v>19727</v>
      </c>
      <c r="C9658" s="4"/>
      <c r="D9658" s="4" t="s">
        <v>652</v>
      </c>
      <c r="E9658" s="4" t="s">
        <v>653</v>
      </c>
      <c r="F9658" s="4" t="s">
        <v>652</v>
      </c>
      <c r="G9658" s="5" t="str">
        <f>IFERROR(__xludf.DUMMYFUNCTION("GOOGLETRANSLATE(D9658,""ro"",""es"")"),"animar")</f>
        <v>animar</v>
      </c>
      <c r="H9658" s="4" t="s">
        <v>686</v>
      </c>
      <c r="I9658" s="4" t="s">
        <v>687</v>
      </c>
      <c r="J9658" s="4" t="s">
        <v>688</v>
      </c>
      <c r="K9658" s="4" t="s">
        <v>689</v>
      </c>
      <c r="L9658" s="4" t="s">
        <v>690</v>
      </c>
      <c r="M9658" s="4" t="s">
        <v>4751</v>
      </c>
      <c r="N9658" s="4" t="s">
        <v>19744</v>
      </c>
      <c r="O9658" s="4" t="s">
        <v>19745</v>
      </c>
      <c r="P9658" s="4" t="s">
        <v>695</v>
      </c>
      <c r="Q9658" s="4" t="s">
        <v>696</v>
      </c>
      <c r="R9658" s="4" t="s">
        <v>690</v>
      </c>
      <c r="S9658" s="4" t="s">
        <v>3887</v>
      </c>
      <c r="T9658" s="4" t="s">
        <v>19746</v>
      </c>
      <c r="U9658" s="4" t="s">
        <v>690</v>
      </c>
      <c r="V9658" s="4" t="s">
        <v>689</v>
      </c>
      <c r="W9658" s="4" t="s">
        <v>686</v>
      </c>
      <c r="X9658" s="4" t="s">
        <v>19747</v>
      </c>
    </row>
    <row r="9659">
      <c r="A9659" s="4">
        <v>11.0</v>
      </c>
      <c r="B9659" s="4" t="s">
        <v>19727</v>
      </c>
      <c r="C9659" s="4"/>
      <c r="D9659" s="4" t="s">
        <v>654</v>
      </c>
      <c r="E9659" s="4" t="s">
        <v>655</v>
      </c>
      <c r="F9659" s="4" t="s">
        <v>654</v>
      </c>
      <c r="G9659" s="5" t="str">
        <f>IFERROR(__xludf.DUMMYFUNCTION("GOOGLETRANSLATE(D9659,""ro"",""es"")"),"animal")</f>
        <v>animal</v>
      </c>
      <c r="H9659" s="4" t="s">
        <v>654</v>
      </c>
      <c r="I9659" s="4" t="s">
        <v>656</v>
      </c>
      <c r="J9659" s="4" t="s">
        <v>657</v>
      </c>
      <c r="K9659" s="4" t="s">
        <v>658</v>
      </c>
      <c r="L9659" s="4" t="s">
        <v>659</v>
      </c>
      <c r="M9659" s="4" t="s">
        <v>660</v>
      </c>
      <c r="N9659" s="4" t="s">
        <v>690</v>
      </c>
      <c r="O9659" s="4" t="s">
        <v>657</v>
      </c>
      <c r="P9659" s="4" t="s">
        <v>664</v>
      </c>
      <c r="Q9659" s="4" t="s">
        <v>665</v>
      </c>
      <c r="R9659" s="4" t="s">
        <v>658</v>
      </c>
      <c r="S9659" s="4" t="s">
        <v>666</v>
      </c>
    </row>
    <row r="9660">
      <c r="A9660" s="4">
        <v>12.0</v>
      </c>
      <c r="B9660" s="4" t="s">
        <v>19727</v>
      </c>
      <c r="C9660" s="4"/>
      <c r="D9660" s="4" t="s">
        <v>19748</v>
      </c>
      <c r="E9660" s="4" t="s">
        <v>19749</v>
      </c>
      <c r="F9660" s="4" t="s">
        <v>19748</v>
      </c>
      <c r="G9660" s="5" t="str">
        <f>IFERROR(__xludf.DUMMYFUNCTION("GOOGLETRANSLATE(D9660,""ro"",""es"")"),"puesta de sol")</f>
        <v>puesta de sol</v>
      </c>
      <c r="H9660" s="4" t="s">
        <v>15407</v>
      </c>
      <c r="I9660" s="4" t="s">
        <v>15408</v>
      </c>
      <c r="J9660" s="4" t="s">
        <v>9007</v>
      </c>
      <c r="K9660" s="4" t="s">
        <v>15409</v>
      </c>
      <c r="L9660" s="4" t="s">
        <v>15410</v>
      </c>
      <c r="M9660" s="4" t="s">
        <v>3095</v>
      </c>
      <c r="N9660" s="4" t="s">
        <v>7539</v>
      </c>
      <c r="O9660" s="4" t="s">
        <v>3095</v>
      </c>
      <c r="P9660" s="4" t="s">
        <v>10202</v>
      </c>
      <c r="Q9660" s="4" t="s">
        <v>10203</v>
      </c>
      <c r="R9660" s="4" t="s">
        <v>10204</v>
      </c>
      <c r="S9660" s="4" t="s">
        <v>10205</v>
      </c>
      <c r="T9660" s="4" t="s">
        <v>3095</v>
      </c>
      <c r="U9660" s="4" t="s">
        <v>3096</v>
      </c>
    </row>
    <row r="9661">
      <c r="A9661" s="4">
        <v>13.0</v>
      </c>
      <c r="B9661" s="4" t="s">
        <v>19727</v>
      </c>
      <c r="C9661" s="4"/>
      <c r="D9661" s="4" t="s">
        <v>19750</v>
      </c>
      <c r="E9661" s="4" t="s">
        <v>11592</v>
      </c>
      <c r="F9661" s="4" t="s">
        <v>5876</v>
      </c>
      <c r="G9661" s="5" t="str">
        <f>IFERROR(__xludf.DUMMYFUNCTION("GOOGLETRANSLATE(D9661,""ro"",""es"")"),"me gustaría")</f>
        <v>me gustaría</v>
      </c>
    </row>
    <row r="9662">
      <c r="A9662" s="4">
        <v>14.0</v>
      </c>
      <c r="B9662" s="4" t="s">
        <v>19727</v>
      </c>
      <c r="C9662" s="4"/>
      <c r="D9662" s="4" t="s">
        <v>960</v>
      </c>
      <c r="E9662" s="4" t="s">
        <v>961</v>
      </c>
      <c r="F9662" s="4" t="s">
        <v>962</v>
      </c>
      <c r="G9662" s="5" t="str">
        <f>IFERROR(__xludf.DUMMYFUNCTION("GOOGLETRANSLATE(D9662,""ro"",""es"")"),"que")</f>
        <v>que</v>
      </c>
    </row>
    <row r="9663">
      <c r="A9663" s="4">
        <v>15.0</v>
      </c>
      <c r="B9663" s="4" t="s">
        <v>19727</v>
      </c>
      <c r="C9663" s="4"/>
      <c r="D9663" s="4" t="s">
        <v>14116</v>
      </c>
      <c r="E9663" s="4" t="s">
        <v>11951</v>
      </c>
      <c r="F9663" s="4" t="s">
        <v>11811</v>
      </c>
      <c r="G9663" s="5" t="str">
        <f>IFERROR(__xludf.DUMMYFUNCTION("GOOGLETRANSLATE(D9663,""ro"",""es"")"),"arrepentirse")</f>
        <v>arrepentirse</v>
      </c>
    </row>
    <row r="9664">
      <c r="A9664" s="4">
        <v>16.0</v>
      </c>
      <c r="B9664" s="4" t="s">
        <v>19727</v>
      </c>
      <c r="C9664" s="4"/>
      <c r="D9664" s="4" t="s">
        <v>973</v>
      </c>
      <c r="E9664" s="4" t="s">
        <v>974</v>
      </c>
      <c r="F9664" s="4" t="s">
        <v>975</v>
      </c>
      <c r="G9664" s="5" t="str">
        <f>IFERROR(__xludf.DUMMYFUNCTION("GOOGLETRANSLATE(D9664,""ro"",""es"")"),"caballo")</f>
        <v>caballo</v>
      </c>
      <c r="H9664" s="4" t="s">
        <v>19751</v>
      </c>
      <c r="I9664" s="4" t="s">
        <v>19752</v>
      </c>
      <c r="J9664" s="4" t="s">
        <v>19753</v>
      </c>
      <c r="K9664" s="4" t="s">
        <v>19754</v>
      </c>
      <c r="L9664" s="4" t="s">
        <v>19751</v>
      </c>
      <c r="M9664" s="4" t="s">
        <v>19755</v>
      </c>
      <c r="N9664" s="4" t="s">
        <v>19756</v>
      </c>
      <c r="O9664" s="4" t="s">
        <v>19751</v>
      </c>
      <c r="P9664" s="4" t="s">
        <v>19757</v>
      </c>
      <c r="Q9664" s="4" t="s">
        <v>19758</v>
      </c>
      <c r="R9664" s="4" t="s">
        <v>19759</v>
      </c>
    </row>
    <row r="9665">
      <c r="A9665" s="4">
        <v>17.0</v>
      </c>
      <c r="B9665" s="4" t="s">
        <v>19727</v>
      </c>
      <c r="C9665" s="4"/>
      <c r="D9665" s="4" t="s">
        <v>1126</v>
      </c>
      <c r="E9665" s="4" t="s">
        <v>1127</v>
      </c>
      <c r="F9665" s="4" t="s">
        <v>1128</v>
      </c>
      <c r="G9665" s="5" t="str">
        <f>IFERROR(__xludf.DUMMYFUNCTION("GOOGLETRANSLATE(D9665,""ro"",""es"")"),"Canal")</f>
        <v>Canal</v>
      </c>
      <c r="H9665" s="4" t="s">
        <v>1126</v>
      </c>
      <c r="I9665" s="4" t="s">
        <v>1136</v>
      </c>
      <c r="J9665" s="4" t="s">
        <v>1136</v>
      </c>
      <c r="K9665" s="4" t="s">
        <v>19760</v>
      </c>
      <c r="L9665" s="4" t="s">
        <v>19761</v>
      </c>
      <c r="M9665" s="4" t="s">
        <v>1250</v>
      </c>
      <c r="N9665" s="4" t="s">
        <v>1130</v>
      </c>
      <c r="O9665" s="4" t="s">
        <v>19762</v>
      </c>
      <c r="P9665" s="4" t="s">
        <v>19763</v>
      </c>
      <c r="Q9665" s="4" t="s">
        <v>19764</v>
      </c>
      <c r="R9665" s="4" t="s">
        <v>1686</v>
      </c>
      <c r="S9665" s="4" t="s">
        <v>19765</v>
      </c>
      <c r="T9665" s="4" t="s">
        <v>4562</v>
      </c>
      <c r="U9665" s="4" t="s">
        <v>4564</v>
      </c>
      <c r="V9665" s="4" t="s">
        <v>1130</v>
      </c>
      <c r="W9665" s="4" t="s">
        <v>1135</v>
      </c>
      <c r="X9665" s="4" t="s">
        <v>1126</v>
      </c>
      <c r="Y9665" s="4" t="s">
        <v>1136</v>
      </c>
      <c r="Z9665" s="4" t="s">
        <v>19766</v>
      </c>
      <c r="AA9665" s="4" t="s">
        <v>1126</v>
      </c>
      <c r="AB9665" s="4" t="s">
        <v>1136</v>
      </c>
      <c r="AC9665" s="4" t="s">
        <v>19765</v>
      </c>
    </row>
    <row r="9666">
      <c r="A9666" s="4">
        <v>18.0</v>
      </c>
      <c r="B9666" s="4" t="s">
        <v>19727</v>
      </c>
      <c r="C9666" s="4"/>
      <c r="D9666" s="4" t="s">
        <v>1208</v>
      </c>
      <c r="E9666" s="4" t="s">
        <v>321</v>
      </c>
      <c r="F9666" s="4" t="s">
        <v>322</v>
      </c>
      <c r="G9666" s="5" t="str">
        <f>IFERROR(__xludf.DUMMYFUNCTION("GOOGLETRANSLATE(D9666,""ro"",""es"")"),"cabeza")</f>
        <v>cabeza</v>
      </c>
      <c r="H9666" s="4" t="s">
        <v>19767</v>
      </c>
      <c r="I9666" s="4" t="s">
        <v>1209</v>
      </c>
      <c r="J9666" s="4" t="s">
        <v>19768</v>
      </c>
      <c r="K9666" s="4" t="s">
        <v>1209</v>
      </c>
      <c r="L9666" s="4" t="s">
        <v>1209</v>
      </c>
      <c r="M9666" s="4" t="s">
        <v>19769</v>
      </c>
      <c r="N9666" s="4" t="s">
        <v>1209</v>
      </c>
      <c r="O9666" s="4" t="s">
        <v>1211</v>
      </c>
      <c r="P9666" s="4" t="s">
        <v>19770</v>
      </c>
      <c r="Q9666" s="4" t="s">
        <v>1209</v>
      </c>
      <c r="R9666" s="4" t="s">
        <v>1212</v>
      </c>
      <c r="S9666" s="4" t="s">
        <v>1209</v>
      </c>
      <c r="T9666" s="4" t="s">
        <v>1213</v>
      </c>
      <c r="U9666" s="4" t="s">
        <v>1214</v>
      </c>
      <c r="V9666" s="4" t="s">
        <v>1215</v>
      </c>
      <c r="W9666" s="4" t="s">
        <v>19771</v>
      </c>
      <c r="X9666" s="4" t="s">
        <v>1213</v>
      </c>
      <c r="Y9666" s="4" t="s">
        <v>19772</v>
      </c>
      <c r="Z9666" s="4" t="s">
        <v>19773</v>
      </c>
      <c r="AA9666" s="4" t="s">
        <v>19774</v>
      </c>
      <c r="AB9666" s="4" t="s">
        <v>19775</v>
      </c>
      <c r="AC9666" s="4" t="s">
        <v>19776</v>
      </c>
      <c r="AD9666" s="4" t="s">
        <v>1209</v>
      </c>
      <c r="AE9666" s="4" t="s">
        <v>19777</v>
      </c>
      <c r="AF9666" s="4" t="s">
        <v>1209</v>
      </c>
      <c r="AG9666" s="4" t="s">
        <v>1209</v>
      </c>
      <c r="AH9666" s="4" t="s">
        <v>1217</v>
      </c>
      <c r="AI9666" s="4" t="s">
        <v>1218</v>
      </c>
      <c r="AJ9666" s="4" t="s">
        <v>1209</v>
      </c>
      <c r="AK9666" s="4" t="s">
        <v>3705</v>
      </c>
      <c r="AL9666" s="4" t="s">
        <v>19778</v>
      </c>
      <c r="AM9666" s="4" t="s">
        <v>1209</v>
      </c>
      <c r="AN9666" s="4" t="s">
        <v>1209</v>
      </c>
      <c r="AO9666" s="4" t="s">
        <v>1209</v>
      </c>
    </row>
    <row r="9667">
      <c r="A9667" s="4">
        <v>19.0</v>
      </c>
      <c r="B9667" s="4" t="s">
        <v>19727</v>
      </c>
      <c r="C9667" s="4"/>
      <c r="D9667" s="4" t="s">
        <v>19779</v>
      </c>
      <c r="E9667" s="4" t="s">
        <v>19780</v>
      </c>
      <c r="F9667" s="4" t="s">
        <v>19781</v>
      </c>
      <c r="G9667" s="5" t="str">
        <f>IFERROR(__xludf.DUMMYFUNCTION("GOOGLETRANSLATE(D9667,""ro"",""es"")"),"cubrir")</f>
        <v>cubrir</v>
      </c>
      <c r="H9667" s="4" t="s">
        <v>19782</v>
      </c>
    </row>
    <row r="9668">
      <c r="A9668" s="4">
        <v>20.0</v>
      </c>
      <c r="B9668" s="4" t="s">
        <v>19727</v>
      </c>
      <c r="C9668" s="4"/>
      <c r="D9668" s="4" t="s">
        <v>1274</v>
      </c>
      <c r="E9668" s="4" t="s">
        <v>1275</v>
      </c>
      <c r="F9668" s="4" t="s">
        <v>1276</v>
      </c>
      <c r="G9668" s="5" t="str">
        <f>IFERROR(__xludf.DUMMYFUNCTION("GOOGLETRANSLATE(D9668,""ro"",""es"")"),"capital")</f>
        <v>capital</v>
      </c>
      <c r="H9668" s="4" t="s">
        <v>19783</v>
      </c>
      <c r="I9668" s="4" t="s">
        <v>19784</v>
      </c>
      <c r="J9668" s="4" t="s">
        <v>19785</v>
      </c>
      <c r="K9668" s="4" t="s">
        <v>15584</v>
      </c>
      <c r="L9668" s="4" t="s">
        <v>19786</v>
      </c>
      <c r="M9668" s="4" t="s">
        <v>1274</v>
      </c>
      <c r="N9668" s="4" t="s">
        <v>1277</v>
      </c>
      <c r="O9668" s="4" t="s">
        <v>1278</v>
      </c>
      <c r="P9668" s="4" t="s">
        <v>19785</v>
      </c>
      <c r="Q9668" s="4" t="s">
        <v>1274</v>
      </c>
      <c r="R9668" s="4" t="s">
        <v>1274</v>
      </c>
      <c r="S9668" s="4" t="s">
        <v>11901</v>
      </c>
      <c r="T9668" s="4" t="s">
        <v>11902</v>
      </c>
      <c r="U9668" s="4" t="s">
        <v>11903</v>
      </c>
      <c r="V9668" s="4" t="s">
        <v>1278</v>
      </c>
      <c r="W9668" s="4" t="s">
        <v>1274</v>
      </c>
      <c r="X9668" s="4" t="s">
        <v>1633</v>
      </c>
      <c r="Y9668" s="4" t="s">
        <v>1274</v>
      </c>
    </row>
    <row r="9669">
      <c r="A9669" s="4">
        <v>21.0</v>
      </c>
      <c r="B9669" s="4" t="s">
        <v>19727</v>
      </c>
      <c r="C9669" s="4"/>
      <c r="D9669" s="4" t="s">
        <v>19787</v>
      </c>
      <c r="E9669" s="4" t="s">
        <v>8026</v>
      </c>
      <c r="F9669" s="4" t="s">
        <v>5924</v>
      </c>
      <c r="G9669" s="5" t="str">
        <f>IFERROR(__xludf.DUMMYFUNCTION("GOOGLETRANSLATE(D9669,""ro"",""es"")"),"Cuajada")</f>
        <v>Cuajada</v>
      </c>
    </row>
    <row r="9670">
      <c r="A9670" s="4">
        <v>22.0</v>
      </c>
      <c r="B9670" s="4" t="s">
        <v>19727</v>
      </c>
      <c r="C9670" s="4"/>
      <c r="D9670" s="4" t="s">
        <v>12054</v>
      </c>
      <c r="E9670" s="4" t="s">
        <v>3819</v>
      </c>
      <c r="F9670" s="4" t="s">
        <v>3820</v>
      </c>
      <c r="G9670" s="5" t="str">
        <f>IFERROR(__xludf.DUMMYFUNCTION("GOOGLETRANSLATE(D9670,""ro"",""es"")"),"Porcelana")</f>
        <v>Porcelana</v>
      </c>
      <c r="H9670" s="4" t="s">
        <v>12055</v>
      </c>
      <c r="I9670" s="4" t="s">
        <v>12056</v>
      </c>
      <c r="J9670" s="4" t="s">
        <v>12057</v>
      </c>
      <c r="K9670" s="4" t="s">
        <v>12058</v>
      </c>
      <c r="L9670" s="4" t="s">
        <v>12059</v>
      </c>
      <c r="M9670" s="4" t="s">
        <v>12060</v>
      </c>
      <c r="N9670" s="4" t="s">
        <v>12061</v>
      </c>
    </row>
    <row r="9671">
      <c r="A9671" s="4">
        <v>23.0</v>
      </c>
      <c r="B9671" s="4" t="s">
        <v>19727</v>
      </c>
      <c r="C9671" s="4"/>
      <c r="D9671" s="4" t="s">
        <v>2603</v>
      </c>
      <c r="E9671" s="4" t="s">
        <v>17146</v>
      </c>
      <c r="F9671" s="4" t="s">
        <v>6458</v>
      </c>
      <c r="G9671" s="5" t="str">
        <f>IFERROR(__xludf.DUMMYFUNCTION("GOOGLETRANSLATE(D9671,""ro"",""es"")"),"camino")</f>
        <v>camino</v>
      </c>
      <c r="H9671" s="4" t="s">
        <v>10434</v>
      </c>
      <c r="I9671" s="4" t="s">
        <v>15245</v>
      </c>
      <c r="J9671" s="4" t="s">
        <v>7443</v>
      </c>
      <c r="K9671" s="4" t="s">
        <v>11352</v>
      </c>
      <c r="L9671" s="4" t="s">
        <v>6683</v>
      </c>
      <c r="M9671" s="4" t="s">
        <v>2603</v>
      </c>
      <c r="N9671" s="4" t="s">
        <v>6952</v>
      </c>
      <c r="O9671" s="4" t="s">
        <v>19788</v>
      </c>
      <c r="P9671" s="4" t="s">
        <v>19789</v>
      </c>
      <c r="Q9671" s="4" t="s">
        <v>1310</v>
      </c>
    </row>
    <row r="9672">
      <c r="A9672" s="4">
        <v>24.0</v>
      </c>
      <c r="B9672" s="4" t="s">
        <v>19727</v>
      </c>
      <c r="C9672" s="4"/>
      <c r="D9672" s="4" t="s">
        <v>1580</v>
      </c>
      <c r="E9672" s="4" t="s">
        <v>1581</v>
      </c>
      <c r="F9672" s="4" t="s">
        <v>1582</v>
      </c>
      <c r="G9672" s="5" t="str">
        <f>IFERROR(__xludf.DUMMYFUNCTION("GOOGLETRANSLATE(D9672,""ro"",""es"")"),"con")</f>
        <v>con</v>
      </c>
    </row>
    <row r="9673">
      <c r="A9673" s="4">
        <v>25.0</v>
      </c>
      <c r="B9673" s="4" t="s">
        <v>19727</v>
      </c>
      <c r="C9673" s="4"/>
      <c r="D9673" s="4" t="s">
        <v>1586</v>
      </c>
      <c r="E9673" s="4" t="s">
        <v>1587</v>
      </c>
      <c r="F9673" s="4" t="s">
        <v>1588</v>
      </c>
      <c r="G9673" s="5" t="str">
        <f>IFERROR(__xludf.DUMMYFUNCTION("GOOGLETRANSLATE(D9673,""ro"",""es"")"),"cuco")</f>
        <v>cuco</v>
      </c>
      <c r="H9673" s="4" t="s">
        <v>9118</v>
      </c>
    </row>
    <row r="9674">
      <c r="A9674" s="4">
        <v>26.0</v>
      </c>
      <c r="B9674" s="4" t="s">
        <v>19727</v>
      </c>
      <c r="C9674" s="4"/>
      <c r="D9674" s="4" t="s">
        <v>19790</v>
      </c>
      <c r="E9674" s="4" t="s">
        <v>2010</v>
      </c>
      <c r="F9674" s="4" t="s">
        <v>2011</v>
      </c>
      <c r="G9674" s="5" t="str">
        <f>IFERROR(__xludf.DUMMYFUNCTION("GOOGLETRANSLATE(D9674,""ro"",""es"")"),"ella")</f>
        <v>ella</v>
      </c>
      <c r="H9674" s="4" t="s">
        <v>19791</v>
      </c>
    </row>
    <row r="9675">
      <c r="A9675" s="4">
        <v>27.0</v>
      </c>
      <c r="B9675" s="4" t="s">
        <v>19727</v>
      </c>
      <c r="C9675" s="4"/>
      <c r="D9675" s="4" t="s">
        <v>1778</v>
      </c>
      <c r="E9675" s="4" t="s">
        <v>15681</v>
      </c>
      <c r="F9675" s="4" t="s">
        <v>1778</v>
      </c>
      <c r="G9675" s="5" t="str">
        <f>IFERROR(__xludf.DUMMYFUNCTION("GOOGLETRANSLATE(D9675,""ro"",""es"")"),"aprovechar")</f>
        <v>aprovechar</v>
      </c>
      <c r="H9675" s="4" t="s">
        <v>19792</v>
      </c>
      <c r="I9675" s="4" t="s">
        <v>19792</v>
      </c>
      <c r="J9675" s="4" t="s">
        <v>3713</v>
      </c>
      <c r="K9675" s="4" t="s">
        <v>6154</v>
      </c>
    </row>
    <row r="9676">
      <c r="A9676" s="4">
        <v>28.0</v>
      </c>
      <c r="B9676" s="4" t="s">
        <v>19727</v>
      </c>
      <c r="C9676" s="4"/>
      <c r="D9676" s="4" t="s">
        <v>19793</v>
      </c>
      <c r="E9676" s="4" t="s">
        <v>2010</v>
      </c>
      <c r="F9676" s="4" t="s">
        <v>2011</v>
      </c>
      <c r="G9676" s="5" t="str">
        <f>IFERROR(__xludf.DUMMYFUNCTION("GOOGLETRANSLATE(D9676,""ro"",""es"")"),"toma")</f>
        <v>toma</v>
      </c>
      <c r="H9676" s="4" t="s">
        <v>19794</v>
      </c>
      <c r="I9676" s="4" t="s">
        <v>19795</v>
      </c>
    </row>
    <row r="9677">
      <c r="A9677" s="4">
        <v>29.0</v>
      </c>
      <c r="B9677" s="4" t="s">
        <v>19727</v>
      </c>
      <c r="C9677" s="4"/>
      <c r="D9677" s="4" t="s">
        <v>1869</v>
      </c>
      <c r="E9677" s="4" t="s">
        <v>1870</v>
      </c>
      <c r="F9677" s="4" t="s">
        <v>1871</v>
      </c>
      <c r="G9677" s="5" t="str">
        <f>IFERROR(__xludf.DUMMYFUNCTION("GOOGLETRANSLATE(D9677,""ro"",""es"")"),"Jaime")</f>
        <v>Jaime</v>
      </c>
      <c r="H9677" s="4" t="s">
        <v>1871</v>
      </c>
      <c r="I9677" s="4" t="s">
        <v>1872</v>
      </c>
    </row>
    <row r="9678">
      <c r="A9678" s="4">
        <v>30.0</v>
      </c>
      <c r="B9678" s="4" t="s">
        <v>19727</v>
      </c>
      <c r="C9678" s="4"/>
      <c r="D9678" s="4" t="s">
        <v>310</v>
      </c>
      <c r="E9678" s="4" t="s">
        <v>309</v>
      </c>
      <c r="F9678" s="4" t="s">
        <v>310</v>
      </c>
      <c r="G9678" s="5" t="str">
        <f>IFERROR(__xludf.DUMMYFUNCTION("GOOGLETRANSLATE(D9678,""ro"",""es"")"),"imán")</f>
        <v>imán</v>
      </c>
      <c r="H9678" s="4" t="s">
        <v>310</v>
      </c>
      <c r="I9678" s="4" t="s">
        <v>1900</v>
      </c>
    </row>
    <row r="9679">
      <c r="A9679" s="4">
        <v>31.0</v>
      </c>
      <c r="B9679" s="4" t="s">
        <v>19727</v>
      </c>
      <c r="C9679" s="4"/>
      <c r="D9679" s="4" t="s">
        <v>19796</v>
      </c>
      <c r="E9679" s="4" t="s">
        <v>19797</v>
      </c>
      <c r="F9679" s="4" t="s">
        <v>19796</v>
      </c>
      <c r="G9679" s="5" t="str">
        <f>IFERROR(__xludf.DUMMYFUNCTION("GOOGLETRANSLATE(D9679,""ro"",""es"")"),"inhumano")</f>
        <v>inhumano</v>
      </c>
      <c r="H9679" s="4" t="s">
        <v>19798</v>
      </c>
      <c r="I9679" s="4" t="s">
        <v>19799</v>
      </c>
      <c r="J9679" s="4" t="s">
        <v>1925</v>
      </c>
      <c r="K9679" s="4" t="s">
        <v>1926</v>
      </c>
      <c r="L9679" s="4" t="s">
        <v>1927</v>
      </c>
      <c r="M9679" s="4" t="s">
        <v>1928</v>
      </c>
    </row>
    <row r="9680">
      <c r="A9680" s="4">
        <v>32.0</v>
      </c>
      <c r="B9680" s="4" t="s">
        <v>19727</v>
      </c>
      <c r="C9680" s="4"/>
      <c r="D9680" s="4" t="s">
        <v>1945</v>
      </c>
      <c r="E9680" s="4" t="s">
        <v>1944</v>
      </c>
      <c r="F9680" s="4" t="s">
        <v>1945</v>
      </c>
      <c r="G9680" s="5" t="str">
        <f>IFERROR(__xludf.DUMMYFUNCTION("GOOGLETRANSLATE(D9680,""ro"",""es"")"),"inútil")</f>
        <v>inútil</v>
      </c>
      <c r="H9680" s="4" t="s">
        <v>19800</v>
      </c>
      <c r="I9680" s="4" t="s">
        <v>19801</v>
      </c>
      <c r="J9680" s="4" t="s">
        <v>19802</v>
      </c>
      <c r="K9680" s="4" t="s">
        <v>19803</v>
      </c>
      <c r="L9680" s="4" t="s">
        <v>19804</v>
      </c>
      <c r="M9680" s="4" t="s">
        <v>1960</v>
      </c>
      <c r="N9680" s="4" t="s">
        <v>1961</v>
      </c>
      <c r="O9680" s="4" t="s">
        <v>1962</v>
      </c>
      <c r="P9680" s="4" t="s">
        <v>1963</v>
      </c>
      <c r="Q9680" s="4" t="s">
        <v>1964</v>
      </c>
      <c r="R9680" s="4" t="s">
        <v>19805</v>
      </c>
      <c r="S9680" s="4" t="s">
        <v>1967</v>
      </c>
      <c r="T9680" s="4" t="s">
        <v>1969</v>
      </c>
      <c r="U9680" s="4" t="s">
        <v>1970</v>
      </c>
      <c r="V9680" s="4" t="s">
        <v>1971</v>
      </c>
      <c r="W9680" s="4" t="s">
        <v>1972</v>
      </c>
      <c r="X9680" s="4" t="s">
        <v>1973</v>
      </c>
    </row>
    <row r="9681">
      <c r="A9681" s="4">
        <v>33.0</v>
      </c>
      <c r="B9681" s="4" t="s">
        <v>19727</v>
      </c>
      <c r="C9681" s="4"/>
      <c r="D9681" s="4" t="s">
        <v>1297</v>
      </c>
      <c r="E9681" s="4" t="s">
        <v>1296</v>
      </c>
      <c r="F9681" s="4" t="s">
        <v>1297</v>
      </c>
      <c r="G9681" s="5" t="str">
        <f>IFERROR(__xludf.DUMMYFUNCTION("GOOGLETRANSLATE(D9681,""ro"",""es"")"),"caqui")</f>
        <v>caqui</v>
      </c>
      <c r="H9681" s="4" t="s">
        <v>19806</v>
      </c>
      <c r="I9681" s="4" t="s">
        <v>19807</v>
      </c>
    </row>
    <row r="9682">
      <c r="A9682" s="4">
        <v>34.0</v>
      </c>
      <c r="B9682" s="4" t="s">
        <v>19727</v>
      </c>
      <c r="C9682" s="4"/>
      <c r="D9682" s="4" t="s">
        <v>2015</v>
      </c>
      <c r="E9682" s="4" t="s">
        <v>2016</v>
      </c>
      <c r="F9682" s="4" t="s">
        <v>2015</v>
      </c>
      <c r="G9682" s="5" t="str">
        <f>IFERROR(__xludf.DUMMYFUNCTION("GOOGLETRANSLATE(D9682,""ro"",""es"")"),"a")</f>
        <v>a</v>
      </c>
      <c r="H9682" s="4" t="s">
        <v>2015</v>
      </c>
      <c r="I9682" s="4" t="s">
        <v>2017</v>
      </c>
      <c r="J9682" s="4" t="s">
        <v>12492</v>
      </c>
      <c r="K9682" s="4" t="s">
        <v>12493</v>
      </c>
      <c r="L9682" s="4" t="s">
        <v>12494</v>
      </c>
    </row>
    <row r="9683">
      <c r="A9683" s="4">
        <v>35.0</v>
      </c>
      <c r="B9683" s="4" t="s">
        <v>19727</v>
      </c>
      <c r="C9683" s="4"/>
      <c r="D9683" s="4" t="s">
        <v>19808</v>
      </c>
      <c r="E9683" s="4" t="s">
        <v>226</v>
      </c>
      <c r="F9683" s="4" t="s">
        <v>227</v>
      </c>
      <c r="G9683" s="5" t="str">
        <f>IFERROR(__xludf.DUMMYFUNCTION("GOOGLETRANSLATE(D9683,""ro"",""es"")"),"lai")</f>
        <v>lai</v>
      </c>
    </row>
    <row r="9684">
      <c r="A9684" s="4">
        <v>36.0</v>
      </c>
      <c r="B9684" s="4" t="s">
        <v>19727</v>
      </c>
      <c r="C9684" s="4"/>
      <c r="D9684" s="4" t="s">
        <v>6589</v>
      </c>
      <c r="E9684" s="4" t="s">
        <v>12531</v>
      </c>
      <c r="F9684" s="4" t="s">
        <v>6589</v>
      </c>
      <c r="G9684" s="5" t="str">
        <f>IFERROR(__xludf.DUMMYFUNCTION("GOOGLETRANSLATE(D9684,""ro"",""es"")"),"latín")</f>
        <v>latín</v>
      </c>
      <c r="H9684" s="4" t="s">
        <v>2141</v>
      </c>
      <c r="I9684" s="4" t="s">
        <v>2141</v>
      </c>
    </row>
    <row r="9685">
      <c r="A9685" s="4">
        <v>37.0</v>
      </c>
      <c r="B9685" s="4" t="s">
        <v>19727</v>
      </c>
      <c r="C9685" s="4"/>
      <c r="D9685" s="4" t="s">
        <v>19809</v>
      </c>
      <c r="E9685" s="4" t="s">
        <v>19810</v>
      </c>
      <c r="F9685" s="4" t="s">
        <v>6520</v>
      </c>
      <c r="G9685" s="5" t="str">
        <f>IFERROR(__xludf.DUMMYFUNCTION("GOOGLETRANSLATE(D9685,""ro"",""es"")"),"cobarde")</f>
        <v>cobarde</v>
      </c>
      <c r="H9685" s="4" t="s">
        <v>3654</v>
      </c>
      <c r="I9685" s="4" t="s">
        <v>3653</v>
      </c>
      <c r="J9685" s="4" t="s">
        <v>19811</v>
      </c>
      <c r="K9685" s="4" t="s">
        <v>12686</v>
      </c>
      <c r="L9685" s="4" t="s">
        <v>12687</v>
      </c>
      <c r="M9685" s="4" t="s">
        <v>12688</v>
      </c>
      <c r="N9685" s="4" t="s">
        <v>12689</v>
      </c>
    </row>
    <row r="9686">
      <c r="A9686" s="4">
        <v>38.0</v>
      </c>
      <c r="B9686" s="4" t="s">
        <v>19727</v>
      </c>
      <c r="C9686" s="4"/>
      <c r="D9686" s="4" t="s">
        <v>6635</v>
      </c>
      <c r="E9686" s="4" t="s">
        <v>18021</v>
      </c>
      <c r="F9686" s="4" t="s">
        <v>6635</v>
      </c>
      <c r="G9686" s="5" t="str">
        <f>IFERROR(__xludf.DUMMYFUNCTION("GOOGLETRANSLATE(D9686,""ro"",""es"")"),"suavemente")</f>
        <v>suavemente</v>
      </c>
      <c r="H9686" s="4" t="s">
        <v>19812</v>
      </c>
      <c r="I9686" s="4" t="s">
        <v>3228</v>
      </c>
      <c r="J9686" s="4" t="s">
        <v>12943</v>
      </c>
      <c r="K9686" s="4" t="s">
        <v>19813</v>
      </c>
      <c r="L9686" s="4" t="s">
        <v>2186</v>
      </c>
      <c r="M9686" s="4" t="s">
        <v>3625</v>
      </c>
      <c r="N9686" s="4" t="s">
        <v>3228</v>
      </c>
      <c r="O9686" s="4" t="s">
        <v>12612</v>
      </c>
      <c r="P9686" s="4" t="s">
        <v>12613</v>
      </c>
      <c r="Q9686" s="4" t="s">
        <v>12614</v>
      </c>
      <c r="R9686" s="4" t="s">
        <v>3625</v>
      </c>
      <c r="S9686" s="4" t="s">
        <v>12943</v>
      </c>
      <c r="T9686" s="4" t="s">
        <v>12945</v>
      </c>
      <c r="U9686" s="4" t="s">
        <v>17694</v>
      </c>
      <c r="V9686" s="4" t="s">
        <v>17695</v>
      </c>
      <c r="W9686" s="4" t="s">
        <v>19814</v>
      </c>
      <c r="X9686" s="4" t="s">
        <v>14877</v>
      </c>
      <c r="Y9686" s="4" t="s">
        <v>19815</v>
      </c>
      <c r="Z9686" s="4" t="s">
        <v>19816</v>
      </c>
    </row>
    <row r="9687">
      <c r="A9687" s="4">
        <v>39.0</v>
      </c>
      <c r="B9687" s="4" t="s">
        <v>19727</v>
      </c>
      <c r="C9687" s="4"/>
      <c r="D9687" s="4" t="s">
        <v>16734</v>
      </c>
      <c r="E9687" s="4" t="s">
        <v>16735</v>
      </c>
      <c r="F9687" s="4" t="s">
        <v>16736</v>
      </c>
      <c r="G9687" s="5" t="str">
        <f>IFERROR(__xludf.DUMMYFUNCTION("GOOGLETRANSLATE(D9687,""ro"",""es"")"),"su")</f>
        <v>su</v>
      </c>
    </row>
    <row r="9688">
      <c r="A9688" s="4">
        <v>40.0</v>
      </c>
      <c r="B9688" s="4" t="s">
        <v>19727</v>
      </c>
      <c r="C9688" s="4"/>
      <c r="D9688" s="4" t="s">
        <v>14864</v>
      </c>
      <c r="E9688" s="4" t="s">
        <v>19817</v>
      </c>
      <c r="F9688" s="4" t="s">
        <v>19818</v>
      </c>
      <c r="G9688" s="5" t="str">
        <f>IFERROR(__xludf.DUMMYFUNCTION("GOOGLETRANSLATE(D9688,""ro"",""es"")"),"lunático")</f>
        <v>lunático</v>
      </c>
      <c r="H9688" s="4" t="s">
        <v>19819</v>
      </c>
      <c r="I9688" s="4" t="s">
        <v>19820</v>
      </c>
      <c r="J9688" s="4" t="s">
        <v>19821</v>
      </c>
      <c r="K9688" s="4" t="s">
        <v>19822</v>
      </c>
      <c r="L9688" s="4" t="s">
        <v>19823</v>
      </c>
      <c r="M9688" s="4" t="s">
        <v>19824</v>
      </c>
    </row>
    <row r="9689">
      <c r="A9689" s="4">
        <v>41.0</v>
      </c>
      <c r="B9689" s="4" t="s">
        <v>19727</v>
      </c>
      <c r="C9689" s="4"/>
      <c r="D9689" s="4" t="s">
        <v>6706</v>
      </c>
      <c r="E9689" s="4" t="s">
        <v>2300</v>
      </c>
      <c r="F9689" s="4" t="s">
        <v>2301</v>
      </c>
      <c r="G9689" s="5" t="str">
        <f>IFERROR(__xludf.DUMMYFUNCTION("GOOGLETRANSLATE(D9689,""ro"",""es"")"),"Mac")</f>
        <v>Mac</v>
      </c>
      <c r="H9689" s="4" t="s">
        <v>19825</v>
      </c>
      <c r="I9689" s="4" t="s">
        <v>18138</v>
      </c>
      <c r="J9689" s="4" t="s">
        <v>8692</v>
      </c>
      <c r="K9689" s="4" t="s">
        <v>19826</v>
      </c>
      <c r="L9689" s="4" t="s">
        <v>19827</v>
      </c>
    </row>
    <row r="9690">
      <c r="A9690" s="4">
        <v>42.0</v>
      </c>
      <c r="B9690" s="4" t="s">
        <v>19727</v>
      </c>
      <c r="C9690" s="4"/>
      <c r="D9690" s="4" t="s">
        <v>2312</v>
      </c>
      <c r="E9690" s="4" t="s">
        <v>332</v>
      </c>
      <c r="F9690" s="4" t="s">
        <v>333</v>
      </c>
      <c r="G9690" s="5" t="str">
        <f>IFERROR(__xludf.DUMMYFUNCTION("GOOGLETRANSLATE(D9690,""ro"",""es"")"),"Mayo")</f>
        <v>Mayo</v>
      </c>
      <c r="H9690" s="4" t="s">
        <v>6319</v>
      </c>
      <c r="I9690" s="4" t="s">
        <v>19828</v>
      </c>
      <c r="J9690" s="4" t="s">
        <v>19829</v>
      </c>
      <c r="K9690" s="4" t="s">
        <v>19830</v>
      </c>
      <c r="L9690" s="4" t="s">
        <v>19831</v>
      </c>
      <c r="M9690" s="4" t="s">
        <v>9997</v>
      </c>
      <c r="N9690" s="4" t="s">
        <v>19181</v>
      </c>
      <c r="O9690" s="4" t="s">
        <v>18128</v>
      </c>
    </row>
    <row r="9691">
      <c r="A9691" s="4">
        <v>43.0</v>
      </c>
      <c r="B9691" s="4" t="s">
        <v>19727</v>
      </c>
      <c r="C9691" s="4"/>
      <c r="D9691" s="4" t="s">
        <v>19832</v>
      </c>
      <c r="E9691" s="4" t="s">
        <v>18247</v>
      </c>
      <c r="F9691" s="4" t="s">
        <v>18248</v>
      </c>
      <c r="G9691" s="5" t="str">
        <f>IFERROR(__xludf.DUMMYFUNCTION("GOOGLETRANSLATE(D9691,""ro"",""es"")"),"yo")</f>
        <v>yo</v>
      </c>
      <c r="H9691" s="4" t="s">
        <v>5083</v>
      </c>
      <c r="I9691" s="4" t="s">
        <v>19833</v>
      </c>
      <c r="J9691" s="4" t="s">
        <v>19834</v>
      </c>
    </row>
    <row r="9692">
      <c r="A9692" s="4">
        <v>44.0</v>
      </c>
      <c r="B9692" s="4" t="s">
        <v>19727</v>
      </c>
      <c r="C9692" s="4"/>
      <c r="D9692" s="4" t="s">
        <v>6821</v>
      </c>
      <c r="E9692" s="4" t="s">
        <v>18258</v>
      </c>
      <c r="F9692" s="4" t="s">
        <v>6821</v>
      </c>
      <c r="G9692" s="5" t="str">
        <f>IFERROR(__xludf.DUMMYFUNCTION("GOOGLETRANSLATE(D9692,""ro"",""es"")"),"milanés")</f>
        <v>milanés</v>
      </c>
    </row>
    <row r="9693">
      <c r="A9693" s="4">
        <v>45.0</v>
      </c>
      <c r="B9693" s="4" t="s">
        <v>19727</v>
      </c>
      <c r="C9693" s="4"/>
      <c r="D9693" s="4" t="s">
        <v>19835</v>
      </c>
      <c r="E9693" s="4" t="s">
        <v>19836</v>
      </c>
      <c r="F9693" s="4" t="s">
        <v>19835</v>
      </c>
      <c r="G9693" s="5" t="str">
        <f>IFERROR(__xludf.DUMMYFUNCTION("GOOGLETRANSLATE(D9693,""ro"",""es"")"),"arena")</f>
        <v>arena</v>
      </c>
      <c r="H9693" s="4" t="s">
        <v>4853</v>
      </c>
    </row>
    <row r="9694">
      <c r="A9694" s="4">
        <v>46.0</v>
      </c>
      <c r="B9694" s="4" t="s">
        <v>19727</v>
      </c>
      <c r="C9694" s="4"/>
      <c r="D9694" s="4" t="s">
        <v>2972</v>
      </c>
      <c r="E9694" s="4" t="s">
        <v>3018</v>
      </c>
      <c r="F9694" s="4" t="s">
        <v>2972</v>
      </c>
      <c r="G9694" s="5" t="str">
        <f>IFERROR(__xludf.DUMMYFUNCTION("GOOGLETRANSLATE(D9694,""ro"",""es"")"),"no")</f>
        <v>no</v>
      </c>
      <c r="H9694" s="4" t="s">
        <v>13228</v>
      </c>
      <c r="I9694" s="4" t="s">
        <v>13229</v>
      </c>
      <c r="J9694" s="4" t="s">
        <v>13239</v>
      </c>
      <c r="K9694" s="4" t="s">
        <v>13239</v>
      </c>
    </row>
    <row r="9695">
      <c r="A9695" s="4">
        <v>47.0</v>
      </c>
      <c r="B9695" s="4" t="s">
        <v>19727</v>
      </c>
      <c r="C9695" s="4"/>
      <c r="D9695" s="4" t="s">
        <v>19837</v>
      </c>
      <c r="E9695" s="4" t="s">
        <v>13107</v>
      </c>
      <c r="F9695" s="4" t="s">
        <v>7028</v>
      </c>
      <c r="G9695" s="5" t="str">
        <f>IFERROR(__xludf.DUMMYFUNCTION("GOOGLETRANSLATE(D9695,""ro"",""es"")"),"nuez")</f>
        <v>nuez</v>
      </c>
      <c r="H9695" s="4" t="s">
        <v>19838</v>
      </c>
      <c r="I9695" s="4" t="s">
        <v>19839</v>
      </c>
      <c r="J9695" s="4" t="s">
        <v>19838</v>
      </c>
    </row>
    <row r="9696">
      <c r="A9696" s="4">
        <v>48.0</v>
      </c>
      <c r="B9696" s="4" t="s">
        <v>19727</v>
      </c>
      <c r="C9696" s="4"/>
      <c r="D9696" s="4" t="s">
        <v>3309</v>
      </c>
      <c r="E9696" s="4" t="s">
        <v>3310</v>
      </c>
      <c r="F9696" s="4" t="s">
        <v>3311</v>
      </c>
      <c r="G9696" s="5" t="str">
        <f>IFERROR(__xludf.DUMMYFUNCTION("GOOGLETRANSLATE(D9696,""ro"",""es"")"),"Papaia")</f>
        <v>Papaia</v>
      </c>
      <c r="H9696" s="4" t="s">
        <v>3312</v>
      </c>
      <c r="I9696" s="4" t="s">
        <v>3313</v>
      </c>
      <c r="J9696" s="4" t="s">
        <v>3311</v>
      </c>
      <c r="K9696" s="4" t="s">
        <v>3311</v>
      </c>
      <c r="L9696" s="4" t="s">
        <v>3309</v>
      </c>
      <c r="M9696" s="4" t="s">
        <v>3313</v>
      </c>
      <c r="N9696" s="4" t="s">
        <v>13209</v>
      </c>
      <c r="O9696" s="4" t="s">
        <v>13210</v>
      </c>
      <c r="P9696" s="4" t="s">
        <v>13211</v>
      </c>
    </row>
    <row r="9697">
      <c r="A9697" s="4">
        <v>49.0</v>
      </c>
      <c r="B9697" s="4" t="s">
        <v>19727</v>
      </c>
      <c r="C9697" s="4"/>
      <c r="D9697" s="4" t="s">
        <v>3361</v>
      </c>
      <c r="E9697" s="4" t="s">
        <v>3362</v>
      </c>
      <c r="F9697" s="4" t="s">
        <v>3361</v>
      </c>
      <c r="G9697" s="5" t="str">
        <f>IFERROR(__xludf.DUMMYFUNCTION("GOOGLETRANSLATE(D9697,""ro"",""es"")"),"paso")</f>
        <v>paso</v>
      </c>
      <c r="H9697" s="4" t="s">
        <v>19840</v>
      </c>
      <c r="I9697" s="4" t="s">
        <v>3365</v>
      </c>
      <c r="J9697" s="4" t="s">
        <v>3365</v>
      </c>
      <c r="K9697" s="4" t="s">
        <v>3366</v>
      </c>
      <c r="L9697" s="4" t="s">
        <v>3367</v>
      </c>
      <c r="M9697" s="4" t="s">
        <v>3368</v>
      </c>
      <c r="N9697" s="4" t="s">
        <v>3361</v>
      </c>
      <c r="O9697" s="4" t="s">
        <v>3384</v>
      </c>
      <c r="P9697" s="4" t="s">
        <v>1056</v>
      </c>
      <c r="Q9697" s="4" t="s">
        <v>13236</v>
      </c>
      <c r="R9697" s="4" t="s">
        <v>3365</v>
      </c>
      <c r="S9697" s="4" t="s">
        <v>2075</v>
      </c>
      <c r="T9697" s="4" t="s">
        <v>1056</v>
      </c>
      <c r="U9697" s="4" t="s">
        <v>19841</v>
      </c>
      <c r="V9697" s="4" t="s">
        <v>3373</v>
      </c>
      <c r="W9697" s="4" t="s">
        <v>3374</v>
      </c>
      <c r="X9697" s="4" t="s">
        <v>3365</v>
      </c>
      <c r="Y9697" s="4" t="s">
        <v>3380</v>
      </c>
      <c r="Z9697" s="4" t="s">
        <v>3381</v>
      </c>
      <c r="AA9697" s="4" t="s">
        <v>3365</v>
      </c>
      <c r="AB9697" s="4" t="s">
        <v>4053</v>
      </c>
      <c r="AC9697" s="4" t="s">
        <v>15161</v>
      </c>
      <c r="AD9697" s="4" t="s">
        <v>647</v>
      </c>
      <c r="AE9697" s="4" t="s">
        <v>3382</v>
      </c>
      <c r="AF9697" s="4" t="s">
        <v>3383</v>
      </c>
      <c r="AG9697" s="4" t="s">
        <v>2634</v>
      </c>
      <c r="AH9697" s="4" t="s">
        <v>3366</v>
      </c>
      <c r="AI9697" s="4" t="s">
        <v>3381</v>
      </c>
      <c r="AJ9697" s="4" t="s">
        <v>3366</v>
      </c>
      <c r="AK9697" s="4" t="s">
        <v>3365</v>
      </c>
      <c r="AL9697" s="4" t="s">
        <v>3367</v>
      </c>
      <c r="AM9697" s="4" t="s">
        <v>3366</v>
      </c>
      <c r="AN9697" s="4" t="s">
        <v>3384</v>
      </c>
    </row>
    <row r="9698">
      <c r="A9698" s="4">
        <v>50.0</v>
      </c>
      <c r="B9698" s="4" t="s">
        <v>19727</v>
      </c>
      <c r="C9698" s="4"/>
      <c r="D9698" s="4" t="s">
        <v>19842</v>
      </c>
      <c r="E9698" s="4" t="s">
        <v>19843</v>
      </c>
      <c r="F9698" s="4" t="s">
        <v>19844</v>
      </c>
      <c r="G9698" s="5" t="str">
        <f>IFERROR(__xludf.DUMMYFUNCTION("GOOGLETRANSLATE(D9698,""ro"",""es"")"),"gatito")</f>
        <v>gatito</v>
      </c>
      <c r="H9698" s="4" t="s">
        <v>8837</v>
      </c>
      <c r="I9698" s="4" t="s">
        <v>8841</v>
      </c>
      <c r="J9698" s="4" t="s">
        <v>6481</v>
      </c>
      <c r="K9698" s="4" t="s">
        <v>2722</v>
      </c>
    </row>
    <row r="9699">
      <c r="A9699" s="4">
        <v>51.0</v>
      </c>
      <c r="B9699" s="4" t="s">
        <v>19727</v>
      </c>
      <c r="C9699" s="4"/>
      <c r="D9699" s="4" t="s">
        <v>3861</v>
      </c>
      <c r="E9699" s="4" t="s">
        <v>3862</v>
      </c>
      <c r="F9699" s="4" t="s">
        <v>3861</v>
      </c>
      <c r="G9699" s="5" t="str">
        <f>IFERROR(__xludf.DUMMYFUNCTION("GOOGLETRANSLATE(D9699,""ro"",""es"")"),"a")</f>
        <v>a</v>
      </c>
    </row>
    <row r="9700">
      <c r="A9700" s="4">
        <v>52.0</v>
      </c>
      <c r="B9700" s="4" t="s">
        <v>19727</v>
      </c>
      <c r="C9700" s="4"/>
      <c r="D9700" s="4" t="s">
        <v>3882</v>
      </c>
      <c r="E9700" s="4" t="s">
        <v>3883</v>
      </c>
      <c r="F9700" s="4" t="s">
        <v>3882</v>
      </c>
      <c r="G9700" s="5" t="str">
        <f>IFERROR(__xludf.DUMMYFUNCTION("GOOGLETRANSLATE(D9700,""ro"",""es"")"),"chal")</f>
        <v>chal</v>
      </c>
    </row>
    <row r="9701">
      <c r="A9701" s="4">
        <v>53.0</v>
      </c>
      <c r="B9701" s="4" t="s">
        <v>19727</v>
      </c>
      <c r="C9701" s="4"/>
      <c r="D9701" s="4" t="s">
        <v>19845</v>
      </c>
      <c r="E9701" s="4" t="s">
        <v>19846</v>
      </c>
      <c r="F9701" s="4" t="s">
        <v>19845</v>
      </c>
      <c r="G9701" s="5" t="str">
        <f>IFERROR(__xludf.DUMMYFUNCTION("GOOGLETRANSLATE(D9701,""ro"",""es"")"),"salami")</f>
        <v>salami</v>
      </c>
    </row>
    <row r="9702">
      <c r="A9702" s="4">
        <v>54.0</v>
      </c>
      <c r="B9702" s="4" t="s">
        <v>19727</v>
      </c>
      <c r="C9702" s="4"/>
      <c r="D9702" s="4" t="s">
        <v>19847</v>
      </c>
      <c r="E9702" s="4" t="s">
        <v>19848</v>
      </c>
      <c r="F9702" s="4" t="s">
        <v>19847</v>
      </c>
      <c r="G9702" s="5" t="str">
        <f>IFERROR(__xludf.DUMMYFUNCTION("GOOGLETRANSLATE(D9702,""ro"",""es"")"),"bienvenidos")</f>
        <v>bienvenidos</v>
      </c>
      <c r="H9702" s="4" t="s">
        <v>19849</v>
      </c>
      <c r="I9702" s="4" t="s">
        <v>15469</v>
      </c>
      <c r="J9702" s="4" t="s">
        <v>15470</v>
      </c>
      <c r="K9702" s="4" t="s">
        <v>15471</v>
      </c>
      <c r="L9702" s="4" t="s">
        <v>19850</v>
      </c>
      <c r="M9702" s="4" t="s">
        <v>15470</v>
      </c>
      <c r="N9702" s="4" t="s">
        <v>15471</v>
      </c>
      <c r="O9702" s="4" t="s">
        <v>19849</v>
      </c>
      <c r="P9702" s="4" t="s">
        <v>19849</v>
      </c>
      <c r="Q9702" s="4" t="s">
        <v>14059</v>
      </c>
      <c r="R9702" s="4" t="s">
        <v>19849</v>
      </c>
    </row>
    <row r="9703">
      <c r="A9703" s="4">
        <v>55.0</v>
      </c>
      <c r="B9703" s="4" t="s">
        <v>19727</v>
      </c>
      <c r="C9703" s="4"/>
      <c r="D9703" s="4" t="s">
        <v>19851</v>
      </c>
      <c r="E9703" s="4" t="s">
        <v>3965</v>
      </c>
      <c r="F9703" s="4" t="s">
        <v>3966</v>
      </c>
      <c r="G9703" s="5" t="str">
        <f>IFERROR(__xludf.DUMMYFUNCTION("GOOGLETRANSLATE(D9703,""ro"",""es"")"),"satánico")</f>
        <v>satánico</v>
      </c>
    </row>
    <row r="9704">
      <c r="A9704" s="4">
        <v>56.0</v>
      </c>
      <c r="B9704" s="4" t="s">
        <v>19727</v>
      </c>
      <c r="C9704" s="4"/>
      <c r="D9704" s="4" t="s">
        <v>3992</v>
      </c>
      <c r="E9704" s="4" t="s">
        <v>3991</v>
      </c>
      <c r="F9704" s="4" t="s">
        <v>3992</v>
      </c>
      <c r="G9704" s="5" t="str">
        <f>IFERROR(__xludf.DUMMYFUNCTION("GOOGLETRANSLATE(D9704,""ro"",""es"")"),"simular")</f>
        <v>simular</v>
      </c>
      <c r="H9704" s="4" t="s">
        <v>3996</v>
      </c>
      <c r="I9704" s="4" t="s">
        <v>3997</v>
      </c>
      <c r="J9704" s="4" t="s">
        <v>3998</v>
      </c>
      <c r="K9704" s="4" t="s">
        <v>3999</v>
      </c>
      <c r="L9704" s="4" t="s">
        <v>4000</v>
      </c>
      <c r="M9704" s="4" t="s">
        <v>19852</v>
      </c>
      <c r="N9704" s="4" t="s">
        <v>1911</v>
      </c>
      <c r="O9704" s="4" t="s">
        <v>883</v>
      </c>
      <c r="P9704" s="4" t="s">
        <v>3997</v>
      </c>
      <c r="Q9704" s="4" t="s">
        <v>3996</v>
      </c>
      <c r="R9704" s="4" t="s">
        <v>19853</v>
      </c>
      <c r="S9704" s="4" t="s">
        <v>2438</v>
      </c>
      <c r="T9704" s="4" t="s">
        <v>1911</v>
      </c>
    </row>
    <row r="9705">
      <c r="A9705" s="4">
        <v>57.0</v>
      </c>
      <c r="B9705" s="4" t="s">
        <v>19727</v>
      </c>
      <c r="C9705" s="4"/>
      <c r="D9705" s="4" t="s">
        <v>18723</v>
      </c>
      <c r="E9705" s="4" t="s">
        <v>18724</v>
      </c>
      <c r="F9705" s="4" t="s">
        <v>18723</v>
      </c>
      <c r="G9705" s="5" t="str">
        <f>IFERROR(__xludf.DUMMYFUNCTION("GOOGLETRANSLATE(D9705,""ro"",""es"")"),"por ciento")</f>
        <v>por ciento</v>
      </c>
      <c r="H9705" s="4" t="s">
        <v>19854</v>
      </c>
    </row>
    <row r="9706">
      <c r="A9706" s="4">
        <v>58.0</v>
      </c>
      <c r="B9706" s="4" t="s">
        <v>19727</v>
      </c>
      <c r="C9706" s="4"/>
      <c r="D9706" s="4" t="s">
        <v>11522</v>
      </c>
      <c r="E9706" s="4" t="s">
        <v>13750</v>
      </c>
      <c r="F9706" s="4" t="s">
        <v>11522</v>
      </c>
      <c r="G9706" s="5" t="str">
        <f>IFERROR(__xludf.DUMMYFUNCTION("GOOGLETRANSLATE(D9706,""ro"",""es"")"),"su")</f>
        <v>su</v>
      </c>
    </row>
    <row r="9707">
      <c r="A9707" s="4">
        <v>59.0</v>
      </c>
      <c r="B9707" s="4" t="s">
        <v>19727</v>
      </c>
      <c r="C9707" s="4"/>
      <c r="D9707" s="4" t="s">
        <v>11378</v>
      </c>
      <c r="E9707" s="4" t="s">
        <v>13825</v>
      </c>
      <c r="F9707" s="4" t="s">
        <v>11378</v>
      </c>
      <c r="G9707" s="5" t="str">
        <f>IFERROR(__xludf.DUMMYFUNCTION("GOOGLETRANSLATE(D9707,""ro"",""es"")"),"armadillo")</f>
        <v>armadillo</v>
      </c>
      <c r="H9707" s="4" t="s">
        <v>13826</v>
      </c>
      <c r="I9707" s="4" t="s">
        <v>19855</v>
      </c>
      <c r="J9707" s="4" t="s">
        <v>19856</v>
      </c>
      <c r="K9707" s="4" t="s">
        <v>19857</v>
      </c>
      <c r="L9707" s="4" t="s">
        <v>19858</v>
      </c>
      <c r="M9707" s="4" t="s">
        <v>13824</v>
      </c>
      <c r="N9707" s="4" t="s">
        <v>11378</v>
      </c>
      <c r="O9707" s="4" t="s">
        <v>19859</v>
      </c>
    </row>
    <row r="9708">
      <c r="A9708" s="4">
        <v>60.0</v>
      </c>
      <c r="B9708" s="4" t="s">
        <v>19727</v>
      </c>
      <c r="C9708" s="4"/>
      <c r="D9708" s="4" t="s">
        <v>425</v>
      </c>
      <c r="E9708" s="4" t="s">
        <v>424</v>
      </c>
      <c r="F9708" s="4" t="s">
        <v>425</v>
      </c>
      <c r="G9708" s="5" t="str">
        <f>IFERROR(__xludf.DUMMYFUNCTION("GOOGLETRANSLATE(D9708,""ro"",""es"")"),"escribe")</f>
        <v>escribe</v>
      </c>
      <c r="H9708" s="4" t="s">
        <v>19860</v>
      </c>
      <c r="I9708" s="4" t="s">
        <v>4413</v>
      </c>
      <c r="J9708" s="4" t="s">
        <v>4414</v>
      </c>
      <c r="K9708" s="4" t="s">
        <v>1679</v>
      </c>
      <c r="L9708" s="4" t="s">
        <v>4415</v>
      </c>
      <c r="M9708" s="4" t="s">
        <v>4412</v>
      </c>
      <c r="N9708" s="4" t="s">
        <v>11354</v>
      </c>
      <c r="O9708" s="4" t="s">
        <v>4235</v>
      </c>
      <c r="P9708" s="4" t="s">
        <v>3000</v>
      </c>
      <c r="Q9708" s="4" t="s">
        <v>4422</v>
      </c>
      <c r="R9708" s="4" t="s">
        <v>1679</v>
      </c>
      <c r="S9708" s="4" t="s">
        <v>13918</v>
      </c>
      <c r="T9708" s="4" t="s">
        <v>13692</v>
      </c>
      <c r="U9708" s="4" t="s">
        <v>13919</v>
      </c>
      <c r="V9708" s="4" t="s">
        <v>4412</v>
      </c>
      <c r="W9708" s="4" t="s">
        <v>4282</v>
      </c>
      <c r="X9708" s="4" t="s">
        <v>9152</v>
      </c>
      <c r="Y9708" s="4" t="s">
        <v>19167</v>
      </c>
      <c r="Z9708" s="4" t="s">
        <v>19168</v>
      </c>
      <c r="AA9708" s="4" t="s">
        <v>19169</v>
      </c>
      <c r="AB9708" s="4" t="s">
        <v>19170</v>
      </c>
      <c r="AC9708" s="4" t="s">
        <v>19171</v>
      </c>
      <c r="AD9708" s="4" t="s">
        <v>19172</v>
      </c>
      <c r="AE9708" s="4" t="s">
        <v>19173</v>
      </c>
      <c r="AF9708" s="4" t="s">
        <v>4414</v>
      </c>
      <c r="AG9708" s="4" t="s">
        <v>19861</v>
      </c>
    </row>
    <row r="9709">
      <c r="A9709" s="4">
        <v>61.0</v>
      </c>
      <c r="B9709" s="4" t="s">
        <v>19727</v>
      </c>
      <c r="C9709" s="4"/>
      <c r="D9709" s="4" t="s">
        <v>19862</v>
      </c>
      <c r="E9709" s="4" t="s">
        <v>19863</v>
      </c>
      <c r="F9709" s="4" t="s">
        <v>19862</v>
      </c>
      <c r="G9709" s="5" t="str">
        <f>IFERROR(__xludf.DUMMYFUNCTION("GOOGLETRANSLATE(D9709,""ro"",""es"")"),"gritando")</f>
        <v>gritando</v>
      </c>
    </row>
    <row r="9710">
      <c r="A9710" s="4">
        <v>62.0</v>
      </c>
      <c r="B9710" s="4" t="s">
        <v>19727</v>
      </c>
      <c r="C9710" s="4"/>
      <c r="D9710" s="4" t="s">
        <v>431</v>
      </c>
      <c r="E9710" s="4" t="s">
        <v>430</v>
      </c>
      <c r="F9710" s="4" t="s">
        <v>431</v>
      </c>
      <c r="G9710" s="5" t="str">
        <f>IFERROR(__xludf.DUMMYFUNCTION("GOOGLETRANSLATE(D9710,""ro"",""es"")"),"titanio")</f>
        <v>titanio</v>
      </c>
      <c r="H9710" s="4" t="s">
        <v>4483</v>
      </c>
      <c r="I9710" s="4" t="s">
        <v>4484</v>
      </c>
      <c r="J9710" s="4" t="s">
        <v>4485</v>
      </c>
      <c r="K9710" s="4" t="s">
        <v>432</v>
      </c>
      <c r="L9710" s="4" t="s">
        <v>434</v>
      </c>
      <c r="M9710" s="4" t="s">
        <v>431</v>
      </c>
      <c r="N9710" s="4" t="s">
        <v>432</v>
      </c>
      <c r="O9710" s="4" t="s">
        <v>4486</v>
      </c>
      <c r="P9710" s="4" t="s">
        <v>4485</v>
      </c>
      <c r="Q9710" s="4" t="s">
        <v>4487</v>
      </c>
      <c r="R9710" s="4" t="s">
        <v>4484</v>
      </c>
      <c r="S9710" s="4" t="s">
        <v>4467</v>
      </c>
      <c r="T9710" s="4" t="s">
        <v>4468</v>
      </c>
      <c r="U9710" s="4" t="s">
        <v>4469</v>
      </c>
    </row>
    <row r="9711">
      <c r="A9711" s="4">
        <v>63.0</v>
      </c>
      <c r="B9711" s="4" t="s">
        <v>19727</v>
      </c>
      <c r="C9711" s="4"/>
      <c r="D9711" s="4" t="s">
        <v>4555</v>
      </c>
      <c r="E9711" s="4" t="s">
        <v>4556</v>
      </c>
      <c r="F9711" s="4" t="s">
        <v>4555</v>
      </c>
      <c r="G9711" s="5" t="str">
        <f>IFERROR(__xludf.DUMMYFUNCTION("GOOGLETRANSLATE(D9711,""ro"",""es"")"),"tú")</f>
        <v>tú</v>
      </c>
    </row>
    <row r="9712">
      <c r="A9712" s="4">
        <v>64.0</v>
      </c>
      <c r="B9712" s="4" t="s">
        <v>19727</v>
      </c>
      <c r="C9712" s="4"/>
      <c r="D9712" s="4" t="s">
        <v>19864</v>
      </c>
      <c r="E9712" s="4" t="s">
        <v>458</v>
      </c>
      <c r="F9712" s="4" t="s">
        <v>459</v>
      </c>
      <c r="G9712" s="5" t="str">
        <f>IFERROR(__xludf.DUMMYFUNCTION("GOOGLETRANSLATE(D9712,""ro"",""es"")"),"Tucán")</f>
        <v>Tucán</v>
      </c>
      <c r="H9712" s="4" t="s">
        <v>4566</v>
      </c>
    </row>
    <row r="9713">
      <c r="A9713" s="4">
        <v>65.0</v>
      </c>
      <c r="B9713" s="4" t="s">
        <v>19727</v>
      </c>
      <c r="C9713" s="4"/>
      <c r="D9713" s="4" t="s">
        <v>19865</v>
      </c>
      <c r="E9713" s="4" t="s">
        <v>19866</v>
      </c>
      <c r="F9713" s="4" t="s">
        <v>7956</v>
      </c>
      <c r="G9713" s="5" t="str">
        <f>IFERROR(__xludf.DUMMYFUNCTION("GOOGLETRANSLATE(D9713,""ro"",""es"")"),"Tos")</f>
        <v>Tos</v>
      </c>
      <c r="H9713" s="4" t="s">
        <v>4540</v>
      </c>
    </row>
    <row r="9714">
      <c r="A9714" s="4">
        <v>66.0</v>
      </c>
      <c r="B9714" s="4" t="s">
        <v>19727</v>
      </c>
      <c r="C9714" s="4"/>
      <c r="D9714" s="4" t="s">
        <v>3117</v>
      </c>
      <c r="E9714" s="4" t="s">
        <v>3116</v>
      </c>
      <c r="F9714" s="4" t="s">
        <v>3117</v>
      </c>
      <c r="G9714" s="5" t="str">
        <f>IFERROR(__xludf.DUMMYFUNCTION("GOOGLETRANSLATE(D9714,""ro"",""es"")"),"humano")</f>
        <v>humano</v>
      </c>
      <c r="H9714" s="4" t="s">
        <v>19867</v>
      </c>
      <c r="I9714" s="4" t="s">
        <v>1851</v>
      </c>
      <c r="J9714" s="4" t="s">
        <v>1854</v>
      </c>
      <c r="K9714" s="4" t="s">
        <v>1851</v>
      </c>
      <c r="L9714" s="4" t="s">
        <v>1821</v>
      </c>
      <c r="M9714" s="4" t="s">
        <v>1822</v>
      </c>
      <c r="N9714" s="4" t="s">
        <v>1823</v>
      </c>
      <c r="O9714" s="4" t="s">
        <v>1824</v>
      </c>
      <c r="P9714" s="4" t="s">
        <v>1825</v>
      </c>
    </row>
    <row r="9715">
      <c r="A9715" s="4">
        <v>67.0</v>
      </c>
      <c r="B9715" s="4" t="s">
        <v>19727</v>
      </c>
      <c r="C9715" s="4"/>
      <c r="D9715" s="4" t="s">
        <v>1833</v>
      </c>
      <c r="E9715" s="4" t="s">
        <v>1832</v>
      </c>
      <c r="F9715" s="4" t="s">
        <v>1833</v>
      </c>
      <c r="G9715" s="5" t="str">
        <f>IFERROR(__xludf.DUMMYFUNCTION("GOOGLETRANSLATE(D9715,""ro"",""es"")"),"humilde")</f>
        <v>humilde</v>
      </c>
      <c r="H9715" s="4" t="s">
        <v>19868</v>
      </c>
      <c r="I9715" s="4" t="s">
        <v>19869</v>
      </c>
      <c r="J9715" s="4" t="s">
        <v>19870</v>
      </c>
      <c r="K9715" s="4" t="s">
        <v>19868</v>
      </c>
      <c r="L9715" s="4" t="s">
        <v>13526</v>
      </c>
      <c r="M9715" s="4" t="s">
        <v>19871</v>
      </c>
      <c r="N9715" s="4" t="s">
        <v>1837</v>
      </c>
      <c r="O9715" s="4" t="s">
        <v>1838</v>
      </c>
      <c r="P9715" s="4" t="s">
        <v>1837</v>
      </c>
      <c r="Q9715" s="4" t="s">
        <v>1837</v>
      </c>
      <c r="R9715" s="4" t="s">
        <v>1839</v>
      </c>
      <c r="S9715" s="4" t="s">
        <v>1838</v>
      </c>
      <c r="T9715" s="4" t="s">
        <v>1840</v>
      </c>
      <c r="U9715" s="4" t="s">
        <v>1841</v>
      </c>
    </row>
    <row r="9716">
      <c r="A9716" s="4">
        <v>68.0</v>
      </c>
      <c r="B9716" s="4" t="s">
        <v>19727</v>
      </c>
      <c r="C9716" s="4"/>
      <c r="D9716" s="4" t="s">
        <v>1860</v>
      </c>
      <c r="E9716" s="4" t="s">
        <v>1859</v>
      </c>
      <c r="F9716" s="4" t="s">
        <v>1860</v>
      </c>
      <c r="G9716" s="5" t="str">
        <f>IFERROR(__xludf.DUMMYFUNCTION("GOOGLETRANSLATE(D9716,""ro"",""es"")"),"a")</f>
        <v>a</v>
      </c>
    </row>
    <row r="9717">
      <c r="A9717" s="4">
        <v>69.0</v>
      </c>
      <c r="B9717" s="4" t="s">
        <v>19727</v>
      </c>
      <c r="C9717" s="4"/>
      <c r="D9717" s="4" t="s">
        <v>1864</v>
      </c>
      <c r="E9717" s="4" t="s">
        <v>1863</v>
      </c>
      <c r="F9717" s="4" t="s">
        <v>1864</v>
      </c>
      <c r="G9717" s="5" t="str">
        <f>IFERROR(__xludf.DUMMYFUNCTION("GOOGLETRANSLATE(D9717,""ro"",""es"")"),"una")</f>
        <v>una</v>
      </c>
    </row>
    <row r="9718">
      <c r="A9718" s="4">
        <v>70.0</v>
      </c>
      <c r="B9718" s="4" t="s">
        <v>19727</v>
      </c>
      <c r="C9718" s="4"/>
      <c r="D9718" s="4" t="s">
        <v>19872</v>
      </c>
      <c r="E9718" s="4" t="s">
        <v>19873</v>
      </c>
      <c r="F9718" s="4" t="s">
        <v>19872</v>
      </c>
      <c r="G9718" s="5" t="str">
        <f>IFERROR(__xludf.DUMMYFUNCTION("GOOGLETRANSLATE(D9718,""ro"",""es"")"),"una")</f>
        <v>una</v>
      </c>
      <c r="H9718" s="4" t="s">
        <v>4635</v>
      </c>
      <c r="I9718" s="4">
        <v>1.0</v>
      </c>
      <c r="J9718" s="4" t="s">
        <v>8897</v>
      </c>
      <c r="K9718" s="4" t="s">
        <v>833</v>
      </c>
      <c r="L9718" s="4" t="s">
        <v>8898</v>
      </c>
      <c r="M9718" s="4" t="s">
        <v>8892</v>
      </c>
    </row>
    <row r="9719">
      <c r="A9719" s="4">
        <v>71.0</v>
      </c>
      <c r="B9719" s="4" t="s">
        <v>19727</v>
      </c>
      <c r="C9719" s="4"/>
      <c r="D9719" s="4" t="s">
        <v>19874</v>
      </c>
      <c r="E9719" s="4" t="s">
        <v>19875</v>
      </c>
      <c r="F9719" s="4" t="s">
        <v>19876</v>
      </c>
      <c r="G9719" s="5" t="str">
        <f>IFERROR(__xludf.DUMMYFUNCTION("GOOGLETRANSLATE(D9719,""ro"",""es"")"),"a")</f>
        <v>a</v>
      </c>
    </row>
    <row r="9720">
      <c r="A9720" s="4">
        <v>72.0</v>
      </c>
      <c r="B9720" s="4" t="s">
        <v>19727</v>
      </c>
      <c r="C9720" s="4"/>
      <c r="D9720" s="4" t="s">
        <v>19877</v>
      </c>
      <c r="E9720" s="4" t="s">
        <v>19878</v>
      </c>
      <c r="F9720" s="4" t="s">
        <v>19877</v>
      </c>
      <c r="G9720" s="5" t="str">
        <f>IFERROR(__xludf.DUMMYFUNCTION("GOOGLETRANSLATE(D9720,""ro"",""es"")"),"útil")</f>
        <v>útil</v>
      </c>
      <c r="H9720" s="4" t="s">
        <v>19879</v>
      </c>
      <c r="I9720" s="4" t="s">
        <v>19880</v>
      </c>
      <c r="J9720" s="4" t="s">
        <v>19881</v>
      </c>
      <c r="K9720" s="4" t="s">
        <v>19882</v>
      </c>
      <c r="L9720" s="4" t="s">
        <v>19883</v>
      </c>
    </row>
    <row r="9721">
      <c r="A9721" s="4">
        <v>73.0</v>
      </c>
      <c r="B9721" s="4" t="s">
        <v>19727</v>
      </c>
      <c r="C9721" s="4"/>
      <c r="D9721" s="4" t="s">
        <v>19884</v>
      </c>
      <c r="E9721" s="4" t="s">
        <v>19885</v>
      </c>
      <c r="F9721" s="4" t="s">
        <v>19884</v>
      </c>
      <c r="G9721" s="5" t="str">
        <f>IFERROR(__xludf.DUMMYFUNCTION("GOOGLETRANSLATE(D9721,""ro"",""es"")"),"usable")</f>
        <v>usable</v>
      </c>
      <c r="H9721" s="4" t="s">
        <v>19620</v>
      </c>
      <c r="I9721" s="4" t="s">
        <v>1266</v>
      </c>
      <c r="J9721" s="4" t="s">
        <v>19621</v>
      </c>
      <c r="K9721" s="4" t="s">
        <v>9357</v>
      </c>
      <c r="L9721" s="4" t="s">
        <v>19886</v>
      </c>
      <c r="M9721" s="4" t="s">
        <v>19887</v>
      </c>
      <c r="N9721" s="4" t="s">
        <v>19888</v>
      </c>
    </row>
    <row r="9722">
      <c r="A9722" s="4">
        <v>74.0</v>
      </c>
      <c r="B9722" s="4" t="s">
        <v>19727</v>
      </c>
      <c r="C9722" s="4"/>
      <c r="D9722" s="4" t="s">
        <v>19889</v>
      </c>
      <c r="E9722" s="4" t="s">
        <v>4671</v>
      </c>
      <c r="F9722" s="4" t="s">
        <v>4672</v>
      </c>
      <c r="G9722" s="5" t="str">
        <f>IFERROR(__xludf.DUMMYFUNCTION("GOOGLETRANSLATE(D9722,""ro"",""es"")"),"a")</f>
        <v>a</v>
      </c>
      <c r="H9722" s="4" t="s">
        <v>11148</v>
      </c>
      <c r="I9722" s="4" t="s">
        <v>11149</v>
      </c>
      <c r="J9722" s="4" t="s">
        <v>11149</v>
      </c>
      <c r="K9722" s="4" t="s">
        <v>11150</v>
      </c>
      <c r="L9722" s="4" t="s">
        <v>11149</v>
      </c>
    </row>
    <row r="9723">
      <c r="A9723" s="4">
        <v>1.0</v>
      </c>
      <c r="B9723" s="4" t="s">
        <v>19890</v>
      </c>
      <c r="C9723" s="4"/>
      <c r="D9723" s="4" t="s">
        <v>19891</v>
      </c>
      <c r="E9723" s="4" t="s">
        <v>19892</v>
      </c>
      <c r="F9723" s="4" t="s">
        <v>19893</v>
      </c>
      <c r="G9723" s="5" t="str">
        <f>IFERROR(__xludf.DUMMYFUNCTION("GOOGLETRANSLATE(D9723,""ro"",""es"")"),"hogar")</f>
        <v>hogar</v>
      </c>
    </row>
    <row r="9724">
      <c r="A9724" s="4">
        <v>2.0</v>
      </c>
      <c r="B9724" s="4" t="s">
        <v>19890</v>
      </c>
      <c r="C9724" s="4"/>
      <c r="D9724" s="4" t="s">
        <v>19894</v>
      </c>
      <c r="E9724" s="4" t="s">
        <v>19895</v>
      </c>
      <c r="F9724" s="4" t="s">
        <v>19896</v>
      </c>
      <c r="G9724" s="5" t="str">
        <f>IFERROR(__xludf.DUMMYFUNCTION("GOOGLETRANSLATE(D9724,""ro"",""es"")"),"ahora")</f>
        <v>ahora</v>
      </c>
      <c r="H9724" s="4" t="s">
        <v>19897</v>
      </c>
      <c r="I9724" s="4" t="s">
        <v>19898</v>
      </c>
      <c r="J9724" s="4" t="s">
        <v>19899</v>
      </c>
      <c r="K9724" s="4" t="s">
        <v>19900</v>
      </c>
      <c r="L9724" s="4" t="s">
        <v>19901</v>
      </c>
      <c r="M9724" s="4" t="s">
        <v>19902</v>
      </c>
      <c r="N9724" s="4" t="s">
        <v>19903</v>
      </c>
      <c r="O9724" s="4" t="s">
        <v>819</v>
      </c>
      <c r="P9724" s="4" t="s">
        <v>19904</v>
      </c>
      <c r="Q9724" s="4" t="s">
        <v>19905</v>
      </c>
      <c r="R9724" s="4" t="s">
        <v>19906</v>
      </c>
      <c r="S9724" s="4" t="s">
        <v>19907</v>
      </c>
      <c r="T9724" s="4" t="s">
        <v>819</v>
      </c>
      <c r="U9724" s="4" t="s">
        <v>819</v>
      </c>
      <c r="V9724" s="4" t="s">
        <v>19908</v>
      </c>
      <c r="W9724" s="4" t="s">
        <v>819</v>
      </c>
      <c r="X9724" s="4" t="s">
        <v>819</v>
      </c>
      <c r="Y9724" s="4" t="s">
        <v>819</v>
      </c>
      <c r="Z9724" s="4" t="s">
        <v>19909</v>
      </c>
      <c r="AA9724" s="4" t="s">
        <v>819</v>
      </c>
      <c r="AB9724" s="4" t="s">
        <v>19910</v>
      </c>
      <c r="AC9724" s="4" t="s">
        <v>19911</v>
      </c>
    </row>
    <row r="9725">
      <c r="A9725" s="4">
        <v>3.0</v>
      </c>
      <c r="B9725" s="4" t="s">
        <v>19890</v>
      </c>
      <c r="C9725" s="4"/>
      <c r="D9725" s="4" t="s">
        <v>19912</v>
      </c>
      <c r="E9725" s="4" t="s">
        <v>19913</v>
      </c>
      <c r="F9725" s="4" t="s">
        <v>19914</v>
      </c>
      <c r="G9725" s="5" t="str">
        <f>IFERROR(__xludf.DUMMYFUNCTION("GOOGLETRANSLATE(D9725,""ro"",""es"")"),"batería")</f>
        <v>batería</v>
      </c>
    </row>
    <row r="9726">
      <c r="A9726" s="4">
        <v>4.0</v>
      </c>
      <c r="B9726" s="4" t="s">
        <v>19890</v>
      </c>
      <c r="C9726" s="4"/>
      <c r="D9726" s="4" t="s">
        <v>19915</v>
      </c>
      <c r="E9726" s="4" t="s">
        <v>19916</v>
      </c>
      <c r="F9726" s="4" t="s">
        <v>19917</v>
      </c>
      <c r="G9726" s="5" t="str">
        <f>IFERROR(__xludf.DUMMYFUNCTION("GOOGLETRANSLATE(D9726,""ro"",""es"")"),"batería")</f>
        <v>batería</v>
      </c>
    </row>
    <row r="9727">
      <c r="A9727" s="4">
        <v>5.0</v>
      </c>
      <c r="B9727" s="4" t="s">
        <v>19890</v>
      </c>
      <c r="C9727" s="4"/>
      <c r="D9727" s="4" t="s">
        <v>9262</v>
      </c>
      <c r="E9727" s="4" t="s">
        <v>11620</v>
      </c>
      <c r="F9727" s="4" t="s">
        <v>9262</v>
      </c>
      <c r="G9727" s="5" t="str">
        <f>IFERROR(__xludf.DUMMYFUNCTION("GOOGLETRANSLATE(D9727,""ro"",""es"")"),"Artículo")</f>
        <v>Artículo</v>
      </c>
    </row>
    <row r="9728">
      <c r="A9728" s="4">
        <v>6.0</v>
      </c>
      <c r="B9728" s="4" t="s">
        <v>19890</v>
      </c>
      <c r="C9728" s="4"/>
      <c r="D9728" s="4" t="s">
        <v>19918</v>
      </c>
      <c r="E9728" s="4" t="s">
        <v>19919</v>
      </c>
      <c r="F9728" s="4" t="s">
        <v>19918</v>
      </c>
      <c r="G9728" s="5" t="str">
        <f>IFERROR(__xludf.DUMMYFUNCTION("GOOGLETRANSLATE(D9728,""ro"",""es"")"),"calmar")</f>
        <v>calmar</v>
      </c>
    </row>
    <row r="9729">
      <c r="A9729" s="4">
        <v>7.0</v>
      </c>
      <c r="B9729" s="4" t="s">
        <v>19890</v>
      </c>
      <c r="C9729" s="4"/>
      <c r="D9729" s="4" t="s">
        <v>594</v>
      </c>
      <c r="E9729" s="4" t="s">
        <v>593</v>
      </c>
      <c r="F9729" s="4" t="s">
        <v>594</v>
      </c>
      <c r="G9729" s="5" t="str">
        <f>IFERROR(__xludf.DUMMYFUNCTION("GOOGLETRANSLATE(D9729,""ro"",""es"")"),"año")</f>
        <v>año</v>
      </c>
      <c r="H9729" s="4" t="s">
        <v>19920</v>
      </c>
      <c r="I9729" s="4" t="s">
        <v>17982</v>
      </c>
      <c r="J9729" s="4" t="s">
        <v>19921</v>
      </c>
      <c r="K9729" s="4" t="s">
        <v>19922</v>
      </c>
      <c r="L9729" s="4" t="s">
        <v>19923</v>
      </c>
      <c r="M9729" s="4" t="s">
        <v>736</v>
      </c>
      <c r="N9729" s="4" t="s">
        <v>19924</v>
      </c>
      <c r="O9729" s="4" t="s">
        <v>19925</v>
      </c>
      <c r="P9729" s="4" t="s">
        <v>19926</v>
      </c>
      <c r="Q9729" s="4" t="s">
        <v>19927</v>
      </c>
      <c r="R9729" s="4" t="s">
        <v>736</v>
      </c>
      <c r="S9729" s="4" t="s">
        <v>737</v>
      </c>
      <c r="T9729" s="4" t="s">
        <v>738</v>
      </c>
      <c r="U9729" s="4" t="s">
        <v>736</v>
      </c>
    </row>
    <row r="9730">
      <c r="A9730" s="4">
        <v>8.0</v>
      </c>
      <c r="B9730" s="4" t="s">
        <v>19890</v>
      </c>
      <c r="C9730" s="4"/>
      <c r="D9730" s="4" t="s">
        <v>622</v>
      </c>
      <c r="E9730" s="4" t="s">
        <v>623</v>
      </c>
      <c r="F9730" s="4" t="s">
        <v>622</v>
      </c>
      <c r="G9730" s="5" t="str">
        <f>IFERROR(__xludf.DUMMYFUNCTION("GOOGLETRANSLATE(D9730,""ro"",""es"")"),"anal")</f>
        <v>anal</v>
      </c>
    </row>
    <row r="9731">
      <c r="A9731" s="4">
        <v>9.0</v>
      </c>
      <c r="B9731" s="4" t="s">
        <v>19890</v>
      </c>
      <c r="C9731" s="4"/>
      <c r="D9731" s="4" t="s">
        <v>19928</v>
      </c>
      <c r="E9731" s="4" t="s">
        <v>19929</v>
      </c>
      <c r="F9731" s="4" t="s">
        <v>19928</v>
      </c>
      <c r="G9731" s="5" t="str">
        <f>IFERROR(__xludf.DUMMYFUNCTION("GOOGLETRANSLATE(D9731,""ro"",""es"")"),"aniquilar")</f>
        <v>aniquilar</v>
      </c>
      <c r="H9731" s="4" t="s">
        <v>2570</v>
      </c>
      <c r="I9731" s="4" t="s">
        <v>19930</v>
      </c>
      <c r="J9731" s="4" t="s">
        <v>19931</v>
      </c>
      <c r="K9731" s="4" t="s">
        <v>19932</v>
      </c>
      <c r="L9731" s="4" t="s">
        <v>3045</v>
      </c>
      <c r="M9731" s="4" t="s">
        <v>19933</v>
      </c>
      <c r="N9731" s="4" t="s">
        <v>19934</v>
      </c>
      <c r="O9731" s="4" t="s">
        <v>19935</v>
      </c>
      <c r="P9731" s="4" t="s">
        <v>19936</v>
      </c>
      <c r="Q9731" s="4" t="s">
        <v>8984</v>
      </c>
      <c r="R9731" s="4" t="s">
        <v>19937</v>
      </c>
    </row>
    <row r="9732">
      <c r="A9732" s="4">
        <v>10.0</v>
      </c>
      <c r="B9732" s="4" t="s">
        <v>19890</v>
      </c>
      <c r="C9732" s="4"/>
      <c r="D9732" s="4" t="s">
        <v>19938</v>
      </c>
      <c r="E9732" s="4" t="s">
        <v>11674</v>
      </c>
      <c r="F9732" s="4" t="s">
        <v>11675</v>
      </c>
      <c r="G9732" s="5" t="str">
        <f>IFERROR(__xludf.DUMMYFUNCTION("GOOGLETRANSLATE(D9732,""ro"",""es"")"),"años")</f>
        <v>años</v>
      </c>
    </row>
    <row r="9733">
      <c r="A9733" s="4">
        <v>11.0</v>
      </c>
      <c r="B9733" s="4" t="s">
        <v>19890</v>
      </c>
      <c r="C9733" s="4"/>
      <c r="D9733" s="4" t="s">
        <v>4750</v>
      </c>
      <c r="E9733" s="4" t="s">
        <v>4749</v>
      </c>
      <c r="F9733" s="4" t="s">
        <v>4750</v>
      </c>
      <c r="G9733" s="5" t="str">
        <f>IFERROR(__xludf.DUMMYFUNCTION("GOOGLETRANSLATE(D9733,""ro"",""es"")"),"animado")</f>
        <v>animado</v>
      </c>
    </row>
    <row r="9734">
      <c r="A9734" s="4">
        <v>12.0</v>
      </c>
      <c r="B9734" s="4" t="s">
        <v>19890</v>
      </c>
      <c r="C9734" s="4"/>
      <c r="D9734" s="4" t="s">
        <v>19939</v>
      </c>
      <c r="E9734" s="4" t="s">
        <v>19940</v>
      </c>
      <c r="F9734" s="4" t="s">
        <v>19941</v>
      </c>
      <c r="G9734" s="5" t="str">
        <f>IFERROR(__xludf.DUMMYFUNCTION("GOOGLETRANSLATE(D9734,""ro"",""es"")"),"animal en")</f>
        <v>animal en</v>
      </c>
    </row>
    <row r="9735">
      <c r="A9735" s="4">
        <v>13.0</v>
      </c>
      <c r="B9735" s="4" t="s">
        <v>19890</v>
      </c>
      <c r="C9735" s="4"/>
      <c r="D9735" s="4" t="s">
        <v>19942</v>
      </c>
      <c r="E9735" s="4" t="s">
        <v>19943</v>
      </c>
      <c r="F9735" s="4" t="s">
        <v>19942</v>
      </c>
      <c r="G9735" s="5" t="str">
        <f>IFERROR(__xludf.DUMMYFUNCTION("GOOGLETRANSLATE(D9735,""ro"",""es"")"),"animado")</f>
        <v>animado</v>
      </c>
    </row>
    <row r="9736">
      <c r="A9736" s="4">
        <v>14.0</v>
      </c>
      <c r="B9736" s="4" t="s">
        <v>19890</v>
      </c>
      <c r="C9736" s="4"/>
      <c r="D9736" s="4" t="s">
        <v>19944</v>
      </c>
      <c r="E9736" s="4" t="s">
        <v>19945</v>
      </c>
      <c r="F9736" s="4" t="s">
        <v>19946</v>
      </c>
      <c r="G9736" s="5" t="str">
        <f>IFERROR(__xludf.DUMMYFUNCTION("GOOGLETRANSLATE(D9736,""ro"",""es"")"),"Anii")</f>
        <v>Anii</v>
      </c>
    </row>
    <row r="9737">
      <c r="A9737" s="4">
        <v>15.0</v>
      </c>
      <c r="B9737" s="4" t="s">
        <v>19890</v>
      </c>
      <c r="C9737" s="4"/>
      <c r="D9737" s="4" t="s">
        <v>19947</v>
      </c>
      <c r="E9737" s="4" t="s">
        <v>19948</v>
      </c>
      <c r="F9737" s="4" t="s">
        <v>19947</v>
      </c>
      <c r="G9737" s="5" t="str">
        <f>IFERROR(__xludf.DUMMYFUNCTION("GOOGLETRANSLATE(D9737,""ro"",""es"")"),"cancelar")</f>
        <v>cancelar</v>
      </c>
    </row>
    <row r="9738">
      <c r="A9738" s="4">
        <v>16.0</v>
      </c>
      <c r="B9738" s="4" t="s">
        <v>19890</v>
      </c>
      <c r="C9738" s="4"/>
      <c r="D9738" s="4" t="s">
        <v>731</v>
      </c>
      <c r="E9738" s="4" t="s">
        <v>732</v>
      </c>
      <c r="F9738" s="4" t="s">
        <v>731</v>
      </c>
      <c r="G9738" s="5" t="str">
        <f>IFERROR(__xludf.DUMMYFUNCTION("GOOGLETRANSLATE(D9738,""ro"",""es"")"),"ano")</f>
        <v>ano</v>
      </c>
      <c r="H9738" s="4" t="s">
        <v>731</v>
      </c>
    </row>
    <row r="9739">
      <c r="A9739" s="4">
        <v>17.0</v>
      </c>
      <c r="B9739" s="4" t="s">
        <v>19890</v>
      </c>
      <c r="C9739" s="4"/>
      <c r="D9739" s="4" t="s">
        <v>19949</v>
      </c>
      <c r="E9739" s="4" t="s">
        <v>19950</v>
      </c>
      <c r="F9739" s="4" t="s">
        <v>19951</v>
      </c>
      <c r="G9739" s="5" t="str">
        <f>IFERROR(__xludf.DUMMYFUNCTION("GOOGLETRANSLATE(D9739,""ro"",""es"")"),"ano")</f>
        <v>ano</v>
      </c>
    </row>
    <row r="9740">
      <c r="A9740" s="4">
        <v>18.0</v>
      </c>
      <c r="B9740" s="4" t="s">
        <v>19890</v>
      </c>
      <c r="C9740" s="4"/>
      <c r="D9740" s="4" t="s">
        <v>19949</v>
      </c>
      <c r="E9740" s="4" t="s">
        <v>19952</v>
      </c>
      <c r="F9740" s="4" t="s">
        <v>19949</v>
      </c>
      <c r="G9740" s="5" t="str">
        <f>IFERROR(__xludf.DUMMYFUNCTION("GOOGLETRANSLATE(D9740,""ro"",""es"")"),"ano")</f>
        <v>ano</v>
      </c>
    </row>
    <row r="9741">
      <c r="A9741" s="4">
        <v>19.0</v>
      </c>
      <c r="B9741" s="4" t="s">
        <v>19890</v>
      </c>
      <c r="C9741" s="4"/>
      <c r="D9741" s="4" t="s">
        <v>19953</v>
      </c>
      <c r="E9741" s="4" t="s">
        <v>19954</v>
      </c>
      <c r="F9741" s="4" t="s">
        <v>19955</v>
      </c>
      <c r="G9741" s="5" t="str">
        <f>IFERROR(__xludf.DUMMYFUNCTION("GOOGLETRANSLATE(D9741,""ro"",""es"")"),"ano")</f>
        <v>ano</v>
      </c>
    </row>
    <row r="9742">
      <c r="A9742" s="4">
        <v>20.0</v>
      </c>
      <c r="B9742" s="4" t="s">
        <v>19890</v>
      </c>
      <c r="C9742" s="4"/>
      <c r="D9742" s="4" t="s">
        <v>755</v>
      </c>
      <c r="E9742" s="4" t="s">
        <v>756</v>
      </c>
      <c r="F9742" s="4" t="s">
        <v>755</v>
      </c>
      <c r="G9742" s="5" t="str">
        <f>IFERROR(__xludf.DUMMYFUNCTION("GOOGLETRANSLATE(D9742,""ro"",""es"")"),"el agua")</f>
        <v>el agua</v>
      </c>
    </row>
    <row r="9743">
      <c r="A9743" s="4">
        <v>21.0</v>
      </c>
      <c r="B9743" s="4" t="s">
        <v>19890</v>
      </c>
      <c r="C9743" s="4"/>
      <c r="D9743" s="4" t="s">
        <v>19956</v>
      </c>
      <c r="E9743" s="4" t="s">
        <v>19957</v>
      </c>
      <c r="F9743" s="4" t="s">
        <v>19958</v>
      </c>
      <c r="G9743" s="5" t="str">
        <f>IFERROR(__xludf.DUMMYFUNCTION("GOOGLETRANSLATE(D9743,""ro"",""es"")"),"Apui")</f>
        <v>Apui</v>
      </c>
    </row>
    <row r="9744">
      <c r="A9744" s="4">
        <v>22.0</v>
      </c>
      <c r="B9744" s="4" t="s">
        <v>19890</v>
      </c>
      <c r="C9744" s="4"/>
      <c r="D9744" s="4" t="s">
        <v>19959</v>
      </c>
      <c r="E9744" s="4" t="s">
        <v>19960</v>
      </c>
      <c r="F9744" s="4" t="s">
        <v>19959</v>
      </c>
      <c r="G9744" s="5" t="str">
        <f>IFERROR(__xludf.DUMMYFUNCTION("GOOGLETRANSLATE(D9744,""ro"",""es"")"),"bajar")</f>
        <v>bajar</v>
      </c>
    </row>
    <row r="9745">
      <c r="A9745" s="4">
        <v>23.0</v>
      </c>
      <c r="B9745" s="4" t="s">
        <v>19890</v>
      </c>
      <c r="C9745" s="4"/>
      <c r="D9745" s="4" t="s">
        <v>892</v>
      </c>
      <c r="E9745" s="4" t="s">
        <v>893</v>
      </c>
      <c r="F9745" s="4" t="s">
        <v>894</v>
      </c>
      <c r="G9745" s="5" t="str">
        <f>IFERROR(__xludf.DUMMYFUNCTION("GOOGLETRANSLATE(D9745,""ro"",""es"")"),"ataque")</f>
        <v>ataque</v>
      </c>
      <c r="H9745" s="4" t="s">
        <v>895</v>
      </c>
      <c r="I9745" s="4" t="s">
        <v>896</v>
      </c>
      <c r="J9745" s="4" t="s">
        <v>895</v>
      </c>
      <c r="K9745" s="4" t="s">
        <v>19961</v>
      </c>
      <c r="L9745" s="4" t="s">
        <v>19962</v>
      </c>
      <c r="M9745" s="4" t="s">
        <v>19963</v>
      </c>
      <c r="N9745" s="4" t="s">
        <v>895</v>
      </c>
      <c r="O9745" s="4" t="s">
        <v>900</v>
      </c>
      <c r="P9745" s="4" t="s">
        <v>901</v>
      </c>
      <c r="Q9745" s="4" t="s">
        <v>902</v>
      </c>
      <c r="R9745" s="4" t="s">
        <v>903</v>
      </c>
      <c r="S9745" s="4" t="s">
        <v>904</v>
      </c>
      <c r="T9745" s="4" t="s">
        <v>905</v>
      </c>
      <c r="U9745" s="4" t="s">
        <v>906</v>
      </c>
      <c r="V9745" s="4" t="s">
        <v>895</v>
      </c>
      <c r="W9745" s="4" t="s">
        <v>19962</v>
      </c>
      <c r="X9745" s="4" t="s">
        <v>648</v>
      </c>
      <c r="Y9745" s="4" t="s">
        <v>907</v>
      </c>
      <c r="Z9745" s="4" t="s">
        <v>895</v>
      </c>
      <c r="AA9745" s="4" t="s">
        <v>908</v>
      </c>
      <c r="AB9745" s="4" t="s">
        <v>909</v>
      </c>
      <c r="AC9745" s="4" t="s">
        <v>910</v>
      </c>
      <c r="AD9745" s="4" t="s">
        <v>7326</v>
      </c>
      <c r="AE9745" s="4" t="s">
        <v>895</v>
      </c>
      <c r="AF9745" s="4" t="s">
        <v>895</v>
      </c>
      <c r="AG9745" s="4" t="s">
        <v>11774</v>
      </c>
      <c r="AH9745" s="4" t="s">
        <v>11775</v>
      </c>
      <c r="AI9745" s="4" t="s">
        <v>11776</v>
      </c>
      <c r="AJ9745" s="4" t="s">
        <v>12240</v>
      </c>
      <c r="AK9745" s="4" t="s">
        <v>19964</v>
      </c>
      <c r="AL9745" s="4" t="s">
        <v>19965</v>
      </c>
      <c r="AM9745" s="4" t="s">
        <v>19966</v>
      </c>
      <c r="AN9745" s="4" t="s">
        <v>17449</v>
      </c>
      <c r="AO9745" s="4" t="s">
        <v>1266</v>
      </c>
      <c r="AP9745" s="4" t="s">
        <v>17450</v>
      </c>
    </row>
    <row r="9746">
      <c r="A9746" s="4">
        <v>24.0</v>
      </c>
      <c r="B9746" s="4" t="s">
        <v>19890</v>
      </c>
      <c r="C9746" s="4"/>
      <c r="D9746" s="4" t="s">
        <v>19967</v>
      </c>
      <c r="E9746" s="4" t="s">
        <v>19968</v>
      </c>
      <c r="F9746" s="4" t="s">
        <v>19969</v>
      </c>
      <c r="G9746" s="5" t="str">
        <f>IFERROR(__xludf.DUMMYFUNCTION("GOOGLETRANSLATE(D9746,""ro"",""es"")"),"ataque")</f>
        <v>ataque</v>
      </c>
      <c r="H9746" s="4" t="s">
        <v>895</v>
      </c>
      <c r="I9746" s="4" t="s">
        <v>2326</v>
      </c>
      <c r="J9746" s="4" t="s">
        <v>19970</v>
      </c>
      <c r="K9746" s="4" t="s">
        <v>9091</v>
      </c>
      <c r="L9746" s="4" t="s">
        <v>9092</v>
      </c>
      <c r="M9746" s="4" t="s">
        <v>9093</v>
      </c>
      <c r="N9746" s="4" t="s">
        <v>895</v>
      </c>
      <c r="O9746" s="4" t="s">
        <v>895</v>
      </c>
      <c r="P9746" s="4" t="s">
        <v>3618</v>
      </c>
      <c r="Q9746" s="4" t="s">
        <v>914</v>
      </c>
      <c r="R9746" s="4" t="s">
        <v>19971</v>
      </c>
      <c r="S9746" s="4" t="s">
        <v>19972</v>
      </c>
      <c r="T9746" s="4" t="s">
        <v>915</v>
      </c>
      <c r="U9746" s="4" t="s">
        <v>895</v>
      </c>
      <c r="V9746" s="4" t="s">
        <v>19973</v>
      </c>
      <c r="W9746" s="4" t="s">
        <v>895</v>
      </c>
      <c r="X9746" s="4" t="s">
        <v>914</v>
      </c>
      <c r="Y9746" s="4" t="s">
        <v>914</v>
      </c>
      <c r="Z9746" s="4" t="s">
        <v>915</v>
      </c>
      <c r="AA9746" s="4" t="s">
        <v>916</v>
      </c>
      <c r="AB9746" s="4" t="s">
        <v>895</v>
      </c>
      <c r="AC9746" s="4" t="s">
        <v>903</v>
      </c>
      <c r="AD9746" s="4" t="s">
        <v>856</v>
      </c>
      <c r="AE9746" s="4" t="s">
        <v>3491</v>
      </c>
      <c r="AF9746" s="4" t="s">
        <v>19974</v>
      </c>
    </row>
    <row r="9747">
      <c r="A9747" s="4">
        <v>25.0</v>
      </c>
      <c r="B9747" s="4" t="s">
        <v>19890</v>
      </c>
      <c r="C9747" s="4"/>
      <c r="D9747" s="4" t="s">
        <v>19975</v>
      </c>
      <c r="E9747" s="4" t="s">
        <v>19976</v>
      </c>
      <c r="F9747" s="4" t="s">
        <v>19977</v>
      </c>
      <c r="G9747" s="5" t="str">
        <f>IFERROR(__xludf.DUMMYFUNCTION("GOOGLETRANSLATE(D9747,""ro"",""es"")"),"estaban atacando")</f>
        <v>estaban atacando</v>
      </c>
    </row>
    <row r="9748">
      <c r="A9748" s="4">
        <v>26.0</v>
      </c>
      <c r="B9748" s="4" t="s">
        <v>19890</v>
      </c>
      <c r="C9748" s="4"/>
      <c r="D9748" s="4" t="s">
        <v>19978</v>
      </c>
      <c r="E9748" s="4" t="s">
        <v>19979</v>
      </c>
      <c r="F9748" s="4" t="s">
        <v>19980</v>
      </c>
      <c r="G9748" s="5" t="str">
        <f>IFERROR(__xludf.DUMMYFUNCTION("GOOGLETRANSLATE(D9748,""ro"",""es"")"),"ataque")</f>
        <v>ataque</v>
      </c>
    </row>
    <row r="9749">
      <c r="A9749" s="4">
        <v>27.0</v>
      </c>
      <c r="B9749" s="4" t="s">
        <v>19890</v>
      </c>
      <c r="C9749" s="4"/>
      <c r="D9749" s="4" t="s">
        <v>19981</v>
      </c>
      <c r="E9749" s="4" t="s">
        <v>11580</v>
      </c>
      <c r="F9749" s="4" t="s">
        <v>11581</v>
      </c>
      <c r="G9749" s="5" t="str">
        <f>IFERROR(__xludf.DUMMYFUNCTION("GOOGLETRANSLATE(D9749,""ro"",""es"")"),"asi que")</f>
        <v>asi que</v>
      </c>
      <c r="H9749" s="4" t="s">
        <v>19982</v>
      </c>
      <c r="I9749" s="4" t="s">
        <v>19983</v>
      </c>
      <c r="J9749" s="4" t="s">
        <v>8791</v>
      </c>
      <c r="K9749" s="4" t="s">
        <v>8791</v>
      </c>
      <c r="L9749" s="4" t="s">
        <v>8791</v>
      </c>
      <c r="M9749" s="4" t="s">
        <v>8791</v>
      </c>
      <c r="N9749" s="4" t="s">
        <v>4253</v>
      </c>
      <c r="O9749" s="4" t="s">
        <v>1262</v>
      </c>
      <c r="P9749" s="4" t="s">
        <v>19984</v>
      </c>
      <c r="Q9749" s="4" t="s">
        <v>9654</v>
      </c>
      <c r="R9749" s="4" t="s">
        <v>9655</v>
      </c>
      <c r="S9749" s="4" t="s">
        <v>13338</v>
      </c>
      <c r="T9749" s="4" t="s">
        <v>13339</v>
      </c>
      <c r="U9749" s="4" t="s">
        <v>13340</v>
      </c>
      <c r="V9749" s="4" t="s">
        <v>19985</v>
      </c>
      <c r="W9749" s="4" t="s">
        <v>19986</v>
      </c>
      <c r="X9749" s="4" t="s">
        <v>19987</v>
      </c>
      <c r="Y9749" s="4" t="s">
        <v>19988</v>
      </c>
      <c r="Z9749" s="4" t="s">
        <v>19989</v>
      </c>
      <c r="AA9749" s="4" t="s">
        <v>19990</v>
      </c>
    </row>
    <row r="9750">
      <c r="A9750" s="4">
        <v>28.0</v>
      </c>
      <c r="B9750" s="4" t="s">
        <v>19890</v>
      </c>
      <c r="C9750" s="4"/>
      <c r="D9750" s="4" t="s">
        <v>1123</v>
      </c>
      <c r="E9750" s="4" t="s">
        <v>1124</v>
      </c>
      <c r="F9750" s="4" t="s">
        <v>1125</v>
      </c>
      <c r="G9750" s="5" t="str">
        <f>IFERROR(__xludf.DUMMYFUNCTION("GOOGLETRANSLATE(D9750,""ro"",""es"")"),"Taza")</f>
        <v>Taza</v>
      </c>
    </row>
    <row r="9751">
      <c r="A9751" s="4">
        <v>29.0</v>
      </c>
      <c r="B9751" s="4" t="s">
        <v>19890</v>
      </c>
      <c r="C9751" s="4"/>
      <c r="D9751" s="4" t="s">
        <v>19991</v>
      </c>
      <c r="E9751" s="4" t="s">
        <v>19992</v>
      </c>
      <c r="F9751" s="4" t="s">
        <v>19993</v>
      </c>
      <c r="G9751" s="5" t="str">
        <f>IFERROR(__xludf.DUMMYFUNCTION("GOOGLETRANSLATE(D9751,""ro"",""es"")"),"calor")</f>
        <v>calor</v>
      </c>
    </row>
    <row r="9752">
      <c r="A9752" s="4">
        <v>30.0</v>
      </c>
      <c r="B9752" s="4" t="s">
        <v>19890</v>
      </c>
      <c r="C9752" s="4"/>
      <c r="D9752" s="4" t="s">
        <v>19994</v>
      </c>
      <c r="E9752" s="4" t="s">
        <v>19995</v>
      </c>
      <c r="F9752" s="4" t="s">
        <v>19996</v>
      </c>
      <c r="G9752" s="5" t="str">
        <f>IFERROR(__xludf.DUMMYFUNCTION("GOOGLETRANSLATE(D9752,""ro"",""es"")"),"capital")</f>
        <v>capital</v>
      </c>
    </row>
    <row r="9753">
      <c r="A9753" s="4">
        <v>31.0</v>
      </c>
      <c r="B9753" s="4" t="s">
        <v>19890</v>
      </c>
      <c r="C9753" s="4"/>
      <c r="D9753" s="4" t="s">
        <v>19997</v>
      </c>
      <c r="E9753" s="4" t="s">
        <v>11910</v>
      </c>
      <c r="F9753" s="4" t="s">
        <v>11911</v>
      </c>
      <c r="G9753" s="5" t="str">
        <f>IFERROR(__xludf.DUMMYFUNCTION("GOOGLETRANSLATE(D9753,""ro"",""es"")"),"capitular")</f>
        <v>capitular</v>
      </c>
      <c r="H9753" s="4" t="s">
        <v>15820</v>
      </c>
      <c r="I9753" s="4" t="s">
        <v>3347</v>
      </c>
      <c r="J9753" s="4" t="s">
        <v>19998</v>
      </c>
    </row>
    <row r="9754">
      <c r="A9754" s="4">
        <v>32.0</v>
      </c>
      <c r="B9754" s="4" t="s">
        <v>19890</v>
      </c>
      <c r="C9754" s="4"/>
      <c r="D9754" s="4" t="s">
        <v>19999</v>
      </c>
      <c r="E9754" s="4" t="s">
        <v>20000</v>
      </c>
      <c r="F9754" s="4" t="s">
        <v>20001</v>
      </c>
      <c r="G9754" s="5" t="str">
        <f>IFERROR(__xludf.DUMMYFUNCTION("GOOGLETRANSLATE(D9754,""ro"",""es"")"),"capituli")</f>
        <v>capituli</v>
      </c>
    </row>
    <row r="9755">
      <c r="A9755" s="4">
        <v>33.0</v>
      </c>
      <c r="B9755" s="4" t="s">
        <v>19890</v>
      </c>
      <c r="C9755" s="4"/>
      <c r="D9755" s="4" t="s">
        <v>20002</v>
      </c>
      <c r="E9755" s="4" t="s">
        <v>20003</v>
      </c>
      <c r="F9755" s="4" t="s">
        <v>20004</v>
      </c>
      <c r="G9755" s="5" t="str">
        <f>IFERROR(__xludf.DUMMYFUNCTION("GOOGLETRANSLATE(D9755,""ro"",""es"")"),"Rendición")</f>
        <v>Rendición</v>
      </c>
    </row>
    <row r="9756">
      <c r="A9756" s="4">
        <v>34.0</v>
      </c>
      <c r="B9756" s="4" t="s">
        <v>19890</v>
      </c>
      <c r="C9756" s="4"/>
      <c r="D9756" s="4" t="s">
        <v>20005</v>
      </c>
      <c r="E9756" s="4" t="s">
        <v>11913</v>
      </c>
      <c r="F9756" s="4" t="s">
        <v>9993</v>
      </c>
      <c r="G9756" s="5" t="str">
        <f>IFERROR(__xludf.DUMMYFUNCTION("GOOGLETRANSLATE(D9756,""ro"",""es"")"),"cabeza")</f>
        <v>cabeza</v>
      </c>
    </row>
    <row r="9757">
      <c r="A9757" s="4">
        <v>35.0</v>
      </c>
      <c r="B9757" s="4" t="s">
        <v>19890</v>
      </c>
      <c r="C9757" s="4"/>
      <c r="D9757" s="4" t="s">
        <v>20005</v>
      </c>
      <c r="E9757" s="4" t="s">
        <v>20006</v>
      </c>
      <c r="F9757" s="4" t="s">
        <v>20007</v>
      </c>
      <c r="G9757" s="5" t="str">
        <f>IFERROR(__xludf.DUMMYFUNCTION("GOOGLETRANSLATE(D9757,""ro"",""es"")"),"cabeza")</f>
        <v>cabeza</v>
      </c>
    </row>
    <row r="9758">
      <c r="A9758" s="4">
        <v>36.0</v>
      </c>
      <c r="B9758" s="4" t="s">
        <v>19890</v>
      </c>
      <c r="C9758" s="4"/>
      <c r="D9758" s="4" t="s">
        <v>20008</v>
      </c>
      <c r="E9758" s="4" t="s">
        <v>11943</v>
      </c>
      <c r="F9758" s="4" t="s">
        <v>11944</v>
      </c>
      <c r="G9758" s="5" t="str">
        <f>IFERROR(__xludf.DUMMYFUNCTION("GOOGLETRANSLATE(D9758,""ro"",""es"")"),"catalán")</f>
        <v>catalán</v>
      </c>
      <c r="H9758" s="4" t="s">
        <v>1350</v>
      </c>
    </row>
    <row r="9759">
      <c r="A9759" s="4">
        <v>37.0</v>
      </c>
      <c r="B9759" s="4" t="s">
        <v>19890</v>
      </c>
      <c r="C9759" s="4"/>
      <c r="D9759" s="4" t="s">
        <v>6090</v>
      </c>
      <c r="E9759" s="4" t="s">
        <v>14689</v>
      </c>
      <c r="F9759" s="4" t="s">
        <v>6092</v>
      </c>
      <c r="G9759" s="5" t="str">
        <f>IFERROR(__xludf.DUMMYFUNCTION("GOOGLETRANSLATE(D9759,""ro"",""es"")"),"Cómo")</f>
        <v>Cómo</v>
      </c>
      <c r="H9759" s="4" t="s">
        <v>20009</v>
      </c>
    </row>
    <row r="9760">
      <c r="A9760" s="4">
        <v>38.0</v>
      </c>
      <c r="B9760" s="4" t="s">
        <v>19890</v>
      </c>
      <c r="C9760" s="4"/>
      <c r="D9760" s="4" t="s">
        <v>20010</v>
      </c>
      <c r="E9760" s="4" t="s">
        <v>10155</v>
      </c>
      <c r="F9760" s="4" t="s">
        <v>10154</v>
      </c>
      <c r="G9760" s="5" t="str">
        <f>IFERROR(__xludf.DUMMYFUNCTION("GOOGLETRANSLATE(D9760,""ro"",""es"")"),"de coser")</f>
        <v>de coser</v>
      </c>
    </row>
    <row r="9761">
      <c r="A9761" s="4">
        <v>39.0</v>
      </c>
      <c r="B9761" s="4" t="s">
        <v>19890</v>
      </c>
      <c r="C9761" s="4"/>
      <c r="D9761" s="4" t="s">
        <v>16665</v>
      </c>
      <c r="E9761" s="4" t="s">
        <v>20011</v>
      </c>
      <c r="F9761" s="4" t="s">
        <v>4821</v>
      </c>
      <c r="G9761" s="5" t="str">
        <f>IFERROR(__xludf.DUMMYFUNCTION("GOOGLETRANSLATE(D9761,""ro"",""es"")"),"vamos")</f>
        <v>vamos</v>
      </c>
    </row>
    <row r="9762">
      <c r="A9762" s="4">
        <v>40.0</v>
      </c>
      <c r="B9762" s="4" t="s">
        <v>19890</v>
      </c>
      <c r="C9762" s="4"/>
      <c r="D9762" s="4" t="s">
        <v>20012</v>
      </c>
      <c r="E9762" s="4" t="s">
        <v>20013</v>
      </c>
      <c r="F9762" s="4" t="s">
        <v>20012</v>
      </c>
      <c r="G9762" s="5" t="str">
        <f>IFERROR(__xludf.DUMMYFUNCTION("GOOGLETRANSLATE(D9762,""ro"",""es"")"),"Halim")</f>
        <v>Halim</v>
      </c>
    </row>
    <row r="9763">
      <c r="A9763" s="4">
        <v>41.0</v>
      </c>
      <c r="B9763" s="4" t="s">
        <v>19890</v>
      </c>
      <c r="C9763" s="4"/>
      <c r="D9763" s="4" t="s">
        <v>12304</v>
      </c>
      <c r="E9763" s="4" t="s">
        <v>20014</v>
      </c>
      <c r="F9763" s="4" t="s">
        <v>17527</v>
      </c>
      <c r="G9763" s="5" t="str">
        <f>IFERROR(__xludf.DUMMYFUNCTION("GOOGLETRANSLATE(D9763,""ro"",""es"")"),"hamaca")</f>
        <v>hamaca</v>
      </c>
      <c r="H9763" s="4" t="s">
        <v>1784</v>
      </c>
      <c r="I9763" s="4" t="s">
        <v>1785</v>
      </c>
    </row>
    <row r="9764">
      <c r="A9764" s="4">
        <v>42.0</v>
      </c>
      <c r="B9764" s="4" t="s">
        <v>19890</v>
      </c>
      <c r="C9764" s="4"/>
      <c r="D9764" s="4" t="s">
        <v>20015</v>
      </c>
      <c r="E9764" s="4" t="s">
        <v>20016</v>
      </c>
      <c r="F9764" s="4" t="s">
        <v>20015</v>
      </c>
      <c r="G9764" s="5" t="str">
        <f>IFERROR(__xludf.DUMMYFUNCTION("GOOGLETRANSLATE(D9764,""ro"",""es"")"),"arcilla")</f>
        <v>arcilla</v>
      </c>
    </row>
    <row r="9765">
      <c r="A9765" s="4">
        <v>43.0</v>
      </c>
      <c r="B9765" s="4" t="s">
        <v>19890</v>
      </c>
      <c r="C9765" s="4"/>
      <c r="D9765" s="4" t="s">
        <v>20017</v>
      </c>
      <c r="E9765" s="4" t="s">
        <v>20018</v>
      </c>
      <c r="F9765" s="4" t="s">
        <v>20017</v>
      </c>
      <c r="G9765" s="5" t="str">
        <f>IFERROR(__xludf.DUMMYFUNCTION("GOOGLETRANSLATE(D9765,""ro"",""es"")"),"cubrir")</f>
        <v>cubrir</v>
      </c>
    </row>
    <row r="9766">
      <c r="A9766" s="4">
        <v>44.0</v>
      </c>
      <c r="B9766" s="4" t="s">
        <v>19890</v>
      </c>
      <c r="C9766" s="4"/>
      <c r="D9766" s="4" t="s">
        <v>20019</v>
      </c>
      <c r="E9766" s="4" t="s">
        <v>20020</v>
      </c>
      <c r="F9766" s="4" t="s">
        <v>20021</v>
      </c>
      <c r="G9766" s="5" t="str">
        <f>IFERROR(__xludf.DUMMYFUNCTION("GOOGLETRANSLATE(D9766,""ro"",""es"")"),"Encendiendo")</f>
        <v>Encendiendo</v>
      </c>
    </row>
    <row r="9767">
      <c r="A9767" s="4">
        <v>45.0</v>
      </c>
      <c r="B9767" s="4" t="s">
        <v>19890</v>
      </c>
      <c r="C9767" s="4"/>
      <c r="D9767" s="4" t="s">
        <v>20022</v>
      </c>
      <c r="E9767" s="4" t="s">
        <v>20023</v>
      </c>
      <c r="F9767" s="4" t="s">
        <v>20022</v>
      </c>
      <c r="G9767" s="5" t="str">
        <f>IFERROR(__xludf.DUMMYFUNCTION("GOOGLETRANSLATE(D9767,""ro"",""es"")"),"iluminar")</f>
        <v>iluminar</v>
      </c>
    </row>
    <row r="9768">
      <c r="A9768" s="4">
        <v>46.0</v>
      </c>
      <c r="B9768" s="4" t="s">
        <v>19890</v>
      </c>
      <c r="C9768" s="4"/>
      <c r="D9768" s="4" t="s">
        <v>20024</v>
      </c>
      <c r="E9768" s="4" t="s">
        <v>20025</v>
      </c>
      <c r="F9768" s="4" t="s">
        <v>20026</v>
      </c>
      <c r="G9768" s="5" t="str">
        <f>IFERROR(__xludf.DUMMYFUNCTION("GOOGLETRANSLATE(D9768,""ro"",""es"")"),"imai")</f>
        <v>imai</v>
      </c>
    </row>
    <row r="9769">
      <c r="A9769" s="4">
        <v>47.0</v>
      </c>
      <c r="B9769" s="4" t="s">
        <v>19890</v>
      </c>
      <c r="C9769" s="4"/>
      <c r="D9769" s="4" t="s">
        <v>20027</v>
      </c>
      <c r="E9769" s="4" t="s">
        <v>20028</v>
      </c>
      <c r="F9769" s="4" t="s">
        <v>20027</v>
      </c>
      <c r="G9769" s="5" t="str">
        <f>IFERROR(__xludf.DUMMYFUNCTION("GOOGLETRANSLATE(D9769,""ro"",""es"")"),"Jesús")</f>
        <v>Jesús</v>
      </c>
    </row>
    <row r="9770">
      <c r="A9770" s="4">
        <v>48.0</v>
      </c>
      <c r="B9770" s="4" t="s">
        <v>19890</v>
      </c>
      <c r="C9770" s="4"/>
      <c r="D9770" s="4" t="s">
        <v>16704</v>
      </c>
      <c r="E9770" s="4" t="s">
        <v>16705</v>
      </c>
      <c r="F9770" s="4" t="s">
        <v>16706</v>
      </c>
      <c r="G9770" s="5" t="str">
        <f>IFERROR(__xludf.DUMMYFUNCTION("GOOGLETRANSLATE(D9770,""ro"",""es"")"),"brecha")</f>
        <v>brecha</v>
      </c>
    </row>
    <row r="9771">
      <c r="A9771" s="4">
        <v>49.0</v>
      </c>
      <c r="B9771" s="4" t="s">
        <v>19890</v>
      </c>
      <c r="C9771" s="4"/>
      <c r="D9771" s="4" t="s">
        <v>4836</v>
      </c>
      <c r="E9771" s="4" t="s">
        <v>4837</v>
      </c>
      <c r="F9771" s="4" t="s">
        <v>4836</v>
      </c>
      <c r="G9771" s="5" t="str">
        <f>IFERROR(__xludf.DUMMYFUNCTION("GOOGLETRANSLATE(D9771,""ro"",""es"")"),"Justicia")</f>
        <v>Justicia</v>
      </c>
    </row>
    <row r="9772">
      <c r="A9772" s="4">
        <v>50.0</v>
      </c>
      <c r="B9772" s="4" t="s">
        <v>19890</v>
      </c>
      <c r="C9772" s="4"/>
      <c r="D9772" s="4" t="s">
        <v>2053</v>
      </c>
      <c r="E9772" s="4" t="s">
        <v>2052</v>
      </c>
      <c r="F9772" s="4" t="s">
        <v>2053</v>
      </c>
      <c r="G9772" s="5" t="str">
        <f>IFERROR(__xludf.DUMMYFUNCTION("GOOGLETRANSLATE(D9772,""ro"",""es"")"),"límite")</f>
        <v>límite</v>
      </c>
      <c r="H9772" s="4" t="s">
        <v>2055</v>
      </c>
      <c r="I9772" s="4" t="s">
        <v>2056</v>
      </c>
      <c r="J9772" s="4" t="s">
        <v>2057</v>
      </c>
      <c r="K9772" s="4" t="s">
        <v>2058</v>
      </c>
      <c r="L9772" s="4" t="s">
        <v>2059</v>
      </c>
      <c r="M9772" s="4" t="s">
        <v>2060</v>
      </c>
      <c r="N9772" s="4" t="s">
        <v>2061</v>
      </c>
      <c r="O9772" s="4" t="s">
        <v>20029</v>
      </c>
    </row>
    <row r="9773">
      <c r="A9773" s="4">
        <v>51.0</v>
      </c>
      <c r="B9773" s="4" t="s">
        <v>19890</v>
      </c>
      <c r="C9773" s="4"/>
      <c r="D9773" s="4" t="s">
        <v>20030</v>
      </c>
      <c r="E9773" s="4" t="s">
        <v>20031</v>
      </c>
      <c r="F9773" s="4" t="s">
        <v>20032</v>
      </c>
      <c r="G9773" s="5" t="str">
        <f>IFERROR(__xludf.DUMMYFUNCTION("GOOGLETRANSLATE(D9773,""ro"",""es"")"),"limitado")</f>
        <v>limitado</v>
      </c>
    </row>
    <row r="9774">
      <c r="A9774" s="4">
        <v>52.0</v>
      </c>
      <c r="B9774" s="4" t="s">
        <v>19890</v>
      </c>
      <c r="C9774" s="4"/>
      <c r="D9774" s="4" t="s">
        <v>20033</v>
      </c>
      <c r="E9774" s="4" t="s">
        <v>20034</v>
      </c>
      <c r="F9774" s="4" t="s">
        <v>20033</v>
      </c>
      <c r="G9774" s="5" t="str">
        <f>IFERROR(__xludf.DUMMYFUNCTION("GOOGLETRANSLATE(D9774,""ro"",""es"")"),"límite")</f>
        <v>límite</v>
      </c>
    </row>
    <row r="9775">
      <c r="A9775" s="4">
        <v>53.0</v>
      </c>
      <c r="B9775" s="4" t="s">
        <v>19890</v>
      </c>
      <c r="C9775" s="4"/>
      <c r="D9775" s="4" t="s">
        <v>12659</v>
      </c>
      <c r="E9775" s="4" t="s">
        <v>12658</v>
      </c>
      <c r="F9775" s="4" t="s">
        <v>12659</v>
      </c>
      <c r="G9775" s="5" t="str">
        <f>IFERROR(__xludf.DUMMYFUNCTION("GOOGLETRANSLATE(D9775,""ro"",""es"")"),"lobo")</f>
        <v>lobo</v>
      </c>
      <c r="H9775" s="4" t="s">
        <v>664</v>
      </c>
      <c r="I9775" s="4" t="s">
        <v>12650</v>
      </c>
      <c r="J9775" s="4" t="s">
        <v>12651</v>
      </c>
      <c r="K9775" s="4" t="s">
        <v>12652</v>
      </c>
      <c r="L9775" s="4" t="s">
        <v>12653</v>
      </c>
    </row>
    <row r="9776">
      <c r="A9776" s="4">
        <v>54.0</v>
      </c>
      <c r="B9776" s="4" t="s">
        <v>19890</v>
      </c>
      <c r="C9776" s="4"/>
      <c r="D9776" s="4" t="s">
        <v>15221</v>
      </c>
      <c r="E9776" s="4" t="s">
        <v>15222</v>
      </c>
      <c r="F9776" s="4" t="s">
        <v>15221</v>
      </c>
      <c r="G9776" s="5" t="str">
        <f>IFERROR(__xludf.DUMMYFUNCTION("GOOGLETRANSLATE(D9776,""ro"",""es"")"),"Masami")</f>
        <v>Masami</v>
      </c>
    </row>
    <row r="9777">
      <c r="A9777" s="4">
        <v>55.0</v>
      </c>
      <c r="B9777" s="4" t="s">
        <v>19890</v>
      </c>
      <c r="C9777" s="4"/>
      <c r="D9777" s="4" t="s">
        <v>20035</v>
      </c>
      <c r="E9777" s="4" t="s">
        <v>344</v>
      </c>
      <c r="F9777" s="4" t="s">
        <v>345</v>
      </c>
      <c r="G9777" s="5" t="str">
        <f>IFERROR(__xludf.DUMMYFUNCTION("GOOGLETRANSLATE(D9777,""ro"",""es"")"),"poco")</f>
        <v>poco</v>
      </c>
      <c r="H9777" s="4" t="s">
        <v>1841</v>
      </c>
      <c r="I9777" s="4" t="s">
        <v>13265</v>
      </c>
      <c r="J9777" s="4" t="s">
        <v>4704</v>
      </c>
      <c r="K9777" s="4" t="s">
        <v>1840</v>
      </c>
      <c r="L9777" s="4" t="s">
        <v>1841</v>
      </c>
      <c r="M9777" s="4" t="s">
        <v>13277</v>
      </c>
      <c r="N9777" s="4" t="s">
        <v>13278</v>
      </c>
      <c r="O9777" s="4" t="s">
        <v>13279</v>
      </c>
      <c r="P9777" s="4" t="s">
        <v>13265</v>
      </c>
      <c r="Q9777" s="4" t="s">
        <v>13281</v>
      </c>
      <c r="R9777" s="4" t="s">
        <v>1841</v>
      </c>
      <c r="S9777" s="4" t="s">
        <v>13281</v>
      </c>
      <c r="T9777" s="4" t="s">
        <v>20036</v>
      </c>
      <c r="U9777" s="4" t="s">
        <v>1840</v>
      </c>
      <c r="V9777" s="4" t="s">
        <v>1841</v>
      </c>
      <c r="W9777" s="4" t="s">
        <v>13265</v>
      </c>
      <c r="X9777" s="4" t="s">
        <v>1841</v>
      </c>
      <c r="Y9777" s="4" t="s">
        <v>1837</v>
      </c>
      <c r="Z9777" s="4" t="s">
        <v>1839</v>
      </c>
      <c r="AA9777" s="4" t="s">
        <v>1838</v>
      </c>
      <c r="AB9777" s="4" t="s">
        <v>1840</v>
      </c>
      <c r="AC9777" s="4" t="s">
        <v>1841</v>
      </c>
      <c r="AD9777" s="4" t="s">
        <v>933</v>
      </c>
      <c r="AE9777" s="4" t="s">
        <v>13265</v>
      </c>
      <c r="AF9777" s="4" t="s">
        <v>20037</v>
      </c>
      <c r="AG9777" s="4" t="s">
        <v>20038</v>
      </c>
      <c r="AH9777" s="4" t="s">
        <v>20039</v>
      </c>
      <c r="AI9777" s="4" t="s">
        <v>20040</v>
      </c>
      <c r="AJ9777" s="4" t="s">
        <v>20041</v>
      </c>
      <c r="AK9777" s="4" t="s">
        <v>20042</v>
      </c>
      <c r="AL9777" s="4" t="s">
        <v>7829</v>
      </c>
      <c r="AM9777" s="4" t="s">
        <v>7819</v>
      </c>
    </row>
    <row r="9778">
      <c r="A9778" s="4">
        <v>56.0</v>
      </c>
      <c r="B9778" s="4" t="s">
        <v>19890</v>
      </c>
      <c r="C9778" s="4"/>
      <c r="D9778" s="4" t="s">
        <v>2599</v>
      </c>
      <c r="E9778" s="4" t="s">
        <v>2600</v>
      </c>
      <c r="F9778" s="4" t="s">
        <v>2601</v>
      </c>
      <c r="G9778" s="5" t="str">
        <f>IFERROR(__xludf.DUMMYFUNCTION("GOOGLETRANSLATE(D9778,""ro"",""es"")"),"pequeña")</f>
        <v>pequeña</v>
      </c>
    </row>
    <row r="9779">
      <c r="A9779" s="4">
        <v>57.0</v>
      </c>
      <c r="B9779" s="4" t="s">
        <v>19890</v>
      </c>
      <c r="C9779" s="4"/>
      <c r="D9779" s="4" t="s">
        <v>20043</v>
      </c>
      <c r="E9779" s="4" t="s">
        <v>20044</v>
      </c>
      <c r="F9779" s="4" t="s">
        <v>20045</v>
      </c>
      <c r="G9779" s="5" t="str">
        <f>IFERROR(__xludf.DUMMYFUNCTION("GOOGLETRANSLATE(D9779,""ro"",""es"")"),"mihait")</f>
        <v>mihait</v>
      </c>
    </row>
    <row r="9780">
      <c r="A9780" s="4">
        <v>58.0</v>
      </c>
      <c r="B9780" s="4" t="s">
        <v>19890</v>
      </c>
      <c r="C9780" s="4"/>
      <c r="D9780" s="4" t="s">
        <v>2686</v>
      </c>
      <c r="E9780" s="4" t="s">
        <v>2685</v>
      </c>
      <c r="F9780" s="4" t="s">
        <v>2686</v>
      </c>
      <c r="G9780" s="5" t="str">
        <f>IFERROR(__xludf.DUMMYFUNCTION("GOOGLETRANSLATE(D9780,""ro"",""es"")"),"misericordia")</f>
        <v>misericordia</v>
      </c>
    </row>
    <row r="9781">
      <c r="A9781" s="4">
        <v>59.0</v>
      </c>
      <c r="B9781" s="4" t="s">
        <v>19890</v>
      </c>
      <c r="C9781" s="4"/>
      <c r="D9781" s="4" t="s">
        <v>20046</v>
      </c>
      <c r="E9781" s="4" t="s">
        <v>20047</v>
      </c>
      <c r="F9781" s="4" t="s">
        <v>20046</v>
      </c>
      <c r="G9781" s="5" t="str">
        <f>IFERROR(__xludf.DUMMYFUNCTION("GOOGLETRANSLATE(D9781,""ro"",""es"")"),"mumu")</f>
        <v>mumu</v>
      </c>
    </row>
    <row r="9782">
      <c r="A9782" s="4">
        <v>60.0</v>
      </c>
      <c r="B9782" s="4" t="s">
        <v>19890</v>
      </c>
      <c r="C9782" s="4"/>
      <c r="D9782" s="4" t="s">
        <v>20048</v>
      </c>
      <c r="E9782" s="4" t="s">
        <v>20049</v>
      </c>
      <c r="F9782" s="4" t="s">
        <v>20050</v>
      </c>
      <c r="G9782" s="5" t="str">
        <f>IFERROR(__xludf.DUMMYFUNCTION("GOOGLETRANSLATE(D9782,""ro"",""es"")"),"Muevete")</f>
        <v>Muevete</v>
      </c>
    </row>
    <row r="9783">
      <c r="A9783" s="4">
        <v>61.0</v>
      </c>
      <c r="B9783" s="4" t="s">
        <v>19890</v>
      </c>
      <c r="C9783" s="4"/>
      <c r="D9783" s="4" t="s">
        <v>20051</v>
      </c>
      <c r="E9783" s="4" t="s">
        <v>20052</v>
      </c>
      <c r="F9783" s="4" t="s">
        <v>20051</v>
      </c>
      <c r="G9783" s="5" t="str">
        <f>IFERROR(__xludf.DUMMYFUNCTION("GOOGLETRANSLATE(D9783,""ro"",""es"")"),"Muevete")</f>
        <v>Muevete</v>
      </c>
    </row>
    <row r="9784">
      <c r="A9784" s="4">
        <v>62.0</v>
      </c>
      <c r="B9784" s="4" t="s">
        <v>19890</v>
      </c>
      <c r="C9784" s="4"/>
      <c r="D9784" s="4" t="s">
        <v>20053</v>
      </c>
      <c r="E9784" s="4" t="s">
        <v>20054</v>
      </c>
      <c r="F9784" s="4" t="s">
        <v>20055</v>
      </c>
      <c r="G9784" s="5" t="str">
        <f>IFERROR(__xludf.DUMMYFUNCTION("GOOGLETRANSLATE(D9784,""ro"",""es"")"),"varilla")</f>
        <v>varilla</v>
      </c>
      <c r="H9784" s="4" t="s">
        <v>20056</v>
      </c>
      <c r="I9784" s="4" t="s">
        <v>7690</v>
      </c>
      <c r="J9784" s="4" t="s">
        <v>11871</v>
      </c>
      <c r="K9784" s="4" t="s">
        <v>20057</v>
      </c>
    </row>
    <row r="9785">
      <c r="A9785" s="4">
        <v>63.0</v>
      </c>
      <c r="B9785" s="4" t="s">
        <v>19890</v>
      </c>
      <c r="C9785" s="4"/>
      <c r="D9785" s="4" t="s">
        <v>20058</v>
      </c>
      <c r="E9785" s="4" t="s">
        <v>20059</v>
      </c>
      <c r="F9785" s="4" t="s">
        <v>20060</v>
      </c>
      <c r="G9785" s="5" t="str">
        <f>IFERROR(__xludf.DUMMYFUNCTION("GOOGLETRANSLATE(D9785,""ro"",""es"")"),"no más")</f>
        <v>no más</v>
      </c>
      <c r="H9785" s="4" t="s">
        <v>14898</v>
      </c>
      <c r="I9785" s="4" t="s">
        <v>14899</v>
      </c>
      <c r="J9785" s="4" t="s">
        <v>9656</v>
      </c>
      <c r="K9785" s="4" t="s">
        <v>4039</v>
      </c>
      <c r="L9785" s="4" t="s">
        <v>14900</v>
      </c>
      <c r="M9785" s="4" t="s">
        <v>4039</v>
      </c>
    </row>
    <row r="9786">
      <c r="A9786" s="4">
        <v>64.0</v>
      </c>
      <c r="B9786" s="4" t="s">
        <v>19890</v>
      </c>
      <c r="C9786" s="4"/>
      <c r="D9786" s="4" t="s">
        <v>20061</v>
      </c>
      <c r="E9786" s="4" t="s">
        <v>20062</v>
      </c>
      <c r="F9786" s="4" t="s">
        <v>20061</v>
      </c>
      <c r="G9786" s="5" t="str">
        <f>IFERROR(__xludf.DUMMYFUNCTION("GOOGLETRANSLATE(D9786,""ro"",""es"")"),"llamar")</f>
        <v>llamar</v>
      </c>
      <c r="H9786" s="4" t="s">
        <v>1009</v>
      </c>
      <c r="I9786" s="4" t="s">
        <v>1438</v>
      </c>
      <c r="J9786" s="4" t="s">
        <v>1438</v>
      </c>
      <c r="K9786" s="4" t="s">
        <v>8392</v>
      </c>
      <c r="L9786" s="4" t="s">
        <v>11354</v>
      </c>
      <c r="M9786" s="4" t="s">
        <v>4599</v>
      </c>
      <c r="N9786" s="4" t="s">
        <v>1438</v>
      </c>
      <c r="O9786" s="4" t="s">
        <v>1009</v>
      </c>
      <c r="P9786" s="4" t="s">
        <v>15990</v>
      </c>
      <c r="Q9786" s="4" t="s">
        <v>17190</v>
      </c>
      <c r="R9786" s="4" t="s">
        <v>20063</v>
      </c>
      <c r="S9786" s="4" t="s">
        <v>20064</v>
      </c>
      <c r="T9786" s="4" t="s">
        <v>20065</v>
      </c>
      <c r="U9786" s="4" t="s">
        <v>20063</v>
      </c>
      <c r="V9786" s="4" t="s">
        <v>20066</v>
      </c>
      <c r="W9786" s="4" t="s">
        <v>20067</v>
      </c>
      <c r="X9786" s="4" t="s">
        <v>1438</v>
      </c>
      <c r="Y9786" s="4" t="s">
        <v>2995</v>
      </c>
      <c r="Z9786" s="4" t="s">
        <v>3000</v>
      </c>
      <c r="AA9786" s="4" t="s">
        <v>2998</v>
      </c>
      <c r="AB9786" s="4" t="s">
        <v>917</v>
      </c>
    </row>
    <row r="9787">
      <c r="A9787" s="4">
        <v>65.0</v>
      </c>
      <c r="B9787" s="4" t="s">
        <v>19890</v>
      </c>
      <c r="C9787" s="4"/>
      <c r="D9787" s="4" t="s">
        <v>20068</v>
      </c>
      <c r="E9787" s="4" t="s">
        <v>20069</v>
      </c>
      <c r="F9787" s="4" t="s">
        <v>20068</v>
      </c>
      <c r="G9787" s="5" t="str">
        <f>IFERROR(__xludf.DUMMYFUNCTION("GOOGLETRANSLATE(D9787,""ro"",""es"")"),"llamar")</f>
        <v>llamar</v>
      </c>
    </row>
    <row r="9788">
      <c r="A9788" s="4">
        <v>66.0</v>
      </c>
      <c r="B9788" s="4" t="s">
        <v>19890</v>
      </c>
      <c r="C9788" s="4"/>
      <c r="D9788" s="4" t="s">
        <v>20070</v>
      </c>
      <c r="E9788" s="4" t="s">
        <v>20071</v>
      </c>
      <c r="F9788" s="4" t="s">
        <v>20070</v>
      </c>
      <c r="G9788" s="5" t="str">
        <f>IFERROR(__xludf.DUMMYFUNCTION("GOOGLETRANSLATE(D9788,""ro"",""es"")"),"nombrada")</f>
        <v>nombrada</v>
      </c>
    </row>
    <row r="9789">
      <c r="A9789" s="4">
        <v>67.0</v>
      </c>
      <c r="B9789" s="4" t="s">
        <v>19890</v>
      </c>
      <c r="C9789" s="4"/>
      <c r="D9789" s="4" t="s">
        <v>20072</v>
      </c>
      <c r="E9789" s="4" t="s">
        <v>20073</v>
      </c>
      <c r="F9789" s="4" t="s">
        <v>20074</v>
      </c>
      <c r="G9789" s="5" t="str">
        <f>IFERROR(__xludf.DUMMYFUNCTION("GOOGLETRANSLATE(D9789,""ro"",""es"")"),"dijo")</f>
        <v>dijo</v>
      </c>
    </row>
    <row r="9790">
      <c r="A9790" s="4">
        <v>68.0</v>
      </c>
      <c r="B9790" s="4" t="s">
        <v>19890</v>
      </c>
      <c r="C9790" s="4"/>
      <c r="D9790" s="4" t="s">
        <v>20072</v>
      </c>
      <c r="E9790" s="4" t="s">
        <v>20075</v>
      </c>
      <c r="F9790" s="4" t="s">
        <v>20072</v>
      </c>
      <c r="G9790" s="5" t="str">
        <f>IFERROR(__xludf.DUMMYFUNCTION("GOOGLETRANSLATE(D9790,""ro"",""es"")"),"dijo")</f>
        <v>dijo</v>
      </c>
    </row>
    <row r="9791">
      <c r="A9791" s="4">
        <v>69.0</v>
      </c>
      <c r="B9791" s="4" t="s">
        <v>19890</v>
      </c>
      <c r="C9791" s="4"/>
      <c r="D9791" s="4" t="s">
        <v>20076</v>
      </c>
      <c r="E9791" s="4" t="s">
        <v>20077</v>
      </c>
      <c r="F9791" s="4" t="s">
        <v>20078</v>
      </c>
      <c r="G9791" s="5" t="str">
        <f>IFERROR(__xludf.DUMMYFUNCTION("GOOGLETRANSLATE(D9791,""ro"",""es"")"),"el nombrado")</f>
        <v>el nombrado</v>
      </c>
    </row>
    <row r="9792">
      <c r="A9792" s="4">
        <v>70.0</v>
      </c>
      <c r="B9792" s="4" t="s">
        <v>19890</v>
      </c>
      <c r="C9792" s="4"/>
      <c r="D9792" s="4" t="s">
        <v>20079</v>
      </c>
      <c r="E9792" s="4" t="s">
        <v>20080</v>
      </c>
      <c r="F9792" s="4" t="s">
        <v>20079</v>
      </c>
      <c r="G9792" s="5" t="str">
        <f>IFERROR(__xludf.DUMMYFUNCTION("GOOGLETRANSLATE(D9792,""ro"",""es"")"),"No")</f>
        <v>No</v>
      </c>
    </row>
    <row r="9793">
      <c r="A9793" s="4">
        <v>71.0</v>
      </c>
      <c r="B9793" s="4" t="s">
        <v>19890</v>
      </c>
      <c r="C9793" s="4"/>
      <c r="D9793" s="4" t="s">
        <v>3147</v>
      </c>
      <c r="E9793" s="4" t="s">
        <v>3148</v>
      </c>
      <c r="F9793" s="4" t="s">
        <v>3147</v>
      </c>
      <c r="G9793" s="5" t="str">
        <f>IFERROR(__xludf.DUMMYFUNCTION("GOOGLETRANSLATE(D9793,""ro"",""es"")"),"adiós")</f>
        <v>adiós</v>
      </c>
      <c r="H9793" s="4" t="s">
        <v>20081</v>
      </c>
      <c r="I9793" s="4" t="s">
        <v>20082</v>
      </c>
      <c r="J9793" s="4" t="s">
        <v>20083</v>
      </c>
      <c r="K9793" s="4" t="s">
        <v>20084</v>
      </c>
      <c r="L9793" s="4" t="s">
        <v>20085</v>
      </c>
      <c r="M9793" s="4" t="s">
        <v>7111</v>
      </c>
      <c r="N9793" s="4" t="s">
        <v>20086</v>
      </c>
      <c r="O9793" s="4" t="s">
        <v>20087</v>
      </c>
      <c r="P9793" s="4" t="s">
        <v>20088</v>
      </c>
      <c r="Q9793" s="4" t="s">
        <v>20089</v>
      </c>
      <c r="R9793" s="4" t="s">
        <v>20090</v>
      </c>
      <c r="S9793" s="4" t="s">
        <v>20091</v>
      </c>
      <c r="T9793" s="4" t="s">
        <v>20092</v>
      </c>
      <c r="U9793" s="4" t="s">
        <v>20093</v>
      </c>
      <c r="V9793" s="4" t="s">
        <v>20094</v>
      </c>
      <c r="W9793" s="4" t="s">
        <v>20095</v>
      </c>
      <c r="X9793" s="4" t="s">
        <v>20096</v>
      </c>
    </row>
    <row r="9794">
      <c r="A9794" s="4">
        <v>72.0</v>
      </c>
      <c r="B9794" s="4" t="s">
        <v>19890</v>
      </c>
      <c r="C9794" s="4"/>
      <c r="D9794" s="4" t="s">
        <v>7088</v>
      </c>
      <c r="E9794" s="4" t="s">
        <v>13213</v>
      </c>
      <c r="F9794" s="4" t="s">
        <v>7088</v>
      </c>
      <c r="G9794" s="5" t="str">
        <f>IFERROR(__xludf.DUMMYFUNCTION("GOOGLETRANSLATE(D9794,""ro"",""es"")"),"pegar")</f>
        <v>pegar</v>
      </c>
      <c r="H9794" s="4" t="s">
        <v>15872</v>
      </c>
      <c r="I9794" s="4" t="s">
        <v>20097</v>
      </c>
    </row>
    <row r="9795">
      <c r="A9795" s="4">
        <v>73.0</v>
      </c>
      <c r="B9795" s="4" t="s">
        <v>19890</v>
      </c>
      <c r="C9795" s="4"/>
      <c r="D9795" s="4" t="s">
        <v>20098</v>
      </c>
      <c r="E9795" s="4" t="s">
        <v>18509</v>
      </c>
      <c r="F9795" s="4" t="s">
        <v>18510</v>
      </c>
      <c r="G9795" s="5" t="str">
        <f>IFERROR(__xludf.DUMMYFUNCTION("GOOGLETRANSLATE(D9795,""ro"",""es"")"),"pasar")</f>
        <v>pasar</v>
      </c>
    </row>
    <row r="9796">
      <c r="A9796" s="4">
        <v>74.0</v>
      </c>
      <c r="B9796" s="4" t="s">
        <v>19890</v>
      </c>
      <c r="C9796" s="4"/>
      <c r="D9796" s="4" t="s">
        <v>18513</v>
      </c>
      <c r="E9796" s="4" t="s">
        <v>18514</v>
      </c>
      <c r="F9796" s="4" t="s">
        <v>18513</v>
      </c>
      <c r="G9796" s="5" t="str">
        <f>IFERROR(__xludf.DUMMYFUNCTION("GOOGLETRANSLATE(D9796,""ro"",""es"")"),"pasado")</f>
        <v>pasado</v>
      </c>
    </row>
    <row r="9797">
      <c r="A9797" s="4">
        <v>75.0</v>
      </c>
      <c r="B9797" s="4" t="s">
        <v>19890</v>
      </c>
      <c r="C9797" s="4"/>
      <c r="D9797" s="4" t="s">
        <v>20099</v>
      </c>
      <c r="E9797" s="4" t="s">
        <v>238</v>
      </c>
      <c r="F9797" s="4" t="s">
        <v>239</v>
      </c>
      <c r="G9797" s="5" t="str">
        <f>IFERROR(__xludf.DUMMYFUNCTION("GOOGLETRANSLATE(D9797,""ro"",""es"")"),"espadas")</f>
        <v>espadas</v>
      </c>
    </row>
    <row r="9798">
      <c r="A9798" s="4">
        <v>76.0</v>
      </c>
      <c r="B9798" s="4" t="s">
        <v>19890</v>
      </c>
      <c r="C9798" s="4"/>
      <c r="D9798" s="4" t="s">
        <v>20100</v>
      </c>
      <c r="E9798" s="4" t="s">
        <v>20101</v>
      </c>
      <c r="F9798" s="4" t="s">
        <v>20102</v>
      </c>
      <c r="G9798" s="5" t="str">
        <f>IFERROR(__xludf.DUMMYFUNCTION("GOOGLETRANSLATE(D9798,""ro"",""es"")"),"selección")</f>
        <v>selección</v>
      </c>
    </row>
    <row r="9799">
      <c r="A9799" s="4">
        <v>77.0</v>
      </c>
      <c r="B9799" s="4" t="s">
        <v>19890</v>
      </c>
      <c r="C9799" s="4"/>
      <c r="D9799" s="4" t="s">
        <v>5504</v>
      </c>
      <c r="E9799" s="4" t="s">
        <v>5503</v>
      </c>
      <c r="F9799" s="4" t="s">
        <v>5504</v>
      </c>
      <c r="G9799" s="5" t="str">
        <f>IFERROR(__xludf.DUMMYFUNCTION("GOOGLETRANSLATE(D9799,""ro"",""es"")"),"pipí")</f>
        <v>pipí</v>
      </c>
      <c r="H9799" s="4" t="s">
        <v>10670</v>
      </c>
      <c r="I9799" s="4" t="s">
        <v>20103</v>
      </c>
      <c r="J9799" s="4" t="s">
        <v>20104</v>
      </c>
      <c r="K9799" s="4" t="s">
        <v>20105</v>
      </c>
    </row>
    <row r="9800">
      <c r="A9800" s="4">
        <v>78.0</v>
      </c>
      <c r="B9800" s="4" t="s">
        <v>19890</v>
      </c>
      <c r="C9800" s="4"/>
      <c r="D9800" s="4" t="s">
        <v>20106</v>
      </c>
      <c r="E9800" s="4" t="s">
        <v>20107</v>
      </c>
      <c r="F9800" s="4" t="s">
        <v>20108</v>
      </c>
      <c r="G9800" s="5" t="str">
        <f>IFERROR(__xludf.DUMMYFUNCTION("GOOGLETRANSLATE(D9800,""ro"",""es"")"),"moler")</f>
        <v>moler</v>
      </c>
    </row>
    <row r="9801">
      <c r="A9801" s="4">
        <v>79.0</v>
      </c>
      <c r="B9801" s="4" t="s">
        <v>19890</v>
      </c>
      <c r="C9801" s="4"/>
      <c r="D9801" s="4" t="s">
        <v>20109</v>
      </c>
      <c r="E9801" s="4" t="s">
        <v>20110</v>
      </c>
      <c r="F9801" s="4" t="s">
        <v>20109</v>
      </c>
      <c r="G9801" s="5" t="str">
        <f>IFERROR(__xludf.DUMMYFUNCTION("GOOGLETRANSLATE(D9801,""ro"",""es"")"),"mear sentado")</f>
        <v>mear sentado</v>
      </c>
    </row>
    <row r="9802">
      <c r="A9802" s="4">
        <v>80.0</v>
      </c>
      <c r="B9802" s="4" t="s">
        <v>19890</v>
      </c>
      <c r="C9802" s="4"/>
      <c r="D9802" s="4" t="s">
        <v>20111</v>
      </c>
      <c r="E9802" s="4" t="s">
        <v>20112</v>
      </c>
      <c r="F9802" s="4" t="s">
        <v>20113</v>
      </c>
      <c r="G9802" s="5" t="str">
        <f>IFERROR(__xludf.DUMMYFUNCTION("GOOGLETRANSLATE(D9802,""ro"",""es"")"),"enano")</f>
        <v>enano</v>
      </c>
      <c r="H9802" s="4" t="s">
        <v>2913</v>
      </c>
      <c r="I9802" s="4" t="s">
        <v>2914</v>
      </c>
      <c r="J9802" s="4" t="s">
        <v>2915</v>
      </c>
      <c r="K9802" s="4" t="s">
        <v>2916</v>
      </c>
      <c r="L9802" s="4" t="s">
        <v>2917</v>
      </c>
      <c r="M9802" s="4" t="s">
        <v>2918</v>
      </c>
      <c r="N9802" s="4" t="s">
        <v>2919</v>
      </c>
      <c r="O9802" s="4" t="s">
        <v>20114</v>
      </c>
      <c r="P9802" s="4" t="s">
        <v>933</v>
      </c>
      <c r="Q9802" s="4" t="s">
        <v>13265</v>
      </c>
      <c r="R9802" s="4" t="s">
        <v>20037</v>
      </c>
      <c r="S9802" s="4" t="s">
        <v>20038</v>
      </c>
      <c r="T9802" s="4" t="s">
        <v>20039</v>
      </c>
      <c r="U9802" s="4" t="s">
        <v>20040</v>
      </c>
      <c r="V9802" s="4" t="s">
        <v>20041</v>
      </c>
      <c r="W9802" s="4" t="s">
        <v>2921</v>
      </c>
      <c r="X9802" s="4" t="s">
        <v>2916</v>
      </c>
      <c r="Y9802" s="4" t="s">
        <v>2922</v>
      </c>
    </row>
    <row r="9803">
      <c r="A9803" s="4">
        <v>81.0</v>
      </c>
      <c r="B9803" s="4" t="s">
        <v>19890</v>
      </c>
      <c r="C9803" s="4"/>
      <c r="D9803" s="4" t="s">
        <v>20115</v>
      </c>
      <c r="E9803" s="4" t="s">
        <v>3594</v>
      </c>
      <c r="F9803" s="4" t="s">
        <v>3595</v>
      </c>
      <c r="G9803" s="5" t="str">
        <f>IFERROR(__xludf.DUMMYFUNCTION("GOOGLETRANSLATE(D9803,""ro"",""es"")"),"moler")</f>
        <v>moler</v>
      </c>
    </row>
    <row r="9804">
      <c r="A9804" s="4">
        <v>82.0</v>
      </c>
      <c r="B9804" s="4" t="s">
        <v>19890</v>
      </c>
      <c r="C9804" s="4"/>
      <c r="D9804" s="4" t="s">
        <v>20116</v>
      </c>
      <c r="E9804" s="4" t="s">
        <v>13416</v>
      </c>
      <c r="F9804" s="4" t="s">
        <v>13417</v>
      </c>
      <c r="G9804" s="5" t="str">
        <f>IFERROR(__xludf.DUMMYFUNCTION("GOOGLETRANSLATE(D9804,""ro"",""es"")"),"pollo")</f>
        <v>pollo</v>
      </c>
      <c r="H9804" s="4" t="s">
        <v>20117</v>
      </c>
      <c r="I9804" s="4" t="s">
        <v>8916</v>
      </c>
      <c r="J9804" s="4" t="s">
        <v>13276</v>
      </c>
      <c r="K9804" s="4" t="s">
        <v>2283</v>
      </c>
      <c r="L9804" s="4" t="s">
        <v>1583</v>
      </c>
      <c r="M9804" s="4" t="s">
        <v>14806</v>
      </c>
      <c r="N9804" s="4" t="s">
        <v>20118</v>
      </c>
      <c r="O9804" s="4" t="s">
        <v>11435</v>
      </c>
      <c r="P9804" s="4" t="s">
        <v>9966</v>
      </c>
      <c r="Q9804" s="4" t="s">
        <v>20119</v>
      </c>
      <c r="R9804" s="4" t="s">
        <v>13962</v>
      </c>
      <c r="S9804" s="4" t="s">
        <v>13963</v>
      </c>
      <c r="T9804" s="4" t="s">
        <v>13964</v>
      </c>
      <c r="U9804" s="4" t="s">
        <v>8491</v>
      </c>
      <c r="V9804" s="4" t="s">
        <v>5680</v>
      </c>
      <c r="W9804" s="4" t="s">
        <v>5681</v>
      </c>
      <c r="X9804" s="4" t="s">
        <v>5682</v>
      </c>
      <c r="Y9804" s="4" t="s">
        <v>5683</v>
      </c>
      <c r="Z9804" s="4" t="s">
        <v>5684</v>
      </c>
      <c r="AA9804" s="4" t="s">
        <v>5685</v>
      </c>
      <c r="AB9804" s="4" t="s">
        <v>5686</v>
      </c>
      <c r="AC9804" s="4" t="s">
        <v>14812</v>
      </c>
      <c r="AD9804" s="4" t="s">
        <v>14813</v>
      </c>
      <c r="AE9804" s="4" t="s">
        <v>4138</v>
      </c>
      <c r="AF9804" s="4" t="s">
        <v>14814</v>
      </c>
    </row>
    <row r="9805">
      <c r="A9805" s="4">
        <v>83.0</v>
      </c>
      <c r="B9805" s="4" t="s">
        <v>19890</v>
      </c>
      <c r="C9805" s="4"/>
      <c r="D9805" s="4" t="s">
        <v>3608</v>
      </c>
      <c r="E9805" s="4" t="s">
        <v>3607</v>
      </c>
      <c r="F9805" s="4" t="s">
        <v>3608</v>
      </c>
      <c r="G9805" s="5" t="str">
        <f>IFERROR(__xludf.DUMMYFUNCTION("GOOGLETRANSLATE(D9805,""ro"",""es"")"),"polla")</f>
        <v>polla</v>
      </c>
      <c r="H9805" s="4" t="s">
        <v>3608</v>
      </c>
    </row>
    <row r="9806">
      <c r="A9806" s="4">
        <v>84.0</v>
      </c>
      <c r="B9806" s="4" t="s">
        <v>19890</v>
      </c>
      <c r="C9806" s="4"/>
      <c r="D9806" s="4" t="s">
        <v>3703</v>
      </c>
      <c r="E9806" s="4" t="s">
        <v>3702</v>
      </c>
      <c r="F9806" s="4" t="s">
        <v>3703</v>
      </c>
      <c r="G9806" s="5" t="str">
        <f>IFERROR(__xludf.DUMMYFUNCTION("GOOGLETRANSLATE(D9806,""ro"",""es"")"),"poner")</f>
        <v>poner</v>
      </c>
      <c r="H9806" s="4" t="s">
        <v>20120</v>
      </c>
    </row>
    <row r="9807">
      <c r="A9807" s="4">
        <v>85.0</v>
      </c>
      <c r="B9807" s="4" t="s">
        <v>19890</v>
      </c>
      <c r="C9807" s="4"/>
      <c r="D9807" s="4" t="s">
        <v>16232</v>
      </c>
      <c r="E9807" s="4" t="s">
        <v>16233</v>
      </c>
      <c r="F9807" s="4" t="s">
        <v>16232</v>
      </c>
      <c r="G9807" s="5" t="str">
        <f>IFERROR(__xludf.DUMMYFUNCTION("GOOGLETRANSLATE(D9807,""ro"",""es"")"),"popa")</f>
        <v>popa</v>
      </c>
      <c r="H9807" s="4" t="s">
        <v>7005</v>
      </c>
      <c r="I9807" s="4" t="s">
        <v>1750</v>
      </c>
    </row>
    <row r="9808">
      <c r="A9808" s="4">
        <v>86.0</v>
      </c>
      <c r="B9808" s="4" t="s">
        <v>19890</v>
      </c>
      <c r="C9808" s="4"/>
      <c r="D9808" s="4" t="s">
        <v>20121</v>
      </c>
      <c r="E9808" s="4" t="s">
        <v>20122</v>
      </c>
      <c r="F9808" s="4" t="s">
        <v>20123</v>
      </c>
      <c r="G9808" s="5" t="str">
        <f>IFERROR(__xludf.DUMMYFUNCTION("GOOGLETRANSLATE(D9808,""ro"",""es"")"),"popa")</f>
        <v>popa</v>
      </c>
    </row>
    <row r="9809">
      <c r="A9809" s="4">
        <v>87.0</v>
      </c>
      <c r="B9809" s="4" t="s">
        <v>19890</v>
      </c>
      <c r="C9809" s="4"/>
      <c r="D9809" s="4" t="s">
        <v>20124</v>
      </c>
      <c r="E9809" s="4" t="s">
        <v>20125</v>
      </c>
      <c r="F9809" s="4" t="s">
        <v>20124</v>
      </c>
      <c r="G9809" s="5" t="str">
        <f>IFERROR(__xludf.DUMMYFUNCTION("GOOGLETRANSLATE(D9809,""ro"",""es"")"),"besos")</f>
        <v>besos</v>
      </c>
    </row>
    <row r="9810">
      <c r="A9810" s="4">
        <v>88.0</v>
      </c>
      <c r="B9810" s="4" t="s">
        <v>19890</v>
      </c>
      <c r="C9810" s="4"/>
      <c r="D9810" s="4" t="s">
        <v>3766</v>
      </c>
      <c r="E9810" s="4" t="s">
        <v>3767</v>
      </c>
      <c r="F9810" s="4" t="s">
        <v>3766</v>
      </c>
      <c r="G9810" s="5" t="str">
        <f>IFERROR(__xludf.DUMMYFUNCTION("GOOGLETRANSLATE(D9810,""ro"",""es"")"),"poner")</f>
        <v>poner</v>
      </c>
      <c r="H9810" s="4" t="s">
        <v>20126</v>
      </c>
    </row>
    <row r="9811">
      <c r="A9811" s="4">
        <v>89.0</v>
      </c>
      <c r="B9811" s="4" t="s">
        <v>19890</v>
      </c>
      <c r="C9811" s="4"/>
      <c r="D9811" s="4" t="s">
        <v>11051</v>
      </c>
      <c r="E9811" s="4" t="s">
        <v>11052</v>
      </c>
      <c r="F9811" s="4" t="s">
        <v>11051</v>
      </c>
      <c r="G9811" s="5" t="str">
        <f>IFERROR(__xludf.DUMMYFUNCTION("GOOGLETRANSLATE(D9811,""ro"",""es"")"),"pudo")</f>
        <v>pudo</v>
      </c>
    </row>
    <row r="9812">
      <c r="A9812" s="4">
        <v>90.0</v>
      </c>
      <c r="B9812" s="4" t="s">
        <v>19890</v>
      </c>
      <c r="C9812" s="4"/>
      <c r="D9812" s="4" t="s">
        <v>20127</v>
      </c>
      <c r="E9812" s="4" t="s">
        <v>20128</v>
      </c>
      <c r="F9812" s="4" t="s">
        <v>20129</v>
      </c>
      <c r="G9812" s="5" t="str">
        <f>IFERROR(__xludf.DUMMYFUNCTION("GOOGLETRANSLATE(D9812,""ro"",""es"")"),"bienvenidos")</f>
        <v>bienvenidos</v>
      </c>
    </row>
    <row r="9813">
      <c r="A9813" s="4">
        <v>91.0</v>
      </c>
      <c r="B9813" s="4" t="s">
        <v>19890</v>
      </c>
      <c r="C9813" s="4"/>
      <c r="D9813" s="4" t="s">
        <v>3951</v>
      </c>
      <c r="E9813" s="4" t="s">
        <v>3952</v>
      </c>
      <c r="F9813" s="4" t="s">
        <v>3951</v>
      </c>
      <c r="G9813" s="5" t="str">
        <f>IFERROR(__xludf.DUMMYFUNCTION("GOOGLETRANSLATE(D9813,""ro"",""es"")"),"savia")</f>
        <v>savia</v>
      </c>
    </row>
    <row r="9814">
      <c r="A9814" s="4">
        <v>92.0</v>
      </c>
      <c r="B9814" s="4" t="s">
        <v>19890</v>
      </c>
      <c r="C9814" s="4"/>
      <c r="D9814" s="4" t="s">
        <v>20130</v>
      </c>
      <c r="E9814" s="4" t="s">
        <v>20131</v>
      </c>
      <c r="F9814" s="4" t="s">
        <v>20132</v>
      </c>
      <c r="G9814" s="5" t="str">
        <f>IFERROR(__xludf.DUMMYFUNCTION("GOOGLETRANSLATE(D9814,""ro"",""es"")"),"simular")</f>
        <v>simular</v>
      </c>
    </row>
    <row r="9815">
      <c r="A9815" s="4">
        <v>93.0</v>
      </c>
      <c r="B9815" s="4" t="s">
        <v>19890</v>
      </c>
      <c r="C9815" s="4"/>
      <c r="D9815" s="4" t="s">
        <v>20133</v>
      </c>
      <c r="E9815" s="4" t="s">
        <v>20134</v>
      </c>
      <c r="F9815" s="4" t="s">
        <v>20133</v>
      </c>
      <c r="G9815" s="5" t="str">
        <f>IFERROR(__xludf.DUMMYFUNCTION("GOOGLETRANSLATE(D9815,""ro"",""es"")"),"simular")</f>
        <v>simular</v>
      </c>
    </row>
    <row r="9816">
      <c r="A9816" s="4">
        <v>94.0</v>
      </c>
      <c r="B9816" s="4" t="s">
        <v>19890</v>
      </c>
      <c r="C9816" s="4"/>
      <c r="D9816" s="4" t="s">
        <v>4108</v>
      </c>
      <c r="E9816" s="4" t="s">
        <v>4109</v>
      </c>
      <c r="F9816" s="4" t="s">
        <v>415</v>
      </c>
      <c r="G9816" s="5" t="str">
        <f>IFERROR(__xludf.DUMMYFUNCTION("GOOGLETRANSLATE(D9816,""ro"",""es"")"),"jugo")</f>
        <v>jugo</v>
      </c>
      <c r="H9816" s="4" t="s">
        <v>4110</v>
      </c>
      <c r="I9816" s="4" t="s">
        <v>14588</v>
      </c>
      <c r="J9816" s="4" t="s">
        <v>20135</v>
      </c>
      <c r="K9816" s="4" t="s">
        <v>20136</v>
      </c>
      <c r="L9816" s="4" t="s">
        <v>11308</v>
      </c>
      <c r="M9816" s="4" t="s">
        <v>4110</v>
      </c>
      <c r="N9816" s="4" t="s">
        <v>20137</v>
      </c>
      <c r="O9816" s="4" t="s">
        <v>20138</v>
      </c>
      <c r="P9816" s="4" t="s">
        <v>20139</v>
      </c>
      <c r="Q9816" s="4" t="s">
        <v>3951</v>
      </c>
    </row>
    <row r="9817">
      <c r="A9817" s="4">
        <v>95.0</v>
      </c>
      <c r="B9817" s="4" t="s">
        <v>19890</v>
      </c>
      <c r="C9817" s="4"/>
      <c r="D9817" s="4" t="s">
        <v>20140</v>
      </c>
      <c r="E9817" s="4" t="s">
        <v>20141</v>
      </c>
      <c r="F9817" s="4" t="s">
        <v>20140</v>
      </c>
      <c r="G9817" s="5" t="str">
        <f>IFERROR(__xludf.DUMMYFUNCTION("GOOGLETRANSLATE(D9817,""ro"",""es"")"),"tema")</f>
        <v>tema</v>
      </c>
    </row>
    <row r="9818">
      <c r="A9818" s="4">
        <v>96.0</v>
      </c>
      <c r="B9818" s="4" t="s">
        <v>19890</v>
      </c>
      <c r="C9818" s="4"/>
      <c r="D9818" s="4" t="s">
        <v>20142</v>
      </c>
      <c r="E9818" s="4" t="s">
        <v>13765</v>
      </c>
      <c r="F9818" s="4" t="s">
        <v>13766</v>
      </c>
      <c r="G9818" s="5" t="str">
        <f>IFERROR(__xludf.DUMMYFUNCTION("GOOGLETRANSLATE(D9818,""ro"",""es"")"),"su")</f>
        <v>su</v>
      </c>
      <c r="H9818" s="4" t="s">
        <v>13832</v>
      </c>
    </row>
    <row r="9819">
      <c r="A9819" s="4">
        <v>97.0</v>
      </c>
      <c r="B9819" s="4" t="s">
        <v>19890</v>
      </c>
      <c r="C9819" s="4"/>
      <c r="D9819" s="4" t="s">
        <v>20143</v>
      </c>
      <c r="E9819" s="4" t="s">
        <v>20144</v>
      </c>
      <c r="F9819" s="4" t="s">
        <v>20145</v>
      </c>
      <c r="G9819" s="5" t="str">
        <f>IFERROR(__xludf.DUMMYFUNCTION("GOOGLETRANSLATE(D9819,""ro"",""es"")"),"Tu atún")</f>
        <v>Tu atún</v>
      </c>
    </row>
    <row r="9820">
      <c r="A9820" s="4">
        <v>98.0</v>
      </c>
      <c r="B9820" s="4" t="s">
        <v>19890</v>
      </c>
      <c r="C9820" s="4"/>
      <c r="D9820" s="4" t="s">
        <v>20146</v>
      </c>
      <c r="E9820" s="4" t="s">
        <v>20147</v>
      </c>
      <c r="F9820" s="4" t="s">
        <v>20146</v>
      </c>
      <c r="G9820" s="5" t="str">
        <f>IFERROR(__xludf.DUMMYFUNCTION("GOOGLETRANSLATE(D9820,""ro"",""es"")"),"tsunami")</f>
        <v>tsunami</v>
      </c>
    </row>
    <row r="9821">
      <c r="A9821" s="4">
        <v>99.0</v>
      </c>
      <c r="B9821" s="4" t="s">
        <v>19890</v>
      </c>
      <c r="C9821" s="4"/>
      <c r="D9821" s="4" t="s">
        <v>1817</v>
      </c>
      <c r="E9821" s="4" t="s">
        <v>1816</v>
      </c>
      <c r="F9821" s="4" t="s">
        <v>1817</v>
      </c>
      <c r="G9821" s="5" t="str">
        <f>IFERROR(__xludf.DUMMYFUNCTION("GOOGLETRANSLATE(D9821,""ro"",""es"")"),"humano")</f>
        <v>humano</v>
      </c>
    </row>
    <row r="9822">
      <c r="A9822" s="4">
        <v>100.0</v>
      </c>
      <c r="B9822" s="4" t="s">
        <v>19890</v>
      </c>
      <c r="C9822" s="4"/>
      <c r="D9822" s="4" t="s">
        <v>20148</v>
      </c>
      <c r="E9822" s="4" t="s">
        <v>4785</v>
      </c>
      <c r="F9822" s="4" t="s">
        <v>4786</v>
      </c>
      <c r="G9822" s="5" t="str">
        <f>IFERROR(__xludf.DUMMYFUNCTION("GOOGLETRANSLATE(D9822,""ro"",""es"")"),"único")</f>
        <v>único</v>
      </c>
      <c r="H9822" s="4" t="s">
        <v>20149</v>
      </c>
      <c r="I9822" s="4" t="s">
        <v>20150</v>
      </c>
    </row>
    <row r="9823">
      <c r="A9823" s="4">
        <v>101.0</v>
      </c>
      <c r="B9823" s="4" t="s">
        <v>19890</v>
      </c>
      <c r="C9823" s="4"/>
      <c r="D9823" s="4" t="s">
        <v>20151</v>
      </c>
      <c r="E9823" s="4" t="s">
        <v>20152</v>
      </c>
      <c r="F9823" s="4" t="s">
        <v>20151</v>
      </c>
      <c r="G9823" s="5" t="str">
        <f>IFERROR(__xludf.DUMMYFUNCTION("GOOGLETRANSLATE(D9823,""ro"",""es"")"),"una")</f>
        <v>una</v>
      </c>
      <c r="H9823" s="4" t="s">
        <v>20153</v>
      </c>
    </row>
    <row r="9824">
      <c r="A9824" s="4">
        <v>102.0</v>
      </c>
      <c r="B9824" s="4" t="s">
        <v>19890</v>
      </c>
      <c r="C9824" s="4"/>
      <c r="D9824" s="4" t="s">
        <v>20154</v>
      </c>
      <c r="E9824" s="4" t="s">
        <v>20155</v>
      </c>
      <c r="F9824" s="4" t="s">
        <v>20156</v>
      </c>
      <c r="G9824" s="5" t="str">
        <f>IFERROR(__xludf.DUMMYFUNCTION("GOOGLETRANSLATE(D9824,""ro"",""es"")"),"puerta")</f>
        <v>puerta</v>
      </c>
    </row>
    <row r="9825">
      <c r="A9825" s="4">
        <v>103.0</v>
      </c>
      <c r="B9825" s="4" t="s">
        <v>19890</v>
      </c>
      <c r="C9825" s="4"/>
      <c r="D9825" s="4" t="s">
        <v>20157</v>
      </c>
      <c r="E9825" s="4" t="s">
        <v>11953</v>
      </c>
      <c r="F9825" s="4" t="s">
        <v>11954</v>
      </c>
      <c r="G9825" s="5" t="str">
        <f>IFERROR(__xludf.DUMMYFUNCTION("GOOGLETRANSLATE(D9825,""ro"",""es"")"),"chacal")</f>
        <v>chacal</v>
      </c>
      <c r="H9825" s="4" t="s">
        <v>11955</v>
      </c>
      <c r="I9825" s="4" t="s">
        <v>11956</v>
      </c>
      <c r="J9825" s="4" t="s">
        <v>20158</v>
      </c>
    </row>
    <row r="9826">
      <c r="A9826" s="4">
        <v>104.0</v>
      </c>
      <c r="B9826" s="4" t="s">
        <v>19890</v>
      </c>
      <c r="C9826" s="4"/>
      <c r="D9826" s="4" t="s">
        <v>20159</v>
      </c>
      <c r="E9826" s="4" t="s">
        <v>4680</v>
      </c>
      <c r="F9826" s="4" t="s">
        <v>4681</v>
      </c>
      <c r="G9826" s="5" t="str">
        <f>IFERROR(__xludf.DUMMYFUNCTION("GOOGLETRANSLATE(D9826,""ro"",""es"")"),"chal")</f>
        <v>chal</v>
      </c>
      <c r="H9826" s="4" t="s">
        <v>4682</v>
      </c>
    </row>
    <row r="9827">
      <c r="A9827" s="4">
        <v>105.0</v>
      </c>
      <c r="B9827" s="4" t="s">
        <v>19890</v>
      </c>
      <c r="C9827" s="4"/>
      <c r="D9827" s="4" t="s">
        <v>20160</v>
      </c>
      <c r="E9827" s="4" t="s">
        <v>277</v>
      </c>
      <c r="F9827" s="4" t="s">
        <v>278</v>
      </c>
      <c r="G9827" s="5" t="str">
        <f>IFERROR(__xludf.DUMMYFUNCTION("GOOGLETRANSLATE(D9827,""ro"",""es"")"),"y")</f>
        <v>y</v>
      </c>
      <c r="H9827" s="4" t="s">
        <v>8855</v>
      </c>
      <c r="I9827" s="4" t="s">
        <v>8851</v>
      </c>
      <c r="J9827" s="4" t="s">
        <v>8856</v>
      </c>
      <c r="K9827" s="4" t="s">
        <v>8857</v>
      </c>
      <c r="L9827" s="4" t="s">
        <v>8858</v>
      </c>
    </row>
    <row r="9828">
      <c r="A9828" s="4">
        <v>1.0</v>
      </c>
      <c r="B9828" s="4" t="s">
        <v>20161</v>
      </c>
      <c r="C9828" s="4"/>
      <c r="D9828" s="4" t="s">
        <v>19891</v>
      </c>
      <c r="E9828" s="4" t="s">
        <v>19892</v>
      </c>
      <c r="F9828" s="4" t="s">
        <v>19893</v>
      </c>
      <c r="G9828" s="5" t="str">
        <f>IFERROR(__xludf.DUMMYFUNCTION("GOOGLETRANSLATE(D9828,""ro"",""es"")"),"hogar")</f>
        <v>hogar</v>
      </c>
    </row>
    <row r="9829">
      <c r="A9829" s="4">
        <v>2.0</v>
      </c>
      <c r="B9829" s="4" t="s">
        <v>20161</v>
      </c>
      <c r="C9829" s="4"/>
      <c r="D9829" s="4" t="s">
        <v>19894</v>
      </c>
      <c r="E9829" s="4" t="s">
        <v>19895</v>
      </c>
      <c r="F9829" s="4" t="s">
        <v>19896</v>
      </c>
      <c r="G9829" s="5" t="str">
        <f>IFERROR(__xludf.DUMMYFUNCTION("GOOGLETRANSLATE(D9829,""ro"",""es"")"),"ahora")</f>
        <v>ahora</v>
      </c>
      <c r="H9829" s="4" t="s">
        <v>19897</v>
      </c>
      <c r="I9829" s="4" t="s">
        <v>19898</v>
      </c>
      <c r="J9829" s="4" t="s">
        <v>19899</v>
      </c>
      <c r="K9829" s="4" t="s">
        <v>19900</v>
      </c>
      <c r="L9829" s="4" t="s">
        <v>19901</v>
      </c>
      <c r="M9829" s="4" t="s">
        <v>19902</v>
      </c>
      <c r="N9829" s="4" t="s">
        <v>19903</v>
      </c>
      <c r="O9829" s="4" t="s">
        <v>819</v>
      </c>
      <c r="P9829" s="4" t="s">
        <v>19904</v>
      </c>
      <c r="Q9829" s="4" t="s">
        <v>19905</v>
      </c>
      <c r="R9829" s="4" t="s">
        <v>19906</v>
      </c>
      <c r="S9829" s="4" t="s">
        <v>19907</v>
      </c>
      <c r="T9829" s="4" t="s">
        <v>819</v>
      </c>
      <c r="U9829" s="4" t="s">
        <v>819</v>
      </c>
      <c r="V9829" s="4" t="s">
        <v>19908</v>
      </c>
      <c r="W9829" s="4" t="s">
        <v>819</v>
      </c>
      <c r="X9829" s="4" t="s">
        <v>819</v>
      </c>
      <c r="Y9829" s="4" t="s">
        <v>819</v>
      </c>
      <c r="Z9829" s="4" t="s">
        <v>19909</v>
      </c>
      <c r="AA9829" s="4" t="s">
        <v>819</v>
      </c>
      <c r="AB9829" s="4" t="s">
        <v>19910</v>
      </c>
      <c r="AC9829" s="4" t="s">
        <v>19911</v>
      </c>
    </row>
    <row r="9830">
      <c r="A9830" s="4">
        <v>3.0</v>
      </c>
      <c r="B9830" s="4" t="s">
        <v>20161</v>
      </c>
      <c r="C9830" s="4"/>
      <c r="D9830" s="4" t="s">
        <v>19912</v>
      </c>
      <c r="E9830" s="4" t="s">
        <v>19913</v>
      </c>
      <c r="F9830" s="4" t="s">
        <v>19914</v>
      </c>
      <c r="G9830" s="5" t="str">
        <f>IFERROR(__xludf.DUMMYFUNCTION("GOOGLETRANSLATE(D9830,""ro"",""es"")"),"batería")</f>
        <v>batería</v>
      </c>
    </row>
    <row r="9831">
      <c r="A9831" s="4">
        <v>4.0</v>
      </c>
      <c r="B9831" s="4" t="s">
        <v>20161</v>
      </c>
      <c r="C9831" s="4"/>
      <c r="D9831" s="4" t="s">
        <v>19915</v>
      </c>
      <c r="E9831" s="4" t="s">
        <v>19916</v>
      </c>
      <c r="F9831" s="4" t="s">
        <v>19917</v>
      </c>
      <c r="G9831" s="5" t="str">
        <f>IFERROR(__xludf.DUMMYFUNCTION("GOOGLETRANSLATE(D9831,""ro"",""es"")"),"batería")</f>
        <v>batería</v>
      </c>
    </row>
    <row r="9832">
      <c r="A9832" s="4">
        <v>5.0</v>
      </c>
      <c r="B9832" s="4" t="s">
        <v>20161</v>
      </c>
      <c r="C9832" s="4"/>
      <c r="D9832" s="4" t="s">
        <v>9262</v>
      </c>
      <c r="E9832" s="4" t="s">
        <v>11620</v>
      </c>
      <c r="F9832" s="4" t="s">
        <v>9262</v>
      </c>
      <c r="G9832" s="5" t="str">
        <f>IFERROR(__xludf.DUMMYFUNCTION("GOOGLETRANSLATE(D9832,""ro"",""es"")"),"Artículo")</f>
        <v>Artículo</v>
      </c>
    </row>
    <row r="9833">
      <c r="A9833" s="4">
        <v>6.0</v>
      </c>
      <c r="B9833" s="4" t="s">
        <v>20161</v>
      </c>
      <c r="C9833" s="4"/>
      <c r="D9833" s="4" t="s">
        <v>19918</v>
      </c>
      <c r="E9833" s="4" t="s">
        <v>19919</v>
      </c>
      <c r="F9833" s="4" t="s">
        <v>19918</v>
      </c>
      <c r="G9833" s="5" t="str">
        <f>IFERROR(__xludf.DUMMYFUNCTION("GOOGLETRANSLATE(D9833,""ro"",""es"")"),"calmar")</f>
        <v>calmar</v>
      </c>
    </row>
    <row r="9834">
      <c r="A9834" s="4">
        <v>7.0</v>
      </c>
      <c r="B9834" s="4" t="s">
        <v>20161</v>
      </c>
      <c r="C9834" s="4"/>
      <c r="D9834" s="4" t="s">
        <v>594</v>
      </c>
      <c r="E9834" s="4" t="s">
        <v>593</v>
      </c>
      <c r="F9834" s="4" t="s">
        <v>594</v>
      </c>
      <c r="G9834" s="5" t="str">
        <f>IFERROR(__xludf.DUMMYFUNCTION("GOOGLETRANSLATE(D9834,""ro"",""es"")"),"año")</f>
        <v>año</v>
      </c>
      <c r="H9834" s="4" t="s">
        <v>19920</v>
      </c>
      <c r="I9834" s="4" t="s">
        <v>17982</v>
      </c>
      <c r="J9834" s="4" t="s">
        <v>19921</v>
      </c>
      <c r="K9834" s="4" t="s">
        <v>19922</v>
      </c>
      <c r="L9834" s="4" t="s">
        <v>19923</v>
      </c>
      <c r="M9834" s="4" t="s">
        <v>736</v>
      </c>
      <c r="N9834" s="4" t="s">
        <v>19924</v>
      </c>
      <c r="O9834" s="4" t="s">
        <v>19925</v>
      </c>
      <c r="P9834" s="4" t="s">
        <v>19926</v>
      </c>
      <c r="Q9834" s="4" t="s">
        <v>19927</v>
      </c>
      <c r="R9834" s="4" t="s">
        <v>736</v>
      </c>
      <c r="S9834" s="4" t="s">
        <v>737</v>
      </c>
      <c r="T9834" s="4" t="s">
        <v>738</v>
      </c>
      <c r="U9834" s="4" t="s">
        <v>736</v>
      </c>
    </row>
    <row r="9835">
      <c r="A9835" s="4">
        <v>8.0</v>
      </c>
      <c r="B9835" s="4" t="s">
        <v>20161</v>
      </c>
      <c r="C9835" s="4"/>
      <c r="D9835" s="4" t="s">
        <v>622</v>
      </c>
      <c r="E9835" s="4" t="s">
        <v>623</v>
      </c>
      <c r="F9835" s="4" t="s">
        <v>622</v>
      </c>
      <c r="G9835" s="5" t="str">
        <f>IFERROR(__xludf.DUMMYFUNCTION("GOOGLETRANSLATE(D9835,""ro"",""es"")"),"anal")</f>
        <v>anal</v>
      </c>
    </row>
    <row r="9836">
      <c r="A9836" s="4">
        <v>9.0</v>
      </c>
      <c r="B9836" s="4" t="s">
        <v>20161</v>
      </c>
      <c r="C9836" s="4"/>
      <c r="D9836" s="4" t="s">
        <v>19928</v>
      </c>
      <c r="E9836" s="4" t="s">
        <v>19929</v>
      </c>
      <c r="F9836" s="4" t="s">
        <v>19928</v>
      </c>
      <c r="G9836" s="5" t="str">
        <f>IFERROR(__xludf.DUMMYFUNCTION("GOOGLETRANSLATE(D9836,""ro"",""es"")"),"aniquilar")</f>
        <v>aniquilar</v>
      </c>
      <c r="H9836" s="4" t="s">
        <v>2570</v>
      </c>
      <c r="I9836" s="4" t="s">
        <v>19930</v>
      </c>
      <c r="J9836" s="4" t="s">
        <v>19931</v>
      </c>
      <c r="K9836" s="4" t="s">
        <v>19932</v>
      </c>
      <c r="L9836" s="4" t="s">
        <v>3045</v>
      </c>
      <c r="M9836" s="4" t="s">
        <v>19933</v>
      </c>
      <c r="N9836" s="4" t="s">
        <v>19934</v>
      </c>
      <c r="O9836" s="4" t="s">
        <v>19935</v>
      </c>
      <c r="P9836" s="4" t="s">
        <v>19936</v>
      </c>
      <c r="Q9836" s="4" t="s">
        <v>8984</v>
      </c>
      <c r="R9836" s="4" t="s">
        <v>19937</v>
      </c>
    </row>
    <row r="9837">
      <c r="A9837" s="4">
        <v>10.0</v>
      </c>
      <c r="B9837" s="4" t="s">
        <v>20161</v>
      </c>
      <c r="C9837" s="4"/>
      <c r="D9837" s="4" t="s">
        <v>19938</v>
      </c>
      <c r="E9837" s="4" t="s">
        <v>11674</v>
      </c>
      <c r="F9837" s="4" t="s">
        <v>11675</v>
      </c>
      <c r="G9837" s="5" t="str">
        <f>IFERROR(__xludf.DUMMYFUNCTION("GOOGLETRANSLATE(D9837,""ro"",""es"")"),"años")</f>
        <v>años</v>
      </c>
    </row>
    <row r="9838">
      <c r="A9838" s="4">
        <v>11.0</v>
      </c>
      <c r="B9838" s="4" t="s">
        <v>20161</v>
      </c>
      <c r="C9838" s="4"/>
      <c r="D9838" s="4" t="s">
        <v>4750</v>
      </c>
      <c r="E9838" s="4" t="s">
        <v>4749</v>
      </c>
      <c r="F9838" s="4" t="s">
        <v>4750</v>
      </c>
      <c r="G9838" s="5" t="str">
        <f>IFERROR(__xludf.DUMMYFUNCTION("GOOGLETRANSLATE(D9838,""ro"",""es"")"),"animado")</f>
        <v>animado</v>
      </c>
    </row>
    <row r="9839">
      <c r="A9839" s="4">
        <v>12.0</v>
      </c>
      <c r="B9839" s="4" t="s">
        <v>20161</v>
      </c>
      <c r="C9839" s="4"/>
      <c r="D9839" s="4" t="s">
        <v>19939</v>
      </c>
      <c r="E9839" s="4" t="s">
        <v>19940</v>
      </c>
      <c r="F9839" s="4" t="s">
        <v>19941</v>
      </c>
      <c r="G9839" s="5" t="str">
        <f>IFERROR(__xludf.DUMMYFUNCTION("GOOGLETRANSLATE(D9839,""ro"",""es"")"),"animal en")</f>
        <v>animal en</v>
      </c>
    </row>
    <row r="9840">
      <c r="A9840" s="4">
        <v>13.0</v>
      </c>
      <c r="B9840" s="4" t="s">
        <v>20161</v>
      </c>
      <c r="C9840" s="4"/>
      <c r="D9840" s="4" t="s">
        <v>19942</v>
      </c>
      <c r="E9840" s="4" t="s">
        <v>19943</v>
      </c>
      <c r="F9840" s="4" t="s">
        <v>19942</v>
      </c>
      <c r="G9840" s="5" t="str">
        <f>IFERROR(__xludf.DUMMYFUNCTION("GOOGLETRANSLATE(D9840,""ro"",""es"")"),"animado")</f>
        <v>animado</v>
      </c>
    </row>
    <row r="9841">
      <c r="A9841" s="4">
        <v>14.0</v>
      </c>
      <c r="B9841" s="4" t="s">
        <v>20161</v>
      </c>
      <c r="C9841" s="4"/>
      <c r="D9841" s="4" t="s">
        <v>19944</v>
      </c>
      <c r="E9841" s="4" t="s">
        <v>19945</v>
      </c>
      <c r="F9841" s="4" t="s">
        <v>19946</v>
      </c>
      <c r="G9841" s="5" t="str">
        <f>IFERROR(__xludf.DUMMYFUNCTION("GOOGLETRANSLATE(D9841,""ro"",""es"")"),"Anii")</f>
        <v>Anii</v>
      </c>
    </row>
    <row r="9842">
      <c r="A9842" s="4">
        <v>15.0</v>
      </c>
      <c r="B9842" s="4" t="s">
        <v>20161</v>
      </c>
      <c r="C9842" s="4"/>
      <c r="D9842" s="4" t="s">
        <v>19947</v>
      </c>
      <c r="E9842" s="4" t="s">
        <v>19948</v>
      </c>
      <c r="F9842" s="4" t="s">
        <v>19947</v>
      </c>
      <c r="G9842" s="5" t="str">
        <f>IFERROR(__xludf.DUMMYFUNCTION("GOOGLETRANSLATE(D9842,""ro"",""es"")"),"cancelar")</f>
        <v>cancelar</v>
      </c>
    </row>
    <row r="9843">
      <c r="A9843" s="4">
        <v>16.0</v>
      </c>
      <c r="B9843" s="4" t="s">
        <v>20161</v>
      </c>
      <c r="C9843" s="4"/>
      <c r="D9843" s="4" t="s">
        <v>731</v>
      </c>
      <c r="E9843" s="4" t="s">
        <v>732</v>
      </c>
      <c r="F9843" s="4" t="s">
        <v>731</v>
      </c>
      <c r="G9843" s="5" t="str">
        <f>IFERROR(__xludf.DUMMYFUNCTION("GOOGLETRANSLATE(D9843,""ro"",""es"")"),"ano")</f>
        <v>ano</v>
      </c>
      <c r="H9843" s="4" t="s">
        <v>731</v>
      </c>
    </row>
    <row r="9844">
      <c r="A9844" s="4">
        <v>17.0</v>
      </c>
      <c r="B9844" s="4" t="s">
        <v>20161</v>
      </c>
      <c r="C9844" s="4"/>
      <c r="D9844" s="4" t="s">
        <v>19949</v>
      </c>
      <c r="E9844" s="4" t="s">
        <v>19950</v>
      </c>
      <c r="F9844" s="4" t="s">
        <v>19951</v>
      </c>
      <c r="G9844" s="5" t="str">
        <f>IFERROR(__xludf.DUMMYFUNCTION("GOOGLETRANSLATE(D9844,""ro"",""es"")"),"ano")</f>
        <v>ano</v>
      </c>
    </row>
    <row r="9845">
      <c r="A9845" s="4">
        <v>18.0</v>
      </c>
      <c r="B9845" s="4" t="s">
        <v>20161</v>
      </c>
      <c r="C9845" s="4"/>
      <c r="D9845" s="4" t="s">
        <v>19949</v>
      </c>
      <c r="E9845" s="4" t="s">
        <v>19952</v>
      </c>
      <c r="F9845" s="4" t="s">
        <v>19949</v>
      </c>
      <c r="G9845" s="5" t="str">
        <f>IFERROR(__xludf.DUMMYFUNCTION("GOOGLETRANSLATE(D9845,""ro"",""es"")"),"ano")</f>
        <v>ano</v>
      </c>
    </row>
    <row r="9846">
      <c r="A9846" s="4">
        <v>19.0</v>
      </c>
      <c r="B9846" s="4" t="s">
        <v>20161</v>
      </c>
      <c r="C9846" s="4"/>
      <c r="D9846" s="4" t="s">
        <v>19953</v>
      </c>
      <c r="E9846" s="4" t="s">
        <v>19954</v>
      </c>
      <c r="F9846" s="4" t="s">
        <v>19955</v>
      </c>
      <c r="G9846" s="5" t="str">
        <f>IFERROR(__xludf.DUMMYFUNCTION("GOOGLETRANSLATE(D9846,""ro"",""es"")"),"ano")</f>
        <v>ano</v>
      </c>
    </row>
    <row r="9847">
      <c r="A9847" s="4">
        <v>20.0</v>
      </c>
      <c r="B9847" s="4" t="s">
        <v>20161</v>
      </c>
      <c r="C9847" s="4"/>
      <c r="D9847" s="4" t="s">
        <v>755</v>
      </c>
      <c r="E9847" s="4" t="s">
        <v>756</v>
      </c>
      <c r="F9847" s="4" t="s">
        <v>755</v>
      </c>
      <c r="G9847" s="5" t="str">
        <f>IFERROR(__xludf.DUMMYFUNCTION("GOOGLETRANSLATE(D9847,""ro"",""es"")"),"el agua")</f>
        <v>el agua</v>
      </c>
    </row>
    <row r="9848">
      <c r="A9848" s="4">
        <v>21.0</v>
      </c>
      <c r="B9848" s="4" t="s">
        <v>20161</v>
      </c>
      <c r="C9848" s="4"/>
      <c r="D9848" s="4" t="s">
        <v>19956</v>
      </c>
      <c r="E9848" s="4" t="s">
        <v>19957</v>
      </c>
      <c r="F9848" s="4" t="s">
        <v>19958</v>
      </c>
      <c r="G9848" s="5" t="str">
        <f>IFERROR(__xludf.DUMMYFUNCTION("GOOGLETRANSLATE(D9848,""ro"",""es"")"),"Apui")</f>
        <v>Apui</v>
      </c>
    </row>
    <row r="9849">
      <c r="A9849" s="4">
        <v>22.0</v>
      </c>
      <c r="B9849" s="4" t="s">
        <v>20161</v>
      </c>
      <c r="C9849" s="4"/>
      <c r="D9849" s="4" t="s">
        <v>19959</v>
      </c>
      <c r="E9849" s="4" t="s">
        <v>19960</v>
      </c>
      <c r="F9849" s="4" t="s">
        <v>19959</v>
      </c>
      <c r="G9849" s="5" t="str">
        <f>IFERROR(__xludf.DUMMYFUNCTION("GOOGLETRANSLATE(D9849,""ro"",""es"")"),"bajar")</f>
        <v>bajar</v>
      </c>
    </row>
    <row r="9850">
      <c r="A9850" s="4">
        <v>23.0</v>
      </c>
      <c r="B9850" s="4" t="s">
        <v>20161</v>
      </c>
      <c r="C9850" s="4"/>
      <c r="D9850" s="4" t="s">
        <v>892</v>
      </c>
      <c r="E9850" s="4" t="s">
        <v>893</v>
      </c>
      <c r="F9850" s="4" t="s">
        <v>894</v>
      </c>
      <c r="G9850" s="5" t="str">
        <f>IFERROR(__xludf.DUMMYFUNCTION("GOOGLETRANSLATE(D9850,""ro"",""es"")"),"ataque")</f>
        <v>ataque</v>
      </c>
      <c r="H9850" s="4" t="s">
        <v>895</v>
      </c>
      <c r="I9850" s="4" t="s">
        <v>896</v>
      </c>
      <c r="J9850" s="4" t="s">
        <v>895</v>
      </c>
      <c r="K9850" s="4" t="s">
        <v>19961</v>
      </c>
      <c r="L9850" s="4" t="s">
        <v>19962</v>
      </c>
      <c r="M9850" s="4" t="s">
        <v>19963</v>
      </c>
      <c r="N9850" s="4" t="s">
        <v>895</v>
      </c>
      <c r="O9850" s="4" t="s">
        <v>900</v>
      </c>
      <c r="P9850" s="4" t="s">
        <v>901</v>
      </c>
      <c r="Q9850" s="4" t="s">
        <v>902</v>
      </c>
      <c r="R9850" s="4" t="s">
        <v>903</v>
      </c>
      <c r="S9850" s="4" t="s">
        <v>904</v>
      </c>
      <c r="T9850" s="4" t="s">
        <v>905</v>
      </c>
      <c r="U9850" s="4" t="s">
        <v>906</v>
      </c>
      <c r="V9850" s="4" t="s">
        <v>895</v>
      </c>
      <c r="W9850" s="4" t="s">
        <v>19962</v>
      </c>
      <c r="X9850" s="4" t="s">
        <v>648</v>
      </c>
      <c r="Y9850" s="4" t="s">
        <v>907</v>
      </c>
      <c r="Z9850" s="4" t="s">
        <v>895</v>
      </c>
      <c r="AA9850" s="4" t="s">
        <v>908</v>
      </c>
      <c r="AB9850" s="4" t="s">
        <v>909</v>
      </c>
      <c r="AC9850" s="4" t="s">
        <v>910</v>
      </c>
      <c r="AD9850" s="4" t="s">
        <v>7326</v>
      </c>
      <c r="AE9850" s="4" t="s">
        <v>895</v>
      </c>
      <c r="AF9850" s="4" t="s">
        <v>895</v>
      </c>
      <c r="AG9850" s="4" t="s">
        <v>11774</v>
      </c>
      <c r="AH9850" s="4" t="s">
        <v>11775</v>
      </c>
      <c r="AI9850" s="4" t="s">
        <v>11776</v>
      </c>
      <c r="AJ9850" s="4" t="s">
        <v>12240</v>
      </c>
      <c r="AK9850" s="4" t="s">
        <v>19964</v>
      </c>
      <c r="AL9850" s="4" t="s">
        <v>19965</v>
      </c>
      <c r="AM9850" s="4" t="s">
        <v>19966</v>
      </c>
      <c r="AN9850" s="4" t="s">
        <v>17449</v>
      </c>
      <c r="AO9850" s="4" t="s">
        <v>1266</v>
      </c>
      <c r="AP9850" s="4" t="s">
        <v>17450</v>
      </c>
    </row>
    <row r="9851">
      <c r="A9851" s="4">
        <v>24.0</v>
      </c>
      <c r="B9851" s="4" t="s">
        <v>20161</v>
      </c>
      <c r="C9851" s="4"/>
      <c r="D9851" s="4" t="s">
        <v>19967</v>
      </c>
      <c r="E9851" s="4" t="s">
        <v>19968</v>
      </c>
      <c r="F9851" s="4" t="s">
        <v>19969</v>
      </c>
      <c r="G9851" s="5" t="str">
        <f>IFERROR(__xludf.DUMMYFUNCTION("GOOGLETRANSLATE(D9851,""ro"",""es"")"),"ataque")</f>
        <v>ataque</v>
      </c>
      <c r="H9851" s="4" t="s">
        <v>895</v>
      </c>
      <c r="I9851" s="4" t="s">
        <v>2326</v>
      </c>
      <c r="J9851" s="4" t="s">
        <v>19970</v>
      </c>
      <c r="K9851" s="4" t="s">
        <v>9091</v>
      </c>
      <c r="L9851" s="4" t="s">
        <v>9092</v>
      </c>
      <c r="M9851" s="4" t="s">
        <v>9093</v>
      </c>
      <c r="N9851" s="4" t="s">
        <v>895</v>
      </c>
      <c r="O9851" s="4" t="s">
        <v>895</v>
      </c>
      <c r="P9851" s="4" t="s">
        <v>3618</v>
      </c>
      <c r="Q9851" s="4" t="s">
        <v>914</v>
      </c>
      <c r="R9851" s="4" t="s">
        <v>19971</v>
      </c>
      <c r="S9851" s="4" t="s">
        <v>19972</v>
      </c>
      <c r="T9851" s="4" t="s">
        <v>915</v>
      </c>
      <c r="U9851" s="4" t="s">
        <v>895</v>
      </c>
      <c r="V9851" s="4" t="s">
        <v>19973</v>
      </c>
      <c r="W9851" s="4" t="s">
        <v>895</v>
      </c>
      <c r="X9851" s="4" t="s">
        <v>914</v>
      </c>
      <c r="Y9851" s="4" t="s">
        <v>914</v>
      </c>
      <c r="Z9851" s="4" t="s">
        <v>915</v>
      </c>
      <c r="AA9851" s="4" t="s">
        <v>916</v>
      </c>
      <c r="AB9851" s="4" t="s">
        <v>895</v>
      </c>
      <c r="AC9851" s="4" t="s">
        <v>903</v>
      </c>
      <c r="AD9851" s="4" t="s">
        <v>856</v>
      </c>
      <c r="AE9851" s="4" t="s">
        <v>3491</v>
      </c>
      <c r="AF9851" s="4" t="s">
        <v>19974</v>
      </c>
    </row>
    <row r="9852">
      <c r="A9852" s="4">
        <v>25.0</v>
      </c>
      <c r="B9852" s="4" t="s">
        <v>20161</v>
      </c>
      <c r="C9852" s="4"/>
      <c r="D9852" s="4" t="s">
        <v>19975</v>
      </c>
      <c r="E9852" s="4" t="s">
        <v>19976</v>
      </c>
      <c r="F9852" s="4" t="s">
        <v>19977</v>
      </c>
      <c r="G9852" s="5" t="str">
        <f>IFERROR(__xludf.DUMMYFUNCTION("GOOGLETRANSLATE(D9852,""ro"",""es"")"),"estaban atacando")</f>
        <v>estaban atacando</v>
      </c>
    </row>
    <row r="9853">
      <c r="A9853" s="4">
        <v>26.0</v>
      </c>
      <c r="B9853" s="4" t="s">
        <v>20161</v>
      </c>
      <c r="C9853" s="4"/>
      <c r="D9853" s="4" t="s">
        <v>19978</v>
      </c>
      <c r="E9853" s="4" t="s">
        <v>19979</v>
      </c>
      <c r="F9853" s="4" t="s">
        <v>19980</v>
      </c>
      <c r="G9853" s="5" t="str">
        <f>IFERROR(__xludf.DUMMYFUNCTION("GOOGLETRANSLATE(D9853,""ro"",""es"")"),"ataque")</f>
        <v>ataque</v>
      </c>
    </row>
    <row r="9854">
      <c r="A9854" s="4">
        <v>27.0</v>
      </c>
      <c r="B9854" s="4" t="s">
        <v>20161</v>
      </c>
      <c r="C9854" s="4"/>
      <c r="D9854" s="4" t="s">
        <v>19981</v>
      </c>
      <c r="E9854" s="4" t="s">
        <v>11580</v>
      </c>
      <c r="F9854" s="4" t="s">
        <v>11581</v>
      </c>
      <c r="G9854" s="5" t="str">
        <f>IFERROR(__xludf.DUMMYFUNCTION("GOOGLETRANSLATE(D9854,""ro"",""es"")"),"asi que")</f>
        <v>asi que</v>
      </c>
      <c r="H9854" s="4" t="s">
        <v>19982</v>
      </c>
      <c r="I9854" s="4" t="s">
        <v>19983</v>
      </c>
      <c r="J9854" s="4" t="s">
        <v>8791</v>
      </c>
      <c r="K9854" s="4" t="s">
        <v>8791</v>
      </c>
      <c r="L9854" s="4" t="s">
        <v>8791</v>
      </c>
      <c r="M9854" s="4" t="s">
        <v>8791</v>
      </c>
      <c r="N9854" s="4" t="s">
        <v>4253</v>
      </c>
      <c r="O9854" s="4" t="s">
        <v>1262</v>
      </c>
      <c r="P9854" s="4" t="s">
        <v>19984</v>
      </c>
      <c r="Q9854" s="4" t="s">
        <v>9654</v>
      </c>
      <c r="R9854" s="4" t="s">
        <v>9655</v>
      </c>
      <c r="S9854" s="4" t="s">
        <v>13338</v>
      </c>
      <c r="T9854" s="4" t="s">
        <v>13339</v>
      </c>
      <c r="U9854" s="4" t="s">
        <v>13340</v>
      </c>
      <c r="V9854" s="4" t="s">
        <v>19985</v>
      </c>
      <c r="W9854" s="4" t="s">
        <v>19986</v>
      </c>
      <c r="X9854" s="4" t="s">
        <v>19987</v>
      </c>
      <c r="Y9854" s="4" t="s">
        <v>19988</v>
      </c>
      <c r="Z9854" s="4" t="s">
        <v>19989</v>
      </c>
      <c r="AA9854" s="4" t="s">
        <v>19990</v>
      </c>
    </row>
    <row r="9855">
      <c r="A9855" s="4">
        <v>28.0</v>
      </c>
      <c r="B9855" s="4" t="s">
        <v>20161</v>
      </c>
      <c r="C9855" s="4"/>
      <c r="D9855" s="4" t="s">
        <v>1123</v>
      </c>
      <c r="E9855" s="4" t="s">
        <v>1124</v>
      </c>
      <c r="F9855" s="4" t="s">
        <v>1125</v>
      </c>
      <c r="G9855" s="5" t="str">
        <f>IFERROR(__xludf.DUMMYFUNCTION("GOOGLETRANSLATE(D9855,""ro"",""es"")"),"Taza")</f>
        <v>Taza</v>
      </c>
    </row>
    <row r="9856">
      <c r="A9856" s="4">
        <v>29.0</v>
      </c>
      <c r="B9856" s="4" t="s">
        <v>20161</v>
      </c>
      <c r="C9856" s="4"/>
      <c r="D9856" s="4" t="s">
        <v>19991</v>
      </c>
      <c r="E9856" s="4" t="s">
        <v>19992</v>
      </c>
      <c r="F9856" s="4" t="s">
        <v>19993</v>
      </c>
      <c r="G9856" s="5" t="str">
        <f>IFERROR(__xludf.DUMMYFUNCTION("GOOGLETRANSLATE(D9856,""ro"",""es"")"),"calor")</f>
        <v>calor</v>
      </c>
    </row>
    <row r="9857">
      <c r="A9857" s="4">
        <v>30.0</v>
      </c>
      <c r="B9857" s="4" t="s">
        <v>20161</v>
      </c>
      <c r="C9857" s="4"/>
      <c r="D9857" s="4" t="s">
        <v>19994</v>
      </c>
      <c r="E9857" s="4" t="s">
        <v>19995</v>
      </c>
      <c r="F9857" s="4" t="s">
        <v>19996</v>
      </c>
      <c r="G9857" s="5" t="str">
        <f>IFERROR(__xludf.DUMMYFUNCTION("GOOGLETRANSLATE(D9857,""ro"",""es"")"),"capital")</f>
        <v>capital</v>
      </c>
    </row>
    <row r="9858">
      <c r="A9858" s="4">
        <v>31.0</v>
      </c>
      <c r="B9858" s="4" t="s">
        <v>20161</v>
      </c>
      <c r="C9858" s="4"/>
      <c r="D9858" s="4" t="s">
        <v>19997</v>
      </c>
      <c r="E9858" s="4" t="s">
        <v>11910</v>
      </c>
      <c r="F9858" s="4" t="s">
        <v>11911</v>
      </c>
      <c r="G9858" s="5" t="str">
        <f>IFERROR(__xludf.DUMMYFUNCTION("GOOGLETRANSLATE(D9858,""ro"",""es"")"),"capitular")</f>
        <v>capitular</v>
      </c>
      <c r="H9858" s="4" t="s">
        <v>15820</v>
      </c>
      <c r="I9858" s="4" t="s">
        <v>3347</v>
      </c>
      <c r="J9858" s="4" t="s">
        <v>19998</v>
      </c>
    </row>
    <row r="9859">
      <c r="A9859" s="4">
        <v>32.0</v>
      </c>
      <c r="B9859" s="4" t="s">
        <v>20161</v>
      </c>
      <c r="C9859" s="4"/>
      <c r="D9859" s="4" t="s">
        <v>19999</v>
      </c>
      <c r="E9859" s="4" t="s">
        <v>20000</v>
      </c>
      <c r="F9859" s="4" t="s">
        <v>20001</v>
      </c>
      <c r="G9859" s="5" t="str">
        <f>IFERROR(__xludf.DUMMYFUNCTION("GOOGLETRANSLATE(D9859,""ro"",""es"")"),"capituli")</f>
        <v>capituli</v>
      </c>
    </row>
    <row r="9860">
      <c r="A9860" s="4">
        <v>33.0</v>
      </c>
      <c r="B9860" s="4" t="s">
        <v>20161</v>
      </c>
      <c r="C9860" s="4"/>
      <c r="D9860" s="4" t="s">
        <v>20002</v>
      </c>
      <c r="E9860" s="4" t="s">
        <v>20003</v>
      </c>
      <c r="F9860" s="4" t="s">
        <v>20004</v>
      </c>
      <c r="G9860" s="5" t="str">
        <f>IFERROR(__xludf.DUMMYFUNCTION("GOOGLETRANSLATE(D9860,""ro"",""es"")"),"Rendición")</f>
        <v>Rendición</v>
      </c>
    </row>
    <row r="9861">
      <c r="A9861" s="4">
        <v>34.0</v>
      </c>
      <c r="B9861" s="4" t="s">
        <v>20161</v>
      </c>
      <c r="C9861" s="4"/>
      <c r="D9861" s="4" t="s">
        <v>20005</v>
      </c>
      <c r="E9861" s="4" t="s">
        <v>11913</v>
      </c>
      <c r="F9861" s="4" t="s">
        <v>9993</v>
      </c>
      <c r="G9861" s="5" t="str">
        <f>IFERROR(__xludf.DUMMYFUNCTION("GOOGLETRANSLATE(D9861,""ro"",""es"")"),"cabeza")</f>
        <v>cabeza</v>
      </c>
    </row>
    <row r="9862">
      <c r="A9862" s="4">
        <v>35.0</v>
      </c>
      <c r="B9862" s="4" t="s">
        <v>20161</v>
      </c>
      <c r="C9862" s="4"/>
      <c r="D9862" s="4" t="s">
        <v>20005</v>
      </c>
      <c r="E9862" s="4" t="s">
        <v>20006</v>
      </c>
      <c r="F9862" s="4" t="s">
        <v>20007</v>
      </c>
      <c r="G9862" s="5" t="str">
        <f>IFERROR(__xludf.DUMMYFUNCTION("GOOGLETRANSLATE(D9862,""ro"",""es"")"),"cabeza")</f>
        <v>cabeza</v>
      </c>
    </row>
    <row r="9863">
      <c r="A9863" s="4">
        <v>36.0</v>
      </c>
      <c r="B9863" s="4" t="s">
        <v>20161</v>
      </c>
      <c r="C9863" s="4"/>
      <c r="D9863" s="4" t="s">
        <v>20008</v>
      </c>
      <c r="E9863" s="4" t="s">
        <v>11943</v>
      </c>
      <c r="F9863" s="4" t="s">
        <v>11944</v>
      </c>
      <c r="G9863" s="5" t="str">
        <f>IFERROR(__xludf.DUMMYFUNCTION("GOOGLETRANSLATE(D9863,""ro"",""es"")"),"catalán")</f>
        <v>catalán</v>
      </c>
      <c r="H9863" s="4" t="s">
        <v>1350</v>
      </c>
    </row>
    <row r="9864">
      <c r="A9864" s="4">
        <v>37.0</v>
      </c>
      <c r="B9864" s="4" t="s">
        <v>20161</v>
      </c>
      <c r="C9864" s="4"/>
      <c r="D9864" s="4" t="s">
        <v>6090</v>
      </c>
      <c r="E9864" s="4" t="s">
        <v>14689</v>
      </c>
      <c r="F9864" s="4" t="s">
        <v>6092</v>
      </c>
      <c r="G9864" s="5" t="str">
        <f>IFERROR(__xludf.DUMMYFUNCTION("GOOGLETRANSLATE(D9864,""ro"",""es"")"),"Cómo")</f>
        <v>Cómo</v>
      </c>
      <c r="H9864" s="4" t="s">
        <v>20009</v>
      </c>
    </row>
    <row r="9865">
      <c r="A9865" s="4">
        <v>38.0</v>
      </c>
      <c r="B9865" s="4" t="s">
        <v>20161</v>
      </c>
      <c r="C9865" s="4"/>
      <c r="D9865" s="4" t="s">
        <v>20010</v>
      </c>
      <c r="E9865" s="4" t="s">
        <v>10155</v>
      </c>
      <c r="F9865" s="4" t="s">
        <v>10154</v>
      </c>
      <c r="G9865" s="5" t="str">
        <f>IFERROR(__xludf.DUMMYFUNCTION("GOOGLETRANSLATE(D9865,""ro"",""es"")"),"de coser")</f>
        <v>de coser</v>
      </c>
    </row>
    <row r="9866">
      <c r="A9866" s="4">
        <v>39.0</v>
      </c>
      <c r="B9866" s="4" t="s">
        <v>20161</v>
      </c>
      <c r="C9866" s="4"/>
      <c r="D9866" s="4" t="s">
        <v>16665</v>
      </c>
      <c r="E9866" s="4" t="s">
        <v>20011</v>
      </c>
      <c r="F9866" s="4" t="s">
        <v>4821</v>
      </c>
      <c r="G9866" s="5" t="str">
        <f>IFERROR(__xludf.DUMMYFUNCTION("GOOGLETRANSLATE(D9866,""ro"",""es"")"),"vamos")</f>
        <v>vamos</v>
      </c>
    </row>
    <row r="9867">
      <c r="A9867" s="4">
        <v>40.0</v>
      </c>
      <c r="B9867" s="4" t="s">
        <v>20161</v>
      </c>
      <c r="C9867" s="4"/>
      <c r="D9867" s="4" t="s">
        <v>20012</v>
      </c>
      <c r="E9867" s="4" t="s">
        <v>20013</v>
      </c>
      <c r="F9867" s="4" t="s">
        <v>20012</v>
      </c>
      <c r="G9867" s="5" t="str">
        <f>IFERROR(__xludf.DUMMYFUNCTION("GOOGLETRANSLATE(D9867,""ro"",""es"")"),"Halim")</f>
        <v>Halim</v>
      </c>
    </row>
    <row r="9868">
      <c r="A9868" s="4">
        <v>41.0</v>
      </c>
      <c r="B9868" s="4" t="s">
        <v>20161</v>
      </c>
      <c r="C9868" s="4"/>
      <c r="D9868" s="4" t="s">
        <v>12304</v>
      </c>
      <c r="E9868" s="4" t="s">
        <v>20014</v>
      </c>
      <c r="F9868" s="4" t="s">
        <v>17527</v>
      </c>
      <c r="G9868" s="5" t="str">
        <f>IFERROR(__xludf.DUMMYFUNCTION("GOOGLETRANSLATE(D9868,""ro"",""es"")"),"hamaca")</f>
        <v>hamaca</v>
      </c>
      <c r="H9868" s="4" t="s">
        <v>1784</v>
      </c>
      <c r="I9868" s="4" t="s">
        <v>1785</v>
      </c>
    </row>
    <row r="9869">
      <c r="A9869" s="4">
        <v>42.0</v>
      </c>
      <c r="B9869" s="4" t="s">
        <v>20161</v>
      </c>
      <c r="C9869" s="4"/>
      <c r="D9869" s="4" t="s">
        <v>20015</v>
      </c>
      <c r="E9869" s="4" t="s">
        <v>20016</v>
      </c>
      <c r="F9869" s="4" t="s">
        <v>20015</v>
      </c>
      <c r="G9869" s="5" t="str">
        <f>IFERROR(__xludf.DUMMYFUNCTION("GOOGLETRANSLATE(D9869,""ro"",""es"")"),"arcilla")</f>
        <v>arcilla</v>
      </c>
    </row>
    <row r="9870">
      <c r="A9870" s="4">
        <v>43.0</v>
      </c>
      <c r="B9870" s="4" t="s">
        <v>20161</v>
      </c>
      <c r="C9870" s="4"/>
      <c r="D9870" s="4" t="s">
        <v>20017</v>
      </c>
      <c r="E9870" s="4" t="s">
        <v>20018</v>
      </c>
      <c r="F9870" s="4" t="s">
        <v>20017</v>
      </c>
      <c r="G9870" s="5" t="str">
        <f>IFERROR(__xludf.DUMMYFUNCTION("GOOGLETRANSLATE(D9870,""ro"",""es"")"),"cubrir")</f>
        <v>cubrir</v>
      </c>
    </row>
    <row r="9871">
      <c r="A9871" s="4">
        <v>44.0</v>
      </c>
      <c r="B9871" s="4" t="s">
        <v>20161</v>
      </c>
      <c r="C9871" s="4"/>
      <c r="D9871" s="4" t="s">
        <v>20019</v>
      </c>
      <c r="E9871" s="4" t="s">
        <v>20020</v>
      </c>
      <c r="F9871" s="4" t="s">
        <v>20021</v>
      </c>
      <c r="G9871" s="5" t="str">
        <f>IFERROR(__xludf.DUMMYFUNCTION("GOOGLETRANSLATE(D9871,""ro"",""es"")"),"Encendiendo")</f>
        <v>Encendiendo</v>
      </c>
    </row>
    <row r="9872">
      <c r="A9872" s="4">
        <v>45.0</v>
      </c>
      <c r="B9872" s="4" t="s">
        <v>20161</v>
      </c>
      <c r="C9872" s="4"/>
      <c r="D9872" s="4" t="s">
        <v>20022</v>
      </c>
      <c r="E9872" s="4" t="s">
        <v>20023</v>
      </c>
      <c r="F9872" s="4" t="s">
        <v>20022</v>
      </c>
      <c r="G9872" s="5" t="str">
        <f>IFERROR(__xludf.DUMMYFUNCTION("GOOGLETRANSLATE(D9872,""ro"",""es"")"),"iluminar")</f>
        <v>iluminar</v>
      </c>
    </row>
    <row r="9873">
      <c r="A9873" s="4">
        <v>46.0</v>
      </c>
      <c r="B9873" s="4" t="s">
        <v>20161</v>
      </c>
      <c r="C9873" s="4"/>
      <c r="D9873" s="4" t="s">
        <v>20024</v>
      </c>
      <c r="E9873" s="4" t="s">
        <v>20025</v>
      </c>
      <c r="F9873" s="4" t="s">
        <v>20026</v>
      </c>
      <c r="G9873" s="5" t="str">
        <f>IFERROR(__xludf.DUMMYFUNCTION("GOOGLETRANSLATE(D9873,""ro"",""es"")"),"imai")</f>
        <v>imai</v>
      </c>
    </row>
    <row r="9874">
      <c r="A9874" s="4">
        <v>47.0</v>
      </c>
      <c r="B9874" s="4" t="s">
        <v>20161</v>
      </c>
      <c r="C9874" s="4"/>
      <c r="D9874" s="4" t="s">
        <v>20027</v>
      </c>
      <c r="E9874" s="4" t="s">
        <v>20028</v>
      </c>
      <c r="F9874" s="4" t="s">
        <v>20027</v>
      </c>
      <c r="G9874" s="5" t="str">
        <f>IFERROR(__xludf.DUMMYFUNCTION("GOOGLETRANSLATE(D9874,""ro"",""es"")"),"Jesús")</f>
        <v>Jesús</v>
      </c>
    </row>
    <row r="9875">
      <c r="A9875" s="4">
        <v>48.0</v>
      </c>
      <c r="B9875" s="4" t="s">
        <v>20161</v>
      </c>
      <c r="C9875" s="4"/>
      <c r="D9875" s="4" t="s">
        <v>16704</v>
      </c>
      <c r="E9875" s="4" t="s">
        <v>16705</v>
      </c>
      <c r="F9875" s="4" t="s">
        <v>16706</v>
      </c>
      <c r="G9875" s="5" t="str">
        <f>IFERROR(__xludf.DUMMYFUNCTION("GOOGLETRANSLATE(D9875,""ro"",""es"")"),"brecha")</f>
        <v>brecha</v>
      </c>
    </row>
    <row r="9876">
      <c r="A9876" s="4">
        <v>49.0</v>
      </c>
      <c r="B9876" s="4" t="s">
        <v>20161</v>
      </c>
      <c r="C9876" s="4"/>
      <c r="D9876" s="4" t="s">
        <v>4836</v>
      </c>
      <c r="E9876" s="4" t="s">
        <v>4837</v>
      </c>
      <c r="F9876" s="4" t="s">
        <v>4836</v>
      </c>
      <c r="G9876" s="5" t="str">
        <f>IFERROR(__xludf.DUMMYFUNCTION("GOOGLETRANSLATE(D9876,""ro"",""es"")"),"Justicia")</f>
        <v>Justicia</v>
      </c>
    </row>
    <row r="9877">
      <c r="A9877" s="4">
        <v>50.0</v>
      </c>
      <c r="B9877" s="4" t="s">
        <v>20161</v>
      </c>
      <c r="C9877" s="4"/>
      <c r="D9877" s="4" t="s">
        <v>2053</v>
      </c>
      <c r="E9877" s="4" t="s">
        <v>2052</v>
      </c>
      <c r="F9877" s="4" t="s">
        <v>2053</v>
      </c>
      <c r="G9877" s="5" t="str">
        <f>IFERROR(__xludf.DUMMYFUNCTION("GOOGLETRANSLATE(D9877,""ro"",""es"")"),"límite")</f>
        <v>límite</v>
      </c>
      <c r="H9877" s="4" t="s">
        <v>2055</v>
      </c>
      <c r="I9877" s="4" t="s">
        <v>2056</v>
      </c>
      <c r="J9877" s="4" t="s">
        <v>2057</v>
      </c>
      <c r="K9877" s="4" t="s">
        <v>2058</v>
      </c>
      <c r="L9877" s="4" t="s">
        <v>2059</v>
      </c>
      <c r="M9877" s="4" t="s">
        <v>2060</v>
      </c>
      <c r="N9877" s="4" t="s">
        <v>2061</v>
      </c>
      <c r="O9877" s="4" t="s">
        <v>20029</v>
      </c>
    </row>
    <row r="9878">
      <c r="A9878" s="4">
        <v>51.0</v>
      </c>
      <c r="B9878" s="4" t="s">
        <v>20161</v>
      </c>
      <c r="C9878" s="4"/>
      <c r="D9878" s="4" t="s">
        <v>20030</v>
      </c>
      <c r="E9878" s="4" t="s">
        <v>20031</v>
      </c>
      <c r="F9878" s="4" t="s">
        <v>20032</v>
      </c>
      <c r="G9878" s="5" t="str">
        <f>IFERROR(__xludf.DUMMYFUNCTION("GOOGLETRANSLATE(D9878,""ro"",""es"")"),"limitado")</f>
        <v>limitado</v>
      </c>
    </row>
    <row r="9879">
      <c r="A9879" s="4">
        <v>52.0</v>
      </c>
      <c r="B9879" s="4" t="s">
        <v>20161</v>
      </c>
      <c r="C9879" s="4"/>
      <c r="D9879" s="4" t="s">
        <v>20033</v>
      </c>
      <c r="E9879" s="4" t="s">
        <v>20034</v>
      </c>
      <c r="F9879" s="4" t="s">
        <v>20033</v>
      </c>
      <c r="G9879" s="5" t="str">
        <f>IFERROR(__xludf.DUMMYFUNCTION("GOOGLETRANSLATE(D9879,""ro"",""es"")"),"límite")</f>
        <v>límite</v>
      </c>
    </row>
    <row r="9880">
      <c r="A9880" s="4">
        <v>53.0</v>
      </c>
      <c r="B9880" s="4" t="s">
        <v>20161</v>
      </c>
      <c r="C9880" s="4"/>
      <c r="D9880" s="4" t="s">
        <v>12659</v>
      </c>
      <c r="E9880" s="4" t="s">
        <v>12658</v>
      </c>
      <c r="F9880" s="4" t="s">
        <v>12659</v>
      </c>
      <c r="G9880" s="5" t="str">
        <f>IFERROR(__xludf.DUMMYFUNCTION("GOOGLETRANSLATE(D9880,""ro"",""es"")"),"lobo")</f>
        <v>lobo</v>
      </c>
      <c r="H9880" s="4" t="s">
        <v>664</v>
      </c>
      <c r="I9880" s="4" t="s">
        <v>12650</v>
      </c>
      <c r="J9880" s="4" t="s">
        <v>12651</v>
      </c>
      <c r="K9880" s="4" t="s">
        <v>12652</v>
      </c>
      <c r="L9880" s="4" t="s">
        <v>12653</v>
      </c>
    </row>
    <row r="9881">
      <c r="A9881" s="4">
        <v>54.0</v>
      </c>
      <c r="B9881" s="4" t="s">
        <v>20161</v>
      </c>
      <c r="C9881" s="4"/>
      <c r="D9881" s="4" t="s">
        <v>15221</v>
      </c>
      <c r="E9881" s="4" t="s">
        <v>15222</v>
      </c>
      <c r="F9881" s="4" t="s">
        <v>15221</v>
      </c>
      <c r="G9881" s="5" t="str">
        <f>IFERROR(__xludf.DUMMYFUNCTION("GOOGLETRANSLATE(D9881,""ro"",""es"")"),"Masami")</f>
        <v>Masami</v>
      </c>
    </row>
    <row r="9882">
      <c r="A9882" s="4">
        <v>55.0</v>
      </c>
      <c r="B9882" s="4" t="s">
        <v>20161</v>
      </c>
      <c r="C9882" s="4"/>
      <c r="D9882" s="4" t="s">
        <v>20035</v>
      </c>
      <c r="E9882" s="4" t="s">
        <v>344</v>
      </c>
      <c r="F9882" s="4" t="s">
        <v>345</v>
      </c>
      <c r="G9882" s="5" t="str">
        <f>IFERROR(__xludf.DUMMYFUNCTION("GOOGLETRANSLATE(D9882,""ro"",""es"")"),"poco")</f>
        <v>poco</v>
      </c>
      <c r="H9882" s="4" t="s">
        <v>1841</v>
      </c>
      <c r="I9882" s="4" t="s">
        <v>13265</v>
      </c>
      <c r="J9882" s="4" t="s">
        <v>4704</v>
      </c>
      <c r="K9882" s="4" t="s">
        <v>1840</v>
      </c>
      <c r="L9882" s="4" t="s">
        <v>1841</v>
      </c>
      <c r="M9882" s="4" t="s">
        <v>13277</v>
      </c>
      <c r="N9882" s="4" t="s">
        <v>13278</v>
      </c>
      <c r="O9882" s="4" t="s">
        <v>13279</v>
      </c>
      <c r="P9882" s="4" t="s">
        <v>13265</v>
      </c>
      <c r="Q9882" s="4" t="s">
        <v>13281</v>
      </c>
      <c r="R9882" s="4" t="s">
        <v>1841</v>
      </c>
      <c r="S9882" s="4" t="s">
        <v>13281</v>
      </c>
      <c r="T9882" s="4" t="s">
        <v>20036</v>
      </c>
      <c r="U9882" s="4" t="s">
        <v>1840</v>
      </c>
      <c r="V9882" s="4" t="s">
        <v>1841</v>
      </c>
      <c r="W9882" s="4" t="s">
        <v>13265</v>
      </c>
      <c r="X9882" s="4" t="s">
        <v>1841</v>
      </c>
      <c r="Y9882" s="4" t="s">
        <v>1837</v>
      </c>
      <c r="Z9882" s="4" t="s">
        <v>1839</v>
      </c>
      <c r="AA9882" s="4" t="s">
        <v>1838</v>
      </c>
      <c r="AB9882" s="4" t="s">
        <v>1840</v>
      </c>
      <c r="AC9882" s="4" t="s">
        <v>1841</v>
      </c>
      <c r="AD9882" s="4" t="s">
        <v>933</v>
      </c>
      <c r="AE9882" s="4" t="s">
        <v>13265</v>
      </c>
      <c r="AF9882" s="4" t="s">
        <v>20037</v>
      </c>
      <c r="AG9882" s="4" t="s">
        <v>20038</v>
      </c>
      <c r="AH9882" s="4" t="s">
        <v>20039</v>
      </c>
      <c r="AI9882" s="4" t="s">
        <v>20040</v>
      </c>
      <c r="AJ9882" s="4" t="s">
        <v>20041</v>
      </c>
      <c r="AK9882" s="4" t="s">
        <v>20042</v>
      </c>
      <c r="AL9882" s="4" t="s">
        <v>7829</v>
      </c>
      <c r="AM9882" s="4" t="s">
        <v>7819</v>
      </c>
    </row>
    <row r="9883">
      <c r="A9883" s="4">
        <v>56.0</v>
      </c>
      <c r="B9883" s="4" t="s">
        <v>20161</v>
      </c>
      <c r="C9883" s="4"/>
      <c r="D9883" s="4" t="s">
        <v>2599</v>
      </c>
      <c r="E9883" s="4" t="s">
        <v>2600</v>
      </c>
      <c r="F9883" s="4" t="s">
        <v>2601</v>
      </c>
      <c r="G9883" s="5" t="str">
        <f>IFERROR(__xludf.DUMMYFUNCTION("GOOGLETRANSLATE(D9883,""ro"",""es"")"),"pequeña")</f>
        <v>pequeña</v>
      </c>
    </row>
    <row r="9884">
      <c r="A9884" s="4">
        <v>57.0</v>
      </c>
      <c r="B9884" s="4" t="s">
        <v>20161</v>
      </c>
      <c r="C9884" s="4"/>
      <c r="D9884" s="4" t="s">
        <v>20043</v>
      </c>
      <c r="E9884" s="4" t="s">
        <v>20044</v>
      </c>
      <c r="F9884" s="4" t="s">
        <v>20045</v>
      </c>
      <c r="G9884" s="5" t="str">
        <f>IFERROR(__xludf.DUMMYFUNCTION("GOOGLETRANSLATE(D9884,""ro"",""es"")"),"mihait")</f>
        <v>mihait</v>
      </c>
    </row>
    <row r="9885">
      <c r="A9885" s="4">
        <v>58.0</v>
      </c>
      <c r="B9885" s="4" t="s">
        <v>20161</v>
      </c>
      <c r="C9885" s="4"/>
      <c r="D9885" s="4" t="s">
        <v>2686</v>
      </c>
      <c r="E9885" s="4" t="s">
        <v>2685</v>
      </c>
      <c r="F9885" s="4" t="s">
        <v>2686</v>
      </c>
      <c r="G9885" s="5" t="str">
        <f>IFERROR(__xludf.DUMMYFUNCTION("GOOGLETRANSLATE(D9885,""ro"",""es"")"),"misericordia")</f>
        <v>misericordia</v>
      </c>
    </row>
    <row r="9886">
      <c r="A9886" s="4">
        <v>59.0</v>
      </c>
      <c r="B9886" s="4" t="s">
        <v>20161</v>
      </c>
      <c r="C9886" s="4"/>
      <c r="D9886" s="4" t="s">
        <v>20046</v>
      </c>
      <c r="E9886" s="4" t="s">
        <v>20047</v>
      </c>
      <c r="F9886" s="4" t="s">
        <v>20046</v>
      </c>
      <c r="G9886" s="5" t="str">
        <f>IFERROR(__xludf.DUMMYFUNCTION("GOOGLETRANSLATE(D9886,""ro"",""es"")"),"mumu")</f>
        <v>mumu</v>
      </c>
    </row>
    <row r="9887">
      <c r="A9887" s="4">
        <v>60.0</v>
      </c>
      <c r="B9887" s="4" t="s">
        <v>20161</v>
      </c>
      <c r="C9887" s="4"/>
      <c r="D9887" s="4" t="s">
        <v>20048</v>
      </c>
      <c r="E9887" s="4" t="s">
        <v>20049</v>
      </c>
      <c r="F9887" s="4" t="s">
        <v>20050</v>
      </c>
      <c r="G9887" s="5" t="str">
        <f>IFERROR(__xludf.DUMMYFUNCTION("GOOGLETRANSLATE(D9887,""ro"",""es"")"),"Muevete")</f>
        <v>Muevete</v>
      </c>
    </row>
    <row r="9888">
      <c r="A9888" s="4">
        <v>61.0</v>
      </c>
      <c r="B9888" s="4" t="s">
        <v>20161</v>
      </c>
      <c r="C9888" s="4"/>
      <c r="D9888" s="4" t="s">
        <v>20051</v>
      </c>
      <c r="E9888" s="4" t="s">
        <v>20052</v>
      </c>
      <c r="F9888" s="4" t="s">
        <v>20051</v>
      </c>
      <c r="G9888" s="5" t="str">
        <f>IFERROR(__xludf.DUMMYFUNCTION("GOOGLETRANSLATE(D9888,""ro"",""es"")"),"Muevete")</f>
        <v>Muevete</v>
      </c>
    </row>
    <row r="9889">
      <c r="A9889" s="4">
        <v>62.0</v>
      </c>
      <c r="B9889" s="4" t="s">
        <v>20161</v>
      </c>
      <c r="C9889" s="4"/>
      <c r="D9889" s="4" t="s">
        <v>20053</v>
      </c>
      <c r="E9889" s="4" t="s">
        <v>20054</v>
      </c>
      <c r="F9889" s="4" t="s">
        <v>20055</v>
      </c>
      <c r="G9889" s="5" t="str">
        <f>IFERROR(__xludf.DUMMYFUNCTION("GOOGLETRANSLATE(D9889,""ro"",""es"")"),"varilla")</f>
        <v>varilla</v>
      </c>
      <c r="H9889" s="4" t="s">
        <v>20056</v>
      </c>
      <c r="I9889" s="4" t="s">
        <v>7690</v>
      </c>
      <c r="J9889" s="4" t="s">
        <v>11871</v>
      </c>
      <c r="K9889" s="4" t="s">
        <v>20057</v>
      </c>
    </row>
    <row r="9890">
      <c r="A9890" s="4">
        <v>63.0</v>
      </c>
      <c r="B9890" s="4" t="s">
        <v>20161</v>
      </c>
      <c r="C9890" s="4"/>
      <c r="D9890" s="4" t="s">
        <v>20058</v>
      </c>
      <c r="E9890" s="4" t="s">
        <v>20059</v>
      </c>
      <c r="F9890" s="4" t="s">
        <v>20060</v>
      </c>
      <c r="G9890" s="5" t="str">
        <f>IFERROR(__xludf.DUMMYFUNCTION("GOOGLETRANSLATE(D9890,""ro"",""es"")"),"no más")</f>
        <v>no más</v>
      </c>
      <c r="H9890" s="4" t="s">
        <v>14898</v>
      </c>
      <c r="I9890" s="4" t="s">
        <v>14899</v>
      </c>
      <c r="J9890" s="4" t="s">
        <v>9656</v>
      </c>
      <c r="K9890" s="4" t="s">
        <v>4039</v>
      </c>
      <c r="L9890" s="4" t="s">
        <v>14900</v>
      </c>
      <c r="M9890" s="4" t="s">
        <v>4039</v>
      </c>
    </row>
    <row r="9891">
      <c r="A9891" s="4">
        <v>64.0</v>
      </c>
      <c r="B9891" s="4" t="s">
        <v>20161</v>
      </c>
      <c r="C9891" s="4"/>
      <c r="D9891" s="4" t="s">
        <v>20061</v>
      </c>
      <c r="E9891" s="4" t="s">
        <v>20062</v>
      </c>
      <c r="F9891" s="4" t="s">
        <v>20061</v>
      </c>
      <c r="G9891" s="5" t="str">
        <f>IFERROR(__xludf.DUMMYFUNCTION("GOOGLETRANSLATE(D9891,""ro"",""es"")"),"llamar")</f>
        <v>llamar</v>
      </c>
      <c r="H9891" s="4" t="s">
        <v>1009</v>
      </c>
      <c r="I9891" s="4" t="s">
        <v>1438</v>
      </c>
      <c r="J9891" s="4" t="s">
        <v>1438</v>
      </c>
      <c r="K9891" s="4" t="s">
        <v>8392</v>
      </c>
      <c r="L9891" s="4" t="s">
        <v>11354</v>
      </c>
      <c r="M9891" s="4" t="s">
        <v>4599</v>
      </c>
      <c r="N9891" s="4" t="s">
        <v>1438</v>
      </c>
      <c r="O9891" s="4" t="s">
        <v>1009</v>
      </c>
      <c r="P9891" s="4" t="s">
        <v>15990</v>
      </c>
      <c r="Q9891" s="4" t="s">
        <v>17190</v>
      </c>
      <c r="R9891" s="4" t="s">
        <v>20063</v>
      </c>
      <c r="S9891" s="4" t="s">
        <v>20064</v>
      </c>
      <c r="T9891" s="4" t="s">
        <v>20065</v>
      </c>
      <c r="U9891" s="4" t="s">
        <v>20063</v>
      </c>
      <c r="V9891" s="4" t="s">
        <v>20066</v>
      </c>
      <c r="W9891" s="4" t="s">
        <v>20067</v>
      </c>
      <c r="X9891" s="4" t="s">
        <v>1438</v>
      </c>
      <c r="Y9891" s="4" t="s">
        <v>2995</v>
      </c>
      <c r="Z9891" s="4" t="s">
        <v>3000</v>
      </c>
      <c r="AA9891" s="4" t="s">
        <v>2998</v>
      </c>
      <c r="AB9891" s="4" t="s">
        <v>917</v>
      </c>
    </row>
    <row r="9892">
      <c r="A9892" s="4">
        <v>65.0</v>
      </c>
      <c r="B9892" s="4" t="s">
        <v>20161</v>
      </c>
      <c r="C9892" s="4"/>
      <c r="D9892" s="4" t="s">
        <v>20068</v>
      </c>
      <c r="E9892" s="4" t="s">
        <v>20069</v>
      </c>
      <c r="F9892" s="4" t="s">
        <v>20068</v>
      </c>
      <c r="G9892" s="5" t="str">
        <f>IFERROR(__xludf.DUMMYFUNCTION("GOOGLETRANSLATE(D9892,""ro"",""es"")"),"llamar")</f>
        <v>llamar</v>
      </c>
    </row>
    <row r="9893">
      <c r="A9893" s="4">
        <v>66.0</v>
      </c>
      <c r="B9893" s="4" t="s">
        <v>20161</v>
      </c>
      <c r="C9893" s="4"/>
      <c r="D9893" s="4" t="s">
        <v>20070</v>
      </c>
      <c r="E9893" s="4" t="s">
        <v>20071</v>
      </c>
      <c r="F9893" s="4" t="s">
        <v>20070</v>
      </c>
      <c r="G9893" s="5" t="str">
        <f>IFERROR(__xludf.DUMMYFUNCTION("GOOGLETRANSLATE(D9893,""ro"",""es"")"),"nombrada")</f>
        <v>nombrada</v>
      </c>
    </row>
    <row r="9894">
      <c r="A9894" s="4">
        <v>67.0</v>
      </c>
      <c r="B9894" s="4" t="s">
        <v>20161</v>
      </c>
      <c r="C9894" s="4"/>
      <c r="D9894" s="4" t="s">
        <v>20072</v>
      </c>
      <c r="E9894" s="4" t="s">
        <v>20073</v>
      </c>
      <c r="F9894" s="4" t="s">
        <v>20074</v>
      </c>
      <c r="G9894" s="5" t="str">
        <f>IFERROR(__xludf.DUMMYFUNCTION("GOOGLETRANSLATE(D9894,""ro"",""es"")"),"dijo")</f>
        <v>dijo</v>
      </c>
    </row>
    <row r="9895">
      <c r="A9895" s="4">
        <v>68.0</v>
      </c>
      <c r="B9895" s="4" t="s">
        <v>20161</v>
      </c>
      <c r="C9895" s="4"/>
      <c r="D9895" s="4" t="s">
        <v>20072</v>
      </c>
      <c r="E9895" s="4" t="s">
        <v>20075</v>
      </c>
      <c r="F9895" s="4" t="s">
        <v>20072</v>
      </c>
      <c r="G9895" s="5" t="str">
        <f>IFERROR(__xludf.DUMMYFUNCTION("GOOGLETRANSLATE(D9895,""ro"",""es"")"),"dijo")</f>
        <v>dijo</v>
      </c>
    </row>
    <row r="9896">
      <c r="A9896" s="4">
        <v>69.0</v>
      </c>
      <c r="B9896" s="4" t="s">
        <v>20161</v>
      </c>
      <c r="C9896" s="4"/>
      <c r="D9896" s="4" t="s">
        <v>20076</v>
      </c>
      <c r="E9896" s="4" t="s">
        <v>20077</v>
      </c>
      <c r="F9896" s="4" t="s">
        <v>20078</v>
      </c>
      <c r="G9896" s="5" t="str">
        <f>IFERROR(__xludf.DUMMYFUNCTION("GOOGLETRANSLATE(D9896,""ro"",""es"")"),"el nombrado")</f>
        <v>el nombrado</v>
      </c>
    </row>
    <row r="9897">
      <c r="A9897" s="4">
        <v>70.0</v>
      </c>
      <c r="B9897" s="4" t="s">
        <v>20161</v>
      </c>
      <c r="C9897" s="4"/>
      <c r="D9897" s="4" t="s">
        <v>20079</v>
      </c>
      <c r="E9897" s="4" t="s">
        <v>20080</v>
      </c>
      <c r="F9897" s="4" t="s">
        <v>20079</v>
      </c>
      <c r="G9897" s="5" t="str">
        <f>IFERROR(__xludf.DUMMYFUNCTION("GOOGLETRANSLATE(D9897,""ro"",""es"")"),"No")</f>
        <v>No</v>
      </c>
    </row>
    <row r="9898">
      <c r="A9898" s="4">
        <v>71.0</v>
      </c>
      <c r="B9898" s="4" t="s">
        <v>20161</v>
      </c>
      <c r="C9898" s="4"/>
      <c r="D9898" s="4" t="s">
        <v>3147</v>
      </c>
      <c r="E9898" s="4" t="s">
        <v>3148</v>
      </c>
      <c r="F9898" s="4" t="s">
        <v>3147</v>
      </c>
      <c r="G9898" s="5" t="str">
        <f>IFERROR(__xludf.DUMMYFUNCTION("GOOGLETRANSLATE(D9898,""ro"",""es"")"),"adiós")</f>
        <v>adiós</v>
      </c>
      <c r="H9898" s="4" t="s">
        <v>20081</v>
      </c>
      <c r="I9898" s="4" t="s">
        <v>20082</v>
      </c>
      <c r="J9898" s="4" t="s">
        <v>20083</v>
      </c>
      <c r="K9898" s="4" t="s">
        <v>20084</v>
      </c>
      <c r="L9898" s="4" t="s">
        <v>20085</v>
      </c>
      <c r="M9898" s="4" t="s">
        <v>7111</v>
      </c>
      <c r="N9898" s="4" t="s">
        <v>20086</v>
      </c>
      <c r="O9898" s="4" t="s">
        <v>20087</v>
      </c>
      <c r="P9898" s="4" t="s">
        <v>20088</v>
      </c>
      <c r="Q9898" s="4" t="s">
        <v>20089</v>
      </c>
      <c r="R9898" s="4" t="s">
        <v>20090</v>
      </c>
      <c r="S9898" s="4" t="s">
        <v>20091</v>
      </c>
      <c r="T9898" s="4" t="s">
        <v>20092</v>
      </c>
      <c r="U9898" s="4" t="s">
        <v>20093</v>
      </c>
      <c r="V9898" s="4" t="s">
        <v>20094</v>
      </c>
      <c r="W9898" s="4" t="s">
        <v>20095</v>
      </c>
      <c r="X9898" s="4" t="s">
        <v>20096</v>
      </c>
    </row>
    <row r="9899">
      <c r="A9899" s="4">
        <v>72.0</v>
      </c>
      <c r="B9899" s="4" t="s">
        <v>20161</v>
      </c>
      <c r="C9899" s="4"/>
      <c r="D9899" s="4" t="s">
        <v>7088</v>
      </c>
      <c r="E9899" s="4" t="s">
        <v>13213</v>
      </c>
      <c r="F9899" s="4" t="s">
        <v>7088</v>
      </c>
      <c r="G9899" s="5" t="str">
        <f>IFERROR(__xludf.DUMMYFUNCTION("GOOGLETRANSLATE(D9899,""ro"",""es"")"),"pegar")</f>
        <v>pegar</v>
      </c>
      <c r="H9899" s="4" t="s">
        <v>15872</v>
      </c>
      <c r="I9899" s="4" t="s">
        <v>20097</v>
      </c>
    </row>
    <row r="9900">
      <c r="A9900" s="4">
        <v>73.0</v>
      </c>
      <c r="B9900" s="4" t="s">
        <v>20161</v>
      </c>
      <c r="C9900" s="4"/>
      <c r="D9900" s="4" t="s">
        <v>20098</v>
      </c>
      <c r="E9900" s="4" t="s">
        <v>18509</v>
      </c>
      <c r="F9900" s="4" t="s">
        <v>18510</v>
      </c>
      <c r="G9900" s="5" t="str">
        <f>IFERROR(__xludf.DUMMYFUNCTION("GOOGLETRANSLATE(D9900,""ro"",""es"")"),"pasar")</f>
        <v>pasar</v>
      </c>
    </row>
    <row r="9901">
      <c r="A9901" s="4">
        <v>74.0</v>
      </c>
      <c r="B9901" s="4" t="s">
        <v>20161</v>
      </c>
      <c r="C9901" s="4"/>
      <c r="D9901" s="4" t="s">
        <v>18513</v>
      </c>
      <c r="E9901" s="4" t="s">
        <v>18514</v>
      </c>
      <c r="F9901" s="4" t="s">
        <v>18513</v>
      </c>
      <c r="G9901" s="5" t="str">
        <f>IFERROR(__xludf.DUMMYFUNCTION("GOOGLETRANSLATE(D9901,""ro"",""es"")"),"pasado")</f>
        <v>pasado</v>
      </c>
    </row>
    <row r="9902">
      <c r="A9902" s="4">
        <v>75.0</v>
      </c>
      <c r="B9902" s="4" t="s">
        <v>20161</v>
      </c>
      <c r="C9902" s="4"/>
      <c r="D9902" s="4" t="s">
        <v>20099</v>
      </c>
      <c r="E9902" s="4" t="s">
        <v>238</v>
      </c>
      <c r="F9902" s="4" t="s">
        <v>239</v>
      </c>
      <c r="G9902" s="5" t="str">
        <f>IFERROR(__xludf.DUMMYFUNCTION("GOOGLETRANSLATE(D9902,""ro"",""es"")"),"espadas")</f>
        <v>espadas</v>
      </c>
    </row>
    <row r="9903">
      <c r="A9903" s="4">
        <v>76.0</v>
      </c>
      <c r="B9903" s="4" t="s">
        <v>20161</v>
      </c>
      <c r="C9903" s="4"/>
      <c r="D9903" s="4" t="s">
        <v>20100</v>
      </c>
      <c r="E9903" s="4" t="s">
        <v>20101</v>
      </c>
      <c r="F9903" s="4" t="s">
        <v>20102</v>
      </c>
      <c r="G9903" s="5" t="str">
        <f>IFERROR(__xludf.DUMMYFUNCTION("GOOGLETRANSLATE(D9903,""ro"",""es"")"),"selección")</f>
        <v>selección</v>
      </c>
    </row>
    <row r="9904">
      <c r="A9904" s="4">
        <v>77.0</v>
      </c>
      <c r="B9904" s="4" t="s">
        <v>20161</v>
      </c>
      <c r="C9904" s="4"/>
      <c r="D9904" s="4" t="s">
        <v>5504</v>
      </c>
      <c r="E9904" s="4" t="s">
        <v>5503</v>
      </c>
      <c r="F9904" s="4" t="s">
        <v>5504</v>
      </c>
      <c r="G9904" s="5" t="str">
        <f>IFERROR(__xludf.DUMMYFUNCTION("GOOGLETRANSLATE(D9904,""ro"",""es"")"),"pipí")</f>
        <v>pipí</v>
      </c>
      <c r="H9904" s="4" t="s">
        <v>10670</v>
      </c>
      <c r="I9904" s="4" t="s">
        <v>20103</v>
      </c>
      <c r="J9904" s="4" t="s">
        <v>20104</v>
      </c>
      <c r="K9904" s="4" t="s">
        <v>20105</v>
      </c>
    </row>
    <row r="9905">
      <c r="A9905" s="4">
        <v>78.0</v>
      </c>
      <c r="B9905" s="4" t="s">
        <v>20161</v>
      </c>
      <c r="C9905" s="4"/>
      <c r="D9905" s="4" t="s">
        <v>20106</v>
      </c>
      <c r="E9905" s="4" t="s">
        <v>20107</v>
      </c>
      <c r="F9905" s="4" t="s">
        <v>20108</v>
      </c>
      <c r="G9905" s="5" t="str">
        <f>IFERROR(__xludf.DUMMYFUNCTION("GOOGLETRANSLATE(D9905,""ro"",""es"")"),"moler")</f>
        <v>moler</v>
      </c>
    </row>
    <row r="9906">
      <c r="A9906" s="4">
        <v>79.0</v>
      </c>
      <c r="B9906" s="4" t="s">
        <v>20161</v>
      </c>
      <c r="C9906" s="4"/>
      <c r="D9906" s="4" t="s">
        <v>20109</v>
      </c>
      <c r="E9906" s="4" t="s">
        <v>20110</v>
      </c>
      <c r="F9906" s="4" t="s">
        <v>20109</v>
      </c>
      <c r="G9906" s="5" t="str">
        <f>IFERROR(__xludf.DUMMYFUNCTION("GOOGLETRANSLATE(D9906,""ro"",""es"")"),"mear sentado")</f>
        <v>mear sentado</v>
      </c>
    </row>
    <row r="9907">
      <c r="A9907" s="4">
        <v>80.0</v>
      </c>
      <c r="B9907" s="4" t="s">
        <v>20161</v>
      </c>
      <c r="C9907" s="4"/>
      <c r="D9907" s="4" t="s">
        <v>20111</v>
      </c>
      <c r="E9907" s="4" t="s">
        <v>20112</v>
      </c>
      <c r="F9907" s="4" t="s">
        <v>20113</v>
      </c>
      <c r="G9907" s="5" t="str">
        <f>IFERROR(__xludf.DUMMYFUNCTION("GOOGLETRANSLATE(D9907,""ro"",""es"")"),"enano")</f>
        <v>enano</v>
      </c>
      <c r="H9907" s="4" t="s">
        <v>2913</v>
      </c>
      <c r="I9907" s="4" t="s">
        <v>2914</v>
      </c>
      <c r="J9907" s="4" t="s">
        <v>2915</v>
      </c>
      <c r="K9907" s="4" t="s">
        <v>2916</v>
      </c>
      <c r="L9907" s="4" t="s">
        <v>2917</v>
      </c>
      <c r="M9907" s="4" t="s">
        <v>2918</v>
      </c>
      <c r="N9907" s="4" t="s">
        <v>2919</v>
      </c>
      <c r="O9907" s="4" t="s">
        <v>20114</v>
      </c>
      <c r="P9907" s="4" t="s">
        <v>933</v>
      </c>
      <c r="Q9907" s="4" t="s">
        <v>13265</v>
      </c>
      <c r="R9907" s="4" t="s">
        <v>20037</v>
      </c>
      <c r="S9907" s="4" t="s">
        <v>20038</v>
      </c>
      <c r="T9907" s="4" t="s">
        <v>20039</v>
      </c>
      <c r="U9907" s="4" t="s">
        <v>20040</v>
      </c>
      <c r="V9907" s="4" t="s">
        <v>20041</v>
      </c>
      <c r="W9907" s="4" t="s">
        <v>2921</v>
      </c>
      <c r="X9907" s="4" t="s">
        <v>2916</v>
      </c>
      <c r="Y9907" s="4" t="s">
        <v>2922</v>
      </c>
    </row>
    <row r="9908">
      <c r="A9908" s="4">
        <v>81.0</v>
      </c>
      <c r="B9908" s="4" t="s">
        <v>20161</v>
      </c>
      <c r="C9908" s="4"/>
      <c r="D9908" s="4" t="s">
        <v>20115</v>
      </c>
      <c r="E9908" s="4" t="s">
        <v>3594</v>
      </c>
      <c r="F9908" s="4" t="s">
        <v>3595</v>
      </c>
      <c r="G9908" s="5" t="str">
        <f>IFERROR(__xludf.DUMMYFUNCTION("GOOGLETRANSLATE(D9908,""ro"",""es"")"),"moler")</f>
        <v>moler</v>
      </c>
    </row>
    <row r="9909">
      <c r="A9909" s="4">
        <v>82.0</v>
      </c>
      <c r="B9909" s="4" t="s">
        <v>20161</v>
      </c>
      <c r="C9909" s="4"/>
      <c r="D9909" s="4" t="s">
        <v>20116</v>
      </c>
      <c r="E9909" s="4" t="s">
        <v>13416</v>
      </c>
      <c r="F9909" s="4" t="s">
        <v>13417</v>
      </c>
      <c r="G9909" s="5" t="str">
        <f>IFERROR(__xludf.DUMMYFUNCTION("GOOGLETRANSLATE(D9909,""ro"",""es"")"),"pollo")</f>
        <v>pollo</v>
      </c>
      <c r="H9909" s="4" t="s">
        <v>20117</v>
      </c>
      <c r="I9909" s="4" t="s">
        <v>8916</v>
      </c>
      <c r="J9909" s="4" t="s">
        <v>13276</v>
      </c>
      <c r="K9909" s="4" t="s">
        <v>2283</v>
      </c>
      <c r="L9909" s="4" t="s">
        <v>1583</v>
      </c>
      <c r="M9909" s="4" t="s">
        <v>14806</v>
      </c>
      <c r="N9909" s="4" t="s">
        <v>20118</v>
      </c>
      <c r="O9909" s="4" t="s">
        <v>11435</v>
      </c>
      <c r="P9909" s="4" t="s">
        <v>9966</v>
      </c>
      <c r="Q9909" s="4" t="s">
        <v>20119</v>
      </c>
      <c r="R9909" s="4" t="s">
        <v>13962</v>
      </c>
      <c r="S9909" s="4" t="s">
        <v>13963</v>
      </c>
      <c r="T9909" s="4" t="s">
        <v>13964</v>
      </c>
      <c r="U9909" s="4" t="s">
        <v>8491</v>
      </c>
      <c r="V9909" s="4" t="s">
        <v>5680</v>
      </c>
      <c r="W9909" s="4" t="s">
        <v>5681</v>
      </c>
      <c r="X9909" s="4" t="s">
        <v>5682</v>
      </c>
      <c r="Y9909" s="4" t="s">
        <v>5683</v>
      </c>
      <c r="Z9909" s="4" t="s">
        <v>5684</v>
      </c>
      <c r="AA9909" s="4" t="s">
        <v>5685</v>
      </c>
      <c r="AB9909" s="4" t="s">
        <v>5686</v>
      </c>
      <c r="AC9909" s="4" t="s">
        <v>14812</v>
      </c>
      <c r="AD9909" s="4" t="s">
        <v>14813</v>
      </c>
      <c r="AE9909" s="4" t="s">
        <v>4138</v>
      </c>
      <c r="AF9909" s="4" t="s">
        <v>14814</v>
      </c>
    </row>
    <row r="9910">
      <c r="A9910" s="4">
        <v>83.0</v>
      </c>
      <c r="B9910" s="4" t="s">
        <v>20161</v>
      </c>
      <c r="C9910" s="4"/>
      <c r="D9910" s="4" t="s">
        <v>3608</v>
      </c>
      <c r="E9910" s="4" t="s">
        <v>3607</v>
      </c>
      <c r="F9910" s="4" t="s">
        <v>3608</v>
      </c>
      <c r="G9910" s="5" t="str">
        <f>IFERROR(__xludf.DUMMYFUNCTION("GOOGLETRANSLATE(D9910,""ro"",""es"")"),"polla")</f>
        <v>polla</v>
      </c>
      <c r="H9910" s="4" t="s">
        <v>3608</v>
      </c>
    </row>
    <row r="9911">
      <c r="A9911" s="4">
        <v>84.0</v>
      </c>
      <c r="B9911" s="4" t="s">
        <v>20161</v>
      </c>
      <c r="C9911" s="4"/>
      <c r="D9911" s="4" t="s">
        <v>3703</v>
      </c>
      <c r="E9911" s="4" t="s">
        <v>3702</v>
      </c>
      <c r="F9911" s="4" t="s">
        <v>3703</v>
      </c>
      <c r="G9911" s="5" t="str">
        <f>IFERROR(__xludf.DUMMYFUNCTION("GOOGLETRANSLATE(D9911,""ro"",""es"")"),"poner")</f>
        <v>poner</v>
      </c>
      <c r="H9911" s="4" t="s">
        <v>20120</v>
      </c>
    </row>
    <row r="9912">
      <c r="A9912" s="4">
        <v>85.0</v>
      </c>
      <c r="B9912" s="4" t="s">
        <v>20161</v>
      </c>
      <c r="C9912" s="4"/>
      <c r="D9912" s="4" t="s">
        <v>16232</v>
      </c>
      <c r="E9912" s="4" t="s">
        <v>16233</v>
      </c>
      <c r="F9912" s="4" t="s">
        <v>16232</v>
      </c>
      <c r="G9912" s="5" t="str">
        <f>IFERROR(__xludf.DUMMYFUNCTION("GOOGLETRANSLATE(D9912,""ro"",""es"")"),"popa")</f>
        <v>popa</v>
      </c>
      <c r="H9912" s="4" t="s">
        <v>7005</v>
      </c>
      <c r="I9912" s="4" t="s">
        <v>1750</v>
      </c>
    </row>
    <row r="9913">
      <c r="A9913" s="4">
        <v>86.0</v>
      </c>
      <c r="B9913" s="4" t="s">
        <v>20161</v>
      </c>
      <c r="C9913" s="4"/>
      <c r="D9913" s="4" t="s">
        <v>20121</v>
      </c>
      <c r="E9913" s="4" t="s">
        <v>20122</v>
      </c>
      <c r="F9913" s="4" t="s">
        <v>20123</v>
      </c>
      <c r="G9913" s="5" t="str">
        <f>IFERROR(__xludf.DUMMYFUNCTION("GOOGLETRANSLATE(D9913,""ro"",""es"")"),"popa")</f>
        <v>popa</v>
      </c>
    </row>
    <row r="9914">
      <c r="A9914" s="4">
        <v>87.0</v>
      </c>
      <c r="B9914" s="4" t="s">
        <v>20161</v>
      </c>
      <c r="C9914" s="4"/>
      <c r="D9914" s="4" t="s">
        <v>20124</v>
      </c>
      <c r="E9914" s="4" t="s">
        <v>20125</v>
      </c>
      <c r="F9914" s="4" t="s">
        <v>20124</v>
      </c>
      <c r="G9914" s="5" t="str">
        <f>IFERROR(__xludf.DUMMYFUNCTION("GOOGLETRANSLATE(D9914,""ro"",""es"")"),"besos")</f>
        <v>besos</v>
      </c>
    </row>
    <row r="9915">
      <c r="A9915" s="4">
        <v>88.0</v>
      </c>
      <c r="B9915" s="4" t="s">
        <v>20161</v>
      </c>
      <c r="C9915" s="4"/>
      <c r="D9915" s="4" t="s">
        <v>3766</v>
      </c>
      <c r="E9915" s="4" t="s">
        <v>3767</v>
      </c>
      <c r="F9915" s="4" t="s">
        <v>3766</v>
      </c>
      <c r="G9915" s="5" t="str">
        <f>IFERROR(__xludf.DUMMYFUNCTION("GOOGLETRANSLATE(D9915,""ro"",""es"")"),"poner")</f>
        <v>poner</v>
      </c>
      <c r="H9915" s="4" t="s">
        <v>20126</v>
      </c>
    </row>
    <row r="9916">
      <c r="A9916" s="4">
        <v>89.0</v>
      </c>
      <c r="B9916" s="4" t="s">
        <v>20161</v>
      </c>
      <c r="C9916" s="4"/>
      <c r="D9916" s="4" t="s">
        <v>11051</v>
      </c>
      <c r="E9916" s="4" t="s">
        <v>11052</v>
      </c>
      <c r="F9916" s="4" t="s">
        <v>11051</v>
      </c>
      <c r="G9916" s="5" t="str">
        <f>IFERROR(__xludf.DUMMYFUNCTION("GOOGLETRANSLATE(D9916,""ro"",""es"")"),"pudo")</f>
        <v>pudo</v>
      </c>
    </row>
    <row r="9917">
      <c r="A9917" s="4">
        <v>90.0</v>
      </c>
      <c r="B9917" s="4" t="s">
        <v>20161</v>
      </c>
      <c r="C9917" s="4"/>
      <c r="D9917" s="4" t="s">
        <v>20127</v>
      </c>
      <c r="E9917" s="4" t="s">
        <v>20128</v>
      </c>
      <c r="F9917" s="4" t="s">
        <v>20129</v>
      </c>
      <c r="G9917" s="5" t="str">
        <f>IFERROR(__xludf.DUMMYFUNCTION("GOOGLETRANSLATE(D9917,""ro"",""es"")"),"bienvenidos")</f>
        <v>bienvenidos</v>
      </c>
    </row>
    <row r="9918">
      <c r="A9918" s="4">
        <v>91.0</v>
      </c>
      <c r="B9918" s="4" t="s">
        <v>20161</v>
      </c>
      <c r="C9918" s="4"/>
      <c r="D9918" s="4" t="s">
        <v>3951</v>
      </c>
      <c r="E9918" s="4" t="s">
        <v>3952</v>
      </c>
      <c r="F9918" s="4" t="s">
        <v>3951</v>
      </c>
      <c r="G9918" s="5" t="str">
        <f>IFERROR(__xludf.DUMMYFUNCTION("GOOGLETRANSLATE(D9918,""ro"",""es"")"),"savia")</f>
        <v>savia</v>
      </c>
    </row>
    <row r="9919">
      <c r="A9919" s="4">
        <v>92.0</v>
      </c>
      <c r="B9919" s="4" t="s">
        <v>20161</v>
      </c>
      <c r="C9919" s="4"/>
      <c r="D9919" s="4" t="s">
        <v>20130</v>
      </c>
      <c r="E9919" s="4" t="s">
        <v>20131</v>
      </c>
      <c r="F9919" s="4" t="s">
        <v>20132</v>
      </c>
      <c r="G9919" s="5" t="str">
        <f>IFERROR(__xludf.DUMMYFUNCTION("GOOGLETRANSLATE(D9919,""ro"",""es"")"),"simular")</f>
        <v>simular</v>
      </c>
    </row>
    <row r="9920">
      <c r="A9920" s="4">
        <v>93.0</v>
      </c>
      <c r="B9920" s="4" t="s">
        <v>20161</v>
      </c>
      <c r="C9920" s="4"/>
      <c r="D9920" s="4" t="s">
        <v>20133</v>
      </c>
      <c r="E9920" s="4" t="s">
        <v>20134</v>
      </c>
      <c r="F9920" s="4" t="s">
        <v>20133</v>
      </c>
      <c r="G9920" s="5" t="str">
        <f>IFERROR(__xludf.DUMMYFUNCTION("GOOGLETRANSLATE(D9920,""ro"",""es"")"),"simular")</f>
        <v>simular</v>
      </c>
    </row>
    <row r="9921">
      <c r="A9921" s="4">
        <v>94.0</v>
      </c>
      <c r="B9921" s="4" t="s">
        <v>20161</v>
      </c>
      <c r="C9921" s="4"/>
      <c r="D9921" s="4" t="s">
        <v>4108</v>
      </c>
      <c r="E9921" s="4" t="s">
        <v>4109</v>
      </c>
      <c r="F9921" s="4" t="s">
        <v>415</v>
      </c>
      <c r="G9921" s="5" t="str">
        <f>IFERROR(__xludf.DUMMYFUNCTION("GOOGLETRANSLATE(D9921,""ro"",""es"")"),"jugo")</f>
        <v>jugo</v>
      </c>
      <c r="H9921" s="4" t="s">
        <v>4110</v>
      </c>
      <c r="I9921" s="4" t="s">
        <v>14588</v>
      </c>
      <c r="J9921" s="4" t="s">
        <v>20135</v>
      </c>
      <c r="K9921" s="4" t="s">
        <v>20136</v>
      </c>
      <c r="L9921" s="4" t="s">
        <v>11308</v>
      </c>
      <c r="M9921" s="4" t="s">
        <v>4110</v>
      </c>
      <c r="N9921" s="4" t="s">
        <v>20137</v>
      </c>
      <c r="O9921" s="4" t="s">
        <v>20138</v>
      </c>
      <c r="P9921" s="4" t="s">
        <v>20139</v>
      </c>
      <c r="Q9921" s="4" t="s">
        <v>3951</v>
      </c>
    </row>
    <row r="9922">
      <c r="A9922" s="4">
        <v>95.0</v>
      </c>
      <c r="B9922" s="4" t="s">
        <v>20161</v>
      </c>
      <c r="C9922" s="4"/>
      <c r="D9922" s="4" t="s">
        <v>20140</v>
      </c>
      <c r="E9922" s="4" t="s">
        <v>20141</v>
      </c>
      <c r="F9922" s="4" t="s">
        <v>20140</v>
      </c>
      <c r="G9922" s="5" t="str">
        <f>IFERROR(__xludf.DUMMYFUNCTION("GOOGLETRANSLATE(D9922,""ro"",""es"")"),"tema")</f>
        <v>tema</v>
      </c>
    </row>
    <row r="9923">
      <c r="A9923" s="4">
        <v>96.0</v>
      </c>
      <c r="B9923" s="4" t="s">
        <v>20161</v>
      </c>
      <c r="C9923" s="4"/>
      <c r="D9923" s="4" t="s">
        <v>20142</v>
      </c>
      <c r="E9923" s="4" t="s">
        <v>13765</v>
      </c>
      <c r="F9923" s="4" t="s">
        <v>13766</v>
      </c>
      <c r="G9923" s="5" t="str">
        <f>IFERROR(__xludf.DUMMYFUNCTION("GOOGLETRANSLATE(D9923,""ro"",""es"")"),"su")</f>
        <v>su</v>
      </c>
      <c r="H9923" s="4" t="s">
        <v>13832</v>
      </c>
    </row>
    <row r="9924">
      <c r="A9924" s="4">
        <v>97.0</v>
      </c>
      <c r="B9924" s="4" t="s">
        <v>20161</v>
      </c>
      <c r="C9924" s="4"/>
      <c r="D9924" s="4" t="s">
        <v>20143</v>
      </c>
      <c r="E9924" s="4" t="s">
        <v>20144</v>
      </c>
      <c r="F9924" s="4" t="s">
        <v>20145</v>
      </c>
      <c r="G9924" s="5" t="str">
        <f>IFERROR(__xludf.DUMMYFUNCTION("GOOGLETRANSLATE(D9924,""ro"",""es"")"),"Tu atún")</f>
        <v>Tu atún</v>
      </c>
    </row>
    <row r="9925">
      <c r="A9925" s="4">
        <v>98.0</v>
      </c>
      <c r="B9925" s="4" t="s">
        <v>20161</v>
      </c>
      <c r="C9925" s="4"/>
      <c r="D9925" s="4" t="s">
        <v>20146</v>
      </c>
      <c r="E9925" s="4" t="s">
        <v>20147</v>
      </c>
      <c r="F9925" s="4" t="s">
        <v>20146</v>
      </c>
      <c r="G9925" s="5" t="str">
        <f>IFERROR(__xludf.DUMMYFUNCTION("GOOGLETRANSLATE(D9925,""ro"",""es"")"),"tsunami")</f>
        <v>tsunami</v>
      </c>
    </row>
    <row r="9926">
      <c r="A9926" s="4">
        <v>99.0</v>
      </c>
      <c r="B9926" s="4" t="s">
        <v>20161</v>
      </c>
      <c r="C9926" s="4"/>
      <c r="D9926" s="4" t="s">
        <v>1817</v>
      </c>
      <c r="E9926" s="4" t="s">
        <v>1816</v>
      </c>
      <c r="F9926" s="4" t="s">
        <v>1817</v>
      </c>
      <c r="G9926" s="5" t="str">
        <f>IFERROR(__xludf.DUMMYFUNCTION("GOOGLETRANSLATE(D9926,""ro"",""es"")"),"humano")</f>
        <v>humano</v>
      </c>
    </row>
    <row r="9927">
      <c r="A9927" s="4">
        <v>100.0</v>
      </c>
      <c r="B9927" s="4" t="s">
        <v>20161</v>
      </c>
      <c r="C9927" s="4"/>
      <c r="D9927" s="4" t="s">
        <v>20148</v>
      </c>
      <c r="E9927" s="4" t="s">
        <v>4785</v>
      </c>
      <c r="F9927" s="4" t="s">
        <v>4786</v>
      </c>
      <c r="G9927" s="5" t="str">
        <f>IFERROR(__xludf.DUMMYFUNCTION("GOOGLETRANSLATE(D9927,""ro"",""es"")"),"único")</f>
        <v>único</v>
      </c>
      <c r="H9927" s="4" t="s">
        <v>20149</v>
      </c>
      <c r="I9927" s="4" t="s">
        <v>20150</v>
      </c>
    </row>
    <row r="9928">
      <c r="A9928" s="4">
        <v>101.0</v>
      </c>
      <c r="B9928" s="4" t="s">
        <v>20161</v>
      </c>
      <c r="C9928" s="4"/>
      <c r="D9928" s="4" t="s">
        <v>20151</v>
      </c>
      <c r="E9928" s="4" t="s">
        <v>20152</v>
      </c>
      <c r="F9928" s="4" t="s">
        <v>20151</v>
      </c>
      <c r="G9928" s="5" t="str">
        <f>IFERROR(__xludf.DUMMYFUNCTION("GOOGLETRANSLATE(D9928,""ro"",""es"")"),"una")</f>
        <v>una</v>
      </c>
      <c r="H9928" s="4" t="s">
        <v>20153</v>
      </c>
    </row>
    <row r="9929">
      <c r="A9929" s="4">
        <v>102.0</v>
      </c>
      <c r="B9929" s="4" t="s">
        <v>20161</v>
      </c>
      <c r="C9929" s="4"/>
      <c r="D9929" s="4" t="s">
        <v>20154</v>
      </c>
      <c r="E9929" s="4" t="s">
        <v>20155</v>
      </c>
      <c r="F9929" s="4" t="s">
        <v>20156</v>
      </c>
      <c r="G9929" s="5" t="str">
        <f>IFERROR(__xludf.DUMMYFUNCTION("GOOGLETRANSLATE(D9929,""ro"",""es"")"),"puerta")</f>
        <v>puerta</v>
      </c>
    </row>
    <row r="9930">
      <c r="A9930" s="4">
        <v>103.0</v>
      </c>
      <c r="B9930" s="4" t="s">
        <v>20161</v>
      </c>
      <c r="C9930" s="4"/>
      <c r="D9930" s="4" t="s">
        <v>20157</v>
      </c>
      <c r="E9930" s="4" t="s">
        <v>11953</v>
      </c>
      <c r="F9930" s="4" t="s">
        <v>11954</v>
      </c>
      <c r="G9930" s="5" t="str">
        <f>IFERROR(__xludf.DUMMYFUNCTION("GOOGLETRANSLATE(D9930,""ro"",""es"")"),"chacal")</f>
        <v>chacal</v>
      </c>
      <c r="H9930" s="4" t="s">
        <v>11955</v>
      </c>
      <c r="I9930" s="4" t="s">
        <v>11956</v>
      </c>
      <c r="J9930" s="4" t="s">
        <v>20158</v>
      </c>
    </row>
    <row r="9931">
      <c r="A9931" s="4">
        <v>104.0</v>
      </c>
      <c r="B9931" s="4" t="s">
        <v>20161</v>
      </c>
      <c r="C9931" s="4"/>
      <c r="D9931" s="4" t="s">
        <v>20159</v>
      </c>
      <c r="E9931" s="4" t="s">
        <v>4680</v>
      </c>
      <c r="F9931" s="4" t="s">
        <v>4681</v>
      </c>
      <c r="G9931" s="5" t="str">
        <f>IFERROR(__xludf.DUMMYFUNCTION("GOOGLETRANSLATE(D9931,""ro"",""es"")"),"chal")</f>
        <v>chal</v>
      </c>
      <c r="H9931" s="4" t="s">
        <v>4682</v>
      </c>
    </row>
    <row r="9932">
      <c r="A9932" s="4">
        <v>105.0</v>
      </c>
      <c r="B9932" s="4" t="s">
        <v>20161</v>
      </c>
      <c r="C9932" s="4"/>
      <c r="D9932" s="4" t="s">
        <v>20160</v>
      </c>
      <c r="E9932" s="4" t="s">
        <v>277</v>
      </c>
      <c r="F9932" s="4" t="s">
        <v>278</v>
      </c>
      <c r="G9932" s="5" t="str">
        <f>IFERROR(__xludf.DUMMYFUNCTION("GOOGLETRANSLATE(D9932,""ro"",""es"")"),"y")</f>
        <v>y</v>
      </c>
      <c r="H9932" s="4" t="s">
        <v>8855</v>
      </c>
      <c r="I9932" s="4" t="s">
        <v>8851</v>
      </c>
      <c r="J9932" s="4" t="s">
        <v>8856</v>
      </c>
      <c r="K9932" s="4" t="s">
        <v>8857</v>
      </c>
      <c r="L9932" s="4" t="s">
        <v>8858</v>
      </c>
    </row>
    <row r="9933">
      <c r="A9933" s="4">
        <v>1.0</v>
      </c>
      <c r="B9933" s="4" t="s">
        <v>20162</v>
      </c>
      <c r="C9933" s="4"/>
      <c r="D9933" s="4" t="s">
        <v>1776</v>
      </c>
      <c r="E9933" s="4" t="s">
        <v>1775</v>
      </c>
      <c r="F9933" s="4" t="s">
        <v>1776</v>
      </c>
      <c r="G9933" s="5" t="str">
        <f>IFERROR(__xludf.DUMMYFUNCTION("GOOGLETRANSLATE(D9933,""sk"",""es"")"),"si")</f>
        <v>si</v>
      </c>
    </row>
    <row r="9934">
      <c r="A9934" s="4">
        <v>2.0</v>
      </c>
      <c r="B9934" s="4" t="s">
        <v>20162</v>
      </c>
      <c r="C9934" s="4"/>
      <c r="D9934" s="4" t="s">
        <v>744</v>
      </c>
      <c r="E9934" s="4" t="s">
        <v>17437</v>
      </c>
      <c r="F9934" s="4" t="s">
        <v>17438</v>
      </c>
      <c r="G9934" s="5" t="str">
        <f>IFERROR(__xludf.DUMMYFUNCTION("GOOGLETRANSLATE(D9934,""sk"",""es"")"),"ni siquiera")</f>
        <v>ni siquiera</v>
      </c>
    </row>
    <row r="9935">
      <c r="A9935" s="4">
        <v>3.0</v>
      </c>
      <c r="B9935" s="4" t="s">
        <v>20162</v>
      </c>
      <c r="C9935" s="4"/>
      <c r="D9935" s="4" t="s">
        <v>17492</v>
      </c>
      <c r="E9935" s="4" t="s">
        <v>467</v>
      </c>
      <c r="F9935" s="4" t="s">
        <v>468</v>
      </c>
      <c r="G9935" s="4" t="s">
        <v>20163</v>
      </c>
      <c r="H9935" s="4" t="s">
        <v>17493</v>
      </c>
      <c r="I9935" s="4" t="s">
        <v>17494</v>
      </c>
      <c r="J9935" s="4" t="s">
        <v>17495</v>
      </c>
      <c r="K9935" s="4" t="s">
        <v>17496</v>
      </c>
      <c r="L9935" s="4" t="s">
        <v>8769</v>
      </c>
      <c r="M9935" s="4" t="s">
        <v>17497</v>
      </c>
      <c r="N9935" s="4" t="s">
        <v>17498</v>
      </c>
      <c r="O9935" s="4" t="s">
        <v>3497</v>
      </c>
      <c r="P9935" s="4" t="s">
        <v>17499</v>
      </c>
      <c r="Q9935" s="4" t="s">
        <v>17500</v>
      </c>
      <c r="R9935" s="4" t="s">
        <v>17501</v>
      </c>
    </row>
    <row r="9936">
      <c r="A9936" s="4">
        <v>4.0</v>
      </c>
      <c r="B9936" s="4" t="s">
        <v>20162</v>
      </c>
      <c r="C9936" s="4"/>
      <c r="D9936" s="4" t="s">
        <v>6326</v>
      </c>
      <c r="E9936" s="4" t="s">
        <v>17570</v>
      </c>
      <c r="F9936" s="4" t="s">
        <v>6328</v>
      </c>
      <c r="G9936" s="5" t="str">
        <f>IFERROR(__xludf.DUMMYFUNCTION("GOOGLETRANSLATE(D9936,""sk"",""es"")"),"a ellos")</f>
        <v>a ellos</v>
      </c>
    </row>
    <row r="9937">
      <c r="A9937" s="4">
        <v>5.0</v>
      </c>
      <c r="B9937" s="4" t="s">
        <v>20162</v>
      </c>
      <c r="C9937" s="4"/>
      <c r="D9937" s="4" t="s">
        <v>2009</v>
      </c>
      <c r="E9937" s="4" t="s">
        <v>2010</v>
      </c>
      <c r="F9937" s="4" t="s">
        <v>2011</v>
      </c>
      <c r="G9937" s="5" t="str">
        <f>IFERROR(__xludf.DUMMYFUNCTION("GOOGLETRANSLATE(D9937,""sk"",""es"")"),"yo")</f>
        <v>yo</v>
      </c>
      <c r="H9937" s="4" t="s">
        <v>9160</v>
      </c>
      <c r="I9937" s="4" t="s">
        <v>9161</v>
      </c>
    </row>
    <row r="9938">
      <c r="A9938" s="4">
        <v>6.0</v>
      </c>
      <c r="B9938" s="4" t="s">
        <v>20162</v>
      </c>
      <c r="C9938" s="4"/>
      <c r="D9938" s="4" t="s">
        <v>17108</v>
      </c>
      <c r="E9938" s="4" t="s">
        <v>1870</v>
      </c>
      <c r="F9938" s="4" t="s">
        <v>1871</v>
      </c>
      <c r="G9938" s="5" t="str">
        <f>IFERROR(__xludf.DUMMYFUNCTION("GOOGLETRANSLATE(D9938,""sk"",""es"")"),"como")</f>
        <v>como</v>
      </c>
      <c r="H9938" s="4" t="s">
        <v>1871</v>
      </c>
      <c r="I9938" s="4" t="s">
        <v>1872</v>
      </c>
    </row>
    <row r="9939">
      <c r="A9939" s="4">
        <v>7.0</v>
      </c>
      <c r="B9939" s="4" t="s">
        <v>20162</v>
      </c>
      <c r="C9939" s="4"/>
      <c r="D9939" s="4" t="s">
        <v>17602</v>
      </c>
      <c r="E9939" s="4" t="s">
        <v>17603</v>
      </c>
      <c r="F9939" s="4" t="s">
        <v>17604</v>
      </c>
      <c r="G9939" s="5" t="str">
        <f>IFERROR(__xludf.DUMMYFUNCTION("GOOGLETRANSLATE(D9939,""sk"",""es"")"),"Jakub")</f>
        <v>Jakub</v>
      </c>
    </row>
    <row r="9940">
      <c r="A9940" s="4">
        <v>8.0</v>
      </c>
      <c r="B9940" s="4" t="s">
        <v>20162</v>
      </c>
      <c r="C9940" s="4"/>
      <c r="D9940" s="4" t="s">
        <v>20164</v>
      </c>
      <c r="E9940" s="4" t="s">
        <v>17638</v>
      </c>
      <c r="F9940" s="4" t="s">
        <v>17639</v>
      </c>
      <c r="G9940" s="5" t="str">
        <f>IFERROR(__xludf.DUMMYFUNCTION("GOOGLETRANSLATE(D9940,""sk"",""es"")"),"sur")</f>
        <v>sur</v>
      </c>
      <c r="H9940" s="4" t="s">
        <v>20165</v>
      </c>
      <c r="I9940" s="4" t="s">
        <v>20166</v>
      </c>
      <c r="J9940" s="4" t="s">
        <v>20165</v>
      </c>
    </row>
    <row r="9941">
      <c r="A9941" s="4">
        <v>9.0</v>
      </c>
      <c r="B9941" s="4" t="s">
        <v>20162</v>
      </c>
      <c r="C9941" s="4"/>
      <c r="D9941" s="4" t="s">
        <v>17668</v>
      </c>
      <c r="E9941" s="4" t="s">
        <v>967</v>
      </c>
      <c r="F9941" s="4" t="s">
        <v>968</v>
      </c>
      <c r="G9941" s="5" t="str">
        <f>IFERROR(__xludf.DUMMYFUNCTION("GOOGLETRANSLATE(D9941,""sk"",""es"")"),"kayac")</f>
        <v>kayac</v>
      </c>
    </row>
    <row r="9942">
      <c r="A9942" s="4">
        <v>10.0</v>
      </c>
      <c r="B9942" s="4" t="s">
        <v>20162</v>
      </c>
      <c r="C9942" s="4"/>
      <c r="D9942" s="4" t="s">
        <v>5162</v>
      </c>
      <c r="E9942" s="4" t="s">
        <v>5161</v>
      </c>
      <c r="F9942" s="4" t="s">
        <v>5162</v>
      </c>
      <c r="G9942" s="5" t="str">
        <f>IFERROR(__xludf.DUMMYFUNCTION("GOOGLETRANSLATE(D9942,""sk"",""es"")"),"kata")</f>
        <v>kata</v>
      </c>
    </row>
    <row r="9943">
      <c r="A9943" s="4">
        <v>11.0</v>
      </c>
      <c r="B9943" s="4" t="s">
        <v>20162</v>
      </c>
      <c r="C9943" s="4"/>
      <c r="D9943" s="4" t="s">
        <v>20167</v>
      </c>
      <c r="E9943" s="4" t="s">
        <v>20168</v>
      </c>
      <c r="F9943" s="4" t="s">
        <v>20169</v>
      </c>
      <c r="G9943" s="5" t="str">
        <f>IFERROR(__xludf.DUMMYFUNCTION("GOOGLETRANSLATE(D9943,""sk"",""es"")"),"mezcla")</f>
        <v>mezcla</v>
      </c>
      <c r="H9943" s="4" t="s">
        <v>17300</v>
      </c>
    </row>
    <row r="9944">
      <c r="A9944" s="4">
        <v>12.0</v>
      </c>
      <c r="B9944" s="4" t="s">
        <v>20162</v>
      </c>
      <c r="C9944" s="4"/>
      <c r="D9944" s="4" t="s">
        <v>12477</v>
      </c>
      <c r="E9944" s="4" t="s">
        <v>12476</v>
      </c>
      <c r="F9944" s="4" t="s">
        <v>12477</v>
      </c>
      <c r="G9944" s="5" t="str">
        <f>IFERROR(__xludf.DUMMYFUNCTION("GOOGLETRANSLATE(D9944,""sk"",""es"")"),"kipa")</f>
        <v>kipa</v>
      </c>
    </row>
    <row r="9945">
      <c r="A9945" s="4">
        <v>13.0</v>
      </c>
      <c r="B9945" s="4" t="s">
        <v>20162</v>
      </c>
      <c r="C9945" s="4"/>
      <c r="D9945" s="4" t="s">
        <v>20170</v>
      </c>
      <c r="E9945" s="4" t="s">
        <v>20171</v>
      </c>
      <c r="F9945" s="4" t="s">
        <v>20172</v>
      </c>
      <c r="G9945" s="5" t="str">
        <f>IFERROR(__xludf.DUMMYFUNCTION("GOOGLETRANSLATE(D9945,""sk"",""es"")"),"La cocina")</f>
        <v>La cocina</v>
      </c>
      <c r="H9945" s="4" t="s">
        <v>20173</v>
      </c>
      <c r="I9945" s="4" t="s">
        <v>20174</v>
      </c>
      <c r="J9945" s="4" t="s">
        <v>20175</v>
      </c>
    </row>
    <row r="9946">
      <c r="A9946" s="4">
        <v>14.0</v>
      </c>
      <c r="B9946" s="4" t="s">
        <v>20162</v>
      </c>
      <c r="C9946" s="4"/>
      <c r="D9946" s="4" t="s">
        <v>1480</v>
      </c>
      <c r="E9946" s="4" t="s">
        <v>1479</v>
      </c>
      <c r="F9946" s="4" t="s">
        <v>1480</v>
      </c>
      <c r="G9946" s="5" t="str">
        <f>IFERROR(__xludf.DUMMYFUNCTION("GOOGLETRANSLATE(D9946,""sk"",""es"")"),"Kuli")</f>
        <v>Kuli</v>
      </c>
    </row>
    <row r="9947">
      <c r="A9947" s="4">
        <v>15.0</v>
      </c>
      <c r="B9947" s="4" t="s">
        <v>20162</v>
      </c>
      <c r="C9947" s="4"/>
      <c r="D9947" s="4" t="s">
        <v>10135</v>
      </c>
      <c r="E9947" s="4" t="s">
        <v>15066</v>
      </c>
      <c r="F9947" s="4" t="s">
        <v>10135</v>
      </c>
      <c r="G9947" s="5" t="str">
        <f>IFERROR(__xludf.DUMMYFUNCTION("GOOGLETRANSLATE(D9947,""sk"",""es"")"),"Kuna")</f>
        <v>Kuna</v>
      </c>
    </row>
    <row r="9948">
      <c r="A9948" s="4">
        <v>16.0</v>
      </c>
      <c r="B9948" s="4" t="s">
        <v>20162</v>
      </c>
      <c r="C9948" s="4"/>
      <c r="D9948" s="4" t="s">
        <v>1675</v>
      </c>
      <c r="E9948" s="4" t="s">
        <v>1674</v>
      </c>
      <c r="F9948" s="4" t="s">
        <v>1675</v>
      </c>
      <c r="G9948" s="5" t="str">
        <f>IFERROR(__xludf.DUMMYFUNCTION("GOOGLETRANSLATE(D9948,""sk"",""es"")"),"una pieza")</f>
        <v>una pieza</v>
      </c>
      <c r="H9948" s="4" t="s">
        <v>16203</v>
      </c>
      <c r="I9948" s="4" t="s">
        <v>3486</v>
      </c>
      <c r="J9948" s="4" t="s">
        <v>3486</v>
      </c>
      <c r="K9948" s="4" t="s">
        <v>4281</v>
      </c>
      <c r="L9948" s="4" t="s">
        <v>19011</v>
      </c>
      <c r="M9948" s="4" t="s">
        <v>10714</v>
      </c>
      <c r="N9948" s="4" t="s">
        <v>10715</v>
      </c>
      <c r="O9948" s="4" t="s">
        <v>10716</v>
      </c>
      <c r="P9948" s="4" t="s">
        <v>10717</v>
      </c>
      <c r="Q9948" s="4" t="s">
        <v>10718</v>
      </c>
      <c r="R9948" s="4" t="s">
        <v>10719</v>
      </c>
      <c r="S9948" s="4" t="s">
        <v>8814</v>
      </c>
      <c r="T9948" s="4" t="s">
        <v>10720</v>
      </c>
      <c r="U9948" s="4" t="s">
        <v>10721</v>
      </c>
      <c r="V9948" s="4" t="s">
        <v>10722</v>
      </c>
      <c r="W9948" s="4" t="s">
        <v>10723</v>
      </c>
      <c r="X9948" s="4" t="s">
        <v>4281</v>
      </c>
      <c r="Y9948" s="4" t="s">
        <v>3486</v>
      </c>
    </row>
    <row r="9949">
      <c r="A9949" s="4">
        <v>17.0</v>
      </c>
      <c r="B9949" s="4" t="s">
        <v>20162</v>
      </c>
      <c r="C9949" s="4"/>
      <c r="D9949" s="4" t="s">
        <v>2249</v>
      </c>
      <c r="E9949" s="4" t="s">
        <v>2248</v>
      </c>
      <c r="F9949" s="4" t="s">
        <v>2249</v>
      </c>
      <c r="G9949" s="5" t="str">
        <f>IFERROR(__xludf.DUMMYFUNCTION("GOOGLETRANSLATE(D9949,""sk"",""es"")"),"Luna")</f>
        <v>Luna</v>
      </c>
    </row>
    <row r="9950">
      <c r="A9950" s="4">
        <v>18.0</v>
      </c>
      <c r="B9950" s="4" t="s">
        <v>20162</v>
      </c>
      <c r="C9950" s="4"/>
      <c r="D9950" s="4" t="s">
        <v>6711</v>
      </c>
      <c r="E9950" s="4" t="s">
        <v>18102</v>
      </c>
      <c r="F9950" s="4" t="s">
        <v>2301</v>
      </c>
      <c r="G9950" s="5" t="str">
        <f>IFERROR(__xludf.DUMMYFUNCTION("GOOGLETRANSLATE(D9950,""sk"",""es"")"),"Machacar")</f>
        <v>Machacar</v>
      </c>
      <c r="H9950" s="4" t="s">
        <v>20176</v>
      </c>
      <c r="I9950" s="4" t="s">
        <v>20177</v>
      </c>
      <c r="J9950" s="4" t="s">
        <v>13015</v>
      </c>
    </row>
    <row r="9951">
      <c r="A9951" s="4">
        <v>19.0</v>
      </c>
      <c r="B9951" s="4" t="s">
        <v>20162</v>
      </c>
      <c r="C9951" s="4"/>
      <c r="D9951" s="4" t="s">
        <v>20178</v>
      </c>
      <c r="E9951" s="4" t="s">
        <v>20179</v>
      </c>
      <c r="F9951" s="4" t="s">
        <v>20180</v>
      </c>
      <c r="G9951" s="5" t="str">
        <f>IFERROR(__xludf.DUMMYFUNCTION("GOOGLETRANSLATE(D9951,""sk"",""es"")"),"Machuľa")</f>
        <v>Machuľa</v>
      </c>
      <c r="H9951" s="4" t="s">
        <v>4231</v>
      </c>
      <c r="I9951" s="4" t="s">
        <v>2298</v>
      </c>
      <c r="J9951" s="4" t="s">
        <v>2865</v>
      </c>
      <c r="K9951" s="4" t="s">
        <v>4232</v>
      </c>
      <c r="L9951" s="4" t="s">
        <v>2866</v>
      </c>
      <c r="M9951" s="4" t="s">
        <v>2867</v>
      </c>
      <c r="N9951" s="4" t="s">
        <v>4233</v>
      </c>
    </row>
    <row r="9952">
      <c r="A9952" s="4">
        <v>20.0</v>
      </c>
      <c r="B9952" s="4" t="s">
        <v>20162</v>
      </c>
      <c r="C9952" s="4"/>
      <c r="D9952" s="4" t="s">
        <v>2301</v>
      </c>
      <c r="E9952" s="4" t="s">
        <v>2300</v>
      </c>
      <c r="F9952" s="4" t="s">
        <v>2301</v>
      </c>
      <c r="G9952" s="5" t="str">
        <f>IFERROR(__xludf.DUMMYFUNCTION("GOOGLETRANSLATE(D9952,""sk"",""es"")"),"amapola")</f>
        <v>amapola</v>
      </c>
      <c r="H9952" s="4" t="s">
        <v>18138</v>
      </c>
      <c r="I9952" s="4" t="s">
        <v>8692</v>
      </c>
    </row>
    <row r="9953">
      <c r="A9953" s="4">
        <v>21.0</v>
      </c>
      <c r="B9953" s="4" t="s">
        <v>20162</v>
      </c>
      <c r="C9953" s="4"/>
      <c r="D9953" s="4" t="s">
        <v>18159</v>
      </c>
      <c r="E9953" s="4" t="s">
        <v>18160</v>
      </c>
      <c r="F9953" s="4" t="s">
        <v>18159</v>
      </c>
      <c r="G9953" s="5" t="str">
        <f>IFERROR(__xludf.DUMMYFUNCTION("GOOGLETRANSLATE(D9953,""sk"",""es"")"),"frambuesa")</f>
        <v>frambuesa</v>
      </c>
    </row>
    <row r="9954">
      <c r="A9954" s="4">
        <v>22.0</v>
      </c>
      <c r="B9954" s="4" t="s">
        <v>20162</v>
      </c>
      <c r="C9954" s="4"/>
      <c r="D9954" s="4" t="s">
        <v>2381</v>
      </c>
      <c r="E9954" s="4" t="s">
        <v>2382</v>
      </c>
      <c r="F9954" s="4" t="s">
        <v>2381</v>
      </c>
      <c r="G9954" s="5" t="str">
        <f>IFERROR(__xludf.DUMMYFUNCTION("GOOGLETRANSLATE(D9954,""sk"",""es"")"),"madre")</f>
        <v>madre</v>
      </c>
      <c r="H9954" s="4" t="s">
        <v>2278</v>
      </c>
      <c r="I9954" s="4" t="s">
        <v>2381</v>
      </c>
      <c r="J9954" s="4" t="s">
        <v>2384</v>
      </c>
      <c r="K9954" s="4" t="s">
        <v>2385</v>
      </c>
      <c r="L9954" s="4" t="s">
        <v>2386</v>
      </c>
      <c r="M9954" s="4" t="s">
        <v>2387</v>
      </c>
      <c r="N9954" s="4" t="s">
        <v>2388</v>
      </c>
      <c r="O9954" s="4" t="s">
        <v>2389</v>
      </c>
      <c r="P9954" s="4" t="s">
        <v>2390</v>
      </c>
      <c r="Q9954" s="4" t="s">
        <v>8941</v>
      </c>
      <c r="R9954" s="4" t="s">
        <v>8942</v>
      </c>
    </row>
    <row r="9955">
      <c r="A9955" s="4">
        <v>23.0</v>
      </c>
      <c r="B9955" s="4" t="s">
        <v>20162</v>
      </c>
      <c r="C9955" s="4"/>
      <c r="D9955" s="4" t="s">
        <v>2458</v>
      </c>
      <c r="E9955" s="4" t="s">
        <v>2459</v>
      </c>
      <c r="F9955" s="4" t="s">
        <v>2458</v>
      </c>
      <c r="G9955" s="5" t="str">
        <f>IFERROR(__xludf.DUMMYFUNCTION("GOOGLETRANSLATE(D9955,""sk"",""es"")"),"mapa")</f>
        <v>mapa</v>
      </c>
      <c r="H9955" s="4" t="s">
        <v>2460</v>
      </c>
    </row>
    <row r="9956">
      <c r="A9956" s="4">
        <v>24.0</v>
      </c>
      <c r="B9956" s="4" t="s">
        <v>20162</v>
      </c>
      <c r="C9956" s="4"/>
      <c r="D9956" s="4" t="s">
        <v>20181</v>
      </c>
      <c r="E9956" s="4" t="s">
        <v>12701</v>
      </c>
      <c r="F9956" s="4" t="s">
        <v>12702</v>
      </c>
      <c r="G9956" s="5" t="str">
        <f>IFERROR(__xludf.DUMMYFUNCTION("GOOGLETRANSLATE(D9956,""sk"",""es"")"),"Mašina")</f>
        <v>Mašina</v>
      </c>
      <c r="H9956" s="4" t="s">
        <v>2874</v>
      </c>
    </row>
    <row r="9957">
      <c r="A9957" s="4">
        <v>25.0</v>
      </c>
      <c r="B9957" s="4" t="s">
        <v>20162</v>
      </c>
      <c r="C9957" s="4"/>
      <c r="D9957" s="4" t="s">
        <v>18307</v>
      </c>
      <c r="E9957" s="4" t="s">
        <v>369</v>
      </c>
      <c r="F9957" s="4" t="s">
        <v>370</v>
      </c>
      <c r="G9957" s="5" t="str">
        <f>IFERROR(__xludf.DUMMYFUNCTION("GOOGLETRANSLATE(D9957,""sk"",""es"")"),"Muy")</f>
        <v>Muy</v>
      </c>
    </row>
    <row r="9958">
      <c r="A9958" s="4">
        <v>26.0</v>
      </c>
      <c r="B9958" s="4" t="s">
        <v>20162</v>
      </c>
      <c r="C9958" s="4"/>
      <c r="D9958" s="4" t="s">
        <v>20182</v>
      </c>
      <c r="E9958" s="4" t="s">
        <v>341</v>
      </c>
      <c r="F9958" s="4" t="s">
        <v>342</v>
      </c>
      <c r="G9958" s="5" t="str">
        <f>IFERROR(__xludf.DUMMYFUNCTION("GOOGLETRANSLATE(D9958,""sk"",""es"")"),"nosotros")</f>
        <v>nosotros</v>
      </c>
    </row>
    <row r="9959">
      <c r="A9959" s="4">
        <v>27.0</v>
      </c>
      <c r="B9959" s="4" t="s">
        <v>20162</v>
      </c>
      <c r="C9959" s="4"/>
      <c r="D9959" s="4" t="s">
        <v>20183</v>
      </c>
      <c r="E9959" s="4" t="s">
        <v>2720</v>
      </c>
      <c r="F9959" s="4" t="s">
        <v>2721</v>
      </c>
      <c r="G9959" s="5" t="str">
        <f>IFERROR(__xludf.DUMMYFUNCTION("GOOGLETRANSLATE(D9959,""sk"",""es"")"),"ratón")</f>
        <v>ratón</v>
      </c>
    </row>
    <row r="9960">
      <c r="A9960" s="4">
        <v>28.0</v>
      </c>
      <c r="B9960" s="4" t="s">
        <v>20162</v>
      </c>
      <c r="C9960" s="4"/>
      <c r="D9960" s="4" t="s">
        <v>20184</v>
      </c>
      <c r="E9960" s="4" t="s">
        <v>20185</v>
      </c>
      <c r="F9960" s="4" t="s">
        <v>2553</v>
      </c>
      <c r="G9960" s="5" t="str">
        <f>IFERROR(__xludf.DUMMYFUNCTION("GOOGLETRANSLATE(D9960,""sk"",""es"")"),"menta")</f>
        <v>menta</v>
      </c>
    </row>
    <row r="9961">
      <c r="A9961" s="4">
        <v>29.0</v>
      </c>
      <c r="B9961" s="4" t="s">
        <v>20162</v>
      </c>
      <c r="C9961" s="4"/>
      <c r="D9961" s="4" t="s">
        <v>374</v>
      </c>
      <c r="E9961" s="4" t="s">
        <v>373</v>
      </c>
      <c r="F9961" s="4" t="s">
        <v>374</v>
      </c>
      <c r="G9961" s="5" t="str">
        <f>IFERROR(__xludf.DUMMYFUNCTION("GOOGLETRANSLATE(D9961,""sk"",""es"")"),"sobre el")</f>
        <v>sobre el</v>
      </c>
    </row>
    <row r="9962">
      <c r="A9962" s="4">
        <v>30.0</v>
      </c>
      <c r="B9962" s="4" t="s">
        <v>20162</v>
      </c>
      <c r="C9962" s="4"/>
      <c r="D9962" s="4" t="s">
        <v>20186</v>
      </c>
      <c r="E9962" s="4" t="s">
        <v>20187</v>
      </c>
      <c r="F9962" s="4" t="s">
        <v>20186</v>
      </c>
      <c r="G9962" s="5" t="str">
        <f>IFERROR(__xludf.DUMMYFUNCTION("GOOGLETRANSLATE(D9962,""sk"",""es"")"),"Nika")</f>
        <v>Nika</v>
      </c>
      <c r="H9962" s="4" t="s">
        <v>983</v>
      </c>
      <c r="I9962" s="4" t="s">
        <v>8556</v>
      </c>
    </row>
    <row r="9963">
      <c r="A9963" s="4">
        <v>31.0</v>
      </c>
      <c r="B9963" s="4" t="s">
        <v>20162</v>
      </c>
      <c r="C9963" s="4"/>
      <c r="D9963" s="4" t="s">
        <v>2982</v>
      </c>
      <c r="E9963" s="4" t="s">
        <v>20188</v>
      </c>
      <c r="F9963" s="4" t="s">
        <v>20189</v>
      </c>
      <c r="G9963" s="5" t="str">
        <f>IFERROR(__xludf.DUMMYFUNCTION("GOOGLETRANSLATE(D9963,""sk"",""es"")"),"Nina")</f>
        <v>Nina</v>
      </c>
    </row>
    <row r="9964">
      <c r="A9964" s="4">
        <v>32.0</v>
      </c>
      <c r="B9964" s="4" t="s">
        <v>20162</v>
      </c>
      <c r="C9964" s="4"/>
      <c r="D9964" s="4" t="s">
        <v>18489</v>
      </c>
      <c r="E9964" s="4" t="s">
        <v>18490</v>
      </c>
      <c r="F9964" s="4" t="s">
        <v>18491</v>
      </c>
      <c r="G9964" s="5" t="str">
        <f>IFERROR(__xludf.DUMMYFUNCTION("GOOGLETRANSLATE(D9964,""sk"",""es"")"),"Sra")</f>
        <v>Sra</v>
      </c>
      <c r="H9964" s="4" t="s">
        <v>20190</v>
      </c>
      <c r="I9964" s="4" t="s">
        <v>20191</v>
      </c>
      <c r="J9964" s="4" t="s">
        <v>20192</v>
      </c>
      <c r="K9964" s="4" t="s">
        <v>20193</v>
      </c>
      <c r="L9964" s="4" t="s">
        <v>20194</v>
      </c>
      <c r="M9964" s="4" t="s">
        <v>6704</v>
      </c>
      <c r="N9964" s="4" t="s">
        <v>18492</v>
      </c>
      <c r="O9964" s="4" t="s">
        <v>20195</v>
      </c>
    </row>
    <row r="9965">
      <c r="A9965" s="4">
        <v>33.0</v>
      </c>
      <c r="B9965" s="4" t="s">
        <v>20162</v>
      </c>
      <c r="C9965" s="4"/>
      <c r="D9965" s="4" t="s">
        <v>20196</v>
      </c>
      <c r="E9965" s="4" t="s">
        <v>20197</v>
      </c>
      <c r="F9965" s="4" t="s">
        <v>20198</v>
      </c>
      <c r="G9965" s="5" t="str">
        <f>IFERROR(__xludf.DUMMYFUNCTION("GOOGLETRANSLATE(D9965,""sk"",""es"")"),"Pijano")</f>
        <v>Pijano</v>
      </c>
      <c r="H9965" s="4" t="s">
        <v>18538</v>
      </c>
      <c r="I9965" s="4" t="s">
        <v>18539</v>
      </c>
      <c r="J9965" s="4" t="s">
        <v>18540</v>
      </c>
      <c r="K9965" s="4" t="s">
        <v>18541</v>
      </c>
      <c r="L9965" s="4" t="s">
        <v>18542</v>
      </c>
      <c r="M9965" s="4" t="s">
        <v>18543</v>
      </c>
    </row>
    <row r="9966">
      <c r="A9966" s="4">
        <v>34.0</v>
      </c>
      <c r="B9966" s="4" t="s">
        <v>20162</v>
      </c>
      <c r="C9966" s="4"/>
      <c r="D9966" s="4" t="s">
        <v>3678</v>
      </c>
      <c r="E9966" s="4" t="s">
        <v>3679</v>
      </c>
      <c r="F9966" s="4" t="s">
        <v>3678</v>
      </c>
      <c r="G9966" s="5" t="str">
        <f>IFERROR(__xludf.DUMMYFUNCTION("GOOGLETRANSLATE(D9966,""sk"",""es"")"),"Puma")</f>
        <v>Puma</v>
      </c>
    </row>
    <row r="9967">
      <c r="A9967" s="4">
        <v>35.0</v>
      </c>
      <c r="B9967" s="4" t="s">
        <v>20162</v>
      </c>
      <c r="C9967" s="4"/>
      <c r="D9967" s="4" t="s">
        <v>3786</v>
      </c>
      <c r="E9967" s="4" t="s">
        <v>3785</v>
      </c>
      <c r="F9967" s="4" t="s">
        <v>3786</v>
      </c>
      <c r="G9967" s="5" t="str">
        <f>IFERROR(__xludf.DUMMYFUNCTION("GOOGLETRANSLATE(D9967,""sk"",""es"")"),"pusa")</f>
        <v>pusa</v>
      </c>
    </row>
    <row r="9968">
      <c r="A9968" s="4">
        <v>36.0</v>
      </c>
      <c r="B9968" s="4" t="s">
        <v>20162</v>
      </c>
      <c r="C9968" s="4"/>
      <c r="D9968" s="4" t="s">
        <v>20199</v>
      </c>
      <c r="E9968" s="4" t="s">
        <v>20200</v>
      </c>
      <c r="F9968" s="4" t="s">
        <v>10941</v>
      </c>
      <c r="G9968" s="5" t="str">
        <f>IFERROR(__xludf.DUMMYFUNCTION("GOOGLETRANSLATE(D9968,""sk"",""es"")"),"tacón")</f>
        <v>tacón</v>
      </c>
      <c r="H9968" s="4" t="s">
        <v>11170</v>
      </c>
      <c r="I9968" s="4" t="s">
        <v>4040</v>
      </c>
    </row>
    <row r="9969">
      <c r="A9969" s="4">
        <v>37.0</v>
      </c>
      <c r="B9969" s="4" t="s">
        <v>20162</v>
      </c>
      <c r="C9969" s="4"/>
      <c r="D9969" s="4" t="s">
        <v>3861</v>
      </c>
      <c r="E9969" s="4" t="s">
        <v>3862</v>
      </c>
      <c r="F9969" s="4" t="s">
        <v>3861</v>
      </c>
      <c r="G9969" s="5" t="str">
        <f>IFERROR(__xludf.DUMMYFUNCTION("GOOGLETRANSLATE(D9969,""sk"",""es"")"),"estaba")</f>
        <v>estaba</v>
      </c>
    </row>
    <row r="9970">
      <c r="A9970" s="4">
        <v>38.0</v>
      </c>
      <c r="B9970" s="4" t="s">
        <v>20162</v>
      </c>
      <c r="C9970" s="4"/>
      <c r="D9970" s="4" t="s">
        <v>20201</v>
      </c>
      <c r="E9970" s="4" t="s">
        <v>13531</v>
      </c>
      <c r="F9970" s="4" t="s">
        <v>13532</v>
      </c>
      <c r="G9970" s="5" t="str">
        <f>IFERROR(__xludf.DUMMYFUNCTION("GOOGLETRANSLATE(D9970,""sk"",""es"")"),"Saša")</f>
        <v>Saša</v>
      </c>
    </row>
    <row r="9971">
      <c r="A9971" s="4">
        <v>39.0</v>
      </c>
      <c r="B9971" s="4" t="s">
        <v>20162</v>
      </c>
      <c r="C9971" s="4"/>
      <c r="D9971" s="4" t="s">
        <v>4115</v>
      </c>
      <c r="E9971" s="4" t="s">
        <v>4114</v>
      </c>
      <c r="F9971" s="4" t="s">
        <v>4115</v>
      </c>
      <c r="G9971" s="5" t="str">
        <f>IFERROR(__xludf.DUMMYFUNCTION("GOOGLETRANSLATE(D9971,""sk"",""es"")"),"perra")</f>
        <v>perra</v>
      </c>
    </row>
    <row r="9972">
      <c r="A9972" s="4">
        <v>40.0</v>
      </c>
      <c r="B9972" s="4" t="s">
        <v>20162</v>
      </c>
      <c r="C9972" s="4"/>
      <c r="D9972" s="4" t="s">
        <v>8794</v>
      </c>
      <c r="E9972" s="4" t="s">
        <v>8793</v>
      </c>
      <c r="F9972" s="4" t="s">
        <v>8794</v>
      </c>
      <c r="G9972" s="5" t="str">
        <f>IFERROR(__xludf.DUMMYFUNCTION("GOOGLETRANSLATE(D9972,""sk"",""es"")"),"sorber")</f>
        <v>sorber</v>
      </c>
    </row>
    <row r="9973">
      <c r="A9973" s="4">
        <v>41.0</v>
      </c>
      <c r="B9973" s="4" t="s">
        <v>20162</v>
      </c>
      <c r="C9973" s="4"/>
      <c r="D9973" s="4" t="s">
        <v>7735</v>
      </c>
      <c r="E9973" s="4" t="s">
        <v>18751</v>
      </c>
      <c r="F9973" s="4" t="s">
        <v>7735</v>
      </c>
      <c r="G9973" s="5" t="str">
        <f>IFERROR(__xludf.DUMMYFUNCTION("GOOGLETRANSLATE(D9973,""sk"",""es"")"),"EMPUJAR")</f>
        <v>EMPUJAR</v>
      </c>
    </row>
    <row r="9974">
      <c r="A9974" s="4">
        <v>42.0</v>
      </c>
      <c r="B9974" s="4" t="s">
        <v>20162</v>
      </c>
      <c r="C9974" s="4"/>
      <c r="D9974" s="4" t="s">
        <v>456</v>
      </c>
      <c r="E9974" s="4" t="s">
        <v>455</v>
      </c>
      <c r="F9974" s="4" t="s">
        <v>456</v>
      </c>
      <c r="G9974" s="5" t="str">
        <f>IFERROR(__xludf.DUMMYFUNCTION("GOOGLETRANSLATE(D9974,""sk"",""es"")"),"gordo")</f>
        <v>gordo</v>
      </c>
      <c r="H9974" s="4" t="s">
        <v>16070</v>
      </c>
      <c r="I9974" s="4" t="s">
        <v>16071</v>
      </c>
      <c r="J9974" s="4" t="s">
        <v>16072</v>
      </c>
      <c r="K9974" s="4" t="s">
        <v>16071</v>
      </c>
      <c r="L9974" s="4" t="s">
        <v>20202</v>
      </c>
      <c r="M9974" s="4" t="s">
        <v>20203</v>
      </c>
      <c r="N9974" s="4" t="s">
        <v>20204</v>
      </c>
    </row>
    <row r="9975">
      <c r="A9975" s="4">
        <v>43.0</v>
      </c>
      <c r="B9975" s="4" t="s">
        <v>20162</v>
      </c>
      <c r="C9975" s="4"/>
      <c r="D9975" s="4" t="s">
        <v>20205</v>
      </c>
      <c r="E9975" s="4" t="s">
        <v>421</v>
      </c>
      <c r="F9975" s="4" t="s">
        <v>422</v>
      </c>
      <c r="G9975" s="5" t="str">
        <f>IFERROR(__xludf.DUMMYFUNCTION("GOOGLETRANSLATE(D9975,""sk"",""es"")"),"tú")</f>
        <v>tú</v>
      </c>
    </row>
    <row r="9976">
      <c r="A9976" s="4">
        <v>44.0</v>
      </c>
      <c r="B9976" s="4" t="s">
        <v>20162</v>
      </c>
      <c r="C9976" s="4"/>
      <c r="D9976" s="4" t="s">
        <v>275</v>
      </c>
      <c r="E9976" s="4" t="s">
        <v>274</v>
      </c>
      <c r="F9976" s="4" t="s">
        <v>275</v>
      </c>
      <c r="G9976" s="5" t="str">
        <f>IFERROR(__xludf.DUMMYFUNCTION("GOOGLETRANSLATE(D9976,""sk"",""es"")"),"um")</f>
        <v>um</v>
      </c>
    </row>
    <row r="9977">
      <c r="A9977" s="4">
        <v>45.0</v>
      </c>
      <c r="B9977" s="4" t="s">
        <v>20162</v>
      </c>
      <c r="C9977" s="4"/>
      <c r="D9977" s="4" t="s">
        <v>20206</v>
      </c>
      <c r="E9977" s="4" t="s">
        <v>20207</v>
      </c>
      <c r="F9977" s="4" t="s">
        <v>7454</v>
      </c>
      <c r="G9977" s="5" t="str">
        <f>IFERROR(__xludf.DUMMYFUNCTION("GOOGLETRANSLATE(D9977,""sk"",""es"")"),"ajedrez")</f>
        <v>ajedrez</v>
      </c>
      <c r="H9977" s="4" t="s">
        <v>20208</v>
      </c>
      <c r="I9977" s="4" t="s">
        <v>20209</v>
      </c>
      <c r="J9977" s="4" t="s">
        <v>20210</v>
      </c>
    </row>
    <row r="9978">
      <c r="A9978" s="4">
        <v>46.0</v>
      </c>
      <c r="B9978" s="4" t="s">
        <v>20162</v>
      </c>
      <c r="C9978" s="4"/>
      <c r="D9978" s="4" t="s">
        <v>20211</v>
      </c>
      <c r="E9978" s="4" t="s">
        <v>20212</v>
      </c>
      <c r="F9978" s="4" t="s">
        <v>20213</v>
      </c>
      <c r="G9978" s="5" t="str">
        <f>IFERROR(__xludf.DUMMYFUNCTION("GOOGLETRANSLATE(D9978,""sk"",""es"")"),"ropa")</f>
        <v>ropa</v>
      </c>
      <c r="H9978" s="4" t="s">
        <v>11011</v>
      </c>
      <c r="I9978" s="4" t="s">
        <v>11012</v>
      </c>
      <c r="J9978" s="4" t="s">
        <v>9351</v>
      </c>
      <c r="K9978" s="4" t="s">
        <v>11013</v>
      </c>
      <c r="L9978" s="4" t="s">
        <v>9349</v>
      </c>
      <c r="M9978" s="4" t="s">
        <v>9350</v>
      </c>
      <c r="N9978" s="4" t="s">
        <v>9351</v>
      </c>
      <c r="O9978" s="4" t="s">
        <v>9352</v>
      </c>
      <c r="P9978" s="4" t="s">
        <v>9353</v>
      </c>
      <c r="Q9978" s="4" t="s">
        <v>9354</v>
      </c>
      <c r="R9978" s="4" t="s">
        <v>4797</v>
      </c>
      <c r="S9978" s="4" t="s">
        <v>9355</v>
      </c>
      <c r="T9978" s="4" t="s">
        <v>9356</v>
      </c>
      <c r="U9978" s="4" t="s">
        <v>9351</v>
      </c>
      <c r="V9978" s="4" t="s">
        <v>20214</v>
      </c>
      <c r="W9978" s="4" t="s">
        <v>20215</v>
      </c>
      <c r="X9978" s="4" t="s">
        <v>20216</v>
      </c>
      <c r="Y9978" s="4" t="s">
        <v>20217</v>
      </c>
      <c r="Z9978" s="4" t="s">
        <v>11016</v>
      </c>
      <c r="AA9978" s="4" t="s">
        <v>11017</v>
      </c>
      <c r="AB9978" s="4" t="s">
        <v>20218</v>
      </c>
    </row>
    <row r="9979">
      <c r="A9979" s="4">
        <v>47.0</v>
      </c>
      <c r="B9979" s="4" t="s">
        <v>20162</v>
      </c>
      <c r="C9979" s="4"/>
      <c r="D9979" s="4" t="s">
        <v>20219</v>
      </c>
      <c r="E9979" s="4" t="s">
        <v>20220</v>
      </c>
      <c r="F9979" s="4" t="s">
        <v>20221</v>
      </c>
      <c r="G9979" s="5" t="str">
        <f>IFERROR(__xludf.DUMMYFUNCTION("GOOGLETRANSLATE(D9979,""sk"",""es"")"),"Šija")</f>
        <v>Šija</v>
      </c>
      <c r="H9979" s="4" t="s">
        <v>3040</v>
      </c>
      <c r="I9979" s="4" t="s">
        <v>3041</v>
      </c>
      <c r="J9979" s="4" t="s">
        <v>3042</v>
      </c>
    </row>
    <row r="9980">
      <c r="A9980" s="4">
        <v>1.0</v>
      </c>
      <c r="B9980" s="4" t="s">
        <v>20222</v>
      </c>
      <c r="C9980" s="4"/>
      <c r="D9980" s="4" t="s">
        <v>20223</v>
      </c>
      <c r="E9980" s="4" t="s">
        <v>504</v>
      </c>
      <c r="F9980" s="4" t="s">
        <v>505</v>
      </c>
      <c r="G9980" s="5" t="str">
        <f>IFERROR(__xludf.DUMMYFUNCTION("GOOGLETRANSLATE(D9980,""sk"",""es"")"),"augar")</f>
        <v>augar</v>
      </c>
      <c r="H9980" s="4" t="s">
        <v>20224</v>
      </c>
      <c r="I9980" s="4" t="s">
        <v>20225</v>
      </c>
      <c r="J9980" s="4" t="s">
        <v>20226</v>
      </c>
    </row>
    <row r="9981">
      <c r="A9981" s="4">
        <v>2.0</v>
      </c>
      <c r="B9981" s="4" t="s">
        <v>20222</v>
      </c>
      <c r="C9981" s="4"/>
      <c r="D9981" s="4" t="s">
        <v>11687</v>
      </c>
      <c r="E9981" s="4" t="s">
        <v>740</v>
      </c>
      <c r="F9981" s="4" t="s">
        <v>741</v>
      </c>
      <c r="G9981" s="5" t="str">
        <f>IFERROR(__xludf.DUMMYFUNCTION("GOOGLETRANSLATE(D9981,""sk"",""es"")"),"Anna")</f>
        <v>Anna</v>
      </c>
    </row>
    <row r="9982">
      <c r="A9982" s="4">
        <v>3.0</v>
      </c>
      <c r="B9982" s="4" t="s">
        <v>20222</v>
      </c>
      <c r="C9982" s="4"/>
      <c r="D9982" s="4" t="s">
        <v>9763</v>
      </c>
      <c r="E9982" s="4" t="s">
        <v>17608</v>
      </c>
      <c r="F9982" s="4" t="s">
        <v>9765</v>
      </c>
      <c r="G9982" s="5" t="str">
        <f>IFERROR(__xludf.DUMMYFUNCTION("GOOGLETRANSLATE(D9982,""sk"",""es"")"),"Jama")</f>
        <v>Jama</v>
      </c>
      <c r="H9982" s="4" t="s">
        <v>20227</v>
      </c>
      <c r="I9982" s="4" t="s">
        <v>12897</v>
      </c>
      <c r="J9982" s="4" t="s">
        <v>7990</v>
      </c>
      <c r="K9982" s="4" t="s">
        <v>17297</v>
      </c>
    </row>
    <row r="9983">
      <c r="A9983" s="4">
        <v>4.0</v>
      </c>
      <c r="B9983" s="4" t="s">
        <v>20222</v>
      </c>
      <c r="C9983" s="4"/>
      <c r="D9983" s="4" t="s">
        <v>9769</v>
      </c>
      <c r="E9983" s="4" t="s">
        <v>20228</v>
      </c>
      <c r="F9983" s="4" t="s">
        <v>9771</v>
      </c>
      <c r="G9983" s="5" t="str">
        <f>IFERROR(__xludf.DUMMYFUNCTION("GOOGLETRANSLATE(D9983,""sk"",""es"")"),"Jana")</f>
        <v>Jana</v>
      </c>
    </row>
    <row r="9984">
      <c r="A9984" s="4">
        <v>5.0</v>
      </c>
      <c r="B9984" s="4" t="s">
        <v>20222</v>
      </c>
      <c r="C9984" s="4"/>
      <c r="D9984" s="4" t="s">
        <v>20229</v>
      </c>
      <c r="E9984" s="4" t="s">
        <v>289</v>
      </c>
      <c r="F9984" s="4" t="s">
        <v>290</v>
      </c>
      <c r="G9984" s="5" t="str">
        <f>IFERROR(__xludf.DUMMYFUNCTION("GOOGLETRANSLATE(D9984,""sk"",""es"")"),"Ju")</f>
        <v>Ju</v>
      </c>
    </row>
    <row r="9985">
      <c r="A9985" s="4">
        <v>6.0</v>
      </c>
      <c r="B9985" s="4" t="s">
        <v>20222</v>
      </c>
      <c r="C9985" s="4"/>
      <c r="D9985" s="4" t="s">
        <v>20230</v>
      </c>
      <c r="E9985" s="4" t="s">
        <v>1185</v>
      </c>
      <c r="F9985" s="4" t="s">
        <v>1186</v>
      </c>
      <c r="G9985" s="5" t="str">
        <f>IFERROR(__xludf.DUMMYFUNCTION("GOOGLETRANSLATE(D9985,""sk"",""es"")"),"Kaňa")</f>
        <v>Kaňa</v>
      </c>
    </row>
    <row r="9986">
      <c r="A9986" s="4">
        <v>7.0</v>
      </c>
      <c r="B9986" s="4" t="s">
        <v>20222</v>
      </c>
      <c r="C9986" s="4"/>
      <c r="D9986" s="4" t="s">
        <v>20231</v>
      </c>
      <c r="E9986" s="4" t="s">
        <v>20232</v>
      </c>
      <c r="F9986" s="4" t="s">
        <v>20231</v>
      </c>
      <c r="G9986" s="5" t="str">
        <f>IFERROR(__xludf.DUMMYFUNCTION("GOOGLETRANSLATE(D9986,""sk"",""es"")"),"libras")</f>
        <v>libras</v>
      </c>
    </row>
    <row r="9987">
      <c r="A9987" s="4">
        <v>8.0</v>
      </c>
      <c r="B9987" s="4" t="s">
        <v>20222</v>
      </c>
      <c r="C9987" s="4"/>
      <c r="D9987" s="4" t="s">
        <v>20233</v>
      </c>
      <c r="E9987" s="4" t="s">
        <v>20234</v>
      </c>
      <c r="F9987" s="4" t="s">
        <v>20235</v>
      </c>
      <c r="G9987" s="5" t="str">
        <f>IFERROR(__xludf.DUMMYFUNCTION("GOOGLETRANSLATE(D9987,""sk"",""es"")"),"Kuša")</f>
        <v>Kuša</v>
      </c>
    </row>
    <row r="9988">
      <c r="A9988" s="4">
        <v>9.0</v>
      </c>
      <c r="B9988" s="4" t="s">
        <v>20222</v>
      </c>
      <c r="C9988" s="4"/>
      <c r="D9988" s="4" t="s">
        <v>10313</v>
      </c>
      <c r="E9988" s="4" t="s">
        <v>12589</v>
      </c>
      <c r="F9988" s="4" t="s">
        <v>10313</v>
      </c>
      <c r="G9988" s="5" t="str">
        <f>IFERROR(__xludf.DUMMYFUNCTION("GOOGLETRANSLATE(D9988,""sk"",""es"")"),"Lima")</f>
        <v>Lima</v>
      </c>
    </row>
    <row r="9989">
      <c r="A9989" s="4">
        <v>10.0</v>
      </c>
      <c r="B9989" s="4" t="s">
        <v>20222</v>
      </c>
      <c r="C9989" s="4"/>
      <c r="D9989" s="4" t="s">
        <v>10397</v>
      </c>
      <c r="E9989" s="4" t="s">
        <v>10398</v>
      </c>
      <c r="F9989" s="4" t="s">
        <v>10397</v>
      </c>
      <c r="G9989" s="5" t="str">
        <f>IFERROR(__xludf.DUMMYFUNCTION("GOOGLETRANSLATE(D9989,""sk"",""es"")"),"Luka")</f>
        <v>Luka</v>
      </c>
    </row>
    <row r="9990">
      <c r="A9990" s="4">
        <v>11.0</v>
      </c>
      <c r="B9990" s="4" t="s">
        <v>20222</v>
      </c>
      <c r="C9990" s="4"/>
      <c r="D9990" s="4" t="s">
        <v>20236</v>
      </c>
      <c r="E9990" s="4" t="s">
        <v>18060</v>
      </c>
      <c r="F9990" s="4" t="s">
        <v>18059</v>
      </c>
      <c r="G9990" s="5" t="str">
        <f>IFERROR(__xludf.DUMMYFUNCTION("GOOGLETRANSLATE(D9990,""sk"",""es"")"),"Luky")</f>
        <v>Luky</v>
      </c>
    </row>
    <row r="9991">
      <c r="A9991" s="4">
        <v>12.0</v>
      </c>
      <c r="B9991" s="4" t="s">
        <v>20222</v>
      </c>
      <c r="C9991" s="4"/>
      <c r="D9991" s="4" t="s">
        <v>18078</v>
      </c>
      <c r="E9991" s="4" t="s">
        <v>18079</v>
      </c>
      <c r="F9991" s="4" t="s">
        <v>18078</v>
      </c>
      <c r="G9991" s="5" t="str">
        <f>IFERROR(__xludf.DUMMYFUNCTION("GOOGLETRANSLATE(D9991,""sk"",""es"")"),"lunami")</f>
        <v>lunami</v>
      </c>
    </row>
    <row r="9992">
      <c r="A9992" s="4">
        <v>13.0</v>
      </c>
      <c r="B9992" s="4" t="s">
        <v>20222</v>
      </c>
      <c r="C9992" s="4"/>
      <c r="D9992" s="4" t="s">
        <v>20237</v>
      </c>
      <c r="E9992" s="4" t="s">
        <v>20238</v>
      </c>
      <c r="F9992" s="4" t="s">
        <v>20237</v>
      </c>
      <c r="G9992" s="5" t="str">
        <f>IFERROR(__xludf.DUMMYFUNCTION("GOOGLETRANSLATE(D9992,""sk"",""es"")"),"Luna")</f>
        <v>Luna</v>
      </c>
    </row>
    <row r="9993">
      <c r="A9993" s="4">
        <v>14.0</v>
      </c>
      <c r="B9993" s="4" t="s">
        <v>20222</v>
      </c>
      <c r="C9993" s="4"/>
      <c r="D9993" s="4" t="s">
        <v>20239</v>
      </c>
      <c r="E9993" s="4" t="s">
        <v>20240</v>
      </c>
      <c r="F9993" s="4" t="s">
        <v>20241</v>
      </c>
      <c r="G9993" s="5" t="str">
        <f>IFERROR(__xludf.DUMMYFUNCTION("GOOGLETRANSLATE(D9993,""sk"",""es"")"),"Luna")</f>
        <v>Luna</v>
      </c>
    </row>
    <row r="9994">
      <c r="A9994" s="4">
        <v>15.0</v>
      </c>
      <c r="B9994" s="4" t="s">
        <v>20222</v>
      </c>
      <c r="C9994" s="4"/>
      <c r="D9994" s="4" t="s">
        <v>20242</v>
      </c>
      <c r="E9994" s="4" t="s">
        <v>20243</v>
      </c>
      <c r="F9994" s="4" t="s">
        <v>20242</v>
      </c>
      <c r="G9994" s="5" t="str">
        <f>IFERROR(__xludf.DUMMYFUNCTION("GOOGLETRANSLATE(D9994,""sk"",""es"")"),"Lupina")</f>
        <v>Lupina</v>
      </c>
    </row>
    <row r="9995">
      <c r="A9995" s="4">
        <v>16.0</v>
      </c>
      <c r="B9995" s="4" t="s">
        <v>20222</v>
      </c>
      <c r="C9995" s="4"/>
      <c r="D9995" s="4" t="s">
        <v>20244</v>
      </c>
      <c r="E9995" s="4" t="s">
        <v>20245</v>
      </c>
      <c r="F9995" s="4" t="s">
        <v>20244</v>
      </c>
      <c r="G9995" s="5" t="str">
        <f>IFERROR(__xludf.DUMMYFUNCTION("GOOGLETRANSLATE(D9995,""sk"",""es"")"),"Lusaka")</f>
        <v>Lusaka</v>
      </c>
    </row>
    <row r="9996">
      <c r="A9996" s="4">
        <v>17.0</v>
      </c>
      <c r="B9996" s="4" t="s">
        <v>20222</v>
      </c>
      <c r="C9996" s="4"/>
      <c r="D9996" s="4" t="s">
        <v>2278</v>
      </c>
      <c r="E9996" s="4" t="s">
        <v>2279</v>
      </c>
      <c r="F9996" s="4" t="s">
        <v>2278</v>
      </c>
      <c r="G9996" s="5" t="str">
        <f>IFERROR(__xludf.DUMMYFUNCTION("GOOGLETRANSLATE(D9996,""sk"",""es"")"),"yo")</f>
        <v>yo</v>
      </c>
      <c r="H9996" s="4" t="s">
        <v>10467</v>
      </c>
      <c r="I9996" s="4" t="s">
        <v>10468</v>
      </c>
      <c r="J9996" s="4" t="s">
        <v>10469</v>
      </c>
      <c r="K9996" s="4" t="s">
        <v>8011</v>
      </c>
    </row>
    <row r="9997">
      <c r="A9997" s="4">
        <v>18.0</v>
      </c>
      <c r="B9997" s="4" t="s">
        <v>20222</v>
      </c>
      <c r="C9997" s="4"/>
      <c r="D9997" s="4" t="s">
        <v>6711</v>
      </c>
      <c r="E9997" s="4" t="s">
        <v>18102</v>
      </c>
      <c r="F9997" s="4" t="s">
        <v>2301</v>
      </c>
      <c r="G9997" s="5" t="str">
        <f>IFERROR(__xludf.DUMMYFUNCTION("GOOGLETRANSLATE(D9997,""sk"",""es"")"),"Machacar")</f>
        <v>Machacar</v>
      </c>
      <c r="H9997" s="4" t="s">
        <v>20176</v>
      </c>
      <c r="I9997" s="4" t="s">
        <v>20177</v>
      </c>
      <c r="J9997" s="4" t="s">
        <v>13015</v>
      </c>
    </row>
    <row r="9998">
      <c r="A9998" s="4">
        <v>19.0</v>
      </c>
      <c r="B9998" s="4" t="s">
        <v>20222</v>
      </c>
      <c r="C9998" s="4"/>
      <c r="D9998" s="4" t="s">
        <v>20246</v>
      </c>
      <c r="E9998" s="4" t="s">
        <v>20247</v>
      </c>
      <c r="F9998" s="4" t="s">
        <v>2288</v>
      </c>
      <c r="G9998" s="5" t="str">
        <f>IFERROR(__xludf.DUMMYFUNCTION("GOOGLETRANSLATE(D9998,""sk"",""es"")"),"Machu")</f>
        <v>Machu</v>
      </c>
    </row>
    <row r="9999">
      <c r="A9999" s="4">
        <v>20.0</v>
      </c>
      <c r="B9999" s="4" t="s">
        <v>20222</v>
      </c>
      <c r="C9999" s="4"/>
      <c r="D9999" s="4" t="s">
        <v>4840</v>
      </c>
      <c r="E9999" s="4" t="s">
        <v>332</v>
      </c>
      <c r="F9999" s="4" t="s">
        <v>333</v>
      </c>
      <c r="G9999" s="5" t="str">
        <f>IFERROR(__xludf.DUMMYFUNCTION("GOOGLETRANSLATE(D9999,""sk"",""es"")"),"Comandante")</f>
        <v>Comandante</v>
      </c>
    </row>
    <row r="10000">
      <c r="A10000" s="4">
        <v>21.0</v>
      </c>
      <c r="B10000" s="4" t="s">
        <v>20222</v>
      </c>
      <c r="C10000" s="4"/>
      <c r="D10000" s="4" t="s">
        <v>2322</v>
      </c>
      <c r="E10000" s="4" t="s">
        <v>2323</v>
      </c>
      <c r="F10000" s="4" t="s">
        <v>2322</v>
      </c>
      <c r="G10000" s="5" t="str">
        <f>IFERROR(__xludf.DUMMYFUNCTION("GOOGLETRANSLATE(D10000,""sk"",""es"")"),"él tuvo")</f>
        <v>él tuvo</v>
      </c>
    </row>
    <row r="10001">
      <c r="A10001" s="4">
        <v>22.0</v>
      </c>
      <c r="B10001" s="4" t="s">
        <v>20222</v>
      </c>
      <c r="C10001" s="4"/>
      <c r="D10001" s="4" t="s">
        <v>2351</v>
      </c>
      <c r="E10001" s="4" t="s">
        <v>2352</v>
      </c>
      <c r="F10001" s="4" t="s">
        <v>2351</v>
      </c>
      <c r="G10001" s="5" t="str">
        <f>IFERROR(__xludf.DUMMYFUNCTION("GOOGLETRANSLATE(D10001,""sk"",""es"")"),"ella tenía")</f>
        <v>ella tenía</v>
      </c>
    </row>
    <row r="10002">
      <c r="A10002" s="4">
        <v>23.0</v>
      </c>
      <c r="B10002" s="4" t="s">
        <v>20222</v>
      </c>
      <c r="C10002" s="4"/>
      <c r="D10002" s="4" t="s">
        <v>5314</v>
      </c>
      <c r="E10002" s="4" t="s">
        <v>5313</v>
      </c>
      <c r="F10002" s="4" t="s">
        <v>5314</v>
      </c>
      <c r="G10002" s="5" t="str">
        <f>IFERROR(__xludf.DUMMYFUNCTION("GOOGLETRANSLATE(D10002,""sk"",""es"")"),"tuve que")</f>
        <v>tuve que</v>
      </c>
      <c r="H10002" s="4" t="s">
        <v>5347</v>
      </c>
      <c r="I10002" s="4" t="s">
        <v>5348</v>
      </c>
      <c r="J10002" s="4" t="s">
        <v>5349</v>
      </c>
    </row>
    <row r="10003">
      <c r="A10003" s="4">
        <v>24.0</v>
      </c>
      <c r="B10003" s="4" t="s">
        <v>20222</v>
      </c>
      <c r="C10003" s="4"/>
      <c r="D10003" s="4" t="s">
        <v>12811</v>
      </c>
      <c r="E10003" s="4" t="s">
        <v>20248</v>
      </c>
      <c r="F10003" s="4" t="s">
        <v>12811</v>
      </c>
      <c r="G10003" s="5" t="str">
        <f>IFERROR(__xludf.DUMMYFUNCTION("GOOGLETRANSLATE(D10003,""sk"",""es"")"),"Manila")</f>
        <v>Manila</v>
      </c>
    </row>
    <row r="10004">
      <c r="A10004" s="4">
        <v>25.0</v>
      </c>
      <c r="B10004" s="4" t="s">
        <v>20222</v>
      </c>
      <c r="C10004" s="4"/>
      <c r="D10004" s="4" t="s">
        <v>20249</v>
      </c>
      <c r="E10004" s="4" t="s">
        <v>20250</v>
      </c>
      <c r="F10004" s="4" t="s">
        <v>20249</v>
      </c>
      <c r="G10004" s="5" t="str">
        <f>IFERROR(__xludf.DUMMYFUNCTION("GOOGLETRANSLATE(D10004,""sk"",""es"")"),"Matus")</f>
        <v>Matus</v>
      </c>
    </row>
    <row r="10005">
      <c r="A10005" s="4">
        <v>26.0</v>
      </c>
      <c r="B10005" s="4" t="s">
        <v>20222</v>
      </c>
      <c r="C10005" s="4"/>
      <c r="D10005" s="4" t="s">
        <v>12868</v>
      </c>
      <c r="E10005" s="4" t="s">
        <v>12869</v>
      </c>
      <c r="F10005" s="4" t="s">
        <v>12870</v>
      </c>
      <c r="G10005" s="5" t="str">
        <f>IFERROR(__xludf.DUMMYFUNCTION("GOOGLETRANSLATE(D10005,""sk"",""es"")"),"Miami")</f>
        <v>Miami</v>
      </c>
    </row>
    <row r="10006">
      <c r="A10006" s="4">
        <v>27.0</v>
      </c>
      <c r="B10006" s="4" t="s">
        <v>20222</v>
      </c>
      <c r="C10006" s="4"/>
      <c r="D10006" s="4" t="s">
        <v>20251</v>
      </c>
      <c r="E10006" s="4" t="s">
        <v>20252</v>
      </c>
      <c r="F10006" s="4" t="s">
        <v>20253</v>
      </c>
      <c r="G10006" s="5" t="str">
        <f>IFERROR(__xludf.DUMMYFUNCTION("GOOGLETRANSLATE(D10006,""sk"",""es"")"),"Michal")</f>
        <v>Michal</v>
      </c>
    </row>
    <row r="10007">
      <c r="A10007" s="4">
        <v>28.0</v>
      </c>
      <c r="B10007" s="4" t="s">
        <v>20222</v>
      </c>
      <c r="C10007" s="4"/>
      <c r="D10007" s="4" t="s">
        <v>20254</v>
      </c>
      <c r="E10007" s="4" t="s">
        <v>18229</v>
      </c>
      <c r="F10007" s="4" t="s">
        <v>345</v>
      </c>
      <c r="G10007" s="5" t="str">
        <f>IFERROR(__xludf.DUMMYFUNCTION("GOOGLETRANSLATE(D10007,""sk"",""es"")"),"mih")</f>
        <v>mih</v>
      </c>
    </row>
    <row r="10008">
      <c r="A10008" s="4">
        <v>29.0</v>
      </c>
      <c r="B10008" s="4" t="s">
        <v>20222</v>
      </c>
      <c r="C10008" s="4"/>
      <c r="D10008" s="4" t="s">
        <v>8517</v>
      </c>
      <c r="E10008" s="4" t="s">
        <v>2717</v>
      </c>
      <c r="F10008" s="4" t="s">
        <v>2718</v>
      </c>
      <c r="G10008" s="5" t="str">
        <f>IFERROR(__xludf.DUMMYFUNCTION("GOOGLETRANSLATE(D10008,""sk"",""es"")"),"Misisipí")</f>
        <v>Misisipí</v>
      </c>
      <c r="H10008" s="4" t="s">
        <v>8519</v>
      </c>
      <c r="I10008" s="4" t="s">
        <v>8521</v>
      </c>
      <c r="J10008" s="4" t="s">
        <v>8522</v>
      </c>
      <c r="K10008" s="4" t="s">
        <v>8519</v>
      </c>
      <c r="L10008" s="4" t="s">
        <v>8520</v>
      </c>
    </row>
    <row r="10009">
      <c r="A10009" s="4">
        <v>30.0</v>
      </c>
      <c r="B10009" s="4" t="s">
        <v>20222</v>
      </c>
      <c r="C10009" s="4"/>
      <c r="D10009" s="4" t="s">
        <v>18307</v>
      </c>
      <c r="E10009" s="4" t="s">
        <v>369</v>
      </c>
      <c r="F10009" s="4" t="s">
        <v>370</v>
      </c>
      <c r="G10009" s="5" t="str">
        <f>IFERROR(__xludf.DUMMYFUNCTION("GOOGLETRANSLATE(D10009,""sk"",""es"")"),"Muy")</f>
        <v>Muy</v>
      </c>
    </row>
    <row r="10010">
      <c r="A10010" s="4">
        <v>31.0</v>
      </c>
      <c r="B10010" s="4" t="s">
        <v>20222</v>
      </c>
      <c r="C10010" s="4"/>
      <c r="D10010" s="4" t="s">
        <v>20255</v>
      </c>
      <c r="E10010" s="4" t="s">
        <v>20256</v>
      </c>
      <c r="F10010" s="4" t="s">
        <v>20257</v>
      </c>
      <c r="G10010" s="5" t="str">
        <f>IFERROR(__xludf.DUMMYFUNCTION("GOOGLETRANSLATE(D10010,""sk"",""es"")"),"Muy")</f>
        <v>Muy</v>
      </c>
    </row>
    <row r="10011">
      <c r="A10011" s="4">
        <v>32.0</v>
      </c>
      <c r="B10011" s="4" t="s">
        <v>20222</v>
      </c>
      <c r="C10011" s="4"/>
      <c r="D10011" s="4" t="s">
        <v>20258</v>
      </c>
      <c r="E10011" s="4" t="s">
        <v>20259</v>
      </c>
      <c r="F10011" s="4" t="s">
        <v>10590</v>
      </c>
      <c r="G10011" s="5" t="str">
        <f>IFERROR(__xludf.DUMMYFUNCTION("GOOGLETRANSLATE(D10011,""sk"",""es"")"),"Muy")</f>
        <v>Muy</v>
      </c>
    </row>
    <row r="10012">
      <c r="A10012" s="4">
        <v>33.0</v>
      </c>
      <c r="B10012" s="4" t="s">
        <v>20222</v>
      </c>
      <c r="C10012" s="4"/>
      <c r="D10012" s="4" t="s">
        <v>20260</v>
      </c>
      <c r="E10012" s="4" t="s">
        <v>12952</v>
      </c>
      <c r="F10012" s="4" t="s">
        <v>6895</v>
      </c>
      <c r="G10012" s="5" t="str">
        <f>IFERROR(__xludf.DUMMYFUNCTION("GOOGLETRANSLATE(D10012,""sk"",""es"")"),"hombre")</f>
        <v>hombre</v>
      </c>
      <c r="H10012" s="4" t="s">
        <v>13033</v>
      </c>
      <c r="I10012" s="4" t="s">
        <v>13040</v>
      </c>
      <c r="J10012" s="4" t="s">
        <v>1856</v>
      </c>
      <c r="K10012" s="4" t="s">
        <v>6742</v>
      </c>
    </row>
    <row r="10013">
      <c r="A10013" s="4">
        <v>34.0</v>
      </c>
      <c r="B10013" s="4" t="s">
        <v>20222</v>
      </c>
      <c r="C10013" s="4"/>
      <c r="D10013" s="4" t="s">
        <v>20261</v>
      </c>
      <c r="E10013" s="4" t="s">
        <v>13065</v>
      </c>
      <c r="F10013" s="4" t="s">
        <v>13066</v>
      </c>
      <c r="G10013" s="5" t="str">
        <f>IFERROR(__xludf.DUMMYFUNCTION("GOOGLETRANSLATE(D10013,""sk"",""es"")"),"Nataša")</f>
        <v>Nataša</v>
      </c>
    </row>
    <row r="10014">
      <c r="A10014" s="4">
        <v>35.0</v>
      </c>
      <c r="B10014" s="4" t="s">
        <v>20222</v>
      </c>
      <c r="C10014" s="4"/>
      <c r="D10014" s="4" t="s">
        <v>20262</v>
      </c>
      <c r="E10014" s="4" t="s">
        <v>20263</v>
      </c>
      <c r="F10014" s="4" t="s">
        <v>20262</v>
      </c>
      <c r="G10014" s="5" t="str">
        <f>IFERROR(__xludf.DUMMYFUNCTION("GOOGLETRANSLATE(D10014,""sk"",""es"")"),"Palina")</f>
        <v>Palina</v>
      </c>
    </row>
    <row r="10015">
      <c r="A10015" s="4">
        <v>36.0</v>
      </c>
      <c r="B10015" s="4" t="s">
        <v>20222</v>
      </c>
      <c r="C10015" s="4"/>
      <c r="D10015" s="4" t="s">
        <v>3265</v>
      </c>
      <c r="E10015" s="4" t="s">
        <v>3264</v>
      </c>
      <c r="F10015" s="4" t="s">
        <v>3265</v>
      </c>
      <c r="G10015" s="5" t="str">
        <f>IFERROR(__xludf.DUMMYFUNCTION("GOOGLETRANSLATE(D10015,""sk"",""es"")"),"Panamá")</f>
        <v>Panamá</v>
      </c>
      <c r="H10015" s="4" t="s">
        <v>3268</v>
      </c>
      <c r="I10015" s="4" t="s">
        <v>3272</v>
      </c>
    </row>
    <row r="10016">
      <c r="A10016" s="4">
        <v>37.0</v>
      </c>
      <c r="B10016" s="4" t="s">
        <v>20222</v>
      </c>
      <c r="C10016" s="4"/>
      <c r="D10016" s="4" t="s">
        <v>7199</v>
      </c>
      <c r="E10016" s="4" t="s">
        <v>13337</v>
      </c>
      <c r="F10016" s="4" t="s">
        <v>7199</v>
      </c>
      <c r="G10016" s="5" t="str">
        <f>IFERROR(__xludf.DUMMYFUNCTION("GOOGLETRANSLATE(D10016,""sk"",""es"")"),"bebió")</f>
        <v>bebió</v>
      </c>
    </row>
    <row r="10017">
      <c r="A10017" s="4">
        <v>38.0</v>
      </c>
      <c r="B10017" s="4" t="s">
        <v>20222</v>
      </c>
      <c r="C10017" s="4"/>
      <c r="D10017" s="4" t="s">
        <v>3519</v>
      </c>
      <c r="E10017" s="4" t="s">
        <v>3520</v>
      </c>
      <c r="F10017" s="4" t="s">
        <v>3519</v>
      </c>
      <c r="G10017" s="5" t="str">
        <f>IFERROR(__xludf.DUMMYFUNCTION("GOOGLETRANSLATE(D10017,""sk"",""es"")"),"Pili")</f>
        <v>Pili</v>
      </c>
    </row>
    <row r="10018">
      <c r="A10018" s="4">
        <v>39.0</v>
      </c>
      <c r="B10018" s="4" t="s">
        <v>20222</v>
      </c>
      <c r="C10018" s="4"/>
      <c r="D10018" s="4" t="s">
        <v>20264</v>
      </c>
      <c r="E10018" s="4" t="s">
        <v>20265</v>
      </c>
      <c r="F10018" s="4" t="s">
        <v>20264</v>
      </c>
      <c r="G10018" s="5" t="str">
        <f>IFERROR(__xludf.DUMMYFUNCTION("GOOGLETRANSLATE(D10018,""sk"",""es"")"),"Satán")</f>
        <v>Satán</v>
      </c>
      <c r="H10018" s="4" t="s">
        <v>16909</v>
      </c>
      <c r="I10018" s="4" t="s">
        <v>16910</v>
      </c>
      <c r="J10018" s="4" t="s">
        <v>16911</v>
      </c>
      <c r="K10018" s="4" t="s">
        <v>16912</v>
      </c>
      <c r="L10018" s="4" t="s">
        <v>16913</v>
      </c>
      <c r="M10018" s="4" t="s">
        <v>16914</v>
      </c>
      <c r="N10018" s="4" t="s">
        <v>16915</v>
      </c>
    </row>
    <row r="10019">
      <c r="A10019" s="4">
        <v>40.0</v>
      </c>
      <c r="B10019" s="4" t="s">
        <v>20222</v>
      </c>
      <c r="C10019" s="4"/>
      <c r="D10019" s="4" t="s">
        <v>401</v>
      </c>
      <c r="E10019" s="4" t="s">
        <v>400</v>
      </c>
      <c r="F10019" s="4" t="s">
        <v>401</v>
      </c>
      <c r="G10019" s="5" t="str">
        <f>IFERROR(__xludf.DUMMYFUNCTION("GOOGLETRANSLATE(D10019,""sk"",""es"")"),"eres")</f>
        <v>eres</v>
      </c>
    </row>
    <row r="10020">
      <c r="A10020" s="4">
        <v>41.0</v>
      </c>
      <c r="B10020" s="4" t="s">
        <v>20222</v>
      </c>
      <c r="C10020" s="4"/>
      <c r="D10020" s="4" t="s">
        <v>20266</v>
      </c>
      <c r="E10020" s="4" t="s">
        <v>20267</v>
      </c>
      <c r="F10020" s="4" t="s">
        <v>7538</v>
      </c>
      <c r="G10020" s="5" t="str">
        <f>IFERROR(__xludf.DUMMYFUNCTION("GOOGLETRANSLATE(D10020,""sk"",""es"")"),"sih")</f>
        <v>sih</v>
      </c>
    </row>
    <row r="10021">
      <c r="A10021" s="4">
        <v>42.0</v>
      </c>
      <c r="B10021" s="4" t="s">
        <v>20222</v>
      </c>
      <c r="C10021" s="4"/>
      <c r="D10021" s="4" t="s">
        <v>20268</v>
      </c>
      <c r="E10021" s="4" t="s">
        <v>20269</v>
      </c>
      <c r="F10021" s="4" t="s">
        <v>20268</v>
      </c>
      <c r="G10021" s="5" t="str">
        <f>IFERROR(__xludf.DUMMYFUNCTION("GOOGLETRANSLATE(D10021,""sk"",""es"")"),"Sitina")</f>
        <v>Sitina</v>
      </c>
    </row>
    <row r="10022">
      <c r="A10022" s="4">
        <v>43.0</v>
      </c>
      <c r="B10022" s="4" t="s">
        <v>20222</v>
      </c>
      <c r="C10022" s="4"/>
      <c r="D10022" s="4" t="s">
        <v>20270</v>
      </c>
      <c r="E10022" s="4" t="s">
        <v>403</v>
      </c>
      <c r="F10022" s="4" t="s">
        <v>404</v>
      </c>
      <c r="G10022" s="5" t="str">
        <f>IFERROR(__xludf.DUMMYFUNCTION("GOOGLETRANSLATE(D10022,""sk"",""es"")"),"un hijo")</f>
        <v>un hijo</v>
      </c>
      <c r="H10022" s="4" t="s">
        <v>19199</v>
      </c>
      <c r="I10022" s="4" t="s">
        <v>4712</v>
      </c>
    </row>
    <row r="10023">
      <c r="A10023" s="4">
        <v>44.0</v>
      </c>
      <c r="B10023" s="4" t="s">
        <v>20222</v>
      </c>
      <c r="C10023" s="4"/>
      <c r="D10023" s="4" t="s">
        <v>7707</v>
      </c>
      <c r="E10023" s="4" t="s">
        <v>13778</v>
      </c>
      <c r="F10023" s="4" t="s">
        <v>7709</v>
      </c>
      <c r="G10023" s="5" t="str">
        <f>IFERROR(__xludf.DUMMYFUNCTION("GOOGLETRANSLATE(D10023,""sk"",""es"")"),"Tallinn")</f>
        <v>Tallinn</v>
      </c>
    </row>
    <row r="10024">
      <c r="A10024" s="4">
        <v>45.0</v>
      </c>
      <c r="B10024" s="4" t="s">
        <v>20222</v>
      </c>
      <c r="C10024" s="4"/>
      <c r="D10024" s="4" t="s">
        <v>462</v>
      </c>
      <c r="E10024" s="4" t="s">
        <v>461</v>
      </c>
      <c r="F10024" s="4" t="s">
        <v>462</v>
      </c>
      <c r="G10024" s="5" t="str">
        <f>IFERROR(__xludf.DUMMYFUNCTION("GOOGLETRANSLATE(D10024,""sk"",""es"")"),"Túnez")</f>
        <v>Túnez</v>
      </c>
    </row>
    <row r="10025">
      <c r="A10025" s="4">
        <v>46.0</v>
      </c>
      <c r="B10025" s="4" t="s">
        <v>20222</v>
      </c>
      <c r="C10025" s="4"/>
      <c r="D10025" s="4" t="s">
        <v>20271</v>
      </c>
      <c r="E10025" s="4" t="s">
        <v>20272</v>
      </c>
      <c r="F10025" s="4" t="s">
        <v>11386</v>
      </c>
      <c r="G10025" s="5" t="str">
        <f>IFERROR(__xludf.DUMMYFUNCTION("GOOGLETRANSLATE(D10025,""sk"",""es"")"),"tul")</f>
        <v>tul</v>
      </c>
    </row>
    <row r="10026">
      <c r="A10026" s="4">
        <v>47.0</v>
      </c>
      <c r="B10026" s="4" t="s">
        <v>20222</v>
      </c>
      <c r="C10026" s="4"/>
      <c r="D10026" s="4" t="s">
        <v>20273</v>
      </c>
      <c r="E10026" s="4" t="s">
        <v>20274</v>
      </c>
      <c r="F10026" s="4" t="s">
        <v>20275</v>
      </c>
      <c r="G10026" s="5" t="str">
        <f>IFERROR(__xludf.DUMMYFUNCTION("GOOGLETRANSLATE(D10026,""sk"",""es"")"),"tul")</f>
        <v>tul</v>
      </c>
    </row>
    <row r="10027">
      <c r="A10027" s="4">
        <v>48.0</v>
      </c>
      <c r="B10027" s="4" t="s">
        <v>20222</v>
      </c>
      <c r="C10027" s="4"/>
      <c r="D10027" s="4" t="s">
        <v>20276</v>
      </c>
      <c r="E10027" s="4" t="s">
        <v>20277</v>
      </c>
      <c r="F10027" s="4" t="s">
        <v>20278</v>
      </c>
      <c r="G10027" s="5" t="str">
        <f>IFERROR(__xludf.DUMMYFUNCTION("GOOGLETRANSLATE(D10027,""sk"",""es"")"),"tulu")</f>
        <v>tulu</v>
      </c>
    </row>
    <row r="10028">
      <c r="A10028" s="4">
        <v>49.0</v>
      </c>
      <c r="B10028" s="4" t="s">
        <v>20222</v>
      </c>
      <c r="C10028" s="4"/>
      <c r="D10028" s="4" t="s">
        <v>18836</v>
      </c>
      <c r="E10028" s="4" t="s">
        <v>18837</v>
      </c>
      <c r="F10028" s="4" t="s">
        <v>12352</v>
      </c>
      <c r="G10028" s="5" t="str">
        <f>IFERROR(__xludf.DUMMYFUNCTION("GOOGLETRANSLATE(D10028,""sk"",""es"")"),"oído")</f>
        <v>oído</v>
      </c>
    </row>
    <row r="10029">
      <c r="A10029" s="4">
        <v>50.0</v>
      </c>
      <c r="B10029" s="4" t="s">
        <v>20222</v>
      </c>
      <c r="C10029" s="4"/>
      <c r="D10029" s="4" t="s">
        <v>18841</v>
      </c>
      <c r="E10029" s="4" t="s">
        <v>18842</v>
      </c>
      <c r="F10029" s="4" t="s">
        <v>18843</v>
      </c>
      <c r="G10029" s="5" t="str">
        <f>IFERROR(__xludf.DUMMYFUNCTION("GOOGLETRANSLATE(D10029,""sk"",""es"")"),"ochami")</f>
        <v>ochami</v>
      </c>
    </row>
    <row r="10030">
      <c r="A10030" s="4">
        <v>51.0</v>
      </c>
      <c r="B10030" s="4" t="s">
        <v>20222</v>
      </c>
      <c r="C10030" s="4"/>
      <c r="D10030" s="4" t="s">
        <v>18844</v>
      </c>
      <c r="E10030" s="4" t="s">
        <v>18845</v>
      </c>
      <c r="F10030" s="4" t="s">
        <v>18846</v>
      </c>
      <c r="G10030" s="5" t="str">
        <f>IFERROR(__xludf.DUMMYFUNCTION("GOOGLETRANSLATE(D10030,""sk"",""es"")"),"la oreja")</f>
        <v>la oreja</v>
      </c>
    </row>
    <row r="10031">
      <c r="A10031" s="4">
        <v>52.0</v>
      </c>
      <c r="B10031" s="4" t="s">
        <v>20222</v>
      </c>
      <c r="C10031" s="4"/>
      <c r="D10031" s="4" t="s">
        <v>20279</v>
      </c>
      <c r="E10031" s="4" t="s">
        <v>13113</v>
      </c>
      <c r="F10031" s="4" t="s">
        <v>13114</v>
      </c>
      <c r="G10031" s="5" t="str">
        <f>IFERROR(__xludf.DUMMYFUNCTION("GOOGLETRANSLATE(D10031,""sk"",""es"")"),"UJA")</f>
        <v>UJA</v>
      </c>
    </row>
    <row r="10032">
      <c r="A10032" s="4">
        <v>53.0</v>
      </c>
      <c r="B10032" s="4" t="s">
        <v>20222</v>
      </c>
      <c r="C10032" s="4"/>
      <c r="D10032" s="4" t="s">
        <v>20280</v>
      </c>
      <c r="E10032" s="4" t="s">
        <v>20281</v>
      </c>
      <c r="F10032" s="4" t="s">
        <v>20282</v>
      </c>
      <c r="G10032" s="5" t="str">
        <f>IFERROR(__xludf.DUMMYFUNCTION("GOOGLETRANSLATE(D10032,""sk"",""es"")"),"orejas")</f>
        <v>orejas</v>
      </c>
    </row>
    <row r="10033">
      <c r="A10033" s="4">
        <v>54.0</v>
      </c>
      <c r="B10033" s="4" t="s">
        <v>20222</v>
      </c>
      <c r="C10033" s="4"/>
      <c r="D10033" s="4" t="s">
        <v>20283</v>
      </c>
      <c r="E10033" s="4" t="s">
        <v>464</v>
      </c>
      <c r="F10033" s="4" t="s">
        <v>465</v>
      </c>
      <c r="G10033" s="5" t="str">
        <f>IFERROR(__xludf.DUMMYFUNCTION("GOOGLETRANSLATE(D10033,""sk"",""es"")"),"orejas")</f>
        <v>orejas</v>
      </c>
    </row>
    <row r="10034">
      <c r="A10034" s="4">
        <v>55.0</v>
      </c>
      <c r="B10034" s="4" t="s">
        <v>20222</v>
      </c>
      <c r="C10034" s="4"/>
      <c r="D10034" s="4" t="s">
        <v>20284</v>
      </c>
      <c r="E10034" s="4" t="s">
        <v>20285</v>
      </c>
      <c r="F10034" s="4" t="s">
        <v>20286</v>
      </c>
      <c r="G10034" s="5" t="str">
        <f>IFERROR(__xludf.DUMMYFUNCTION("GOOGLETRANSLATE(D10034,""sk"",""es"")"),"Lino")</f>
        <v>Lino</v>
      </c>
    </row>
    <row r="10035">
      <c r="A10035" s="4">
        <v>56.0</v>
      </c>
      <c r="B10035" s="4" t="s">
        <v>20222</v>
      </c>
      <c r="C10035" s="4"/>
      <c r="D10035" s="4" t="s">
        <v>20287</v>
      </c>
      <c r="E10035" s="4" t="s">
        <v>3065</v>
      </c>
      <c r="F10035" s="4" t="s">
        <v>3066</v>
      </c>
      <c r="G10035" s="5" t="str">
        <f>IFERROR(__xludf.DUMMYFUNCTION("GOOGLETRANSLATE(D10035,""sk"",""es"")"),"su")</f>
        <v>su</v>
      </c>
    </row>
    <row r="10036">
      <c r="A10036" s="4">
        <v>57.0</v>
      </c>
      <c r="B10036" s="4" t="s">
        <v>20222</v>
      </c>
      <c r="C10036" s="4"/>
      <c r="D10036" s="4" t="s">
        <v>20288</v>
      </c>
      <c r="E10036" s="4" t="s">
        <v>20289</v>
      </c>
      <c r="F10036" s="4" t="s">
        <v>20290</v>
      </c>
      <c r="G10036" s="5" t="str">
        <f>IFERROR(__xludf.DUMMYFUNCTION("GOOGLETRANSLATE(D10036,""sk"",""es"")"),"ruido")</f>
        <v>ruido</v>
      </c>
      <c r="H10036" s="4" t="s">
        <v>9608</v>
      </c>
      <c r="I10036" s="4" t="s">
        <v>20291</v>
      </c>
      <c r="J10036" s="4" t="s">
        <v>20292</v>
      </c>
      <c r="K10036" s="4" t="s">
        <v>9874</v>
      </c>
      <c r="L10036" s="4" t="s">
        <v>9875</v>
      </c>
      <c r="M10036" s="4" t="s">
        <v>9876</v>
      </c>
      <c r="N10036" s="4" t="s">
        <v>9877</v>
      </c>
      <c r="O10036" s="4" t="s">
        <v>20293</v>
      </c>
      <c r="P10036" s="4" t="s">
        <v>20294</v>
      </c>
      <c r="Q10036" s="4" t="s">
        <v>20295</v>
      </c>
      <c r="R10036" s="4" t="s">
        <v>20296</v>
      </c>
      <c r="S10036" s="4" t="s">
        <v>9619</v>
      </c>
      <c r="T10036" s="4" t="s">
        <v>20297</v>
      </c>
      <c r="U10036" s="4" t="s">
        <v>9622</v>
      </c>
    </row>
    <row r="10037">
      <c r="A10037" s="4">
        <v>1.0</v>
      </c>
      <c r="B10037" s="4" t="s">
        <v>20298</v>
      </c>
      <c r="C10037" s="4" t="s">
        <v>20299</v>
      </c>
      <c r="D10037" s="4" t="s">
        <v>5793</v>
      </c>
      <c r="E10037" s="4" t="s">
        <v>14076</v>
      </c>
      <c r="F10037" s="4" t="s">
        <v>5793</v>
      </c>
      <c r="G10037" s="5" t="str">
        <f>IFERROR(__xludf.DUMMYFUNCTION("GOOGLETRANSLATE(D10037,""sl"",""es"")"),"o")</f>
        <v>o</v>
      </c>
      <c r="H10037" s="4" t="s">
        <v>14898</v>
      </c>
      <c r="I10037" s="4" t="s">
        <v>14899</v>
      </c>
      <c r="J10037" s="4" t="s">
        <v>9656</v>
      </c>
      <c r="K10037" s="4" t="s">
        <v>4039</v>
      </c>
      <c r="L10037" s="4" t="s">
        <v>14900</v>
      </c>
    </row>
    <row r="10038">
      <c r="A10038" s="4">
        <v>2.0</v>
      </c>
      <c r="B10038" s="4" t="s">
        <v>20298</v>
      </c>
      <c r="C10038" s="4" t="s">
        <v>20299</v>
      </c>
      <c r="D10038" s="4" t="s">
        <v>4824</v>
      </c>
      <c r="E10038" s="4" t="s">
        <v>9699</v>
      </c>
      <c r="F10038" s="4" t="s">
        <v>4824</v>
      </c>
      <c r="G10038" s="5" t="str">
        <f>IFERROR(__xludf.DUMMYFUNCTION("GOOGLETRANSLATE(D10038,""sl"",""es"")"),"y")</f>
        <v>y</v>
      </c>
      <c r="H10038" s="4" t="s">
        <v>20300</v>
      </c>
      <c r="I10038" s="4" t="s">
        <v>6347</v>
      </c>
      <c r="J10038" s="4" t="s">
        <v>6348</v>
      </c>
      <c r="K10038" s="4" t="s">
        <v>6349</v>
      </c>
    </row>
    <row r="10039">
      <c r="A10039" s="4">
        <v>3.0</v>
      </c>
      <c r="B10039" s="4" t="s">
        <v>20298</v>
      </c>
      <c r="C10039" s="4" t="s">
        <v>20299</v>
      </c>
      <c r="D10039" s="4" t="s">
        <v>20301</v>
      </c>
      <c r="E10039" s="4" t="s">
        <v>300</v>
      </c>
      <c r="F10039" s="4" t="s">
        <v>301</v>
      </c>
      <c r="G10039" s="5" t="str">
        <f>IFERROR(__xludf.DUMMYFUNCTION("GOOGLETRANSLATE(D10039,""sl"",""es"")"),"de")</f>
        <v>de</v>
      </c>
    </row>
    <row r="10040">
      <c r="A10040" s="4">
        <v>4.0</v>
      </c>
      <c r="B10040" s="4" t="s">
        <v>20298</v>
      </c>
      <c r="C10040" s="4" t="s">
        <v>20299</v>
      </c>
      <c r="D10040" s="4" t="s">
        <v>2014</v>
      </c>
      <c r="E10040" s="4" t="s">
        <v>2013</v>
      </c>
      <c r="F10040" s="4" t="s">
        <v>2014</v>
      </c>
      <c r="G10040" s="5" t="str">
        <f>IFERROR(__xludf.DUMMYFUNCTION("GOOGLETRANSLATE(D10040,""sl"",""es"")"),"quién")</f>
        <v>quién</v>
      </c>
    </row>
    <row r="10041">
      <c r="A10041" s="4">
        <v>5.0</v>
      </c>
      <c r="B10041" s="4" t="s">
        <v>20298</v>
      </c>
      <c r="C10041" s="4" t="s">
        <v>20299</v>
      </c>
      <c r="D10041" s="4" t="s">
        <v>374</v>
      </c>
      <c r="E10041" s="4" t="s">
        <v>373</v>
      </c>
      <c r="F10041" s="4" t="s">
        <v>374</v>
      </c>
      <c r="G10041" s="5" t="str">
        <f>IFERROR(__xludf.DUMMYFUNCTION("GOOGLETRANSLATE(D10041,""sl"",""es"")"),"sobre")</f>
        <v>sobre</v>
      </c>
      <c r="H10041" s="4" t="s">
        <v>2908</v>
      </c>
      <c r="I10041" s="4" t="s">
        <v>2909</v>
      </c>
      <c r="J10041" s="4" t="s">
        <v>2910</v>
      </c>
    </row>
    <row r="10042">
      <c r="A10042" s="4">
        <v>6.0</v>
      </c>
      <c r="B10042" s="4" t="s">
        <v>20298</v>
      </c>
      <c r="C10042" s="4" t="s">
        <v>20299</v>
      </c>
      <c r="D10042" s="4" t="s">
        <v>3147</v>
      </c>
      <c r="E10042" s="4" t="s">
        <v>3148</v>
      </c>
      <c r="F10042" s="4" t="s">
        <v>3147</v>
      </c>
      <c r="G10042" s="4" t="s">
        <v>20302</v>
      </c>
      <c r="H10042" s="4" t="s">
        <v>14490</v>
      </c>
      <c r="I10042" s="4" t="s">
        <v>14491</v>
      </c>
      <c r="J10042" s="4" t="s">
        <v>3153</v>
      </c>
      <c r="K10042" s="4" t="s">
        <v>14492</v>
      </c>
    </row>
    <row r="10043">
      <c r="A10043" s="4">
        <v>7.0</v>
      </c>
      <c r="B10043" s="4" t="s">
        <v>20298</v>
      </c>
      <c r="C10043" s="4" t="s">
        <v>20299</v>
      </c>
      <c r="D10043" s="4" t="s">
        <v>401</v>
      </c>
      <c r="E10043" s="4" t="s">
        <v>400</v>
      </c>
      <c r="F10043" s="4" t="s">
        <v>401</v>
      </c>
      <c r="G10043" s="5" t="str">
        <f>IFERROR(__xludf.DUMMYFUNCTION("GOOGLETRANSLATE(D10043,""sl"",""es"")"),"tú")</f>
        <v>tú</v>
      </c>
      <c r="H10043" s="4" t="s">
        <v>422</v>
      </c>
      <c r="I10043" s="4" t="s">
        <v>3975</v>
      </c>
      <c r="J10043" s="4" t="s">
        <v>401</v>
      </c>
      <c r="K10043" s="4" t="s">
        <v>7528</v>
      </c>
      <c r="L10043" s="4" t="s">
        <v>7529</v>
      </c>
      <c r="M10043" s="4" t="s">
        <v>7530</v>
      </c>
      <c r="N10043" s="4" t="s">
        <v>7531</v>
      </c>
      <c r="O10043" s="4" t="s">
        <v>7532</v>
      </c>
      <c r="P10043" s="4" t="s">
        <v>7533</v>
      </c>
      <c r="Q10043" s="4" t="s">
        <v>7534</v>
      </c>
      <c r="R10043" s="4" t="s">
        <v>3976</v>
      </c>
      <c r="S10043" s="4" t="s">
        <v>3977</v>
      </c>
      <c r="T10043" s="4" t="s">
        <v>3978</v>
      </c>
    </row>
    <row r="10044">
      <c r="A10044" s="4">
        <v>1.0</v>
      </c>
      <c r="B10044" s="4" t="s">
        <v>20303</v>
      </c>
      <c r="C10044" s="4" t="s">
        <v>20304</v>
      </c>
      <c r="D10044" s="4" t="s">
        <v>20305</v>
      </c>
      <c r="E10044" s="4" t="s">
        <v>20306</v>
      </c>
      <c r="F10044" s="4" t="s">
        <v>20307</v>
      </c>
    </row>
    <row r="10045">
      <c r="A10045" s="4">
        <v>2.0</v>
      </c>
      <c r="B10045" s="4" t="s">
        <v>20303</v>
      </c>
      <c r="C10045" s="4" t="s">
        <v>20304</v>
      </c>
      <c r="D10045" s="4" t="s">
        <v>20308</v>
      </c>
      <c r="E10045" s="4" t="s">
        <v>20309</v>
      </c>
      <c r="F10045" s="4" t="s">
        <v>20310</v>
      </c>
      <c r="G10045" s="4"/>
      <c r="H10045" s="4" t="s">
        <v>20311</v>
      </c>
    </row>
    <row r="10046">
      <c r="A10046" s="4">
        <v>3.0</v>
      </c>
      <c r="B10046" s="4" t="s">
        <v>20303</v>
      </c>
      <c r="C10046" s="4" t="s">
        <v>20304</v>
      </c>
      <c r="D10046" s="4" t="s">
        <v>20312</v>
      </c>
      <c r="E10046" s="4" t="s">
        <v>20313</v>
      </c>
      <c r="F10046" s="4" t="s">
        <v>20314</v>
      </c>
    </row>
    <row r="10047">
      <c r="A10047" s="4">
        <v>4.0</v>
      </c>
      <c r="B10047" s="4" t="s">
        <v>20303</v>
      </c>
      <c r="C10047" s="4" t="s">
        <v>20304</v>
      </c>
      <c r="D10047" s="4" t="s">
        <v>20315</v>
      </c>
      <c r="E10047" s="4" t="s">
        <v>20316</v>
      </c>
      <c r="F10047" s="4" t="s">
        <v>20317</v>
      </c>
    </row>
    <row r="10048">
      <c r="A10048" s="4">
        <v>5.0</v>
      </c>
      <c r="B10048" s="4" t="s">
        <v>20303</v>
      </c>
      <c r="C10048" s="4" t="s">
        <v>20304</v>
      </c>
      <c r="D10048" s="4" t="s">
        <v>20318</v>
      </c>
      <c r="E10048" s="4" t="s">
        <v>20319</v>
      </c>
      <c r="F10048" s="4" t="s">
        <v>20320</v>
      </c>
    </row>
    <row r="10049">
      <c r="A10049" s="4">
        <v>6.0</v>
      </c>
      <c r="B10049" s="4" t="s">
        <v>20303</v>
      </c>
      <c r="C10049" s="4" t="s">
        <v>20304</v>
      </c>
      <c r="D10049" s="4" t="s">
        <v>479</v>
      </c>
      <c r="E10049" s="4" t="s">
        <v>480</v>
      </c>
      <c r="F10049" s="4" t="s">
        <v>481</v>
      </c>
      <c r="G10049" s="4"/>
      <c r="H10049" s="4" t="s">
        <v>482</v>
      </c>
      <c r="I10049" s="4" t="s">
        <v>483</v>
      </c>
      <c r="J10049" s="4" t="s">
        <v>484</v>
      </c>
      <c r="K10049" s="4" t="s">
        <v>485</v>
      </c>
      <c r="L10049" s="4" t="s">
        <v>486</v>
      </c>
      <c r="M10049" s="4" t="s">
        <v>487</v>
      </c>
      <c r="N10049" s="4" t="s">
        <v>488</v>
      </c>
      <c r="O10049" s="4" t="s">
        <v>489</v>
      </c>
      <c r="P10049" s="4" t="s">
        <v>490</v>
      </c>
      <c r="Q10049" s="4" t="s">
        <v>491</v>
      </c>
      <c r="R10049" s="4" t="s">
        <v>492</v>
      </c>
      <c r="S10049" s="4" t="s">
        <v>493</v>
      </c>
      <c r="T10049" s="4" t="s">
        <v>20321</v>
      </c>
      <c r="U10049" s="4" t="s">
        <v>485</v>
      </c>
      <c r="V10049" s="4" t="s">
        <v>20322</v>
      </c>
      <c r="W10049" s="4" t="s">
        <v>20323</v>
      </c>
      <c r="X10049" s="4" t="s">
        <v>20324</v>
      </c>
      <c r="Y10049" s="4" t="s">
        <v>20325</v>
      </c>
      <c r="Z10049" s="4" t="s">
        <v>494</v>
      </c>
      <c r="AA10049" s="4" t="s">
        <v>494</v>
      </c>
      <c r="AB10049" s="4" t="s">
        <v>495</v>
      </c>
      <c r="AC10049" s="4" t="s">
        <v>496</v>
      </c>
      <c r="AD10049" s="4" t="s">
        <v>497</v>
      </c>
      <c r="AE10049" s="4" t="s">
        <v>498</v>
      </c>
      <c r="AF10049" s="4" t="s">
        <v>499</v>
      </c>
    </row>
    <row r="10050">
      <c r="A10050" s="4">
        <v>7.0</v>
      </c>
      <c r="B10050" s="4" t="s">
        <v>20303</v>
      </c>
      <c r="C10050" s="4" t="s">
        <v>20304</v>
      </c>
      <c r="D10050" s="4" t="s">
        <v>20326</v>
      </c>
      <c r="E10050" s="4" t="s">
        <v>20327</v>
      </c>
      <c r="F10050" s="4" t="s">
        <v>20328</v>
      </c>
    </row>
    <row r="10051">
      <c r="A10051" s="4">
        <v>8.0</v>
      </c>
      <c r="B10051" s="4" t="s">
        <v>20303</v>
      </c>
      <c r="C10051" s="4" t="s">
        <v>20304</v>
      </c>
      <c r="D10051" s="4" t="s">
        <v>20329</v>
      </c>
      <c r="E10051" s="4" t="s">
        <v>4896</v>
      </c>
      <c r="F10051" s="4" t="s">
        <v>4897</v>
      </c>
    </row>
    <row r="10052">
      <c r="A10052" s="4">
        <v>9.0</v>
      </c>
      <c r="B10052" s="4" t="s">
        <v>20303</v>
      </c>
      <c r="C10052" s="4" t="s">
        <v>20304</v>
      </c>
      <c r="D10052" s="4" t="s">
        <v>20330</v>
      </c>
      <c r="E10052" s="4" t="s">
        <v>20331</v>
      </c>
      <c r="F10052" s="4" t="s">
        <v>20332</v>
      </c>
      <c r="G10052" s="4"/>
      <c r="H10052" s="4" t="s">
        <v>917</v>
      </c>
      <c r="I10052" s="4" t="s">
        <v>20333</v>
      </c>
      <c r="J10052" s="4" t="s">
        <v>917</v>
      </c>
      <c r="K10052" s="4" t="s">
        <v>20334</v>
      </c>
    </row>
    <row r="10053">
      <c r="A10053" s="4">
        <v>10.0</v>
      </c>
      <c r="B10053" s="4" t="s">
        <v>20303</v>
      </c>
      <c r="C10053" s="4" t="s">
        <v>20304</v>
      </c>
      <c r="D10053" s="4" t="s">
        <v>20335</v>
      </c>
      <c r="E10053" s="4" t="s">
        <v>20336</v>
      </c>
      <c r="F10053" s="4" t="s">
        <v>20337</v>
      </c>
    </row>
    <row r="10054">
      <c r="A10054" s="4">
        <v>11.0</v>
      </c>
      <c r="B10054" s="4" t="s">
        <v>20303</v>
      </c>
      <c r="C10054" s="4" t="s">
        <v>20304</v>
      </c>
      <c r="D10054" s="4" t="s">
        <v>20338</v>
      </c>
      <c r="E10054" s="4" t="s">
        <v>20339</v>
      </c>
      <c r="F10054" s="4" t="s">
        <v>20340</v>
      </c>
    </row>
    <row r="10055">
      <c r="A10055" s="4">
        <v>12.0</v>
      </c>
      <c r="B10055" s="4" t="s">
        <v>20303</v>
      </c>
      <c r="C10055" s="4" t="s">
        <v>20304</v>
      </c>
      <c r="D10055" s="4" t="s">
        <v>20341</v>
      </c>
      <c r="E10055" s="4" t="s">
        <v>20336</v>
      </c>
      <c r="F10055" s="4" t="s">
        <v>20337</v>
      </c>
    </row>
    <row r="10056">
      <c r="A10056" s="4">
        <v>13.0</v>
      </c>
      <c r="B10056" s="4" t="s">
        <v>20303</v>
      </c>
      <c r="C10056" s="4" t="s">
        <v>20304</v>
      </c>
      <c r="D10056" s="4" t="s">
        <v>20342</v>
      </c>
      <c r="E10056" s="4" t="s">
        <v>20339</v>
      </c>
      <c r="F10056" s="4" t="s">
        <v>20340</v>
      </c>
    </row>
    <row r="10057">
      <c r="A10057" s="4">
        <v>14.0</v>
      </c>
      <c r="B10057" s="4" t="s">
        <v>20303</v>
      </c>
      <c r="C10057" s="4" t="s">
        <v>20304</v>
      </c>
      <c r="D10057" s="4" t="s">
        <v>20343</v>
      </c>
      <c r="E10057" s="4" t="s">
        <v>20344</v>
      </c>
      <c r="F10057" s="4" t="s">
        <v>20345</v>
      </c>
    </row>
    <row r="10058">
      <c r="A10058" s="4">
        <v>15.0</v>
      </c>
      <c r="B10058" s="4" t="s">
        <v>20303</v>
      </c>
      <c r="C10058" s="4" t="s">
        <v>20304</v>
      </c>
      <c r="D10058" s="4" t="s">
        <v>20346</v>
      </c>
      <c r="E10058" s="4" t="s">
        <v>20347</v>
      </c>
      <c r="F10058" s="4" t="s">
        <v>20348</v>
      </c>
    </row>
    <row r="10059">
      <c r="A10059" s="4">
        <v>16.0</v>
      </c>
      <c r="B10059" s="4" t="s">
        <v>20303</v>
      </c>
      <c r="C10059" s="4" t="s">
        <v>20304</v>
      </c>
      <c r="D10059" s="4" t="s">
        <v>20349</v>
      </c>
      <c r="E10059" s="4" t="s">
        <v>20350</v>
      </c>
      <c r="F10059" s="4" t="s">
        <v>20351</v>
      </c>
      <c r="G10059" s="4"/>
      <c r="H10059" s="4" t="s">
        <v>20352</v>
      </c>
      <c r="I10059" s="4" t="s">
        <v>20353</v>
      </c>
    </row>
    <row r="10060">
      <c r="A10060" s="4">
        <v>17.0</v>
      </c>
      <c r="B10060" s="4" t="s">
        <v>20303</v>
      </c>
      <c r="C10060" s="4" t="s">
        <v>20304</v>
      </c>
      <c r="D10060" s="4" t="s">
        <v>14049</v>
      </c>
      <c r="E10060" s="4" t="s">
        <v>14050</v>
      </c>
      <c r="F10060" s="4" t="s">
        <v>14051</v>
      </c>
    </row>
    <row r="10061">
      <c r="A10061" s="4">
        <v>18.0</v>
      </c>
      <c r="B10061" s="4" t="s">
        <v>20303</v>
      </c>
      <c r="C10061" s="4" t="s">
        <v>20304</v>
      </c>
      <c r="D10061" s="4" t="s">
        <v>20354</v>
      </c>
      <c r="E10061" s="4" t="s">
        <v>20355</v>
      </c>
      <c r="F10061" s="4" t="s">
        <v>20356</v>
      </c>
    </row>
    <row r="10062">
      <c r="A10062" s="4">
        <v>19.0</v>
      </c>
      <c r="B10062" s="4" t="s">
        <v>20303</v>
      </c>
      <c r="C10062" s="4" t="s">
        <v>20304</v>
      </c>
      <c r="D10062" s="4" t="s">
        <v>20357</v>
      </c>
      <c r="E10062" s="4" t="s">
        <v>20358</v>
      </c>
      <c r="F10062" s="4" t="s">
        <v>20359</v>
      </c>
      <c r="G10062" s="4"/>
      <c r="H10062" s="4" t="s">
        <v>2700</v>
      </c>
      <c r="I10062" s="4" t="s">
        <v>7514</v>
      </c>
      <c r="J10062" s="4" t="s">
        <v>20360</v>
      </c>
      <c r="K10062" s="4" t="s">
        <v>20361</v>
      </c>
      <c r="L10062" s="4" t="s">
        <v>7519</v>
      </c>
      <c r="M10062" s="4" t="s">
        <v>20362</v>
      </c>
      <c r="N10062" s="4" t="s">
        <v>7342</v>
      </c>
      <c r="O10062" s="4" t="s">
        <v>796</v>
      </c>
      <c r="P10062" s="4" t="s">
        <v>20363</v>
      </c>
      <c r="Q10062" s="4" t="s">
        <v>20364</v>
      </c>
      <c r="R10062" s="4" t="s">
        <v>7519</v>
      </c>
      <c r="S10062" s="4" t="s">
        <v>20365</v>
      </c>
      <c r="T10062" s="4" t="s">
        <v>20366</v>
      </c>
      <c r="U10062" s="4" t="s">
        <v>16894</v>
      </c>
      <c r="V10062" s="4" t="s">
        <v>20367</v>
      </c>
      <c r="W10062" s="4" t="s">
        <v>20368</v>
      </c>
      <c r="X10062" s="4" t="s">
        <v>20369</v>
      </c>
      <c r="Y10062" s="4" t="s">
        <v>20370</v>
      </c>
      <c r="Z10062" s="4" t="s">
        <v>7520</v>
      </c>
      <c r="AA10062" s="4" t="s">
        <v>20371</v>
      </c>
      <c r="AB10062" s="4" t="s">
        <v>707</v>
      </c>
      <c r="AC10062" s="4" t="s">
        <v>1437</v>
      </c>
      <c r="AD10062" s="4" t="s">
        <v>2997</v>
      </c>
      <c r="AE10062" s="4" t="s">
        <v>20372</v>
      </c>
      <c r="AF10062" s="4" t="s">
        <v>20373</v>
      </c>
      <c r="AG10062" s="4" t="s">
        <v>20374</v>
      </c>
      <c r="AH10062" s="4" t="s">
        <v>20375</v>
      </c>
      <c r="AI10062" s="4" t="s">
        <v>8740</v>
      </c>
      <c r="AJ10062" s="4" t="s">
        <v>4519</v>
      </c>
      <c r="AK10062" s="4" t="s">
        <v>7516</v>
      </c>
      <c r="AL10062" s="4" t="s">
        <v>7517</v>
      </c>
      <c r="AM10062" s="4" t="s">
        <v>2700</v>
      </c>
      <c r="AN10062" s="4" t="s">
        <v>20374</v>
      </c>
      <c r="AO10062" s="4" t="s">
        <v>20362</v>
      </c>
      <c r="AP10062" s="4" t="s">
        <v>9056</v>
      </c>
      <c r="AQ10062" s="4" t="s">
        <v>2802</v>
      </c>
      <c r="AR10062" s="4" t="s">
        <v>20376</v>
      </c>
      <c r="AS10062" s="4" t="s">
        <v>2700</v>
      </c>
      <c r="AT10062" s="4" t="s">
        <v>7342</v>
      </c>
      <c r="AU10062" s="4" t="s">
        <v>20377</v>
      </c>
      <c r="AV10062" s="4" t="s">
        <v>6551</v>
      </c>
      <c r="AW10062" s="4" t="s">
        <v>20378</v>
      </c>
      <c r="AX10062" s="4" t="s">
        <v>6550</v>
      </c>
      <c r="AY10062" s="4" t="s">
        <v>20379</v>
      </c>
      <c r="AZ10062" s="4" t="s">
        <v>4283</v>
      </c>
      <c r="BA10062" s="4" t="s">
        <v>4447</v>
      </c>
      <c r="BB10062" s="4" t="s">
        <v>20380</v>
      </c>
      <c r="BC10062" s="4" t="s">
        <v>3493</v>
      </c>
      <c r="BD10062" s="4" t="s">
        <v>20374</v>
      </c>
      <c r="BE10062" s="4" t="s">
        <v>3493</v>
      </c>
      <c r="BF10062" s="4" t="s">
        <v>20374</v>
      </c>
      <c r="BG10062" s="4" t="s">
        <v>7342</v>
      </c>
      <c r="BH10062" s="4" t="s">
        <v>20381</v>
      </c>
      <c r="BI10062" s="4" t="s">
        <v>20365</v>
      </c>
    </row>
    <row r="10063">
      <c r="A10063" s="4">
        <v>20.0</v>
      </c>
      <c r="B10063" s="4" t="s">
        <v>20303</v>
      </c>
      <c r="C10063" s="4" t="s">
        <v>20304</v>
      </c>
      <c r="D10063" s="4" t="s">
        <v>20382</v>
      </c>
      <c r="E10063" s="4" t="s">
        <v>20383</v>
      </c>
      <c r="F10063" s="4" t="s">
        <v>14051</v>
      </c>
    </row>
    <row r="10064">
      <c r="A10064" s="4">
        <v>21.0</v>
      </c>
      <c r="B10064" s="4" t="s">
        <v>20303</v>
      </c>
      <c r="C10064" s="4" t="s">
        <v>20304</v>
      </c>
      <c r="D10064" s="4" t="s">
        <v>9199</v>
      </c>
      <c r="E10064" s="4" t="s">
        <v>20384</v>
      </c>
      <c r="F10064" s="4" t="s">
        <v>4747</v>
      </c>
    </row>
    <row r="10065">
      <c r="A10065" s="4">
        <v>22.0</v>
      </c>
      <c r="B10065" s="4" t="s">
        <v>20303</v>
      </c>
      <c r="C10065" s="4" t="s">
        <v>20304</v>
      </c>
      <c r="D10065" s="4" t="s">
        <v>20385</v>
      </c>
      <c r="E10065" s="4" t="s">
        <v>20386</v>
      </c>
      <c r="F10065" s="4" t="s">
        <v>20387</v>
      </c>
    </row>
    <row r="10066">
      <c r="A10066" s="4">
        <v>23.0</v>
      </c>
      <c r="B10066" s="4" t="s">
        <v>20303</v>
      </c>
      <c r="C10066" s="4" t="s">
        <v>20304</v>
      </c>
      <c r="D10066" s="4" t="s">
        <v>20388</v>
      </c>
      <c r="E10066" s="4" t="s">
        <v>20389</v>
      </c>
      <c r="F10066" s="4" t="s">
        <v>19893</v>
      </c>
    </row>
    <row r="10067">
      <c r="A10067" s="4">
        <v>24.0</v>
      </c>
      <c r="B10067" s="4" t="s">
        <v>20303</v>
      </c>
      <c r="C10067" s="4" t="s">
        <v>20304</v>
      </c>
      <c r="D10067" s="4" t="s">
        <v>20390</v>
      </c>
      <c r="E10067" s="4" t="s">
        <v>20383</v>
      </c>
      <c r="F10067" s="4" t="s">
        <v>14051</v>
      </c>
    </row>
    <row r="10068">
      <c r="A10068" s="4">
        <v>25.0</v>
      </c>
      <c r="B10068" s="4" t="s">
        <v>20303</v>
      </c>
      <c r="C10068" s="4" t="s">
        <v>20304</v>
      </c>
      <c r="D10068" s="4" t="s">
        <v>20391</v>
      </c>
      <c r="E10068" s="4" t="s">
        <v>20392</v>
      </c>
      <c r="F10068" s="4" t="s">
        <v>816</v>
      </c>
    </row>
    <row r="10069">
      <c r="A10069" s="4">
        <v>26.0</v>
      </c>
      <c r="B10069" s="4" t="s">
        <v>20303</v>
      </c>
      <c r="C10069" s="4" t="s">
        <v>20304</v>
      </c>
      <c r="D10069" s="4" t="s">
        <v>813</v>
      </c>
      <c r="E10069" s="4" t="s">
        <v>812</v>
      </c>
      <c r="F10069" s="4" t="s">
        <v>813</v>
      </c>
    </row>
    <row r="10070">
      <c r="A10070" s="4">
        <v>27.0</v>
      </c>
      <c r="B10070" s="4" t="s">
        <v>20303</v>
      </c>
      <c r="C10070" s="4" t="s">
        <v>20304</v>
      </c>
      <c r="D10070" s="4" t="s">
        <v>20393</v>
      </c>
      <c r="E10070" s="4" t="s">
        <v>20394</v>
      </c>
      <c r="F10070" s="4" t="s">
        <v>20395</v>
      </c>
    </row>
    <row r="10071">
      <c r="A10071" s="4">
        <v>28.0</v>
      </c>
      <c r="B10071" s="4" t="s">
        <v>20303</v>
      </c>
      <c r="C10071" s="4" t="s">
        <v>20304</v>
      </c>
      <c r="D10071" s="4" t="s">
        <v>506</v>
      </c>
      <c r="E10071" s="4" t="s">
        <v>507</v>
      </c>
      <c r="F10071" s="4" t="s">
        <v>506</v>
      </c>
      <c r="G10071" s="4"/>
      <c r="H10071" s="4" t="s">
        <v>556</v>
      </c>
      <c r="I10071" s="4" t="s">
        <v>557</v>
      </c>
      <c r="J10071" s="4" t="s">
        <v>558</v>
      </c>
      <c r="K10071" s="4" t="s">
        <v>559</v>
      </c>
    </row>
    <row r="10072">
      <c r="A10072" s="4">
        <v>29.0</v>
      </c>
      <c r="B10072" s="4" t="s">
        <v>20303</v>
      </c>
      <c r="C10072" s="4" t="s">
        <v>20304</v>
      </c>
      <c r="D10072" s="4" t="s">
        <v>508</v>
      </c>
      <c r="E10072" s="4" t="s">
        <v>509</v>
      </c>
      <c r="F10072" s="4" t="s">
        <v>508</v>
      </c>
      <c r="G10072" s="4"/>
      <c r="H10072" s="4" t="s">
        <v>510</v>
      </c>
      <c r="I10072" s="4" t="s">
        <v>511</v>
      </c>
      <c r="J10072" s="4" t="s">
        <v>512</v>
      </c>
      <c r="K10072" s="4" t="s">
        <v>513</v>
      </c>
      <c r="L10072" s="4" t="s">
        <v>510</v>
      </c>
      <c r="M10072" s="4" t="s">
        <v>514</v>
      </c>
      <c r="N10072" s="4" t="s">
        <v>510</v>
      </c>
      <c r="O10072" s="4" t="s">
        <v>510</v>
      </c>
      <c r="P10072" s="4" t="s">
        <v>515</v>
      </c>
      <c r="Q10072" s="4" t="s">
        <v>517</v>
      </c>
    </row>
    <row r="10073">
      <c r="A10073" s="4">
        <v>30.0</v>
      </c>
      <c r="B10073" s="4" t="s">
        <v>20303</v>
      </c>
      <c r="C10073" s="4" t="s">
        <v>20304</v>
      </c>
      <c r="D10073" s="4" t="s">
        <v>20396</v>
      </c>
      <c r="E10073" s="4" t="s">
        <v>20397</v>
      </c>
      <c r="F10073" s="4" t="s">
        <v>20398</v>
      </c>
    </row>
    <row r="10074">
      <c r="A10074" s="4">
        <v>31.0</v>
      </c>
      <c r="B10074" s="4" t="s">
        <v>20303</v>
      </c>
      <c r="C10074" s="4" t="s">
        <v>20304</v>
      </c>
      <c r="D10074" s="4" t="s">
        <v>20399</v>
      </c>
      <c r="E10074" s="4" t="s">
        <v>20400</v>
      </c>
      <c r="F10074" s="4" t="s">
        <v>20399</v>
      </c>
    </row>
    <row r="10075">
      <c r="A10075" s="4">
        <v>32.0</v>
      </c>
      <c r="B10075" s="4" t="s">
        <v>20303</v>
      </c>
      <c r="C10075" s="4" t="s">
        <v>20304</v>
      </c>
      <c r="D10075" s="4" t="s">
        <v>20401</v>
      </c>
      <c r="E10075" s="4" t="s">
        <v>20402</v>
      </c>
      <c r="F10075" s="4" t="s">
        <v>20401</v>
      </c>
    </row>
    <row r="10076">
      <c r="A10076" s="4">
        <v>33.0</v>
      </c>
      <c r="B10076" s="4" t="s">
        <v>20303</v>
      </c>
      <c r="C10076" s="4" t="s">
        <v>20304</v>
      </c>
      <c r="D10076" s="4" t="s">
        <v>20403</v>
      </c>
      <c r="E10076" s="4" t="s">
        <v>20404</v>
      </c>
      <c r="F10076" s="4" t="s">
        <v>20405</v>
      </c>
    </row>
    <row r="10077">
      <c r="A10077" s="4">
        <v>34.0</v>
      </c>
      <c r="B10077" s="4" t="s">
        <v>20303</v>
      </c>
      <c r="C10077" s="4" t="s">
        <v>20304</v>
      </c>
      <c r="D10077" s="4" t="s">
        <v>4967</v>
      </c>
      <c r="E10077" s="4" t="s">
        <v>4966</v>
      </c>
      <c r="F10077" s="4" t="s">
        <v>4967</v>
      </c>
    </row>
    <row r="10078">
      <c r="A10078" s="4">
        <v>35.0</v>
      </c>
      <c r="B10078" s="4" t="s">
        <v>20303</v>
      </c>
      <c r="C10078" s="4" t="s">
        <v>20304</v>
      </c>
      <c r="D10078" s="4" t="s">
        <v>20406</v>
      </c>
      <c r="E10078" s="4" t="s">
        <v>20407</v>
      </c>
      <c r="F10078" s="4" t="s">
        <v>20406</v>
      </c>
    </row>
    <row r="10079">
      <c r="A10079" s="4">
        <v>36.0</v>
      </c>
      <c r="B10079" s="4" t="s">
        <v>20303</v>
      </c>
      <c r="C10079" s="4" t="s">
        <v>20304</v>
      </c>
      <c r="D10079" s="4" t="s">
        <v>17420</v>
      </c>
      <c r="E10079" s="4" t="s">
        <v>20408</v>
      </c>
      <c r="F10079" s="4" t="s">
        <v>17420</v>
      </c>
    </row>
    <row r="10080">
      <c r="A10080" s="4">
        <v>37.0</v>
      </c>
      <c r="B10080" s="4" t="s">
        <v>20303</v>
      </c>
      <c r="C10080" s="4" t="s">
        <v>20304</v>
      </c>
      <c r="D10080" s="4" t="s">
        <v>14149</v>
      </c>
      <c r="E10080" s="4" t="s">
        <v>14148</v>
      </c>
      <c r="F10080" s="4" t="s">
        <v>14149</v>
      </c>
      <c r="G10080" s="4"/>
      <c r="H10080" s="4" t="s">
        <v>20409</v>
      </c>
      <c r="I10080" s="4" t="s">
        <v>14149</v>
      </c>
    </row>
    <row r="10081">
      <c r="A10081" s="4">
        <v>38.0</v>
      </c>
      <c r="B10081" s="4" t="s">
        <v>20303</v>
      </c>
      <c r="C10081" s="4" t="s">
        <v>20304</v>
      </c>
      <c r="D10081" s="4" t="s">
        <v>20410</v>
      </c>
      <c r="E10081" s="4" t="s">
        <v>20411</v>
      </c>
      <c r="F10081" s="4" t="s">
        <v>20412</v>
      </c>
    </row>
    <row r="10082">
      <c r="A10082" s="4">
        <v>39.0</v>
      </c>
      <c r="B10082" s="4" t="s">
        <v>20303</v>
      </c>
      <c r="C10082" s="4" t="s">
        <v>20304</v>
      </c>
      <c r="D10082" s="4" t="s">
        <v>4900</v>
      </c>
      <c r="E10082" s="4" t="s">
        <v>4899</v>
      </c>
      <c r="F10082" s="4" t="s">
        <v>4900</v>
      </c>
    </row>
    <row r="10083">
      <c r="A10083" s="4">
        <v>40.0</v>
      </c>
      <c r="B10083" s="4" t="s">
        <v>20303</v>
      </c>
      <c r="C10083" s="4" t="s">
        <v>20304</v>
      </c>
      <c r="D10083" s="4" t="s">
        <v>20413</v>
      </c>
      <c r="E10083" s="4" t="s">
        <v>20414</v>
      </c>
      <c r="F10083" s="4" t="s">
        <v>20415</v>
      </c>
    </row>
    <row r="10084">
      <c r="A10084" s="4">
        <v>41.0</v>
      </c>
      <c r="B10084" s="4" t="s">
        <v>20303</v>
      </c>
      <c r="C10084" s="4" t="s">
        <v>20304</v>
      </c>
      <c r="D10084" s="4" t="s">
        <v>20416</v>
      </c>
      <c r="E10084" s="4" t="s">
        <v>20417</v>
      </c>
      <c r="F10084" s="4" t="s">
        <v>14303</v>
      </c>
    </row>
    <row r="10085">
      <c r="A10085" s="4">
        <v>42.0</v>
      </c>
      <c r="B10085" s="4" t="s">
        <v>20303</v>
      </c>
      <c r="C10085" s="4" t="s">
        <v>20304</v>
      </c>
      <c r="D10085" s="4" t="s">
        <v>20418</v>
      </c>
      <c r="E10085" s="4" t="s">
        <v>20419</v>
      </c>
      <c r="F10085" s="4" t="s">
        <v>20420</v>
      </c>
    </row>
    <row r="10086">
      <c r="A10086" s="4">
        <v>43.0</v>
      </c>
      <c r="B10086" s="4" t="s">
        <v>20303</v>
      </c>
      <c r="C10086" s="4" t="s">
        <v>20304</v>
      </c>
      <c r="D10086" s="4" t="s">
        <v>20421</v>
      </c>
      <c r="E10086" s="4" t="s">
        <v>20422</v>
      </c>
      <c r="F10086" s="4" t="s">
        <v>20423</v>
      </c>
    </row>
    <row r="10087">
      <c r="A10087" s="4">
        <v>44.0</v>
      </c>
      <c r="B10087" s="4" t="s">
        <v>20303</v>
      </c>
      <c r="C10087" s="4" t="s">
        <v>20304</v>
      </c>
      <c r="D10087" s="4" t="s">
        <v>20424</v>
      </c>
      <c r="E10087" s="4" t="s">
        <v>20411</v>
      </c>
      <c r="F10087" s="4" t="s">
        <v>20412</v>
      </c>
    </row>
    <row r="10088">
      <c r="A10088" s="4">
        <v>45.0</v>
      </c>
      <c r="B10088" s="4" t="s">
        <v>20303</v>
      </c>
      <c r="C10088" s="4" t="s">
        <v>20304</v>
      </c>
      <c r="D10088" s="4" t="s">
        <v>20425</v>
      </c>
      <c r="E10088" s="4" t="s">
        <v>20426</v>
      </c>
      <c r="F10088" s="4" t="s">
        <v>20427</v>
      </c>
    </row>
    <row r="10089">
      <c r="A10089" s="4">
        <v>46.0</v>
      </c>
      <c r="B10089" s="4" t="s">
        <v>20303</v>
      </c>
      <c r="C10089" s="4" t="s">
        <v>20304</v>
      </c>
      <c r="D10089" s="4" t="s">
        <v>17424</v>
      </c>
      <c r="E10089" s="4" t="s">
        <v>20428</v>
      </c>
      <c r="F10089" s="4" t="s">
        <v>20429</v>
      </c>
    </row>
    <row r="10090">
      <c r="A10090" s="4">
        <v>47.0</v>
      </c>
      <c r="B10090" s="4" t="s">
        <v>20303</v>
      </c>
      <c r="C10090" s="4" t="s">
        <v>20304</v>
      </c>
      <c r="D10090" s="4" t="s">
        <v>20430</v>
      </c>
      <c r="E10090" s="4" t="s">
        <v>20431</v>
      </c>
      <c r="F10090" s="4" t="s">
        <v>20432</v>
      </c>
    </row>
    <row r="10091">
      <c r="A10091" s="4">
        <v>48.0</v>
      </c>
      <c r="B10091" s="4" t="s">
        <v>20303</v>
      </c>
      <c r="C10091" s="4" t="s">
        <v>20304</v>
      </c>
      <c r="D10091" s="4" t="s">
        <v>20433</v>
      </c>
      <c r="E10091" s="4" t="s">
        <v>20434</v>
      </c>
      <c r="F10091" s="4" t="s">
        <v>20435</v>
      </c>
    </row>
    <row r="10092">
      <c r="A10092" s="4">
        <v>49.0</v>
      </c>
      <c r="B10092" s="4" t="s">
        <v>20303</v>
      </c>
      <c r="C10092" s="4" t="s">
        <v>20304</v>
      </c>
      <c r="D10092" s="4" t="s">
        <v>20436</v>
      </c>
      <c r="E10092" s="4" t="s">
        <v>20437</v>
      </c>
      <c r="F10092" s="4" t="s">
        <v>20438</v>
      </c>
    </row>
    <row r="10093">
      <c r="A10093" s="4">
        <v>50.0</v>
      </c>
      <c r="B10093" s="4" t="s">
        <v>20303</v>
      </c>
      <c r="C10093" s="4" t="s">
        <v>20304</v>
      </c>
      <c r="D10093" s="4" t="s">
        <v>20439</v>
      </c>
      <c r="E10093" s="4" t="s">
        <v>20440</v>
      </c>
      <c r="F10093" s="4" t="s">
        <v>20441</v>
      </c>
    </row>
    <row r="10094">
      <c r="A10094" s="4">
        <v>51.0</v>
      </c>
      <c r="B10094" s="4" t="s">
        <v>20303</v>
      </c>
      <c r="C10094" s="4" t="s">
        <v>20304</v>
      </c>
      <c r="D10094" s="4" t="s">
        <v>20442</v>
      </c>
      <c r="E10094" s="4" t="s">
        <v>20434</v>
      </c>
      <c r="F10094" s="4" t="s">
        <v>20435</v>
      </c>
    </row>
    <row r="10095">
      <c r="A10095" s="4">
        <v>52.0</v>
      </c>
      <c r="B10095" s="4" t="s">
        <v>20303</v>
      </c>
      <c r="C10095" s="4" t="s">
        <v>20304</v>
      </c>
      <c r="D10095" s="4" t="s">
        <v>20443</v>
      </c>
      <c r="E10095" s="4" t="s">
        <v>20440</v>
      </c>
      <c r="F10095" s="4" t="s">
        <v>20441</v>
      </c>
    </row>
    <row r="10096">
      <c r="A10096" s="4">
        <v>53.0</v>
      </c>
      <c r="B10096" s="4" t="s">
        <v>20303</v>
      </c>
      <c r="C10096" s="4" t="s">
        <v>20304</v>
      </c>
      <c r="D10096" s="4" t="s">
        <v>20444</v>
      </c>
      <c r="E10096" s="4" t="s">
        <v>20445</v>
      </c>
      <c r="F10096" s="4" t="s">
        <v>20446</v>
      </c>
    </row>
    <row r="10097">
      <c r="A10097" s="4">
        <v>54.0</v>
      </c>
      <c r="B10097" s="4" t="s">
        <v>20303</v>
      </c>
      <c r="C10097" s="4" t="s">
        <v>20304</v>
      </c>
      <c r="D10097" s="4" t="s">
        <v>20447</v>
      </c>
      <c r="E10097" s="4" t="s">
        <v>20448</v>
      </c>
      <c r="F10097" s="4" t="s">
        <v>20447</v>
      </c>
    </row>
    <row r="10098">
      <c r="A10098" s="4">
        <v>55.0</v>
      </c>
      <c r="B10098" s="4" t="s">
        <v>20303</v>
      </c>
      <c r="C10098" s="4" t="s">
        <v>20304</v>
      </c>
      <c r="D10098" s="4" t="s">
        <v>20449</v>
      </c>
      <c r="E10098" s="4" t="s">
        <v>20450</v>
      </c>
      <c r="F10098" s="4" t="s">
        <v>20449</v>
      </c>
    </row>
    <row r="10099">
      <c r="A10099" s="4">
        <v>56.0</v>
      </c>
      <c r="B10099" s="4" t="s">
        <v>20303</v>
      </c>
      <c r="C10099" s="4" t="s">
        <v>20304</v>
      </c>
      <c r="D10099" s="4" t="s">
        <v>20451</v>
      </c>
      <c r="E10099" s="4" t="s">
        <v>20452</v>
      </c>
      <c r="F10099" s="4" t="s">
        <v>20453</v>
      </c>
    </row>
    <row r="10100">
      <c r="A10100" s="4">
        <v>57.0</v>
      </c>
      <c r="B10100" s="4" t="s">
        <v>20303</v>
      </c>
      <c r="C10100" s="4" t="s">
        <v>20304</v>
      </c>
      <c r="D10100" s="4" t="s">
        <v>20454</v>
      </c>
      <c r="E10100" s="4" t="s">
        <v>20455</v>
      </c>
      <c r="F10100" s="4" t="s">
        <v>20454</v>
      </c>
    </row>
    <row r="10101">
      <c r="A10101" s="4">
        <v>58.0</v>
      </c>
      <c r="B10101" s="4" t="s">
        <v>20303</v>
      </c>
      <c r="C10101" s="4" t="s">
        <v>20304</v>
      </c>
      <c r="D10101" s="4" t="s">
        <v>20456</v>
      </c>
      <c r="E10101" s="4" t="s">
        <v>20457</v>
      </c>
      <c r="F10101" s="4" t="s">
        <v>20456</v>
      </c>
    </row>
    <row r="10102">
      <c r="A10102" s="4">
        <v>59.0</v>
      </c>
      <c r="B10102" s="4" t="s">
        <v>20303</v>
      </c>
      <c r="C10102" s="4" t="s">
        <v>20304</v>
      </c>
      <c r="D10102" s="4" t="s">
        <v>11621</v>
      </c>
      <c r="E10102" s="4" t="s">
        <v>11622</v>
      </c>
      <c r="F10102" s="4" t="s">
        <v>11621</v>
      </c>
      <c r="G10102" s="4"/>
      <c r="H10102" s="4" t="s">
        <v>20458</v>
      </c>
    </row>
    <row r="10103">
      <c r="A10103" s="4">
        <v>60.0</v>
      </c>
      <c r="B10103" s="4" t="s">
        <v>20303</v>
      </c>
      <c r="C10103" s="4" t="s">
        <v>20304</v>
      </c>
      <c r="D10103" s="4" t="s">
        <v>20459</v>
      </c>
      <c r="E10103" s="4" t="s">
        <v>20460</v>
      </c>
      <c r="F10103" s="4" t="s">
        <v>20461</v>
      </c>
    </row>
    <row r="10104">
      <c r="A10104" s="4">
        <v>61.0</v>
      </c>
      <c r="B10104" s="4" t="s">
        <v>20303</v>
      </c>
      <c r="C10104" s="4" t="s">
        <v>20304</v>
      </c>
      <c r="D10104" s="4" t="s">
        <v>20462</v>
      </c>
      <c r="E10104" s="4" t="s">
        <v>20463</v>
      </c>
      <c r="F10104" s="4" t="s">
        <v>20462</v>
      </c>
    </row>
    <row r="10105">
      <c r="A10105" s="4">
        <v>62.0</v>
      </c>
      <c r="B10105" s="4" t="s">
        <v>20303</v>
      </c>
      <c r="C10105" s="4" t="s">
        <v>20304</v>
      </c>
      <c r="D10105" s="4" t="s">
        <v>20464</v>
      </c>
      <c r="E10105" s="4" t="s">
        <v>20465</v>
      </c>
      <c r="F10105" s="4" t="s">
        <v>20464</v>
      </c>
    </row>
    <row r="10106">
      <c r="A10106" s="4">
        <v>63.0</v>
      </c>
      <c r="B10106" s="4" t="s">
        <v>20303</v>
      </c>
      <c r="C10106" s="4" t="s">
        <v>20304</v>
      </c>
      <c r="D10106" s="4" t="s">
        <v>18935</v>
      </c>
      <c r="E10106" s="4" t="s">
        <v>509</v>
      </c>
      <c r="F10106" s="4" t="s">
        <v>508</v>
      </c>
      <c r="G10106" s="4"/>
      <c r="H10106" s="4" t="s">
        <v>18936</v>
      </c>
    </row>
    <row r="10107">
      <c r="A10107" s="4">
        <v>64.0</v>
      </c>
      <c r="B10107" s="4" t="s">
        <v>20303</v>
      </c>
      <c r="C10107" s="4" t="s">
        <v>20304</v>
      </c>
      <c r="D10107" s="4" t="s">
        <v>20466</v>
      </c>
      <c r="E10107" s="4" t="s">
        <v>20467</v>
      </c>
      <c r="F10107" s="4" t="s">
        <v>20468</v>
      </c>
    </row>
    <row r="10108">
      <c r="A10108" s="4">
        <v>65.0</v>
      </c>
      <c r="B10108" s="4" t="s">
        <v>20303</v>
      </c>
      <c r="C10108" s="4" t="s">
        <v>20304</v>
      </c>
      <c r="D10108" s="4" t="s">
        <v>20469</v>
      </c>
      <c r="E10108" s="4" t="s">
        <v>20470</v>
      </c>
      <c r="F10108" s="4" t="s">
        <v>20471</v>
      </c>
    </row>
    <row r="10109">
      <c r="A10109" s="4">
        <v>66.0</v>
      </c>
      <c r="B10109" s="4" t="s">
        <v>20303</v>
      </c>
      <c r="C10109" s="4" t="s">
        <v>20304</v>
      </c>
      <c r="D10109" s="4" t="s">
        <v>566</v>
      </c>
      <c r="E10109" s="4" t="s">
        <v>567</v>
      </c>
      <c r="F10109" s="4" t="s">
        <v>566</v>
      </c>
      <c r="G10109" s="4"/>
      <c r="H10109" s="4" t="s">
        <v>20472</v>
      </c>
      <c r="I10109" s="4" t="s">
        <v>20473</v>
      </c>
      <c r="J10109" s="4" t="s">
        <v>20474</v>
      </c>
      <c r="K10109" s="4" t="s">
        <v>17249</v>
      </c>
    </row>
    <row r="10110">
      <c r="A10110" s="4">
        <v>67.0</v>
      </c>
      <c r="B10110" s="4" t="s">
        <v>20303</v>
      </c>
      <c r="C10110" s="4" t="s">
        <v>20304</v>
      </c>
      <c r="D10110" s="4" t="s">
        <v>20475</v>
      </c>
      <c r="E10110" s="4" t="s">
        <v>20476</v>
      </c>
      <c r="F10110" s="4" t="s">
        <v>20475</v>
      </c>
    </row>
    <row r="10111">
      <c r="A10111" s="4">
        <v>68.0</v>
      </c>
      <c r="B10111" s="4" t="s">
        <v>20303</v>
      </c>
      <c r="C10111" s="4" t="s">
        <v>20304</v>
      </c>
      <c r="D10111" s="4" t="s">
        <v>298</v>
      </c>
      <c r="E10111" s="4" t="s">
        <v>297</v>
      </c>
      <c r="F10111" s="4" t="s">
        <v>298</v>
      </c>
    </row>
    <row r="10112">
      <c r="A10112" s="4">
        <v>69.0</v>
      </c>
      <c r="B10112" s="4" t="s">
        <v>20303</v>
      </c>
      <c r="C10112" s="4" t="s">
        <v>20304</v>
      </c>
      <c r="D10112" s="4" t="s">
        <v>20477</v>
      </c>
      <c r="E10112" s="4" t="s">
        <v>20478</v>
      </c>
      <c r="F10112" s="4" t="s">
        <v>20479</v>
      </c>
    </row>
    <row r="10113">
      <c r="A10113" s="4">
        <v>70.0</v>
      </c>
      <c r="B10113" s="4" t="s">
        <v>20303</v>
      </c>
      <c r="C10113" s="4" t="s">
        <v>20304</v>
      </c>
      <c r="D10113" s="4" t="s">
        <v>570</v>
      </c>
      <c r="E10113" s="4" t="s">
        <v>571</v>
      </c>
      <c r="F10113" s="4" t="s">
        <v>570</v>
      </c>
      <c r="G10113" s="4"/>
      <c r="H10113" s="4" t="s">
        <v>572</v>
      </c>
    </row>
    <row r="10114">
      <c r="A10114" s="4">
        <v>71.0</v>
      </c>
      <c r="B10114" s="4" t="s">
        <v>20303</v>
      </c>
      <c r="C10114" s="4" t="s">
        <v>20304</v>
      </c>
      <c r="D10114" s="4" t="s">
        <v>573</v>
      </c>
      <c r="E10114" s="4" t="s">
        <v>574</v>
      </c>
      <c r="F10114" s="4" t="s">
        <v>573</v>
      </c>
    </row>
    <row r="10115">
      <c r="A10115" s="4">
        <v>72.0</v>
      </c>
      <c r="B10115" s="4" t="s">
        <v>20303</v>
      </c>
      <c r="C10115" s="4" t="s">
        <v>20304</v>
      </c>
      <c r="D10115" s="4" t="s">
        <v>575</v>
      </c>
      <c r="E10115" s="4" t="s">
        <v>576</v>
      </c>
      <c r="F10115" s="4" t="s">
        <v>575</v>
      </c>
    </row>
    <row r="10116">
      <c r="A10116" s="4">
        <v>73.0</v>
      </c>
      <c r="B10116" s="4" t="s">
        <v>20303</v>
      </c>
      <c r="C10116" s="4" t="s">
        <v>20304</v>
      </c>
      <c r="D10116" s="4" t="s">
        <v>20480</v>
      </c>
      <c r="E10116" s="4" t="s">
        <v>20481</v>
      </c>
      <c r="F10116" s="4" t="s">
        <v>20480</v>
      </c>
    </row>
    <row r="10117">
      <c r="A10117" s="4">
        <v>74.0</v>
      </c>
      <c r="B10117" s="4" t="s">
        <v>20303</v>
      </c>
      <c r="C10117" s="4" t="s">
        <v>20304</v>
      </c>
      <c r="D10117" s="4" t="s">
        <v>14312</v>
      </c>
      <c r="E10117" s="4" t="s">
        <v>14313</v>
      </c>
      <c r="F10117" s="4" t="s">
        <v>14312</v>
      </c>
      <c r="G10117" s="4"/>
      <c r="H10117" s="4" t="s">
        <v>20482</v>
      </c>
      <c r="I10117" s="4" t="s">
        <v>6611</v>
      </c>
    </row>
    <row r="10118">
      <c r="A10118" s="4">
        <v>75.0</v>
      </c>
      <c r="B10118" s="4" t="s">
        <v>20303</v>
      </c>
      <c r="C10118" s="4" t="s">
        <v>20304</v>
      </c>
      <c r="D10118" s="4" t="s">
        <v>20483</v>
      </c>
      <c r="E10118" s="4" t="s">
        <v>20484</v>
      </c>
      <c r="F10118" s="4" t="s">
        <v>20485</v>
      </c>
    </row>
    <row r="10119">
      <c r="A10119" s="4">
        <v>76.0</v>
      </c>
      <c r="B10119" s="4" t="s">
        <v>20303</v>
      </c>
      <c r="C10119" s="4" t="s">
        <v>20304</v>
      </c>
      <c r="D10119" s="4" t="s">
        <v>14077</v>
      </c>
      <c r="E10119" s="4" t="s">
        <v>14078</v>
      </c>
      <c r="F10119" s="4" t="s">
        <v>14077</v>
      </c>
    </row>
    <row r="10120">
      <c r="A10120" s="4">
        <v>77.0</v>
      </c>
      <c r="B10120" s="4" t="s">
        <v>20303</v>
      </c>
      <c r="C10120" s="4" t="s">
        <v>20304</v>
      </c>
      <c r="D10120" s="4" t="s">
        <v>11659</v>
      </c>
      <c r="E10120" s="4" t="s">
        <v>11660</v>
      </c>
      <c r="F10120" s="4" t="s">
        <v>11661</v>
      </c>
    </row>
    <row r="10121">
      <c r="A10121" s="4">
        <v>78.0</v>
      </c>
      <c r="B10121" s="4" t="s">
        <v>20303</v>
      </c>
      <c r="C10121" s="4" t="s">
        <v>20304</v>
      </c>
      <c r="D10121" s="4" t="s">
        <v>20486</v>
      </c>
      <c r="E10121" s="4" t="s">
        <v>20487</v>
      </c>
      <c r="F10121" s="4" t="s">
        <v>20486</v>
      </c>
    </row>
    <row r="10122">
      <c r="A10122" s="4">
        <v>79.0</v>
      </c>
      <c r="B10122" s="4" t="s">
        <v>20303</v>
      </c>
      <c r="C10122" s="4" t="s">
        <v>20304</v>
      </c>
      <c r="D10122" s="4" t="s">
        <v>20488</v>
      </c>
      <c r="E10122" s="4" t="s">
        <v>20489</v>
      </c>
      <c r="F10122" s="4" t="s">
        <v>20488</v>
      </c>
    </row>
    <row r="10123">
      <c r="A10123" s="4">
        <v>80.0</v>
      </c>
      <c r="B10123" s="4" t="s">
        <v>20303</v>
      </c>
      <c r="C10123" s="4" t="s">
        <v>20304</v>
      </c>
      <c r="D10123" s="4" t="s">
        <v>608</v>
      </c>
      <c r="E10123" s="4" t="s">
        <v>609</v>
      </c>
      <c r="F10123" s="4" t="s">
        <v>608</v>
      </c>
    </row>
    <row r="10124">
      <c r="A10124" s="4">
        <v>81.0</v>
      </c>
      <c r="B10124" s="4" t="s">
        <v>20303</v>
      </c>
      <c r="C10124" s="4" t="s">
        <v>20304</v>
      </c>
      <c r="D10124" s="4" t="s">
        <v>20490</v>
      </c>
      <c r="E10124" s="4" t="s">
        <v>20491</v>
      </c>
      <c r="F10124" s="4" t="s">
        <v>20490</v>
      </c>
    </row>
    <row r="10125">
      <c r="A10125" s="4">
        <v>82.0</v>
      </c>
      <c r="B10125" s="4" t="s">
        <v>20303</v>
      </c>
      <c r="C10125" s="4" t="s">
        <v>20304</v>
      </c>
      <c r="D10125" s="4" t="s">
        <v>5823</v>
      </c>
      <c r="E10125" s="4" t="s">
        <v>20492</v>
      </c>
      <c r="F10125" s="4" t="s">
        <v>5823</v>
      </c>
    </row>
    <row r="10126">
      <c r="A10126" s="4">
        <v>83.0</v>
      </c>
      <c r="B10126" s="4" t="s">
        <v>20303</v>
      </c>
      <c r="C10126" s="4" t="s">
        <v>20304</v>
      </c>
      <c r="D10126" s="4" t="s">
        <v>20493</v>
      </c>
      <c r="E10126" s="4" t="s">
        <v>20478</v>
      </c>
      <c r="F10126" s="4" t="s">
        <v>20479</v>
      </c>
    </row>
    <row r="10127">
      <c r="A10127" s="4">
        <v>84.0</v>
      </c>
      <c r="B10127" s="4" t="s">
        <v>20303</v>
      </c>
      <c r="C10127" s="4" t="s">
        <v>20304</v>
      </c>
      <c r="D10127" s="4" t="s">
        <v>20494</v>
      </c>
      <c r="E10127" s="4" t="s">
        <v>297</v>
      </c>
      <c r="F10127" s="4" t="s">
        <v>298</v>
      </c>
    </row>
    <row r="10128">
      <c r="A10128" s="4">
        <v>85.0</v>
      </c>
      <c r="B10128" s="4" t="s">
        <v>20303</v>
      </c>
      <c r="C10128" s="4" t="s">
        <v>20304</v>
      </c>
      <c r="D10128" s="4" t="s">
        <v>20495</v>
      </c>
      <c r="E10128" s="4" t="s">
        <v>297</v>
      </c>
      <c r="F10128" s="4" t="s">
        <v>298</v>
      </c>
    </row>
    <row r="10129">
      <c r="A10129" s="4">
        <v>86.0</v>
      </c>
      <c r="B10129" s="4" t="s">
        <v>20303</v>
      </c>
      <c r="C10129" s="4" t="s">
        <v>20304</v>
      </c>
      <c r="D10129" s="4" t="s">
        <v>20496</v>
      </c>
      <c r="E10129" s="4" t="s">
        <v>20497</v>
      </c>
      <c r="F10129" s="4" t="s">
        <v>20498</v>
      </c>
    </row>
    <row r="10130">
      <c r="A10130" s="4">
        <v>87.0</v>
      </c>
      <c r="B10130" s="4" t="s">
        <v>20303</v>
      </c>
      <c r="C10130" s="4" t="s">
        <v>20304</v>
      </c>
      <c r="D10130" s="4" t="s">
        <v>20499</v>
      </c>
      <c r="E10130" s="4" t="s">
        <v>20500</v>
      </c>
      <c r="F10130" s="4" t="s">
        <v>20501</v>
      </c>
    </row>
    <row r="10131">
      <c r="A10131" s="4">
        <v>88.0</v>
      </c>
      <c r="B10131" s="4" t="s">
        <v>20303</v>
      </c>
      <c r="C10131" s="4" t="s">
        <v>20304</v>
      </c>
      <c r="D10131" s="4" t="s">
        <v>741</v>
      </c>
      <c r="E10131" s="4" t="s">
        <v>740</v>
      </c>
      <c r="F10131" s="4" t="s">
        <v>741</v>
      </c>
    </row>
    <row r="10132">
      <c r="A10132" s="4">
        <v>89.0</v>
      </c>
      <c r="B10132" s="4" t="s">
        <v>20303</v>
      </c>
      <c r="C10132" s="4" t="s">
        <v>20304</v>
      </c>
      <c r="D10132" s="4" t="s">
        <v>622</v>
      </c>
      <c r="E10132" s="4" t="s">
        <v>623</v>
      </c>
      <c r="F10132" s="4" t="s">
        <v>622</v>
      </c>
      <c r="G10132" s="4"/>
      <c r="H10132" s="4" t="s">
        <v>622</v>
      </c>
    </row>
    <row r="10133">
      <c r="A10133" s="4">
        <v>90.0</v>
      </c>
      <c r="B10133" s="4" t="s">
        <v>20303</v>
      </c>
      <c r="C10133" s="4" t="s">
        <v>20304</v>
      </c>
      <c r="D10133" s="4" t="s">
        <v>631</v>
      </c>
      <c r="E10133" s="4" t="s">
        <v>632</v>
      </c>
      <c r="F10133" s="4" t="s">
        <v>633</v>
      </c>
    </row>
    <row r="10134">
      <c r="A10134" s="4">
        <v>91.0</v>
      </c>
      <c r="B10134" s="4" t="s">
        <v>20303</v>
      </c>
      <c r="C10134" s="4" t="s">
        <v>20304</v>
      </c>
      <c r="D10134" s="4" t="s">
        <v>20502</v>
      </c>
      <c r="E10134" s="4" t="s">
        <v>20503</v>
      </c>
      <c r="F10134" s="4" t="s">
        <v>20502</v>
      </c>
    </row>
    <row r="10135">
      <c r="A10135" s="4">
        <v>92.0</v>
      </c>
      <c r="B10135" s="4" t="s">
        <v>20303</v>
      </c>
      <c r="C10135" s="4" t="s">
        <v>20304</v>
      </c>
      <c r="D10135" s="4" t="s">
        <v>20504</v>
      </c>
      <c r="E10135" s="4" t="s">
        <v>5023</v>
      </c>
      <c r="F10135" s="4" t="s">
        <v>5024</v>
      </c>
    </row>
    <row r="10136">
      <c r="A10136" s="4">
        <v>93.0</v>
      </c>
      <c r="B10136" s="4" t="s">
        <v>20303</v>
      </c>
      <c r="C10136" s="4" t="s">
        <v>20304</v>
      </c>
      <c r="D10136" s="4" t="s">
        <v>20505</v>
      </c>
      <c r="E10136" s="4" t="s">
        <v>4810</v>
      </c>
      <c r="F10136" s="4" t="s">
        <v>3547</v>
      </c>
    </row>
    <row r="10137">
      <c r="A10137" s="4">
        <v>94.0</v>
      </c>
      <c r="B10137" s="4" t="s">
        <v>20303</v>
      </c>
      <c r="C10137" s="4" t="s">
        <v>20304</v>
      </c>
      <c r="D10137" s="4" t="s">
        <v>20506</v>
      </c>
      <c r="E10137" s="4" t="s">
        <v>20507</v>
      </c>
      <c r="F10137" s="4" t="s">
        <v>20506</v>
      </c>
    </row>
    <row r="10138">
      <c r="A10138" s="4">
        <v>95.0</v>
      </c>
      <c r="B10138" s="4" t="s">
        <v>20303</v>
      </c>
      <c r="C10138" s="4" t="s">
        <v>20304</v>
      </c>
      <c r="D10138" s="4" t="s">
        <v>20508</v>
      </c>
      <c r="E10138" s="4" t="s">
        <v>20509</v>
      </c>
      <c r="F10138" s="4" t="s">
        <v>20508</v>
      </c>
    </row>
    <row r="10139">
      <c r="A10139" s="4">
        <v>96.0</v>
      </c>
      <c r="B10139" s="4" t="s">
        <v>20303</v>
      </c>
      <c r="C10139" s="4" t="s">
        <v>20304</v>
      </c>
      <c r="D10139" s="4" t="s">
        <v>17442</v>
      </c>
      <c r="E10139" s="4" t="s">
        <v>18937</v>
      </c>
      <c r="F10139" s="4" t="s">
        <v>17442</v>
      </c>
      <c r="G10139" s="4"/>
      <c r="H10139" s="4" t="s">
        <v>17445</v>
      </c>
      <c r="I10139" s="4" t="s">
        <v>17446</v>
      </c>
      <c r="J10139" s="4" t="s">
        <v>17447</v>
      </c>
      <c r="K10139" s="4" t="s">
        <v>17448</v>
      </c>
    </row>
    <row r="10140">
      <c r="A10140" s="4">
        <v>97.0</v>
      </c>
      <c r="B10140" s="4" t="s">
        <v>20303</v>
      </c>
      <c r="C10140" s="4" t="s">
        <v>20304</v>
      </c>
      <c r="D10140" s="4" t="s">
        <v>652</v>
      </c>
      <c r="E10140" s="4" t="s">
        <v>653</v>
      </c>
      <c r="F10140" s="4" t="s">
        <v>652</v>
      </c>
    </row>
    <row r="10141">
      <c r="A10141" s="4">
        <v>98.0</v>
      </c>
      <c r="B10141" s="4" t="s">
        <v>20303</v>
      </c>
      <c r="C10141" s="4" t="s">
        <v>20304</v>
      </c>
      <c r="D10141" s="4" t="s">
        <v>654</v>
      </c>
      <c r="E10141" s="4" t="s">
        <v>655</v>
      </c>
      <c r="F10141" s="4" t="s">
        <v>654</v>
      </c>
      <c r="G10141" s="4"/>
      <c r="H10141" s="4" t="s">
        <v>654</v>
      </c>
      <c r="I10141" s="4" t="s">
        <v>656</v>
      </c>
      <c r="J10141" s="4" t="s">
        <v>657</v>
      </c>
      <c r="K10141" s="4" t="s">
        <v>658</v>
      </c>
      <c r="L10141" s="4" t="s">
        <v>659</v>
      </c>
      <c r="M10141" s="4" t="s">
        <v>660</v>
      </c>
      <c r="N10141" s="4" t="s">
        <v>657</v>
      </c>
      <c r="O10141" s="4" t="s">
        <v>664</v>
      </c>
      <c r="P10141" s="4" t="s">
        <v>665</v>
      </c>
      <c r="Q10141" s="4" t="s">
        <v>658</v>
      </c>
      <c r="R10141" s="4" t="s">
        <v>666</v>
      </c>
      <c r="S10141" s="4" t="s">
        <v>667</v>
      </c>
      <c r="T10141" s="4" t="s">
        <v>668</v>
      </c>
      <c r="U10141" s="4" t="s">
        <v>669</v>
      </c>
      <c r="V10141" s="4" t="s">
        <v>670</v>
      </c>
      <c r="W10141" s="4" t="s">
        <v>671</v>
      </c>
      <c r="X10141" s="4" t="s">
        <v>672</v>
      </c>
      <c r="Y10141" s="4" t="s">
        <v>673</v>
      </c>
      <c r="Z10141" s="4" t="s">
        <v>674</v>
      </c>
      <c r="AA10141" s="4" t="s">
        <v>675</v>
      </c>
      <c r="AB10141" s="4" t="s">
        <v>676</v>
      </c>
      <c r="AC10141" s="4" t="s">
        <v>677</v>
      </c>
      <c r="AD10141" s="4" t="s">
        <v>678</v>
      </c>
      <c r="AE10141" s="4" t="s">
        <v>679</v>
      </c>
    </row>
    <row r="10142">
      <c r="A10142" s="4">
        <v>99.0</v>
      </c>
      <c r="B10142" s="4" t="s">
        <v>20303</v>
      </c>
      <c r="C10142" s="4" t="s">
        <v>20304</v>
      </c>
      <c r="D10142" s="4" t="s">
        <v>680</v>
      </c>
      <c r="E10142" s="4" t="s">
        <v>681</v>
      </c>
      <c r="F10142" s="4" t="s">
        <v>680</v>
      </c>
      <c r="G10142" s="4"/>
      <c r="H10142" s="4" t="s">
        <v>682</v>
      </c>
      <c r="I10142" s="4" t="s">
        <v>683</v>
      </c>
      <c r="J10142" s="4" t="s">
        <v>684</v>
      </c>
      <c r="K10142" s="4" t="s">
        <v>685</v>
      </c>
      <c r="L10142" s="4" t="s">
        <v>686</v>
      </c>
      <c r="M10142" s="4" t="s">
        <v>687</v>
      </c>
      <c r="N10142" s="4" t="s">
        <v>688</v>
      </c>
      <c r="O10142" s="4" t="s">
        <v>689</v>
      </c>
      <c r="P10142" s="4" t="s">
        <v>690</v>
      </c>
      <c r="Q10142" s="4" t="s">
        <v>4751</v>
      </c>
      <c r="R10142" s="4" t="s">
        <v>19744</v>
      </c>
      <c r="S10142" s="4" t="s">
        <v>19745</v>
      </c>
      <c r="T10142" s="4" t="s">
        <v>598</v>
      </c>
      <c r="U10142" s="4" t="s">
        <v>695</v>
      </c>
      <c r="V10142" s="4" t="s">
        <v>696</v>
      </c>
      <c r="W10142" s="4" t="s">
        <v>690</v>
      </c>
      <c r="X10142" s="4" t="s">
        <v>16894</v>
      </c>
      <c r="Y10142" s="4" t="s">
        <v>1800</v>
      </c>
      <c r="Z10142" s="4" t="s">
        <v>3887</v>
      </c>
      <c r="AA10142" s="4" t="s">
        <v>697</v>
      </c>
      <c r="AB10142" s="4" t="s">
        <v>698</v>
      </c>
      <c r="AC10142" s="4" t="s">
        <v>699</v>
      </c>
      <c r="AD10142" s="4" t="s">
        <v>700</v>
      </c>
      <c r="AE10142" s="4" t="s">
        <v>700</v>
      </c>
      <c r="AF10142" s="4" t="s">
        <v>20510</v>
      </c>
      <c r="AG10142" s="4" t="s">
        <v>19746</v>
      </c>
      <c r="AH10142" s="4" t="s">
        <v>9437</v>
      </c>
      <c r="AI10142" s="4" t="s">
        <v>20511</v>
      </c>
      <c r="AJ10142" s="4" t="s">
        <v>20512</v>
      </c>
      <c r="AK10142" s="4" t="s">
        <v>20513</v>
      </c>
      <c r="AL10142" s="4" t="s">
        <v>684</v>
      </c>
      <c r="AM10142" s="4" t="s">
        <v>700</v>
      </c>
      <c r="AN10142" s="4" t="s">
        <v>701</v>
      </c>
      <c r="AO10142" s="4" t="s">
        <v>703</v>
      </c>
      <c r="AP10142" s="4" t="s">
        <v>704</v>
      </c>
      <c r="AQ10142" s="4" t="s">
        <v>705</v>
      </c>
      <c r="AR10142" s="4" t="s">
        <v>706</v>
      </c>
      <c r="AS10142" s="4" t="s">
        <v>8083</v>
      </c>
      <c r="AT10142" s="4" t="s">
        <v>19746</v>
      </c>
      <c r="AU10142" s="4" t="s">
        <v>690</v>
      </c>
      <c r="AV10142" s="4" t="s">
        <v>689</v>
      </c>
      <c r="AW10142" s="4" t="s">
        <v>686</v>
      </c>
      <c r="AX10142" s="4" t="s">
        <v>19747</v>
      </c>
      <c r="AY10142" s="4" t="s">
        <v>700</v>
      </c>
      <c r="AZ10142" s="4" t="s">
        <v>20514</v>
      </c>
      <c r="BA10142" s="4" t="s">
        <v>20515</v>
      </c>
      <c r="BB10142" s="4" t="s">
        <v>20516</v>
      </c>
      <c r="BC10142" s="4" t="s">
        <v>699</v>
      </c>
      <c r="BD10142" s="4" t="s">
        <v>718</v>
      </c>
      <c r="BE10142" s="4" t="s">
        <v>719</v>
      </c>
    </row>
    <row r="10143">
      <c r="A10143" s="4">
        <v>100.0</v>
      </c>
      <c r="B10143" s="4" t="s">
        <v>20303</v>
      </c>
      <c r="C10143" s="4" t="s">
        <v>20304</v>
      </c>
      <c r="D10143" s="4" t="s">
        <v>20517</v>
      </c>
      <c r="E10143" s="4" t="s">
        <v>20518</v>
      </c>
      <c r="F10143" s="4" t="s">
        <v>20517</v>
      </c>
    </row>
    <row r="10144">
      <c r="A10144" s="4">
        <v>101.0</v>
      </c>
      <c r="B10144" s="4" t="s">
        <v>20303</v>
      </c>
      <c r="C10144" s="4" t="s">
        <v>20304</v>
      </c>
      <c r="D10144" s="4" t="s">
        <v>20519</v>
      </c>
      <c r="E10144" s="4" t="s">
        <v>20520</v>
      </c>
      <c r="F10144" s="4" t="s">
        <v>20519</v>
      </c>
    </row>
    <row r="10145">
      <c r="A10145" s="4">
        <v>102.0</v>
      </c>
      <c r="B10145" s="4" t="s">
        <v>20303</v>
      </c>
      <c r="C10145" s="4" t="s">
        <v>20304</v>
      </c>
      <c r="D10145" s="4" t="s">
        <v>20521</v>
      </c>
      <c r="E10145" s="4" t="s">
        <v>20518</v>
      </c>
      <c r="F10145" s="4" t="s">
        <v>20517</v>
      </c>
    </row>
    <row r="10146">
      <c r="A10146" s="4">
        <v>103.0</v>
      </c>
      <c r="B10146" s="4" t="s">
        <v>20303</v>
      </c>
      <c r="C10146" s="4" t="s">
        <v>20304</v>
      </c>
      <c r="D10146" s="4" t="s">
        <v>20522</v>
      </c>
      <c r="E10146" s="4" t="s">
        <v>20520</v>
      </c>
      <c r="F10146" s="4" t="s">
        <v>20519</v>
      </c>
    </row>
    <row r="10147">
      <c r="A10147" s="4">
        <v>104.0</v>
      </c>
      <c r="B10147" s="4" t="s">
        <v>20303</v>
      </c>
      <c r="C10147" s="4" t="s">
        <v>20304</v>
      </c>
      <c r="D10147" s="4" t="s">
        <v>11683</v>
      </c>
      <c r="E10147" s="4" t="s">
        <v>11682</v>
      </c>
      <c r="F10147" s="4" t="s">
        <v>11683</v>
      </c>
    </row>
    <row r="10148">
      <c r="A10148" s="4">
        <v>105.0</v>
      </c>
      <c r="B10148" s="4" t="s">
        <v>20303</v>
      </c>
      <c r="C10148" s="4" t="s">
        <v>20304</v>
      </c>
      <c r="D10148" s="4" t="s">
        <v>20523</v>
      </c>
      <c r="E10148" s="4" t="s">
        <v>20524</v>
      </c>
      <c r="F10148" s="4" t="s">
        <v>20525</v>
      </c>
      <c r="G10148" s="4"/>
      <c r="H10148" s="4" t="s">
        <v>20526</v>
      </c>
      <c r="I10148" s="4" t="s">
        <v>20527</v>
      </c>
      <c r="J10148" s="4" t="s">
        <v>20528</v>
      </c>
      <c r="K10148" s="4" t="s">
        <v>20529</v>
      </c>
    </row>
    <row r="10149">
      <c r="A10149" s="4">
        <v>106.0</v>
      </c>
      <c r="B10149" s="4" t="s">
        <v>20303</v>
      </c>
      <c r="C10149" s="4" t="s">
        <v>20304</v>
      </c>
      <c r="D10149" s="4" t="s">
        <v>20530</v>
      </c>
      <c r="E10149" s="4" t="s">
        <v>20531</v>
      </c>
      <c r="F10149" s="4" t="s">
        <v>20530</v>
      </c>
    </row>
    <row r="10150">
      <c r="A10150" s="4">
        <v>107.0</v>
      </c>
      <c r="B10150" s="4" t="s">
        <v>20303</v>
      </c>
      <c r="C10150" s="4" t="s">
        <v>20304</v>
      </c>
      <c r="D10150" s="4" t="s">
        <v>9294</v>
      </c>
      <c r="E10150" s="4" t="s">
        <v>11686</v>
      </c>
      <c r="F10150" s="4" t="s">
        <v>9294</v>
      </c>
    </row>
    <row r="10151">
      <c r="A10151" s="4">
        <v>108.0</v>
      </c>
      <c r="B10151" s="4" t="s">
        <v>20303</v>
      </c>
      <c r="C10151" s="4" t="s">
        <v>20304</v>
      </c>
      <c r="D10151" s="4" t="s">
        <v>20532</v>
      </c>
      <c r="E10151" s="4" t="s">
        <v>20533</v>
      </c>
      <c r="F10151" s="4" t="s">
        <v>20532</v>
      </c>
    </row>
    <row r="10152">
      <c r="A10152" s="4">
        <v>109.0</v>
      </c>
      <c r="B10152" s="4" t="s">
        <v>20303</v>
      </c>
      <c r="C10152" s="4" t="s">
        <v>20304</v>
      </c>
      <c r="D10152" s="4" t="s">
        <v>20534</v>
      </c>
      <c r="E10152" s="4" t="s">
        <v>20535</v>
      </c>
      <c r="F10152" s="4" t="s">
        <v>20534</v>
      </c>
      <c r="G10152" s="4"/>
      <c r="H10152" s="4" t="s">
        <v>19930</v>
      </c>
      <c r="I10152" s="4" t="s">
        <v>3045</v>
      </c>
      <c r="J10152" s="4" t="s">
        <v>2297</v>
      </c>
      <c r="K10152" s="4" t="s">
        <v>8984</v>
      </c>
      <c r="L10152" s="4" t="s">
        <v>8985</v>
      </c>
      <c r="M10152" s="4" t="s">
        <v>19934</v>
      </c>
      <c r="N10152" s="4" t="s">
        <v>20536</v>
      </c>
      <c r="O10152" s="4" t="s">
        <v>20537</v>
      </c>
      <c r="P10152" s="4" t="s">
        <v>6431</v>
      </c>
      <c r="Q10152" s="4" t="s">
        <v>20538</v>
      </c>
      <c r="R10152" s="4" t="s">
        <v>20539</v>
      </c>
      <c r="S10152" s="4" t="s">
        <v>20540</v>
      </c>
      <c r="T10152" s="4" t="s">
        <v>20541</v>
      </c>
      <c r="U10152" s="4" t="s">
        <v>20542</v>
      </c>
      <c r="V10152" s="4" t="s">
        <v>20543</v>
      </c>
      <c r="W10152" s="4" t="s">
        <v>20544</v>
      </c>
      <c r="X10152" s="4" t="s">
        <v>19931</v>
      </c>
      <c r="Y10152" s="4" t="s">
        <v>1800</v>
      </c>
      <c r="Z10152" s="4" t="s">
        <v>20545</v>
      </c>
      <c r="AA10152" s="4" t="s">
        <v>20543</v>
      </c>
      <c r="AB10152" s="4" t="s">
        <v>20546</v>
      </c>
      <c r="AC10152" s="4" t="s">
        <v>20540</v>
      </c>
      <c r="AD10152" s="4" t="s">
        <v>20547</v>
      </c>
      <c r="AE10152" s="4" t="s">
        <v>20548</v>
      </c>
      <c r="AF10152" s="4" t="s">
        <v>15699</v>
      </c>
      <c r="AG10152" s="4" t="s">
        <v>15700</v>
      </c>
      <c r="AH10152" s="4" t="s">
        <v>15700</v>
      </c>
      <c r="AI10152" s="4" t="s">
        <v>20549</v>
      </c>
      <c r="AJ10152" s="4" t="s">
        <v>19930</v>
      </c>
      <c r="AK10152" s="4" t="s">
        <v>19931</v>
      </c>
      <c r="AL10152" s="4" t="s">
        <v>19932</v>
      </c>
      <c r="AM10152" s="4" t="s">
        <v>3045</v>
      </c>
      <c r="AN10152" s="4" t="s">
        <v>19933</v>
      </c>
      <c r="AO10152" s="4" t="s">
        <v>19934</v>
      </c>
      <c r="AP10152" s="4" t="s">
        <v>20541</v>
      </c>
      <c r="AQ10152" s="4" t="s">
        <v>3346</v>
      </c>
      <c r="AR10152" s="4" t="s">
        <v>20549</v>
      </c>
      <c r="AS10152" s="4" t="s">
        <v>8965</v>
      </c>
      <c r="AT10152" s="4" t="s">
        <v>20550</v>
      </c>
      <c r="AU10152" s="4" t="s">
        <v>20551</v>
      </c>
    </row>
    <row r="10153">
      <c r="A10153" s="4">
        <v>110.0</v>
      </c>
      <c r="B10153" s="4" t="s">
        <v>20303</v>
      </c>
      <c r="C10153" s="4" t="s">
        <v>20304</v>
      </c>
      <c r="D10153" s="4" t="s">
        <v>20552</v>
      </c>
      <c r="E10153" s="4" t="s">
        <v>20553</v>
      </c>
      <c r="F10153" s="4" t="s">
        <v>14817</v>
      </c>
      <c r="G10153" s="4"/>
      <c r="H10153" s="4" t="s">
        <v>4998</v>
      </c>
      <c r="I10153" s="4" t="s">
        <v>20554</v>
      </c>
      <c r="J10153" s="4" t="s">
        <v>20555</v>
      </c>
      <c r="K10153" s="4" t="s">
        <v>4998</v>
      </c>
      <c r="L10153" s="4" t="s">
        <v>4999</v>
      </c>
      <c r="M10153" s="4" t="s">
        <v>4998</v>
      </c>
      <c r="N10153" s="4" t="s">
        <v>4998</v>
      </c>
    </row>
    <row r="10154">
      <c r="A10154" s="4">
        <v>111.0</v>
      </c>
      <c r="B10154" s="4" t="s">
        <v>20303</v>
      </c>
      <c r="C10154" s="4" t="s">
        <v>20304</v>
      </c>
      <c r="D10154" s="4" t="s">
        <v>745</v>
      </c>
      <c r="E10154" s="4" t="s">
        <v>746</v>
      </c>
      <c r="F10154" s="4" t="s">
        <v>747</v>
      </c>
      <c r="G10154" s="4"/>
      <c r="H10154" s="4" t="s">
        <v>751</v>
      </c>
      <c r="I10154" s="4" t="s">
        <v>752</v>
      </c>
    </row>
    <row r="10155">
      <c r="A10155" s="4">
        <v>112.0</v>
      </c>
      <c r="B10155" s="4" t="s">
        <v>20303</v>
      </c>
      <c r="C10155" s="4" t="s">
        <v>20304</v>
      </c>
      <c r="D10155" s="4" t="s">
        <v>755</v>
      </c>
      <c r="E10155" s="4" t="s">
        <v>756</v>
      </c>
      <c r="F10155" s="4" t="s">
        <v>755</v>
      </c>
    </row>
    <row r="10156">
      <c r="A10156" s="4">
        <v>113.0</v>
      </c>
      <c r="B10156" s="4" t="s">
        <v>20303</v>
      </c>
      <c r="C10156" s="4" t="s">
        <v>20304</v>
      </c>
      <c r="D10156" s="4" t="s">
        <v>20556</v>
      </c>
      <c r="E10156" s="4" t="s">
        <v>20557</v>
      </c>
      <c r="F10156" s="4" t="s">
        <v>20556</v>
      </c>
    </row>
    <row r="10157">
      <c r="A10157" s="4">
        <v>114.0</v>
      </c>
      <c r="B10157" s="4" t="s">
        <v>20303</v>
      </c>
      <c r="C10157" s="4" t="s">
        <v>20304</v>
      </c>
      <c r="D10157" s="4" t="s">
        <v>20558</v>
      </c>
      <c r="E10157" s="4" t="s">
        <v>20559</v>
      </c>
      <c r="F10157" s="4" t="s">
        <v>20558</v>
      </c>
      <c r="G10157" s="4"/>
      <c r="H10157" s="4" t="s">
        <v>20560</v>
      </c>
      <c r="I10157" s="4" t="s">
        <v>20561</v>
      </c>
      <c r="J10157" s="4" t="s">
        <v>20562</v>
      </c>
    </row>
    <row r="10158">
      <c r="A10158" s="4">
        <v>115.0</v>
      </c>
      <c r="B10158" s="4" t="s">
        <v>20303</v>
      </c>
      <c r="C10158" s="4" t="s">
        <v>20304</v>
      </c>
      <c r="D10158" s="4" t="s">
        <v>20563</v>
      </c>
      <c r="E10158" s="4" t="s">
        <v>20564</v>
      </c>
      <c r="F10158" s="4" t="s">
        <v>20563</v>
      </c>
    </row>
    <row r="10159">
      <c r="A10159" s="4">
        <v>116.0</v>
      </c>
      <c r="B10159" s="4" t="s">
        <v>20303</v>
      </c>
      <c r="C10159" s="4" t="s">
        <v>20304</v>
      </c>
      <c r="D10159" s="4" t="s">
        <v>20565</v>
      </c>
      <c r="E10159" s="4" t="s">
        <v>20566</v>
      </c>
      <c r="F10159" s="4" t="s">
        <v>20565</v>
      </c>
    </row>
    <row r="10160">
      <c r="A10160" s="4">
        <v>117.0</v>
      </c>
      <c r="B10160" s="4" t="s">
        <v>20303</v>
      </c>
      <c r="C10160" s="4" t="s">
        <v>20304</v>
      </c>
      <c r="D10160" s="4" t="s">
        <v>20567</v>
      </c>
      <c r="E10160" s="4" t="s">
        <v>20568</v>
      </c>
      <c r="F10160" s="4" t="s">
        <v>20567</v>
      </c>
    </row>
    <row r="10161">
      <c r="A10161" s="4">
        <v>118.0</v>
      </c>
      <c r="B10161" s="4" t="s">
        <v>20303</v>
      </c>
      <c r="C10161" s="4" t="s">
        <v>20304</v>
      </c>
      <c r="D10161" s="4" t="s">
        <v>20569</v>
      </c>
      <c r="E10161" s="4" t="s">
        <v>20566</v>
      </c>
      <c r="F10161" s="4" t="s">
        <v>20565</v>
      </c>
    </row>
    <row r="10162">
      <c r="A10162" s="4">
        <v>119.0</v>
      </c>
      <c r="B10162" s="4" t="s">
        <v>20303</v>
      </c>
      <c r="C10162" s="4" t="s">
        <v>20304</v>
      </c>
      <c r="D10162" s="4" t="s">
        <v>20570</v>
      </c>
      <c r="E10162" s="4" t="s">
        <v>20568</v>
      </c>
      <c r="F10162" s="4" t="s">
        <v>20567</v>
      </c>
    </row>
    <row r="10163">
      <c r="A10163" s="4">
        <v>120.0</v>
      </c>
      <c r="B10163" s="4" t="s">
        <v>20303</v>
      </c>
      <c r="C10163" s="4" t="s">
        <v>20304</v>
      </c>
      <c r="D10163" s="4" t="s">
        <v>20571</v>
      </c>
      <c r="E10163" s="4" t="s">
        <v>20572</v>
      </c>
      <c r="F10163" s="4" t="s">
        <v>20571</v>
      </c>
    </row>
    <row r="10164">
      <c r="A10164" s="4">
        <v>121.0</v>
      </c>
      <c r="B10164" s="4" t="s">
        <v>20303</v>
      </c>
      <c r="C10164" s="4" t="s">
        <v>20304</v>
      </c>
      <c r="D10164" s="4" t="s">
        <v>20573</v>
      </c>
      <c r="E10164" s="4" t="s">
        <v>20574</v>
      </c>
      <c r="F10164" s="4" t="s">
        <v>20573</v>
      </c>
    </row>
    <row r="10165">
      <c r="A10165" s="4">
        <v>122.0</v>
      </c>
      <c r="B10165" s="4" t="s">
        <v>20303</v>
      </c>
      <c r="C10165" s="4" t="s">
        <v>20304</v>
      </c>
      <c r="D10165" s="4" t="s">
        <v>14082</v>
      </c>
      <c r="E10165" s="4" t="s">
        <v>14083</v>
      </c>
      <c r="F10165" s="4" t="s">
        <v>14082</v>
      </c>
    </row>
    <row r="10166">
      <c r="A10166" s="4">
        <v>123.0</v>
      </c>
      <c r="B10166" s="4" t="s">
        <v>20303</v>
      </c>
      <c r="C10166" s="4" t="s">
        <v>20304</v>
      </c>
      <c r="D10166" s="4" t="s">
        <v>20575</v>
      </c>
      <c r="E10166" s="4" t="s">
        <v>20576</v>
      </c>
      <c r="F10166" s="4" t="s">
        <v>20577</v>
      </c>
    </row>
    <row r="10167">
      <c r="A10167" s="4">
        <v>124.0</v>
      </c>
      <c r="B10167" s="4" t="s">
        <v>20303</v>
      </c>
      <c r="C10167" s="4" t="s">
        <v>20304</v>
      </c>
      <c r="D10167" s="4" t="s">
        <v>20578</v>
      </c>
      <c r="E10167" s="4" t="s">
        <v>20579</v>
      </c>
      <c r="F10167" s="4" t="s">
        <v>20578</v>
      </c>
    </row>
    <row r="10168">
      <c r="A10168" s="4">
        <v>125.0</v>
      </c>
      <c r="B10168" s="4" t="s">
        <v>20303</v>
      </c>
      <c r="C10168" s="4" t="s">
        <v>20304</v>
      </c>
      <c r="D10168" s="4" t="s">
        <v>774</v>
      </c>
      <c r="E10168" s="4" t="s">
        <v>773</v>
      </c>
      <c r="F10168" s="4" t="s">
        <v>774</v>
      </c>
      <c r="G10168" s="4"/>
      <c r="H10168" s="4" t="s">
        <v>781</v>
      </c>
      <c r="I10168" s="4" t="s">
        <v>782</v>
      </c>
    </row>
    <row r="10169">
      <c r="A10169" s="4">
        <v>126.0</v>
      </c>
      <c r="B10169" s="4" t="s">
        <v>20303</v>
      </c>
      <c r="C10169" s="4" t="s">
        <v>20304</v>
      </c>
      <c r="D10169" s="4" t="s">
        <v>784</v>
      </c>
      <c r="E10169" s="4" t="s">
        <v>474</v>
      </c>
      <c r="F10169" s="4" t="s">
        <v>475</v>
      </c>
    </row>
    <row r="10170">
      <c r="A10170" s="4">
        <v>127.0</v>
      </c>
      <c r="B10170" s="4" t="s">
        <v>20303</v>
      </c>
      <c r="C10170" s="4" t="s">
        <v>20304</v>
      </c>
      <c r="D10170" s="4" t="s">
        <v>791</v>
      </c>
      <c r="E10170" s="4" t="s">
        <v>792</v>
      </c>
      <c r="F10170" s="4" t="s">
        <v>791</v>
      </c>
    </row>
    <row r="10171">
      <c r="A10171" s="4">
        <v>128.0</v>
      </c>
      <c r="B10171" s="4" t="s">
        <v>20303</v>
      </c>
      <c r="C10171" s="4" t="s">
        <v>20304</v>
      </c>
      <c r="D10171" s="4" t="s">
        <v>793</v>
      </c>
      <c r="E10171" s="4" t="s">
        <v>794</v>
      </c>
      <c r="F10171" s="4" t="s">
        <v>793</v>
      </c>
      <c r="G10171" s="4"/>
      <c r="H10171" s="4" t="s">
        <v>15159</v>
      </c>
      <c r="I10171" s="4" t="s">
        <v>795</v>
      </c>
      <c r="J10171" s="4" t="s">
        <v>796</v>
      </c>
    </row>
    <row r="10172">
      <c r="A10172" s="4">
        <v>129.0</v>
      </c>
      <c r="B10172" s="4" t="s">
        <v>20303</v>
      </c>
      <c r="C10172" s="4" t="s">
        <v>20304</v>
      </c>
      <c r="D10172" s="4" t="s">
        <v>20580</v>
      </c>
      <c r="E10172" s="4" t="s">
        <v>20581</v>
      </c>
      <c r="F10172" s="4" t="s">
        <v>20580</v>
      </c>
    </row>
    <row r="10173">
      <c r="A10173" s="4">
        <v>130.0</v>
      </c>
      <c r="B10173" s="4" t="s">
        <v>20303</v>
      </c>
      <c r="C10173" s="4" t="s">
        <v>20304</v>
      </c>
      <c r="D10173" s="4" t="s">
        <v>20582</v>
      </c>
      <c r="E10173" s="4" t="s">
        <v>20583</v>
      </c>
      <c r="F10173" s="4" t="s">
        <v>20582</v>
      </c>
    </row>
    <row r="10174">
      <c r="A10174" s="4">
        <v>131.0</v>
      </c>
      <c r="B10174" s="4" t="s">
        <v>20303</v>
      </c>
      <c r="C10174" s="4" t="s">
        <v>20304</v>
      </c>
      <c r="D10174" s="4" t="s">
        <v>20584</v>
      </c>
      <c r="E10174" s="4" t="s">
        <v>20581</v>
      </c>
      <c r="F10174" s="4" t="s">
        <v>20580</v>
      </c>
    </row>
    <row r="10175">
      <c r="A10175" s="4">
        <v>132.0</v>
      </c>
      <c r="B10175" s="4" t="s">
        <v>20303</v>
      </c>
      <c r="C10175" s="4" t="s">
        <v>20304</v>
      </c>
      <c r="D10175" s="4" t="s">
        <v>20585</v>
      </c>
      <c r="E10175" s="4" t="s">
        <v>20583</v>
      </c>
      <c r="F10175" s="4" t="s">
        <v>20582</v>
      </c>
    </row>
    <row r="10176">
      <c r="A10176" s="4">
        <v>133.0</v>
      </c>
      <c r="B10176" s="4" t="s">
        <v>20303</v>
      </c>
      <c r="C10176" s="4" t="s">
        <v>20304</v>
      </c>
      <c r="D10176" s="4" t="s">
        <v>20586</v>
      </c>
      <c r="E10176" s="4" t="s">
        <v>20587</v>
      </c>
      <c r="F10176" s="4" t="s">
        <v>20586</v>
      </c>
    </row>
    <row r="10177">
      <c r="A10177" s="4">
        <v>134.0</v>
      </c>
      <c r="B10177" s="4" t="s">
        <v>20303</v>
      </c>
      <c r="C10177" s="4" t="s">
        <v>20304</v>
      </c>
      <c r="D10177" s="4" t="s">
        <v>787</v>
      </c>
      <c r="E10177" s="4" t="s">
        <v>786</v>
      </c>
      <c r="F10177" s="4" t="s">
        <v>787</v>
      </c>
      <c r="G10177" s="4"/>
      <c r="H10177" s="4" t="s">
        <v>789</v>
      </c>
      <c r="I10177" s="4" t="s">
        <v>3488</v>
      </c>
      <c r="J10177" s="4" t="s">
        <v>788</v>
      </c>
      <c r="K10177" s="4" t="s">
        <v>3489</v>
      </c>
      <c r="L10177" s="4" t="s">
        <v>3490</v>
      </c>
      <c r="M10177" s="4" t="s">
        <v>788</v>
      </c>
      <c r="N10177" s="4" t="s">
        <v>789</v>
      </c>
      <c r="O10177" s="4" t="s">
        <v>3727</v>
      </c>
    </row>
    <row r="10178">
      <c r="A10178" s="4">
        <v>135.0</v>
      </c>
      <c r="B10178" s="4" t="s">
        <v>20303</v>
      </c>
      <c r="C10178" s="4" t="s">
        <v>20304</v>
      </c>
      <c r="D10178" s="4" t="s">
        <v>20588</v>
      </c>
      <c r="E10178" s="4" t="s">
        <v>20589</v>
      </c>
      <c r="F10178" s="4" t="s">
        <v>20590</v>
      </c>
    </row>
    <row r="10179">
      <c r="A10179" s="4">
        <v>136.0</v>
      </c>
      <c r="B10179" s="4" t="s">
        <v>20303</v>
      </c>
      <c r="C10179" s="4" t="s">
        <v>20304</v>
      </c>
      <c r="D10179" s="4" t="s">
        <v>814</v>
      </c>
      <c r="E10179" s="4" t="s">
        <v>815</v>
      </c>
      <c r="F10179" s="4" t="s">
        <v>816</v>
      </c>
    </row>
    <row r="10180">
      <c r="A10180" s="4">
        <v>137.0</v>
      </c>
      <c r="B10180" s="4" t="s">
        <v>20303</v>
      </c>
      <c r="C10180" s="4" t="s">
        <v>20304</v>
      </c>
      <c r="D10180" s="4" t="s">
        <v>817</v>
      </c>
      <c r="E10180" s="4" t="s">
        <v>818</v>
      </c>
      <c r="F10180" s="4" t="s">
        <v>817</v>
      </c>
      <c r="G10180" s="4"/>
      <c r="H10180" s="4" t="s">
        <v>20591</v>
      </c>
      <c r="I10180" s="4" t="s">
        <v>20592</v>
      </c>
      <c r="J10180" s="4" t="s">
        <v>20591</v>
      </c>
    </row>
    <row r="10181">
      <c r="A10181" s="4">
        <v>138.0</v>
      </c>
      <c r="B10181" s="4" t="s">
        <v>20303</v>
      </c>
      <c r="C10181" s="4" t="s">
        <v>20304</v>
      </c>
      <c r="D10181" s="4" t="s">
        <v>20593</v>
      </c>
      <c r="E10181" s="4" t="s">
        <v>20594</v>
      </c>
      <c r="F10181" s="4" t="s">
        <v>20593</v>
      </c>
    </row>
    <row r="10182">
      <c r="A10182" s="4">
        <v>139.0</v>
      </c>
      <c r="B10182" s="4" t="s">
        <v>20303</v>
      </c>
      <c r="C10182" s="4" t="s">
        <v>20304</v>
      </c>
      <c r="D10182" s="4" t="s">
        <v>20595</v>
      </c>
      <c r="E10182" s="4" t="s">
        <v>20596</v>
      </c>
      <c r="F10182" s="4" t="s">
        <v>20595</v>
      </c>
    </row>
    <row r="10183">
      <c r="A10183" s="4">
        <v>140.0</v>
      </c>
      <c r="B10183" s="4" t="s">
        <v>20303</v>
      </c>
      <c r="C10183" s="4" t="s">
        <v>20304</v>
      </c>
      <c r="D10183" s="4" t="s">
        <v>20597</v>
      </c>
      <c r="E10183" s="4" t="s">
        <v>20598</v>
      </c>
      <c r="F10183" s="4" t="s">
        <v>20599</v>
      </c>
    </row>
    <row r="10184">
      <c r="A10184" s="4">
        <v>141.0</v>
      </c>
      <c r="B10184" s="4" t="s">
        <v>20303</v>
      </c>
      <c r="C10184" s="4" t="s">
        <v>20304</v>
      </c>
      <c r="D10184" s="4" t="s">
        <v>824</v>
      </c>
      <c r="E10184" s="4" t="s">
        <v>823</v>
      </c>
      <c r="F10184" s="4" t="s">
        <v>824</v>
      </c>
      <c r="G10184" s="4"/>
      <c r="H10184" s="4" t="s">
        <v>825</v>
      </c>
    </row>
    <row r="10185">
      <c r="A10185" s="4">
        <v>142.0</v>
      </c>
      <c r="B10185" s="4" t="s">
        <v>20303</v>
      </c>
      <c r="C10185" s="4" t="s">
        <v>20304</v>
      </c>
      <c r="D10185" s="4" t="s">
        <v>20600</v>
      </c>
      <c r="E10185" s="4" t="s">
        <v>20601</v>
      </c>
      <c r="F10185" s="4" t="s">
        <v>20600</v>
      </c>
      <c r="G10185" s="4"/>
      <c r="H10185" s="4" t="s">
        <v>20602</v>
      </c>
      <c r="I10185" s="4" t="s">
        <v>12577</v>
      </c>
      <c r="J10185" s="4" t="s">
        <v>20603</v>
      </c>
      <c r="K10185" s="4" t="s">
        <v>19611</v>
      </c>
      <c r="L10185" s="4" t="s">
        <v>20604</v>
      </c>
      <c r="M10185" s="4" t="s">
        <v>6284</v>
      </c>
    </row>
    <row r="10186">
      <c r="A10186" s="4">
        <v>143.0</v>
      </c>
      <c r="B10186" s="4" t="s">
        <v>20303</v>
      </c>
      <c r="C10186" s="4" t="s">
        <v>20304</v>
      </c>
      <c r="D10186" s="4" t="s">
        <v>20605</v>
      </c>
      <c r="E10186" s="4" t="s">
        <v>20606</v>
      </c>
      <c r="F10186" s="4" t="s">
        <v>20605</v>
      </c>
    </row>
    <row r="10187">
      <c r="A10187" s="4">
        <v>144.0</v>
      </c>
      <c r="B10187" s="4" t="s">
        <v>20303</v>
      </c>
      <c r="C10187" s="4" t="s">
        <v>20304</v>
      </c>
      <c r="D10187" s="4" t="s">
        <v>20607</v>
      </c>
      <c r="E10187" s="4" t="s">
        <v>20608</v>
      </c>
      <c r="F10187" s="4" t="s">
        <v>20609</v>
      </c>
    </row>
    <row r="10188">
      <c r="A10188" s="4">
        <v>145.0</v>
      </c>
      <c r="B10188" s="4" t="s">
        <v>20303</v>
      </c>
      <c r="C10188" s="4" t="s">
        <v>20304</v>
      </c>
      <c r="D10188" s="4" t="s">
        <v>20610</v>
      </c>
      <c r="E10188" s="4" t="s">
        <v>20611</v>
      </c>
      <c r="F10188" s="4" t="s">
        <v>20610</v>
      </c>
    </row>
    <row r="10189">
      <c r="A10189" s="4">
        <v>146.0</v>
      </c>
      <c r="B10189" s="4" t="s">
        <v>20303</v>
      </c>
      <c r="C10189" s="4" t="s">
        <v>20304</v>
      </c>
      <c r="D10189" s="4" t="s">
        <v>20612</v>
      </c>
      <c r="E10189" s="4" t="s">
        <v>20613</v>
      </c>
      <c r="F10189" s="4" t="s">
        <v>20614</v>
      </c>
    </row>
    <row r="10190">
      <c r="A10190" s="4">
        <v>147.0</v>
      </c>
      <c r="B10190" s="4" t="s">
        <v>20303</v>
      </c>
      <c r="C10190" s="4" t="s">
        <v>20304</v>
      </c>
      <c r="D10190" s="4" t="s">
        <v>295</v>
      </c>
      <c r="E10190" s="4" t="s">
        <v>294</v>
      </c>
      <c r="F10190" s="4" t="s">
        <v>295</v>
      </c>
      <c r="G10190" s="4"/>
      <c r="H10190" s="4" t="s">
        <v>833</v>
      </c>
      <c r="I10190" s="4" t="s">
        <v>833</v>
      </c>
      <c r="J10190" s="4" t="s">
        <v>834</v>
      </c>
      <c r="K10190" s="4" t="s">
        <v>605</v>
      </c>
      <c r="L10190" s="4" t="s">
        <v>835</v>
      </c>
      <c r="M10190" s="4" t="s">
        <v>836</v>
      </c>
      <c r="N10190" s="4" t="s">
        <v>837</v>
      </c>
      <c r="O10190" s="4" t="s">
        <v>838</v>
      </c>
      <c r="P10190" s="4" t="s">
        <v>839</v>
      </c>
      <c r="Q10190" s="4" t="s">
        <v>840</v>
      </c>
      <c r="R10190" s="4" t="s">
        <v>841</v>
      </c>
      <c r="S10190" s="4" t="s">
        <v>842</v>
      </c>
      <c r="T10190" s="4" t="s">
        <v>843</v>
      </c>
      <c r="U10190" s="4" t="s">
        <v>844</v>
      </c>
      <c r="V10190" s="4" t="s">
        <v>845</v>
      </c>
      <c r="W10190" s="4" t="s">
        <v>846</v>
      </c>
    </row>
    <row r="10191">
      <c r="A10191" s="4">
        <v>148.0</v>
      </c>
      <c r="B10191" s="4" t="s">
        <v>20303</v>
      </c>
      <c r="C10191" s="4" t="s">
        <v>20304</v>
      </c>
      <c r="D10191" s="4" t="s">
        <v>14086</v>
      </c>
      <c r="E10191" s="4" t="s">
        <v>14087</v>
      </c>
      <c r="F10191" s="4" t="s">
        <v>14086</v>
      </c>
      <c r="G10191" s="4"/>
      <c r="H10191" s="4" t="s">
        <v>2426</v>
      </c>
      <c r="I10191" s="4" t="s">
        <v>11321</v>
      </c>
      <c r="J10191" s="4" t="s">
        <v>14088</v>
      </c>
      <c r="K10191" s="4" t="s">
        <v>313</v>
      </c>
    </row>
    <row r="10192">
      <c r="A10192" s="4">
        <v>149.0</v>
      </c>
      <c r="B10192" s="4" t="s">
        <v>20303</v>
      </c>
      <c r="C10192" s="4" t="s">
        <v>20304</v>
      </c>
      <c r="D10192" s="4" t="s">
        <v>9342</v>
      </c>
      <c r="E10192" s="4" t="s">
        <v>15648</v>
      </c>
      <c r="F10192" s="4" t="s">
        <v>9342</v>
      </c>
      <c r="G10192" s="4"/>
      <c r="H10192" s="4" t="s">
        <v>9342</v>
      </c>
    </row>
    <row r="10193">
      <c r="A10193" s="4">
        <v>150.0</v>
      </c>
      <c r="B10193" s="4" t="s">
        <v>20303</v>
      </c>
      <c r="C10193" s="4" t="s">
        <v>20304</v>
      </c>
      <c r="D10193" s="4" t="s">
        <v>14089</v>
      </c>
      <c r="E10193" s="4" t="s">
        <v>14090</v>
      </c>
      <c r="F10193" s="4" t="s">
        <v>14089</v>
      </c>
    </row>
    <row r="10194">
      <c r="A10194" s="4">
        <v>151.0</v>
      </c>
      <c r="B10194" s="4" t="s">
        <v>20303</v>
      </c>
      <c r="C10194" s="4" t="s">
        <v>20304</v>
      </c>
      <c r="D10194" s="4" t="s">
        <v>20615</v>
      </c>
      <c r="E10194" s="4" t="s">
        <v>20616</v>
      </c>
      <c r="F10194" s="4" t="s">
        <v>20615</v>
      </c>
    </row>
    <row r="10195">
      <c r="A10195" s="4">
        <v>152.0</v>
      </c>
      <c r="B10195" s="4" t="s">
        <v>20303</v>
      </c>
      <c r="C10195" s="4" t="s">
        <v>20304</v>
      </c>
      <c r="D10195" s="4" t="s">
        <v>20617</v>
      </c>
      <c r="E10195" s="4" t="s">
        <v>20618</v>
      </c>
      <c r="F10195" s="4" t="s">
        <v>20617</v>
      </c>
    </row>
    <row r="10196">
      <c r="A10196" s="4">
        <v>153.0</v>
      </c>
      <c r="B10196" s="4" t="s">
        <v>20303</v>
      </c>
      <c r="C10196" s="4" t="s">
        <v>20304</v>
      </c>
      <c r="D10196" s="4" t="s">
        <v>20619</v>
      </c>
      <c r="E10196" s="4" t="s">
        <v>20616</v>
      </c>
      <c r="F10196" s="4" t="s">
        <v>20615</v>
      </c>
    </row>
    <row r="10197">
      <c r="A10197" s="4">
        <v>154.0</v>
      </c>
      <c r="B10197" s="4" t="s">
        <v>20303</v>
      </c>
      <c r="C10197" s="4" t="s">
        <v>20304</v>
      </c>
      <c r="D10197" s="4" t="s">
        <v>20620</v>
      </c>
      <c r="E10197" s="4" t="s">
        <v>20618</v>
      </c>
      <c r="F10197" s="4" t="s">
        <v>20617</v>
      </c>
    </row>
    <row r="10198">
      <c r="A10198" s="4">
        <v>155.0</v>
      </c>
      <c r="B10198" s="4" t="s">
        <v>20303</v>
      </c>
      <c r="C10198" s="4" t="s">
        <v>20304</v>
      </c>
      <c r="D10198" s="4" t="s">
        <v>15649</v>
      </c>
      <c r="E10198" s="4" t="s">
        <v>15650</v>
      </c>
      <c r="F10198" s="4" t="s">
        <v>15649</v>
      </c>
    </row>
    <row r="10199">
      <c r="A10199" s="4">
        <v>156.0</v>
      </c>
      <c r="B10199" s="4" t="s">
        <v>20303</v>
      </c>
      <c r="C10199" s="4" t="s">
        <v>20304</v>
      </c>
      <c r="D10199" s="4" t="s">
        <v>20621</v>
      </c>
      <c r="E10199" s="4" t="s">
        <v>20622</v>
      </c>
      <c r="F10199" s="4" t="s">
        <v>20621</v>
      </c>
      <c r="G10199" s="4"/>
      <c r="H10199" s="4" t="s">
        <v>486</v>
      </c>
    </row>
    <row r="10200">
      <c r="A10200" s="4">
        <v>157.0</v>
      </c>
      <c r="B10200" s="4" t="s">
        <v>20303</v>
      </c>
      <c r="C10200" s="4" t="s">
        <v>20304</v>
      </c>
      <c r="D10200" s="4" t="s">
        <v>875</v>
      </c>
      <c r="E10200" s="4" t="s">
        <v>874</v>
      </c>
      <c r="F10200" s="4" t="s">
        <v>875</v>
      </c>
      <c r="G10200" s="4"/>
      <c r="H10200" s="4" t="s">
        <v>876</v>
      </c>
      <c r="I10200" s="4" t="s">
        <v>877</v>
      </c>
      <c r="J10200" s="4" t="s">
        <v>877</v>
      </c>
      <c r="K10200" s="4" t="s">
        <v>878</v>
      </c>
      <c r="L10200" s="4" t="s">
        <v>876</v>
      </c>
      <c r="M10200" s="4" t="s">
        <v>879</v>
      </c>
      <c r="N10200" s="4" t="s">
        <v>486</v>
      </c>
      <c r="O10200" s="4" t="s">
        <v>878</v>
      </c>
    </row>
    <row r="10201">
      <c r="A10201" s="4">
        <v>158.0</v>
      </c>
      <c r="B10201" s="4" t="s">
        <v>20303</v>
      </c>
      <c r="C10201" s="4" t="s">
        <v>20304</v>
      </c>
      <c r="D10201" s="4" t="s">
        <v>20623</v>
      </c>
      <c r="E10201" s="4" t="s">
        <v>20624</v>
      </c>
      <c r="F10201" s="4" t="s">
        <v>20623</v>
      </c>
    </row>
    <row r="10202">
      <c r="A10202" s="4">
        <v>159.0</v>
      </c>
      <c r="B10202" s="4" t="s">
        <v>20303</v>
      </c>
      <c r="C10202" s="4" t="s">
        <v>20304</v>
      </c>
      <c r="D10202" s="4" t="s">
        <v>20625</v>
      </c>
      <c r="E10202" s="4" t="s">
        <v>20626</v>
      </c>
      <c r="F10202" s="4" t="s">
        <v>20625</v>
      </c>
    </row>
    <row r="10203">
      <c r="A10203" s="4">
        <v>160.0</v>
      </c>
      <c r="B10203" s="4" t="s">
        <v>20303</v>
      </c>
      <c r="C10203" s="4" t="s">
        <v>20304</v>
      </c>
      <c r="D10203" s="4" t="s">
        <v>20627</v>
      </c>
      <c r="E10203" s="4" t="s">
        <v>20628</v>
      </c>
      <c r="F10203" s="4" t="s">
        <v>20627</v>
      </c>
      <c r="G10203" s="4"/>
      <c r="H10203" s="4" t="s">
        <v>20629</v>
      </c>
      <c r="I10203" s="4" t="s">
        <v>20630</v>
      </c>
      <c r="J10203" s="4" t="s">
        <v>20631</v>
      </c>
      <c r="K10203" s="4" t="s">
        <v>11322</v>
      </c>
      <c r="L10203" s="4" t="s">
        <v>20632</v>
      </c>
      <c r="M10203" s="4" t="s">
        <v>20633</v>
      </c>
      <c r="N10203" s="4" t="s">
        <v>20633</v>
      </c>
      <c r="O10203" s="4" t="s">
        <v>11321</v>
      </c>
      <c r="P10203" s="4" t="s">
        <v>15189</v>
      </c>
      <c r="Q10203" s="4" t="s">
        <v>5742</v>
      </c>
      <c r="R10203" s="4" t="s">
        <v>11321</v>
      </c>
    </row>
    <row r="10204">
      <c r="A10204" s="4">
        <v>161.0</v>
      </c>
      <c r="B10204" s="4" t="s">
        <v>20303</v>
      </c>
      <c r="C10204" s="4" t="s">
        <v>20304</v>
      </c>
      <c r="D10204" s="4" t="s">
        <v>9347</v>
      </c>
      <c r="E10204" s="4" t="s">
        <v>15678</v>
      </c>
      <c r="F10204" s="4" t="s">
        <v>9347</v>
      </c>
    </row>
    <row r="10205">
      <c r="A10205" s="4">
        <v>162.0</v>
      </c>
      <c r="B10205" s="4" t="s">
        <v>20303</v>
      </c>
      <c r="C10205" s="4" t="s">
        <v>20304</v>
      </c>
      <c r="D10205" s="4" t="s">
        <v>882</v>
      </c>
      <c r="E10205" s="4" t="s">
        <v>881</v>
      </c>
      <c r="F10205" s="4" t="s">
        <v>882</v>
      </c>
      <c r="G10205" s="4"/>
      <c r="H10205" s="4" t="s">
        <v>883</v>
      </c>
      <c r="I10205" s="4" t="s">
        <v>884</v>
      </c>
      <c r="J10205" s="4" t="s">
        <v>885</v>
      </c>
      <c r="K10205" s="4" t="s">
        <v>886</v>
      </c>
      <c r="L10205" s="4" t="s">
        <v>887</v>
      </c>
      <c r="M10205" s="4" t="s">
        <v>878</v>
      </c>
      <c r="N10205" s="4" t="s">
        <v>888</v>
      </c>
      <c r="O10205" s="4" t="s">
        <v>15684</v>
      </c>
      <c r="P10205" s="4" t="s">
        <v>888</v>
      </c>
      <c r="Q10205" s="4" t="s">
        <v>7917</v>
      </c>
      <c r="R10205" s="4" t="s">
        <v>883</v>
      </c>
      <c r="S10205" s="4" t="s">
        <v>883</v>
      </c>
      <c r="T10205" s="4" t="s">
        <v>885</v>
      </c>
      <c r="U10205" s="4" t="s">
        <v>886</v>
      </c>
      <c r="V10205" s="4" t="s">
        <v>888</v>
      </c>
      <c r="W10205" s="4" t="s">
        <v>3086</v>
      </c>
      <c r="X10205" s="4" t="s">
        <v>887</v>
      </c>
      <c r="Y10205" s="4" t="s">
        <v>3082</v>
      </c>
    </row>
    <row r="10206">
      <c r="A10206" s="4">
        <v>163.0</v>
      </c>
      <c r="B10206" s="4" t="s">
        <v>20303</v>
      </c>
      <c r="C10206" s="4" t="s">
        <v>20304</v>
      </c>
      <c r="D10206" s="4" t="s">
        <v>20634</v>
      </c>
      <c r="E10206" s="4" t="s">
        <v>14087</v>
      </c>
      <c r="F10206" s="4" t="s">
        <v>14086</v>
      </c>
    </row>
    <row r="10207">
      <c r="A10207" s="4">
        <v>164.0</v>
      </c>
      <c r="B10207" s="4" t="s">
        <v>20303</v>
      </c>
      <c r="C10207" s="4" t="s">
        <v>20304</v>
      </c>
      <c r="D10207" s="4" t="s">
        <v>20635</v>
      </c>
      <c r="E10207" s="4" t="s">
        <v>501</v>
      </c>
      <c r="F10207" s="4" t="s">
        <v>502</v>
      </c>
    </row>
    <row r="10208">
      <c r="A10208" s="4">
        <v>165.0</v>
      </c>
      <c r="B10208" s="4" t="s">
        <v>20303</v>
      </c>
      <c r="C10208" s="4" t="s">
        <v>20304</v>
      </c>
      <c r="D10208" s="4" t="s">
        <v>20636</v>
      </c>
      <c r="E10208" s="4" t="s">
        <v>890</v>
      </c>
      <c r="F10208" s="4" t="s">
        <v>891</v>
      </c>
    </row>
    <row r="10209">
      <c r="A10209" s="4">
        <v>166.0</v>
      </c>
      <c r="B10209" s="4" t="s">
        <v>20303</v>
      </c>
      <c r="C10209" s="4" t="s">
        <v>20304</v>
      </c>
      <c r="D10209" s="4" t="s">
        <v>19539</v>
      </c>
      <c r="E10209" s="4" t="s">
        <v>19540</v>
      </c>
      <c r="F10209" s="4" t="s">
        <v>19539</v>
      </c>
    </row>
    <row r="10210">
      <c r="A10210" s="4">
        <v>167.0</v>
      </c>
      <c r="B10210" s="4" t="s">
        <v>20303</v>
      </c>
      <c r="C10210" s="4" t="s">
        <v>20304</v>
      </c>
      <c r="D10210" s="4" t="s">
        <v>20637</v>
      </c>
      <c r="E10210" s="4" t="s">
        <v>20638</v>
      </c>
      <c r="F10210" s="4" t="s">
        <v>20639</v>
      </c>
    </row>
    <row r="10211">
      <c r="A10211" s="4">
        <v>168.0</v>
      </c>
      <c r="B10211" s="4" t="s">
        <v>20303</v>
      </c>
      <c r="C10211" s="4" t="s">
        <v>20304</v>
      </c>
      <c r="D10211" s="4" t="s">
        <v>911</v>
      </c>
      <c r="E10211" s="4" t="s">
        <v>912</v>
      </c>
      <c r="F10211" s="4" t="s">
        <v>913</v>
      </c>
      <c r="G10211" s="4"/>
      <c r="H10211" s="4" t="s">
        <v>895</v>
      </c>
      <c r="I10211" s="4" t="s">
        <v>895</v>
      </c>
      <c r="J10211" s="4" t="s">
        <v>3618</v>
      </c>
      <c r="K10211" s="4" t="s">
        <v>914</v>
      </c>
      <c r="L10211" s="4" t="s">
        <v>19971</v>
      </c>
      <c r="M10211" s="4" t="s">
        <v>19972</v>
      </c>
      <c r="N10211" s="4" t="s">
        <v>915</v>
      </c>
      <c r="O10211" s="4" t="s">
        <v>895</v>
      </c>
      <c r="P10211" s="4" t="s">
        <v>19973</v>
      </c>
      <c r="Q10211" s="4" t="s">
        <v>895</v>
      </c>
      <c r="R10211" s="4" t="s">
        <v>914</v>
      </c>
      <c r="S10211" s="4" t="s">
        <v>914</v>
      </c>
      <c r="T10211" s="4" t="s">
        <v>915</v>
      </c>
      <c r="U10211" s="4" t="s">
        <v>916</v>
      </c>
      <c r="V10211" s="4" t="s">
        <v>895</v>
      </c>
    </row>
    <row r="10212">
      <c r="A10212" s="4">
        <v>169.0</v>
      </c>
      <c r="B10212" s="4" t="s">
        <v>20303</v>
      </c>
      <c r="C10212" s="4" t="s">
        <v>20304</v>
      </c>
      <c r="D10212" s="4" t="s">
        <v>20640</v>
      </c>
      <c r="E10212" s="4" t="s">
        <v>20641</v>
      </c>
      <c r="F10212" s="4" t="s">
        <v>913</v>
      </c>
      <c r="G10212" s="4"/>
      <c r="H10212" s="4" t="s">
        <v>20642</v>
      </c>
      <c r="I10212" s="4" t="s">
        <v>932</v>
      </c>
      <c r="J10212" s="4" t="s">
        <v>20643</v>
      </c>
      <c r="K10212" s="4" t="s">
        <v>20644</v>
      </c>
      <c r="L10212" s="4" t="s">
        <v>20645</v>
      </c>
      <c r="M10212" s="4" t="s">
        <v>20646</v>
      </c>
      <c r="N10212" s="4" t="s">
        <v>20647</v>
      </c>
      <c r="O10212" s="4" t="s">
        <v>20648</v>
      </c>
      <c r="P10212" s="4" t="s">
        <v>20649</v>
      </c>
      <c r="Q10212" s="4" t="s">
        <v>20650</v>
      </c>
      <c r="R10212" s="4" t="s">
        <v>20651</v>
      </c>
      <c r="S10212" s="4" t="s">
        <v>20652</v>
      </c>
      <c r="T10212" s="4" t="s">
        <v>20653</v>
      </c>
      <c r="U10212" s="4" t="s">
        <v>19933</v>
      </c>
      <c r="V10212" s="4" t="s">
        <v>20654</v>
      </c>
    </row>
    <row r="10213">
      <c r="A10213" s="4">
        <v>170.0</v>
      </c>
      <c r="B10213" s="4" t="s">
        <v>20303</v>
      </c>
      <c r="C10213" s="4" t="s">
        <v>20304</v>
      </c>
      <c r="D10213" s="4" t="s">
        <v>20655</v>
      </c>
      <c r="E10213" s="4" t="s">
        <v>20656</v>
      </c>
      <c r="F10213" s="4" t="s">
        <v>20657</v>
      </c>
    </row>
    <row r="10214">
      <c r="A10214" s="4">
        <v>171.0</v>
      </c>
      <c r="B10214" s="4" t="s">
        <v>20303</v>
      </c>
      <c r="C10214" s="4" t="s">
        <v>20304</v>
      </c>
      <c r="D10214" s="4" t="s">
        <v>14093</v>
      </c>
      <c r="E10214" s="4" t="s">
        <v>14094</v>
      </c>
      <c r="F10214" s="4" t="s">
        <v>14093</v>
      </c>
      <c r="G10214" s="4"/>
      <c r="H10214" s="4" t="s">
        <v>20658</v>
      </c>
      <c r="I10214" s="4" t="s">
        <v>20659</v>
      </c>
      <c r="J10214" s="4" t="s">
        <v>20660</v>
      </c>
      <c r="K10214" s="4" t="s">
        <v>3050</v>
      </c>
      <c r="L10214" s="4" t="s">
        <v>19642</v>
      </c>
      <c r="M10214" s="4" t="s">
        <v>20660</v>
      </c>
      <c r="N10214" s="4" t="s">
        <v>20661</v>
      </c>
      <c r="O10214" s="4" t="s">
        <v>19642</v>
      </c>
      <c r="P10214" s="4" t="s">
        <v>20662</v>
      </c>
      <c r="Q10214" s="4" t="s">
        <v>2145</v>
      </c>
      <c r="R10214" s="4" t="s">
        <v>19642</v>
      </c>
      <c r="S10214" s="4" t="s">
        <v>20659</v>
      </c>
      <c r="T10214" s="4" t="s">
        <v>19584</v>
      </c>
      <c r="U10214" s="4" t="s">
        <v>20663</v>
      </c>
      <c r="V10214" s="4" t="s">
        <v>9189</v>
      </c>
      <c r="W10214" s="4" t="s">
        <v>19642</v>
      </c>
      <c r="X10214" s="4" t="s">
        <v>3169</v>
      </c>
      <c r="Y10214" s="4" t="s">
        <v>20664</v>
      </c>
      <c r="Z10214" s="4" t="s">
        <v>3050</v>
      </c>
    </row>
    <row r="10215">
      <c r="A10215" s="4">
        <v>172.0</v>
      </c>
      <c r="B10215" s="4" t="s">
        <v>20303</v>
      </c>
      <c r="C10215" s="4" t="s">
        <v>20304</v>
      </c>
      <c r="D10215" s="4" t="s">
        <v>20665</v>
      </c>
      <c r="E10215" s="4" t="s">
        <v>20666</v>
      </c>
      <c r="F10215" s="4" t="s">
        <v>20665</v>
      </c>
    </row>
    <row r="10216">
      <c r="A10216" s="4">
        <v>173.0</v>
      </c>
      <c r="B10216" s="4" t="s">
        <v>20303</v>
      </c>
      <c r="C10216" s="4" t="s">
        <v>20304</v>
      </c>
      <c r="D10216" s="4" t="s">
        <v>20667</v>
      </c>
      <c r="E10216" s="4" t="s">
        <v>20668</v>
      </c>
      <c r="F10216" s="4" t="s">
        <v>20667</v>
      </c>
    </row>
    <row r="10217">
      <c r="A10217" s="4">
        <v>174.0</v>
      </c>
      <c r="B10217" s="4" t="s">
        <v>20303</v>
      </c>
      <c r="C10217" s="4" t="s">
        <v>20304</v>
      </c>
      <c r="D10217" s="4" t="s">
        <v>20669</v>
      </c>
      <c r="E10217" s="4" t="s">
        <v>20666</v>
      </c>
      <c r="F10217" s="4" t="s">
        <v>20665</v>
      </c>
    </row>
    <row r="10218">
      <c r="A10218" s="4">
        <v>175.0</v>
      </c>
      <c r="B10218" s="4" t="s">
        <v>20303</v>
      </c>
      <c r="C10218" s="4" t="s">
        <v>20304</v>
      </c>
      <c r="D10218" s="4" t="s">
        <v>20670</v>
      </c>
      <c r="E10218" s="4" t="s">
        <v>20668</v>
      </c>
      <c r="F10218" s="4" t="s">
        <v>20667</v>
      </c>
    </row>
    <row r="10219">
      <c r="A10219" s="4">
        <v>176.0</v>
      </c>
      <c r="B10219" s="4" t="s">
        <v>20303</v>
      </c>
      <c r="C10219" s="4" t="s">
        <v>20304</v>
      </c>
      <c r="D10219" s="4" t="s">
        <v>20671</v>
      </c>
      <c r="E10219" s="4" t="s">
        <v>20672</v>
      </c>
      <c r="F10219" s="4" t="s">
        <v>20671</v>
      </c>
    </row>
    <row r="10220">
      <c r="A10220" s="4">
        <v>177.0</v>
      </c>
      <c r="B10220" s="4" t="s">
        <v>20303</v>
      </c>
      <c r="C10220" s="4" t="s">
        <v>20304</v>
      </c>
      <c r="D10220" s="4" t="s">
        <v>20673</v>
      </c>
      <c r="E10220" s="4" t="s">
        <v>20674</v>
      </c>
      <c r="F10220" s="4" t="s">
        <v>20673</v>
      </c>
      <c r="G10220" s="4"/>
      <c r="H10220" s="4" t="s">
        <v>15341</v>
      </c>
      <c r="I10220" s="4" t="s">
        <v>20675</v>
      </c>
    </row>
    <row r="10221">
      <c r="A10221" s="4">
        <v>178.0</v>
      </c>
      <c r="B10221" s="4" t="s">
        <v>20303</v>
      </c>
      <c r="C10221" s="4" t="s">
        <v>20304</v>
      </c>
      <c r="D10221" s="4" t="s">
        <v>936</v>
      </c>
      <c r="E10221" s="4" t="s">
        <v>937</v>
      </c>
      <c r="F10221" s="4" t="s">
        <v>936</v>
      </c>
    </row>
    <row r="10222">
      <c r="A10222" s="4">
        <v>179.0</v>
      </c>
      <c r="B10222" s="4" t="s">
        <v>20303</v>
      </c>
      <c r="C10222" s="4" t="s">
        <v>20304</v>
      </c>
      <c r="D10222" s="4" t="s">
        <v>938</v>
      </c>
      <c r="E10222" s="4" t="s">
        <v>939</v>
      </c>
      <c r="F10222" s="4" t="s">
        <v>938</v>
      </c>
    </row>
    <row r="10223">
      <c r="A10223" s="4">
        <v>180.0</v>
      </c>
      <c r="B10223" s="4" t="s">
        <v>20303</v>
      </c>
      <c r="C10223" s="4" t="s">
        <v>20304</v>
      </c>
      <c r="D10223" s="4" t="s">
        <v>20676</v>
      </c>
      <c r="E10223" s="4" t="s">
        <v>20677</v>
      </c>
      <c r="F10223" s="4" t="s">
        <v>20676</v>
      </c>
      <c r="G10223" s="4"/>
      <c r="H10223" s="4" t="s">
        <v>9351</v>
      </c>
      <c r="I10223" s="4" t="s">
        <v>20678</v>
      </c>
      <c r="J10223" s="4" t="s">
        <v>7539</v>
      </c>
      <c r="K10223" s="4" t="s">
        <v>20679</v>
      </c>
      <c r="L10223" s="4" t="s">
        <v>20680</v>
      </c>
      <c r="M10223" s="4" t="s">
        <v>20681</v>
      </c>
      <c r="N10223" s="4" t="s">
        <v>20682</v>
      </c>
    </row>
    <row r="10224">
      <c r="A10224" s="4">
        <v>181.0</v>
      </c>
      <c r="B10224" s="4" t="s">
        <v>20303</v>
      </c>
      <c r="C10224" s="4" t="s">
        <v>20304</v>
      </c>
      <c r="D10224" s="4" t="s">
        <v>20683</v>
      </c>
      <c r="E10224" s="4" t="s">
        <v>19540</v>
      </c>
      <c r="F10224" s="4" t="s">
        <v>19539</v>
      </c>
    </row>
    <row r="10225">
      <c r="A10225" s="4">
        <v>182.0</v>
      </c>
      <c r="B10225" s="4" t="s">
        <v>20303</v>
      </c>
      <c r="C10225" s="4" t="s">
        <v>20304</v>
      </c>
      <c r="D10225" s="4" t="s">
        <v>20684</v>
      </c>
      <c r="E10225" s="4" t="s">
        <v>4781</v>
      </c>
      <c r="F10225" s="4" t="s">
        <v>4782</v>
      </c>
    </row>
    <row r="10226">
      <c r="A10226" s="4">
        <v>183.0</v>
      </c>
      <c r="B10226" s="4" t="s">
        <v>20303</v>
      </c>
      <c r="C10226" s="4" t="s">
        <v>20304</v>
      </c>
      <c r="D10226" s="4" t="s">
        <v>17441</v>
      </c>
      <c r="E10226" s="4" t="s">
        <v>17440</v>
      </c>
      <c r="F10226" s="4" t="s">
        <v>17441</v>
      </c>
    </row>
    <row r="10227">
      <c r="A10227" s="4">
        <v>184.0</v>
      </c>
      <c r="B10227" s="4" t="s">
        <v>20303</v>
      </c>
      <c r="C10227" s="4" t="s">
        <v>20304</v>
      </c>
      <c r="D10227" s="4" t="s">
        <v>20685</v>
      </c>
      <c r="E10227" s="4" t="s">
        <v>20686</v>
      </c>
      <c r="F10227" s="4" t="s">
        <v>20685</v>
      </c>
    </row>
    <row r="10228">
      <c r="A10228" s="4">
        <v>185.0</v>
      </c>
      <c r="B10228" s="4" t="s">
        <v>20303</v>
      </c>
      <c r="C10228" s="4" t="s">
        <v>20304</v>
      </c>
      <c r="D10228" s="4" t="s">
        <v>20687</v>
      </c>
      <c r="E10228" s="4" t="s">
        <v>20688</v>
      </c>
      <c r="F10228" s="4" t="s">
        <v>20687</v>
      </c>
    </row>
    <row r="10229">
      <c r="A10229" s="4">
        <v>186.0</v>
      </c>
      <c r="B10229" s="4" t="s">
        <v>20303</v>
      </c>
      <c r="C10229" s="4" t="s">
        <v>20304</v>
      </c>
      <c r="D10229" s="4" t="s">
        <v>960</v>
      </c>
      <c r="E10229" s="4" t="s">
        <v>961</v>
      </c>
      <c r="F10229" s="4" t="s">
        <v>962</v>
      </c>
    </row>
    <row r="10230">
      <c r="A10230" s="4">
        <v>187.0</v>
      </c>
      <c r="B10230" s="4" t="s">
        <v>20303</v>
      </c>
      <c r="C10230" s="4" t="s">
        <v>20304</v>
      </c>
      <c r="D10230" s="4" t="s">
        <v>20689</v>
      </c>
      <c r="E10230" s="4" t="s">
        <v>20690</v>
      </c>
      <c r="F10230" s="4" t="s">
        <v>9073</v>
      </c>
      <c r="G10230" s="4"/>
      <c r="H10230" s="4" t="s">
        <v>20691</v>
      </c>
      <c r="I10230" s="4" t="s">
        <v>1301</v>
      </c>
      <c r="J10230" s="4" t="s">
        <v>20692</v>
      </c>
      <c r="K10230" s="4" t="s">
        <v>20693</v>
      </c>
      <c r="L10230" s="4" t="s">
        <v>20694</v>
      </c>
      <c r="M10230" s="4" t="s">
        <v>20695</v>
      </c>
      <c r="N10230" s="4" t="s">
        <v>10333</v>
      </c>
      <c r="O10230" s="4" t="s">
        <v>11925</v>
      </c>
      <c r="P10230" s="4" t="s">
        <v>1337</v>
      </c>
      <c r="Q10230" s="4" t="s">
        <v>11924</v>
      </c>
      <c r="R10230" s="4" t="s">
        <v>20696</v>
      </c>
      <c r="S10230" s="4" t="s">
        <v>20697</v>
      </c>
      <c r="T10230" s="4" t="s">
        <v>20691</v>
      </c>
    </row>
    <row r="10231">
      <c r="A10231" s="4">
        <v>188.0</v>
      </c>
      <c r="B10231" s="4" t="s">
        <v>20303</v>
      </c>
      <c r="C10231" s="4" t="s">
        <v>20304</v>
      </c>
      <c r="D10231" s="4" t="s">
        <v>20698</v>
      </c>
      <c r="E10231" s="4" t="s">
        <v>20699</v>
      </c>
      <c r="F10231" s="4" t="s">
        <v>20700</v>
      </c>
    </row>
    <row r="10232">
      <c r="A10232" s="4">
        <v>189.0</v>
      </c>
      <c r="B10232" s="4" t="s">
        <v>20303</v>
      </c>
      <c r="C10232" s="4" t="s">
        <v>20304</v>
      </c>
      <c r="D10232" s="4" t="s">
        <v>20701</v>
      </c>
      <c r="E10232" s="4" t="s">
        <v>20702</v>
      </c>
      <c r="F10232" s="4" t="s">
        <v>20703</v>
      </c>
      <c r="G10232" s="4"/>
      <c r="H10232" s="4" t="s">
        <v>20704</v>
      </c>
    </row>
    <row r="10233">
      <c r="A10233" s="4">
        <v>190.0</v>
      </c>
      <c r="B10233" s="4" t="s">
        <v>20303</v>
      </c>
      <c r="C10233" s="4" t="s">
        <v>20304</v>
      </c>
      <c r="D10233" s="4" t="s">
        <v>976</v>
      </c>
      <c r="E10233" s="4" t="s">
        <v>977</v>
      </c>
      <c r="F10233" s="4" t="s">
        <v>978</v>
      </c>
      <c r="G10233" s="4"/>
      <c r="H10233" s="4" t="s">
        <v>20705</v>
      </c>
      <c r="I10233" s="4" t="s">
        <v>20706</v>
      </c>
    </row>
    <row r="10234">
      <c r="A10234" s="4">
        <v>191.0</v>
      </c>
      <c r="B10234" s="4" t="s">
        <v>20303</v>
      </c>
      <c r="C10234" s="4" t="s">
        <v>20304</v>
      </c>
      <c r="D10234" s="4" t="s">
        <v>20707</v>
      </c>
      <c r="E10234" s="4" t="s">
        <v>20708</v>
      </c>
      <c r="F10234" s="4" t="s">
        <v>20709</v>
      </c>
    </row>
    <row r="10235">
      <c r="A10235" s="4">
        <v>192.0</v>
      </c>
      <c r="B10235" s="4" t="s">
        <v>20303</v>
      </c>
      <c r="C10235" s="4" t="s">
        <v>20304</v>
      </c>
      <c r="D10235" s="4" t="s">
        <v>20710</v>
      </c>
      <c r="E10235" s="4" t="s">
        <v>20711</v>
      </c>
      <c r="F10235" s="4" t="s">
        <v>20712</v>
      </c>
    </row>
    <row r="10236">
      <c r="A10236" s="4">
        <v>193.0</v>
      </c>
      <c r="B10236" s="4" t="s">
        <v>20303</v>
      </c>
      <c r="C10236" s="4" t="s">
        <v>20304</v>
      </c>
      <c r="D10236" s="4" t="s">
        <v>984</v>
      </c>
      <c r="E10236" s="4" t="s">
        <v>985</v>
      </c>
      <c r="F10236" s="4" t="s">
        <v>986</v>
      </c>
    </row>
    <row r="10237">
      <c r="A10237" s="4">
        <v>194.0</v>
      </c>
      <c r="B10237" s="4" t="s">
        <v>20303</v>
      </c>
      <c r="C10237" s="4" t="s">
        <v>20304</v>
      </c>
      <c r="D10237" s="4" t="s">
        <v>990</v>
      </c>
      <c r="E10237" s="4" t="s">
        <v>991</v>
      </c>
      <c r="F10237" s="4" t="s">
        <v>992</v>
      </c>
      <c r="G10237" s="4"/>
      <c r="H10237" s="4" t="s">
        <v>993</v>
      </c>
      <c r="I10237" s="4" t="s">
        <v>994</v>
      </c>
      <c r="J10237" s="4" t="s">
        <v>2798</v>
      </c>
      <c r="K10237" s="4" t="s">
        <v>20713</v>
      </c>
      <c r="L10237" s="4" t="s">
        <v>3632</v>
      </c>
      <c r="M10237" s="4" t="s">
        <v>940</v>
      </c>
    </row>
    <row r="10238">
      <c r="A10238" s="4">
        <v>195.0</v>
      </c>
      <c r="B10238" s="4" t="s">
        <v>20303</v>
      </c>
      <c r="C10238" s="4" t="s">
        <v>20304</v>
      </c>
      <c r="D10238" s="4" t="s">
        <v>20714</v>
      </c>
      <c r="E10238" s="4" t="s">
        <v>1004</v>
      </c>
      <c r="F10238" s="4" t="s">
        <v>1005</v>
      </c>
    </row>
    <row r="10239">
      <c r="A10239" s="4">
        <v>196.0</v>
      </c>
      <c r="B10239" s="4" t="s">
        <v>20303</v>
      </c>
      <c r="C10239" s="4"/>
      <c r="D10239" s="4" t="s">
        <v>20715</v>
      </c>
      <c r="E10239" s="4" t="s">
        <v>1007</v>
      </c>
      <c r="F10239" s="4" t="s">
        <v>1008</v>
      </c>
    </row>
    <row r="10240">
      <c r="A10240" s="4">
        <v>197.0</v>
      </c>
      <c r="B10240" s="4" t="s">
        <v>20303</v>
      </c>
      <c r="C10240" s="4"/>
      <c r="D10240" s="4" t="s">
        <v>20716</v>
      </c>
      <c r="E10240" s="4" t="s">
        <v>1004</v>
      </c>
      <c r="F10240" s="4" t="s">
        <v>1005</v>
      </c>
    </row>
    <row r="10241">
      <c r="A10241" s="4">
        <v>198.0</v>
      </c>
      <c r="B10241" s="4" t="s">
        <v>20303</v>
      </c>
      <c r="C10241" s="4"/>
      <c r="D10241" s="4" t="s">
        <v>20717</v>
      </c>
      <c r="E10241" s="4" t="s">
        <v>1007</v>
      </c>
      <c r="F10241" s="4" t="s">
        <v>1008</v>
      </c>
    </row>
    <row r="10242">
      <c r="A10242" s="4">
        <v>199.0</v>
      </c>
      <c r="B10242" s="4" t="s">
        <v>20303</v>
      </c>
      <c r="C10242" s="4"/>
      <c r="D10242" s="4" t="s">
        <v>11822</v>
      </c>
      <c r="E10242" s="4" t="s">
        <v>11824</v>
      </c>
      <c r="F10242" s="4" t="s">
        <v>11825</v>
      </c>
    </row>
    <row r="10243">
      <c r="A10243" s="4">
        <v>200.0</v>
      </c>
      <c r="B10243" s="4" t="s">
        <v>20303</v>
      </c>
      <c r="C10243" s="4"/>
      <c r="D10243" s="4" t="s">
        <v>5931</v>
      </c>
      <c r="E10243" s="4" t="s">
        <v>5147</v>
      </c>
      <c r="F10243" s="4" t="s">
        <v>5148</v>
      </c>
    </row>
    <row r="10244">
      <c r="A10244" s="4">
        <v>201.0</v>
      </c>
      <c r="B10244" s="4" t="s">
        <v>20303</v>
      </c>
      <c r="C10244" s="4"/>
      <c r="D10244" s="4" t="s">
        <v>1040</v>
      </c>
      <c r="E10244" s="4" t="s">
        <v>1041</v>
      </c>
      <c r="F10244" s="4" t="s">
        <v>1042</v>
      </c>
      <c r="G10244" s="4"/>
      <c r="H10244" s="4" t="s">
        <v>1241</v>
      </c>
    </row>
    <row r="10245">
      <c r="A10245" s="4">
        <v>202.0</v>
      </c>
      <c r="B10245" s="4" t="s">
        <v>20303</v>
      </c>
      <c r="C10245" s="4"/>
      <c r="D10245" s="4" t="s">
        <v>20718</v>
      </c>
      <c r="E10245" s="4" t="s">
        <v>20719</v>
      </c>
      <c r="F10245" s="4" t="s">
        <v>20720</v>
      </c>
    </row>
    <row r="10246">
      <c r="A10246" s="4">
        <v>203.0</v>
      </c>
      <c r="B10246" s="4" t="s">
        <v>20303</v>
      </c>
      <c r="C10246" s="4"/>
      <c r="D10246" s="4" t="s">
        <v>1053</v>
      </c>
      <c r="E10246" s="4" t="s">
        <v>1054</v>
      </c>
      <c r="F10246" s="4" t="s">
        <v>1055</v>
      </c>
      <c r="G10246" s="4"/>
      <c r="H10246" s="4" t="s">
        <v>1056</v>
      </c>
      <c r="I10246" s="4" t="s">
        <v>20721</v>
      </c>
      <c r="J10246" s="4" t="s">
        <v>1056</v>
      </c>
      <c r="K10246" s="4" t="s">
        <v>1057</v>
      </c>
      <c r="L10246" s="4" t="s">
        <v>1056</v>
      </c>
    </row>
    <row r="10247">
      <c r="A10247" s="4">
        <v>204.0</v>
      </c>
      <c r="B10247" s="4" t="s">
        <v>20303</v>
      </c>
      <c r="C10247" s="4"/>
      <c r="D10247" s="4" t="s">
        <v>20722</v>
      </c>
      <c r="E10247" s="4" t="s">
        <v>20723</v>
      </c>
      <c r="F10247" s="4" t="s">
        <v>20724</v>
      </c>
      <c r="G10247" s="4"/>
      <c r="H10247" s="4" t="s">
        <v>641</v>
      </c>
      <c r="I10247" s="4" t="s">
        <v>20725</v>
      </c>
      <c r="J10247" s="4" t="s">
        <v>1057</v>
      </c>
      <c r="K10247" s="4" t="s">
        <v>20726</v>
      </c>
    </row>
    <row r="10248">
      <c r="A10248" s="4">
        <v>205.0</v>
      </c>
      <c r="B10248" s="4" t="s">
        <v>20303</v>
      </c>
      <c r="C10248" s="4"/>
      <c r="D10248" s="4" t="s">
        <v>20727</v>
      </c>
      <c r="E10248" s="4" t="s">
        <v>15796</v>
      </c>
      <c r="F10248" s="4" t="s">
        <v>5056</v>
      </c>
      <c r="G10248" s="4"/>
      <c r="H10248" s="4" t="s">
        <v>20728</v>
      </c>
    </row>
    <row r="10249">
      <c r="A10249" s="4">
        <v>206.0</v>
      </c>
      <c r="B10249" s="4" t="s">
        <v>20303</v>
      </c>
      <c r="C10249" s="4"/>
      <c r="D10249" s="4" t="s">
        <v>20729</v>
      </c>
      <c r="E10249" s="4" t="s">
        <v>20730</v>
      </c>
      <c r="F10249" s="4" t="s">
        <v>20731</v>
      </c>
    </row>
    <row r="10250">
      <c r="A10250" s="4">
        <v>207.0</v>
      </c>
      <c r="B10250" s="4" t="s">
        <v>20303</v>
      </c>
      <c r="C10250" s="4"/>
      <c r="D10250" s="4" t="s">
        <v>16603</v>
      </c>
      <c r="E10250" s="4" t="s">
        <v>16604</v>
      </c>
      <c r="F10250" s="4" t="s">
        <v>16605</v>
      </c>
    </row>
    <row r="10251">
      <c r="A10251" s="4">
        <v>208.0</v>
      </c>
      <c r="B10251" s="4" t="s">
        <v>20303</v>
      </c>
      <c r="C10251" s="4"/>
      <c r="D10251" s="4" t="s">
        <v>1120</v>
      </c>
      <c r="E10251" s="4" t="s">
        <v>1121</v>
      </c>
      <c r="F10251" s="4" t="s">
        <v>1122</v>
      </c>
      <c r="G10251" s="4"/>
      <c r="H10251" s="4" t="s">
        <v>963</v>
      </c>
      <c r="I10251" s="4" t="s">
        <v>964</v>
      </c>
      <c r="J10251" s="4" t="s">
        <v>965</v>
      </c>
    </row>
    <row r="10252">
      <c r="A10252" s="4">
        <v>209.0</v>
      </c>
      <c r="B10252" s="4" t="s">
        <v>20303</v>
      </c>
      <c r="C10252" s="4"/>
      <c r="D10252" s="4" t="s">
        <v>1123</v>
      </c>
      <c r="E10252" s="4" t="s">
        <v>1124</v>
      </c>
      <c r="F10252" s="4" t="s">
        <v>1125</v>
      </c>
      <c r="G10252" s="4"/>
      <c r="H10252" s="4" t="s">
        <v>20732</v>
      </c>
      <c r="I10252" s="4" t="s">
        <v>20733</v>
      </c>
    </row>
    <row r="10253">
      <c r="A10253" s="4">
        <v>210.0</v>
      </c>
      <c r="B10253" s="4" t="s">
        <v>20303</v>
      </c>
      <c r="C10253" s="4"/>
      <c r="D10253" s="4" t="s">
        <v>1126</v>
      </c>
      <c r="E10253" s="4" t="s">
        <v>1127</v>
      </c>
      <c r="F10253" s="4" t="s">
        <v>1128</v>
      </c>
      <c r="G10253" s="4"/>
      <c r="H10253" s="4" t="s">
        <v>1126</v>
      </c>
      <c r="I10253" s="4" t="s">
        <v>1136</v>
      </c>
      <c r="J10253" s="4" t="s">
        <v>19760</v>
      </c>
      <c r="K10253" s="4" t="s">
        <v>19761</v>
      </c>
      <c r="L10253" s="4" t="s">
        <v>1129</v>
      </c>
      <c r="M10253" s="4" t="s">
        <v>1130</v>
      </c>
      <c r="N10253" s="4" t="s">
        <v>1131</v>
      </c>
      <c r="O10253" s="4" t="s">
        <v>1132</v>
      </c>
      <c r="P10253" s="4" t="s">
        <v>1133</v>
      </c>
      <c r="Q10253" s="4" t="s">
        <v>1134</v>
      </c>
      <c r="R10253" s="4" t="s">
        <v>20734</v>
      </c>
      <c r="S10253" s="4" t="s">
        <v>1130</v>
      </c>
      <c r="T10253" s="4" t="s">
        <v>1135</v>
      </c>
      <c r="U10253" s="4" t="s">
        <v>1126</v>
      </c>
      <c r="V10253" s="4" t="s">
        <v>1136</v>
      </c>
      <c r="W10253" s="4" t="s">
        <v>1136</v>
      </c>
      <c r="X10253" s="4" t="s">
        <v>1137</v>
      </c>
      <c r="Y10253" s="4" t="s">
        <v>1136</v>
      </c>
    </row>
    <row r="10254">
      <c r="A10254" s="4">
        <v>211.0</v>
      </c>
      <c r="B10254" s="4" t="s">
        <v>20303</v>
      </c>
      <c r="C10254" s="4"/>
      <c r="D10254" s="4" t="s">
        <v>1161</v>
      </c>
      <c r="E10254" s="4" t="s">
        <v>1162</v>
      </c>
      <c r="F10254" s="4" t="s">
        <v>1163</v>
      </c>
      <c r="G10254" s="4"/>
      <c r="H10254" s="4" t="s">
        <v>20735</v>
      </c>
      <c r="I10254" s="4" t="s">
        <v>20736</v>
      </c>
    </row>
    <row r="10255">
      <c r="A10255" s="4">
        <v>212.0</v>
      </c>
      <c r="B10255" s="4" t="s">
        <v>20303</v>
      </c>
      <c r="C10255" s="4"/>
      <c r="D10255" s="4" t="s">
        <v>20737</v>
      </c>
      <c r="E10255" s="4" t="s">
        <v>20738</v>
      </c>
      <c r="F10255" s="4" t="s">
        <v>20739</v>
      </c>
    </row>
    <row r="10256">
      <c r="A10256" s="4">
        <v>213.0</v>
      </c>
      <c r="B10256" s="4" t="s">
        <v>20303</v>
      </c>
      <c r="C10256" s="4"/>
      <c r="D10256" s="4" t="s">
        <v>20740</v>
      </c>
      <c r="E10256" s="4" t="s">
        <v>1206</v>
      </c>
      <c r="F10256" s="4" t="s">
        <v>1207</v>
      </c>
    </row>
    <row r="10257">
      <c r="A10257" s="4">
        <v>214.0</v>
      </c>
      <c r="B10257" s="4" t="s">
        <v>20303</v>
      </c>
      <c r="C10257" s="4"/>
      <c r="D10257" s="4" t="s">
        <v>20741</v>
      </c>
      <c r="E10257" s="4" t="s">
        <v>20742</v>
      </c>
      <c r="F10257" s="4" t="s">
        <v>20743</v>
      </c>
      <c r="G10257" s="4"/>
      <c r="H10257" s="4" t="s">
        <v>20744</v>
      </c>
      <c r="I10257" s="4" t="s">
        <v>20745</v>
      </c>
    </row>
    <row r="10258">
      <c r="A10258" s="4">
        <v>215.0</v>
      </c>
      <c r="B10258" s="4" t="s">
        <v>20303</v>
      </c>
      <c r="C10258" s="4"/>
      <c r="D10258" s="4" t="s">
        <v>1176</v>
      </c>
      <c r="E10258" s="4" t="s">
        <v>1177</v>
      </c>
      <c r="F10258" s="4" t="s">
        <v>1178</v>
      </c>
    </row>
    <row r="10259">
      <c r="A10259" s="4">
        <v>216.0</v>
      </c>
      <c r="B10259" s="4" t="s">
        <v>20303</v>
      </c>
      <c r="C10259" s="4"/>
      <c r="D10259" s="4" t="s">
        <v>20746</v>
      </c>
      <c r="E10259" s="4" t="s">
        <v>20747</v>
      </c>
      <c r="F10259" s="4" t="s">
        <v>20748</v>
      </c>
    </row>
    <row r="10260">
      <c r="A10260" s="4">
        <v>217.0</v>
      </c>
      <c r="B10260" s="4" t="s">
        <v>20303</v>
      </c>
      <c r="C10260" s="4"/>
      <c r="D10260" s="4" t="s">
        <v>20749</v>
      </c>
      <c r="E10260" s="4" t="s">
        <v>20750</v>
      </c>
      <c r="F10260" s="4" t="s">
        <v>20751</v>
      </c>
    </row>
    <row r="10261">
      <c r="A10261" s="4">
        <v>218.0</v>
      </c>
      <c r="B10261" s="4" t="s">
        <v>20303</v>
      </c>
      <c r="C10261" s="4"/>
      <c r="D10261" s="4" t="s">
        <v>20752</v>
      </c>
      <c r="E10261" s="4" t="s">
        <v>19992</v>
      </c>
      <c r="F10261" s="4" t="s">
        <v>19993</v>
      </c>
      <c r="G10261" s="4"/>
      <c r="H10261" s="4" t="s">
        <v>20753</v>
      </c>
      <c r="I10261" s="4" t="s">
        <v>20754</v>
      </c>
      <c r="J10261" s="4" t="s">
        <v>20755</v>
      </c>
      <c r="K10261" s="4" t="s">
        <v>20756</v>
      </c>
    </row>
    <row r="10262">
      <c r="A10262" s="4">
        <v>219.0</v>
      </c>
      <c r="B10262" s="4" t="s">
        <v>20303</v>
      </c>
      <c r="C10262" s="4"/>
      <c r="D10262" s="4" t="s">
        <v>1231</v>
      </c>
      <c r="E10262" s="4" t="s">
        <v>1232</v>
      </c>
      <c r="F10262" s="4" t="s">
        <v>1233</v>
      </c>
      <c r="G10262" s="4"/>
      <c r="H10262" s="4" t="s">
        <v>1234</v>
      </c>
      <c r="I10262" s="4" t="s">
        <v>1235</v>
      </c>
      <c r="J10262" s="4" t="s">
        <v>1236</v>
      </c>
      <c r="K10262" s="4" t="s">
        <v>1237</v>
      </c>
      <c r="L10262" s="4" t="s">
        <v>1241</v>
      </c>
      <c r="M10262" s="4" t="s">
        <v>1217</v>
      </c>
      <c r="N10262" s="4" t="s">
        <v>1243</v>
      </c>
      <c r="O10262" s="4" t="s">
        <v>1238</v>
      </c>
      <c r="P10262" s="4" t="s">
        <v>1235</v>
      </c>
      <c r="Q10262" s="4" t="s">
        <v>1239</v>
      </c>
      <c r="R10262" s="4" t="s">
        <v>1240</v>
      </c>
      <c r="S10262" s="4" t="s">
        <v>1237</v>
      </c>
      <c r="T10262" s="4" t="s">
        <v>1241</v>
      </c>
      <c r="U10262" s="4" t="s">
        <v>1237</v>
      </c>
      <c r="V10262" s="4" t="s">
        <v>1242</v>
      </c>
      <c r="W10262" s="4" t="s">
        <v>1243</v>
      </c>
      <c r="X10262" s="4" t="s">
        <v>20757</v>
      </c>
    </row>
    <row r="10263">
      <c r="A10263" s="4">
        <v>220.0</v>
      </c>
      <c r="B10263" s="4" t="s">
        <v>20303</v>
      </c>
      <c r="C10263" s="4"/>
      <c r="D10263" s="4" t="s">
        <v>1244</v>
      </c>
      <c r="E10263" s="4" t="s">
        <v>1245</v>
      </c>
      <c r="F10263" s="4" t="s">
        <v>1246</v>
      </c>
      <c r="G10263" s="4"/>
      <c r="H10263" s="4" t="s">
        <v>20758</v>
      </c>
      <c r="I10263" s="4" t="s">
        <v>20759</v>
      </c>
      <c r="J10263" s="4" t="s">
        <v>20760</v>
      </c>
      <c r="K10263" s="4" t="s">
        <v>20761</v>
      </c>
      <c r="L10263" s="4" t="s">
        <v>20762</v>
      </c>
      <c r="M10263" s="4" t="s">
        <v>20763</v>
      </c>
      <c r="N10263" s="4" t="s">
        <v>6078</v>
      </c>
    </row>
    <row r="10264">
      <c r="A10264" s="4">
        <v>221.0</v>
      </c>
      <c r="B10264" s="4" t="s">
        <v>20303</v>
      </c>
      <c r="C10264" s="4"/>
      <c r="D10264" s="4" t="s">
        <v>20764</v>
      </c>
      <c r="E10264" s="4" t="s">
        <v>20765</v>
      </c>
      <c r="F10264" s="4" t="s">
        <v>20766</v>
      </c>
    </row>
    <row r="10265">
      <c r="A10265" s="4">
        <v>222.0</v>
      </c>
      <c r="B10265" s="4" t="s">
        <v>20303</v>
      </c>
      <c r="C10265" s="4"/>
      <c r="D10265" s="4" t="s">
        <v>20767</v>
      </c>
      <c r="E10265" s="4" t="s">
        <v>20768</v>
      </c>
      <c r="F10265" s="4" t="s">
        <v>20769</v>
      </c>
    </row>
    <row r="10266">
      <c r="A10266" s="4">
        <v>223.0</v>
      </c>
      <c r="B10266" s="4" t="s">
        <v>20303</v>
      </c>
      <c r="C10266" s="4"/>
      <c r="D10266" s="4" t="s">
        <v>1274</v>
      </c>
      <c r="E10266" s="4" t="s">
        <v>1275</v>
      </c>
      <c r="F10266" s="4" t="s">
        <v>1276</v>
      </c>
      <c r="G10266" s="4"/>
      <c r="H10266" s="4" t="s">
        <v>1274</v>
      </c>
      <c r="I10266" s="4" t="s">
        <v>1277</v>
      </c>
      <c r="J10266" s="4" t="s">
        <v>1278</v>
      </c>
      <c r="K10266" s="4" t="s">
        <v>1279</v>
      </c>
      <c r="L10266" s="4" t="s">
        <v>11898</v>
      </c>
      <c r="M10266" s="4" t="s">
        <v>20770</v>
      </c>
      <c r="N10266" s="4" t="s">
        <v>1274</v>
      </c>
      <c r="O10266" s="4" t="s">
        <v>1280</v>
      </c>
      <c r="P10266" s="4" t="s">
        <v>1274</v>
      </c>
      <c r="Q10266" s="4" t="s">
        <v>1274</v>
      </c>
      <c r="R10266" s="4" t="s">
        <v>11899</v>
      </c>
      <c r="S10266" s="4" t="s">
        <v>1281</v>
      </c>
    </row>
    <row r="10267">
      <c r="A10267" s="4">
        <v>224.0</v>
      </c>
      <c r="B10267" s="4" t="s">
        <v>20303</v>
      </c>
      <c r="C10267" s="4"/>
      <c r="D10267" s="4" t="s">
        <v>1282</v>
      </c>
      <c r="E10267" s="4" t="s">
        <v>1283</v>
      </c>
      <c r="F10267" s="4" t="s">
        <v>1284</v>
      </c>
    </row>
    <row r="10268">
      <c r="A10268" s="4">
        <v>225.0</v>
      </c>
      <c r="B10268" s="4" t="s">
        <v>20303</v>
      </c>
      <c r="C10268" s="4"/>
      <c r="D10268" s="4" t="s">
        <v>1288</v>
      </c>
      <c r="E10268" s="4" t="s">
        <v>1289</v>
      </c>
      <c r="F10268" s="4" t="s">
        <v>1290</v>
      </c>
    </row>
    <row r="10269">
      <c r="A10269" s="4">
        <v>226.0</v>
      </c>
      <c r="B10269" s="4" t="s">
        <v>20303</v>
      </c>
      <c r="C10269" s="4"/>
      <c r="D10269" s="4" t="s">
        <v>20771</v>
      </c>
      <c r="E10269" s="4" t="s">
        <v>15031</v>
      </c>
      <c r="F10269" s="4" t="s">
        <v>5986</v>
      </c>
      <c r="G10269" s="4"/>
      <c r="H10269" s="4" t="s">
        <v>1221</v>
      </c>
      <c r="I10269" s="4" t="s">
        <v>1294</v>
      </c>
      <c r="J10269" s="4" t="s">
        <v>1221</v>
      </c>
      <c r="K10269" s="4" t="s">
        <v>1287</v>
      </c>
      <c r="L10269" s="4" t="s">
        <v>1221</v>
      </c>
      <c r="M10269" s="4" t="s">
        <v>20772</v>
      </c>
      <c r="N10269" s="4" t="s">
        <v>20773</v>
      </c>
      <c r="O10269" s="4" t="s">
        <v>1221</v>
      </c>
      <c r="P10269" s="4" t="s">
        <v>20774</v>
      </c>
      <c r="Q10269" s="4" t="s">
        <v>617</v>
      </c>
      <c r="R10269" s="4" t="s">
        <v>1221</v>
      </c>
      <c r="S10269" s="4" t="s">
        <v>1286</v>
      </c>
      <c r="T10269" s="4" t="s">
        <v>1287</v>
      </c>
    </row>
    <row r="10270">
      <c r="A10270" s="4">
        <v>227.0</v>
      </c>
      <c r="B10270" s="4" t="s">
        <v>20303</v>
      </c>
      <c r="C10270" s="4"/>
      <c r="D10270" s="4" t="s">
        <v>20775</v>
      </c>
      <c r="E10270" s="4" t="s">
        <v>1232</v>
      </c>
      <c r="F10270" s="4" t="s">
        <v>1233</v>
      </c>
    </row>
    <row r="10271">
      <c r="A10271" s="4">
        <v>228.0</v>
      </c>
      <c r="B10271" s="4" t="s">
        <v>20303</v>
      </c>
      <c r="C10271" s="4"/>
      <c r="D10271" s="4" t="s">
        <v>1295</v>
      </c>
      <c r="E10271" s="4" t="s">
        <v>1296</v>
      </c>
      <c r="F10271" s="4" t="s">
        <v>1297</v>
      </c>
      <c r="G10271" s="4"/>
      <c r="H10271" s="4" t="s">
        <v>20776</v>
      </c>
    </row>
    <row r="10272">
      <c r="A10272" s="4">
        <v>229.0</v>
      </c>
      <c r="B10272" s="4" t="s">
        <v>20303</v>
      </c>
      <c r="C10272" s="4"/>
      <c r="D10272" s="4" t="s">
        <v>20777</v>
      </c>
      <c r="E10272" s="4" t="s">
        <v>20778</v>
      </c>
      <c r="F10272" s="4" t="s">
        <v>20700</v>
      </c>
    </row>
    <row r="10273">
      <c r="A10273" s="4">
        <v>230.0</v>
      </c>
      <c r="B10273" s="4" t="s">
        <v>20303</v>
      </c>
      <c r="C10273" s="4"/>
      <c r="D10273" s="4" t="s">
        <v>1305</v>
      </c>
      <c r="E10273" s="4" t="s">
        <v>1306</v>
      </c>
      <c r="F10273" s="4" t="s">
        <v>1307</v>
      </c>
      <c r="G10273" s="4"/>
      <c r="H10273" s="4" t="s">
        <v>1310</v>
      </c>
      <c r="I10273" s="4" t="s">
        <v>1209</v>
      </c>
      <c r="J10273" s="4" t="s">
        <v>515</v>
      </c>
      <c r="K10273" s="4" t="s">
        <v>1308</v>
      </c>
      <c r="L10273" s="4" t="s">
        <v>1309</v>
      </c>
      <c r="M10273" s="4" t="s">
        <v>1310</v>
      </c>
      <c r="N10273" s="4" t="s">
        <v>1311</v>
      </c>
      <c r="O10273" s="4" t="s">
        <v>1312</v>
      </c>
      <c r="P10273" s="4" t="s">
        <v>1313</v>
      </c>
      <c r="Q10273" s="4" t="s">
        <v>1310</v>
      </c>
      <c r="R10273" s="4" t="s">
        <v>1314</v>
      </c>
      <c r="S10273" s="4" t="s">
        <v>3491</v>
      </c>
      <c r="T10273" s="4" t="s">
        <v>1310</v>
      </c>
      <c r="U10273" s="4" t="s">
        <v>1315</v>
      </c>
      <c r="V10273" s="4" t="s">
        <v>1310</v>
      </c>
      <c r="W10273" s="4" t="s">
        <v>20779</v>
      </c>
      <c r="X10273" s="4" t="s">
        <v>1310</v>
      </c>
      <c r="Y10273" s="4" t="s">
        <v>515</v>
      </c>
      <c r="Z10273" s="4" t="s">
        <v>1310</v>
      </c>
      <c r="AA10273" s="4" t="s">
        <v>950</v>
      </c>
      <c r="AB10273" s="4" t="s">
        <v>1310</v>
      </c>
    </row>
    <row r="10274">
      <c r="A10274" s="4">
        <v>231.0</v>
      </c>
      <c r="B10274" s="4" t="s">
        <v>20303</v>
      </c>
      <c r="C10274" s="4"/>
      <c r="D10274" s="4" t="s">
        <v>20780</v>
      </c>
      <c r="E10274" s="4" t="s">
        <v>20781</v>
      </c>
      <c r="F10274" s="4" t="s">
        <v>20782</v>
      </c>
    </row>
    <row r="10275">
      <c r="A10275" s="4">
        <v>232.0</v>
      </c>
      <c r="B10275" s="4" t="s">
        <v>20303</v>
      </c>
      <c r="C10275" s="4"/>
      <c r="D10275" s="4" t="s">
        <v>20783</v>
      </c>
      <c r="E10275" s="4" t="s">
        <v>20784</v>
      </c>
      <c r="F10275" s="4" t="s">
        <v>20785</v>
      </c>
    </row>
    <row r="10276">
      <c r="A10276" s="4">
        <v>233.0</v>
      </c>
      <c r="B10276" s="4" t="s">
        <v>20303</v>
      </c>
      <c r="C10276" s="4"/>
      <c r="D10276" s="4" t="s">
        <v>20786</v>
      </c>
      <c r="E10276" s="4" t="s">
        <v>20787</v>
      </c>
      <c r="F10276" s="4" t="s">
        <v>20788</v>
      </c>
    </row>
    <row r="10277">
      <c r="A10277" s="4">
        <v>234.0</v>
      </c>
      <c r="B10277" s="4" t="s">
        <v>20303</v>
      </c>
      <c r="C10277" s="4"/>
      <c r="D10277" s="4" t="s">
        <v>20789</v>
      </c>
      <c r="E10277" s="4" t="s">
        <v>20790</v>
      </c>
      <c r="F10277" s="4" t="s">
        <v>20791</v>
      </c>
    </row>
    <row r="10278">
      <c r="A10278" s="4">
        <v>235.0</v>
      </c>
      <c r="B10278" s="4" t="s">
        <v>20303</v>
      </c>
      <c r="C10278" s="4"/>
      <c r="D10278" s="4" t="s">
        <v>1322</v>
      </c>
      <c r="E10278" s="4" t="s">
        <v>1323</v>
      </c>
      <c r="F10278" s="4" t="s">
        <v>1324</v>
      </c>
      <c r="G10278" s="4"/>
      <c r="H10278" s="4" t="s">
        <v>20792</v>
      </c>
      <c r="I10278" s="4" t="s">
        <v>20793</v>
      </c>
      <c r="J10278" s="4" t="s">
        <v>20794</v>
      </c>
      <c r="K10278" s="4" t="s">
        <v>14828</v>
      </c>
      <c r="L10278" s="4" t="s">
        <v>14831</v>
      </c>
    </row>
    <row r="10279">
      <c r="A10279" s="4">
        <v>236.0</v>
      </c>
      <c r="B10279" s="4" t="s">
        <v>20303</v>
      </c>
      <c r="C10279" s="4"/>
      <c r="D10279" s="4" t="s">
        <v>1328</v>
      </c>
      <c r="E10279" s="4" t="s">
        <v>1329</v>
      </c>
      <c r="F10279" s="4" t="s">
        <v>1330</v>
      </c>
    </row>
    <row r="10280">
      <c r="A10280" s="4">
        <v>237.0</v>
      </c>
      <c r="B10280" s="4" t="s">
        <v>20303</v>
      </c>
      <c r="C10280" s="4"/>
      <c r="D10280" s="4" t="s">
        <v>20795</v>
      </c>
      <c r="E10280" s="4" t="s">
        <v>20796</v>
      </c>
      <c r="F10280" s="4" t="s">
        <v>20797</v>
      </c>
    </row>
    <row r="10281">
      <c r="A10281" s="4">
        <v>238.0</v>
      </c>
      <c r="B10281" s="4" t="s">
        <v>20303</v>
      </c>
      <c r="C10281" s="4"/>
      <c r="D10281" s="4" t="s">
        <v>19025</v>
      </c>
      <c r="E10281" s="4" t="s">
        <v>1306</v>
      </c>
      <c r="F10281" s="4" t="s">
        <v>1307</v>
      </c>
    </row>
    <row r="10282">
      <c r="A10282" s="4">
        <v>239.0</v>
      </c>
      <c r="B10282" s="4" t="s">
        <v>20303</v>
      </c>
      <c r="C10282" s="4"/>
      <c r="D10282" s="4" t="s">
        <v>20798</v>
      </c>
      <c r="E10282" s="4" t="s">
        <v>20799</v>
      </c>
      <c r="F10282" s="4" t="s">
        <v>20800</v>
      </c>
    </row>
    <row r="10283">
      <c r="A10283" s="4">
        <v>240.0</v>
      </c>
      <c r="B10283" s="4" t="s">
        <v>20303</v>
      </c>
      <c r="C10283" s="4"/>
      <c r="D10283" s="4" t="s">
        <v>1334</v>
      </c>
      <c r="E10283" s="4" t="s">
        <v>1335</v>
      </c>
      <c r="F10283" s="4" t="s">
        <v>1336</v>
      </c>
    </row>
    <row r="10284">
      <c r="A10284" s="4">
        <v>241.0</v>
      </c>
      <c r="B10284" s="4" t="s">
        <v>20303</v>
      </c>
      <c r="C10284" s="4"/>
      <c r="D10284" s="4" t="s">
        <v>16624</v>
      </c>
      <c r="E10284" s="4" t="s">
        <v>1358</v>
      </c>
      <c r="F10284" s="4" t="s">
        <v>1359</v>
      </c>
      <c r="G10284" s="4"/>
      <c r="H10284" s="4" t="s">
        <v>20801</v>
      </c>
      <c r="I10284" s="4" t="s">
        <v>20802</v>
      </c>
      <c r="J10284" s="4" t="s">
        <v>20803</v>
      </c>
      <c r="K10284" s="4" t="s">
        <v>20804</v>
      </c>
      <c r="L10284" s="4" t="s">
        <v>20805</v>
      </c>
      <c r="M10284" s="4" t="s">
        <v>3573</v>
      </c>
      <c r="N10284" s="4" t="s">
        <v>2125</v>
      </c>
      <c r="O10284" s="4" t="s">
        <v>3574</v>
      </c>
      <c r="P10284" s="4" t="s">
        <v>3575</v>
      </c>
      <c r="Q10284" s="4" t="s">
        <v>3576</v>
      </c>
      <c r="R10284" s="4" t="s">
        <v>3577</v>
      </c>
      <c r="S10284" s="4" t="s">
        <v>2130</v>
      </c>
      <c r="T10284" s="4" t="s">
        <v>2130</v>
      </c>
      <c r="U10284" s="4" t="s">
        <v>2547</v>
      </c>
      <c r="V10284" s="4" t="s">
        <v>2130</v>
      </c>
      <c r="W10284" s="4" t="s">
        <v>20806</v>
      </c>
      <c r="X10284" s="4" t="s">
        <v>20807</v>
      </c>
      <c r="Y10284" s="4" t="s">
        <v>20808</v>
      </c>
      <c r="Z10284" s="4" t="s">
        <v>20809</v>
      </c>
      <c r="AA10284" s="4" t="s">
        <v>2128</v>
      </c>
      <c r="AB10284" s="4" t="s">
        <v>2129</v>
      </c>
      <c r="AC10284" s="4" t="s">
        <v>2130</v>
      </c>
      <c r="AD10284" s="4" t="s">
        <v>2125</v>
      </c>
      <c r="AE10284" s="4" t="s">
        <v>2131</v>
      </c>
      <c r="AF10284" s="4" t="s">
        <v>2130</v>
      </c>
      <c r="AG10284" s="4" t="s">
        <v>2125</v>
      </c>
      <c r="AH10284" s="4" t="s">
        <v>2125</v>
      </c>
      <c r="AI10284" s="4" t="s">
        <v>11158</v>
      </c>
      <c r="AJ10284" s="4" t="s">
        <v>2125</v>
      </c>
    </row>
    <row r="10285">
      <c r="A10285" s="4">
        <v>242.0</v>
      </c>
      <c r="B10285" s="4" t="s">
        <v>20303</v>
      </c>
      <c r="C10285" s="4"/>
      <c r="D10285" s="4" t="s">
        <v>20810</v>
      </c>
      <c r="E10285" s="4" t="s">
        <v>20811</v>
      </c>
      <c r="F10285" s="4" t="s">
        <v>20812</v>
      </c>
    </row>
    <row r="10286">
      <c r="A10286" s="4">
        <v>243.0</v>
      </c>
      <c r="B10286" s="4" t="s">
        <v>20303</v>
      </c>
      <c r="C10286" s="4"/>
      <c r="D10286" s="4" t="s">
        <v>14129</v>
      </c>
      <c r="E10286" s="4" t="s">
        <v>14130</v>
      </c>
      <c r="F10286" s="4" t="s">
        <v>14131</v>
      </c>
    </row>
    <row r="10287">
      <c r="A10287" s="4">
        <v>244.0</v>
      </c>
      <c r="B10287" s="4" t="s">
        <v>20303</v>
      </c>
      <c r="C10287" s="4"/>
      <c r="D10287" s="4" t="s">
        <v>20813</v>
      </c>
      <c r="E10287" s="4" t="s">
        <v>20814</v>
      </c>
      <c r="F10287" s="4" t="s">
        <v>20815</v>
      </c>
    </row>
    <row r="10288">
      <c r="A10288" s="4">
        <v>245.0</v>
      </c>
      <c r="B10288" s="4" t="s">
        <v>20303</v>
      </c>
      <c r="C10288" s="4"/>
      <c r="D10288" s="4" t="s">
        <v>14354</v>
      </c>
      <c r="E10288" s="4" t="s">
        <v>1371</v>
      </c>
      <c r="F10288" s="4" t="s">
        <v>1372</v>
      </c>
      <c r="G10288" s="4"/>
      <c r="H10288" s="4" t="s">
        <v>7722</v>
      </c>
      <c r="I10288" s="4" t="s">
        <v>12852</v>
      </c>
      <c r="J10288" s="4" t="s">
        <v>20816</v>
      </c>
      <c r="K10288" s="4" t="s">
        <v>20817</v>
      </c>
      <c r="L10288" s="4" t="s">
        <v>20818</v>
      </c>
      <c r="M10288" s="4" t="s">
        <v>7722</v>
      </c>
      <c r="N10288" s="4" t="s">
        <v>20819</v>
      </c>
      <c r="O10288" s="4" t="s">
        <v>20820</v>
      </c>
      <c r="P10288" s="4" t="s">
        <v>3050</v>
      </c>
      <c r="Q10288" s="4" t="s">
        <v>20821</v>
      </c>
      <c r="R10288" s="4" t="s">
        <v>650</v>
      </c>
      <c r="S10288" s="4" t="s">
        <v>637</v>
      </c>
      <c r="T10288" s="4" t="s">
        <v>651</v>
      </c>
    </row>
    <row r="10289">
      <c r="A10289" s="4">
        <v>246.0</v>
      </c>
      <c r="B10289" s="4" t="s">
        <v>20303</v>
      </c>
      <c r="C10289" s="4"/>
      <c r="D10289" s="4" t="s">
        <v>20822</v>
      </c>
      <c r="E10289" s="4" t="s">
        <v>20823</v>
      </c>
      <c r="F10289" s="4" t="s">
        <v>20824</v>
      </c>
    </row>
    <row r="10290">
      <c r="A10290" s="4">
        <v>247.0</v>
      </c>
      <c r="B10290" s="4" t="s">
        <v>20303</v>
      </c>
      <c r="C10290" s="4"/>
      <c r="D10290" s="4" t="s">
        <v>20825</v>
      </c>
      <c r="E10290" s="4" t="s">
        <v>20826</v>
      </c>
      <c r="F10290" s="4" t="s">
        <v>20827</v>
      </c>
    </row>
    <row r="10291">
      <c r="A10291" s="4">
        <v>248.0</v>
      </c>
      <c r="B10291" s="4" t="s">
        <v>20303</v>
      </c>
      <c r="C10291" s="4"/>
      <c r="D10291" s="4" t="s">
        <v>20828</v>
      </c>
      <c r="E10291" s="4" t="s">
        <v>20823</v>
      </c>
      <c r="F10291" s="4" t="s">
        <v>20824</v>
      </c>
    </row>
    <row r="10292">
      <c r="A10292" s="4">
        <v>249.0</v>
      </c>
      <c r="B10292" s="4" t="s">
        <v>20303</v>
      </c>
      <c r="C10292" s="4"/>
      <c r="D10292" s="4" t="s">
        <v>20829</v>
      </c>
      <c r="E10292" s="4" t="s">
        <v>20826</v>
      </c>
      <c r="F10292" s="4" t="s">
        <v>20827</v>
      </c>
    </row>
    <row r="10293">
      <c r="A10293" s="4">
        <v>250.0</v>
      </c>
      <c r="B10293" s="4" t="s">
        <v>20303</v>
      </c>
      <c r="C10293" s="4"/>
      <c r="D10293" s="4" t="s">
        <v>20830</v>
      </c>
      <c r="E10293" s="4" t="s">
        <v>20831</v>
      </c>
      <c r="F10293" s="4" t="s">
        <v>20832</v>
      </c>
    </row>
    <row r="10294">
      <c r="A10294" s="4">
        <v>251.0</v>
      </c>
      <c r="B10294" s="4" t="s">
        <v>20303</v>
      </c>
      <c r="C10294" s="4"/>
      <c r="D10294" s="4" t="s">
        <v>20833</v>
      </c>
      <c r="E10294" s="4" t="s">
        <v>11937</v>
      </c>
      <c r="F10294" s="4" t="s">
        <v>8121</v>
      </c>
    </row>
    <row r="10295">
      <c r="A10295" s="4">
        <v>252.0</v>
      </c>
      <c r="B10295" s="4" t="s">
        <v>20303</v>
      </c>
      <c r="C10295" s="4"/>
      <c r="D10295" s="4" t="s">
        <v>20834</v>
      </c>
      <c r="E10295" s="4" t="s">
        <v>16631</v>
      </c>
      <c r="F10295" s="4" t="s">
        <v>16632</v>
      </c>
    </row>
    <row r="10296">
      <c r="A10296" s="4">
        <v>253.0</v>
      </c>
      <c r="B10296" s="4" t="s">
        <v>20303</v>
      </c>
      <c r="C10296" s="4"/>
      <c r="D10296" s="4" t="s">
        <v>11941</v>
      </c>
      <c r="E10296" s="4" t="s">
        <v>5161</v>
      </c>
      <c r="F10296" s="4" t="s">
        <v>5162</v>
      </c>
    </row>
    <row r="10297">
      <c r="A10297" s="4">
        <v>254.0</v>
      </c>
      <c r="B10297" s="4" t="s">
        <v>20303</v>
      </c>
      <c r="C10297" s="4"/>
      <c r="D10297" s="4" t="s">
        <v>1340</v>
      </c>
      <c r="E10297" s="4" t="s">
        <v>1341</v>
      </c>
      <c r="F10297" s="4" t="s">
        <v>1342</v>
      </c>
    </row>
    <row r="10298">
      <c r="A10298" s="4">
        <v>255.0</v>
      </c>
      <c r="B10298" s="4" t="s">
        <v>20303</v>
      </c>
      <c r="C10298" s="4"/>
      <c r="D10298" s="4" t="s">
        <v>20835</v>
      </c>
      <c r="E10298" s="4" t="s">
        <v>20836</v>
      </c>
      <c r="F10298" s="4" t="s">
        <v>20837</v>
      </c>
    </row>
    <row r="10299">
      <c r="A10299" s="4">
        <v>256.0</v>
      </c>
      <c r="B10299" s="4" t="s">
        <v>20303</v>
      </c>
      <c r="C10299" s="4"/>
      <c r="D10299" s="4" t="s">
        <v>20838</v>
      </c>
      <c r="E10299" s="4" t="s">
        <v>1344</v>
      </c>
      <c r="F10299" s="4" t="s">
        <v>1345</v>
      </c>
    </row>
    <row r="10300">
      <c r="A10300" s="4">
        <v>257.0</v>
      </c>
      <c r="B10300" s="4" t="s">
        <v>20303</v>
      </c>
      <c r="C10300" s="4"/>
      <c r="D10300" s="4" t="s">
        <v>20839</v>
      </c>
      <c r="E10300" s="4" t="s">
        <v>11943</v>
      </c>
      <c r="F10300" s="4" t="s">
        <v>11944</v>
      </c>
      <c r="G10300" s="4"/>
      <c r="H10300" s="4" t="s">
        <v>1350</v>
      </c>
      <c r="I10300" s="4" t="s">
        <v>1350</v>
      </c>
      <c r="J10300" s="4" t="s">
        <v>1350</v>
      </c>
    </row>
    <row r="10301">
      <c r="A10301" s="4">
        <v>258.0</v>
      </c>
      <c r="B10301" s="4" t="s">
        <v>20303</v>
      </c>
      <c r="C10301" s="4"/>
      <c r="D10301" s="4" t="s">
        <v>1354</v>
      </c>
      <c r="E10301" s="4" t="s">
        <v>1355</v>
      </c>
      <c r="F10301" s="4" t="s">
        <v>1356</v>
      </c>
    </row>
    <row r="10302">
      <c r="A10302" s="4">
        <v>259.0</v>
      </c>
      <c r="B10302" s="4" t="s">
        <v>20303</v>
      </c>
      <c r="C10302" s="4"/>
      <c r="D10302" s="4" t="s">
        <v>20840</v>
      </c>
      <c r="E10302" s="4" t="s">
        <v>20841</v>
      </c>
      <c r="F10302" s="4" t="s">
        <v>20842</v>
      </c>
    </row>
    <row r="10303">
      <c r="A10303" s="4">
        <v>260.0</v>
      </c>
      <c r="B10303" s="4" t="s">
        <v>20303</v>
      </c>
      <c r="C10303" s="4"/>
      <c r="D10303" s="4" t="s">
        <v>20843</v>
      </c>
      <c r="E10303" s="4" t="s">
        <v>20844</v>
      </c>
      <c r="F10303" s="4" t="s">
        <v>20845</v>
      </c>
    </row>
    <row r="10304">
      <c r="A10304" s="4">
        <v>261.0</v>
      </c>
      <c r="B10304" s="4" t="s">
        <v>20303</v>
      </c>
      <c r="C10304" s="4"/>
      <c r="D10304" s="4" t="s">
        <v>20846</v>
      </c>
      <c r="E10304" s="4" t="s">
        <v>20847</v>
      </c>
      <c r="F10304" s="4" t="s">
        <v>20848</v>
      </c>
    </row>
    <row r="10305">
      <c r="A10305" s="4">
        <v>262.0</v>
      </c>
      <c r="B10305" s="4" t="s">
        <v>20303</v>
      </c>
      <c r="C10305" s="4"/>
      <c r="D10305" s="4" t="s">
        <v>14132</v>
      </c>
      <c r="E10305" s="4" t="s">
        <v>5164</v>
      </c>
      <c r="F10305" s="4" t="s">
        <v>5165</v>
      </c>
      <c r="G10305" s="4"/>
      <c r="H10305" s="4" t="s">
        <v>20849</v>
      </c>
      <c r="I10305" s="4" t="s">
        <v>15571</v>
      </c>
      <c r="J10305" s="4" t="s">
        <v>20850</v>
      </c>
      <c r="K10305" s="4" t="s">
        <v>10503</v>
      </c>
      <c r="L10305" s="4" t="s">
        <v>10503</v>
      </c>
    </row>
    <row r="10306">
      <c r="A10306" s="4">
        <v>263.0</v>
      </c>
      <c r="B10306" s="4" t="s">
        <v>20303</v>
      </c>
      <c r="C10306" s="4"/>
      <c r="D10306" s="4" t="s">
        <v>20851</v>
      </c>
      <c r="E10306" s="4" t="s">
        <v>20852</v>
      </c>
      <c r="F10306" s="4" t="s">
        <v>20853</v>
      </c>
    </row>
    <row r="10307">
      <c r="A10307" s="4">
        <v>264.0</v>
      </c>
      <c r="B10307" s="4" t="s">
        <v>20303</v>
      </c>
      <c r="C10307" s="4"/>
      <c r="D10307" s="4" t="s">
        <v>20854</v>
      </c>
      <c r="E10307" s="4" t="s">
        <v>20855</v>
      </c>
      <c r="F10307" s="4" t="s">
        <v>20856</v>
      </c>
    </row>
    <row r="10308">
      <c r="A10308" s="4">
        <v>265.0</v>
      </c>
      <c r="B10308" s="4" t="s">
        <v>20303</v>
      </c>
      <c r="C10308" s="4"/>
      <c r="D10308" s="4" t="s">
        <v>20857</v>
      </c>
      <c r="E10308" s="4" t="s">
        <v>20858</v>
      </c>
      <c r="F10308" s="4" t="s">
        <v>20859</v>
      </c>
    </row>
    <row r="10309">
      <c r="A10309" s="4">
        <v>266.0</v>
      </c>
      <c r="B10309" s="4" t="s">
        <v>20303</v>
      </c>
      <c r="C10309" s="4"/>
      <c r="D10309" s="4" t="s">
        <v>20860</v>
      </c>
      <c r="E10309" s="4" t="s">
        <v>20852</v>
      </c>
      <c r="F10309" s="4" t="s">
        <v>20853</v>
      </c>
    </row>
    <row r="10310">
      <c r="A10310" s="4">
        <v>267.0</v>
      </c>
      <c r="B10310" s="4" t="s">
        <v>20303</v>
      </c>
      <c r="C10310" s="4"/>
      <c r="D10310" s="4" t="s">
        <v>20861</v>
      </c>
      <c r="E10310" s="4" t="s">
        <v>20855</v>
      </c>
      <c r="F10310" s="4" t="s">
        <v>20856</v>
      </c>
    </row>
    <row r="10311">
      <c r="A10311" s="4">
        <v>268.0</v>
      </c>
      <c r="B10311" s="4" t="s">
        <v>20303</v>
      </c>
      <c r="C10311" s="4"/>
      <c r="D10311" s="4" t="s">
        <v>20862</v>
      </c>
      <c r="E10311" s="4" t="s">
        <v>20863</v>
      </c>
      <c r="F10311" s="4" t="s">
        <v>20864</v>
      </c>
    </row>
    <row r="10312">
      <c r="A10312" s="4">
        <v>269.0</v>
      </c>
      <c r="B10312" s="4" t="s">
        <v>20303</v>
      </c>
      <c r="C10312" s="4"/>
      <c r="D10312" s="4" t="s">
        <v>11949</v>
      </c>
      <c r="E10312" s="4" t="s">
        <v>20865</v>
      </c>
      <c r="F10312" s="4" t="s">
        <v>20866</v>
      </c>
    </row>
    <row r="10313">
      <c r="A10313" s="4">
        <v>270.0</v>
      </c>
      <c r="B10313" s="4" t="s">
        <v>20303</v>
      </c>
      <c r="C10313" s="4"/>
      <c r="D10313" s="4" t="s">
        <v>20867</v>
      </c>
      <c r="E10313" s="4" t="s">
        <v>20868</v>
      </c>
      <c r="F10313" s="4" t="s">
        <v>20869</v>
      </c>
    </row>
    <row r="10314">
      <c r="A10314" s="4">
        <v>271.0</v>
      </c>
      <c r="B10314" s="4" t="s">
        <v>20303</v>
      </c>
      <c r="C10314" s="4"/>
      <c r="D10314" s="4" t="s">
        <v>20870</v>
      </c>
      <c r="E10314" s="4" t="s">
        <v>20871</v>
      </c>
      <c r="F10314" s="4" t="s">
        <v>20872</v>
      </c>
    </row>
    <row r="10315">
      <c r="A10315" s="4">
        <v>272.0</v>
      </c>
      <c r="B10315" s="4" t="s">
        <v>20303</v>
      </c>
      <c r="C10315" s="4"/>
      <c r="D10315" s="4" t="s">
        <v>20873</v>
      </c>
      <c r="E10315" s="4" t="s">
        <v>1185</v>
      </c>
      <c r="F10315" s="4" t="s">
        <v>1186</v>
      </c>
      <c r="G10315" s="4"/>
      <c r="H10315" s="4" t="s">
        <v>1044</v>
      </c>
      <c r="I10315" s="4" t="s">
        <v>1187</v>
      </c>
      <c r="J10315" s="4" t="s">
        <v>1188</v>
      </c>
      <c r="K10315" s="4" t="s">
        <v>11871</v>
      </c>
      <c r="L10315" s="4" t="s">
        <v>1189</v>
      </c>
    </row>
    <row r="10316">
      <c r="A10316" s="4">
        <v>273.0</v>
      </c>
      <c r="B10316" s="4" t="s">
        <v>20303</v>
      </c>
      <c r="C10316" s="4"/>
      <c r="D10316" s="4" t="s">
        <v>20874</v>
      </c>
      <c r="E10316" s="4" t="s">
        <v>20875</v>
      </c>
      <c r="F10316" s="4" t="s">
        <v>20876</v>
      </c>
    </row>
    <row r="10317">
      <c r="A10317" s="4">
        <v>274.0</v>
      </c>
      <c r="B10317" s="4" t="s">
        <v>20303</v>
      </c>
      <c r="C10317" s="4"/>
      <c r="D10317" s="4" t="s">
        <v>20877</v>
      </c>
      <c r="E10317" s="4" t="s">
        <v>20878</v>
      </c>
      <c r="F10317" s="4" t="s">
        <v>20879</v>
      </c>
    </row>
    <row r="10318">
      <c r="A10318" s="4">
        <v>275.0</v>
      </c>
      <c r="B10318" s="4" t="s">
        <v>20303</v>
      </c>
      <c r="C10318" s="4"/>
      <c r="D10318" s="4" t="s">
        <v>20880</v>
      </c>
      <c r="E10318" s="4" t="s">
        <v>20881</v>
      </c>
      <c r="F10318" s="4" t="s">
        <v>20882</v>
      </c>
    </row>
    <row r="10319">
      <c r="A10319" s="4">
        <v>276.0</v>
      </c>
      <c r="B10319" s="4" t="s">
        <v>20303</v>
      </c>
      <c r="C10319" s="4"/>
      <c r="D10319" s="4" t="s">
        <v>20883</v>
      </c>
      <c r="E10319" s="4" t="s">
        <v>20884</v>
      </c>
      <c r="F10319" s="4" t="s">
        <v>20885</v>
      </c>
    </row>
    <row r="10320">
      <c r="A10320" s="4">
        <v>277.0</v>
      </c>
      <c r="B10320" s="4" t="s">
        <v>20303</v>
      </c>
      <c r="C10320" s="4"/>
      <c r="D10320" s="4" t="s">
        <v>20886</v>
      </c>
      <c r="E10320" s="4" t="s">
        <v>17710</v>
      </c>
      <c r="F10320" s="4" t="s">
        <v>17711</v>
      </c>
    </row>
    <row r="10321">
      <c r="A10321" s="4">
        <v>278.0</v>
      </c>
      <c r="B10321" s="4" t="s">
        <v>20303</v>
      </c>
      <c r="C10321" s="4"/>
      <c r="D10321" s="4" t="s">
        <v>1554</v>
      </c>
      <c r="E10321" s="4" t="s">
        <v>1555</v>
      </c>
      <c r="F10321" s="4" t="s">
        <v>1556</v>
      </c>
      <c r="G10321" s="4"/>
      <c r="H10321" s="4" t="s">
        <v>1554</v>
      </c>
    </row>
    <row r="10322">
      <c r="A10322" s="4">
        <v>279.0</v>
      </c>
      <c r="B10322" s="4" t="s">
        <v>20303</v>
      </c>
      <c r="C10322" s="4"/>
      <c r="D10322" s="4" t="s">
        <v>12185</v>
      </c>
      <c r="E10322" s="4" t="s">
        <v>1600</v>
      </c>
      <c r="F10322" s="4" t="s">
        <v>1601</v>
      </c>
    </row>
    <row r="10323">
      <c r="A10323" s="4">
        <v>280.0</v>
      </c>
      <c r="B10323" s="4" t="s">
        <v>20303</v>
      </c>
      <c r="C10323" s="4"/>
      <c r="D10323" s="4" t="s">
        <v>1580</v>
      </c>
      <c r="E10323" s="4" t="s">
        <v>1581</v>
      </c>
      <c r="F10323" s="4" t="s">
        <v>1582</v>
      </c>
    </row>
    <row r="10324">
      <c r="A10324" s="4">
        <v>281.0</v>
      </c>
      <c r="B10324" s="4" t="s">
        <v>20303</v>
      </c>
      <c r="C10324" s="4"/>
      <c r="D10324" s="4" t="s">
        <v>20887</v>
      </c>
      <c r="E10324" s="4" t="s">
        <v>17817</v>
      </c>
      <c r="F10324" s="4" t="s">
        <v>10111</v>
      </c>
    </row>
    <row r="10325">
      <c r="A10325" s="4">
        <v>282.0</v>
      </c>
      <c r="B10325" s="4" t="s">
        <v>20303</v>
      </c>
      <c r="C10325" s="4"/>
      <c r="D10325" s="4" t="s">
        <v>20888</v>
      </c>
      <c r="E10325" s="4" t="s">
        <v>20889</v>
      </c>
      <c r="F10325" s="4" t="s">
        <v>20890</v>
      </c>
    </row>
    <row r="10326">
      <c r="A10326" s="4">
        <v>283.0</v>
      </c>
      <c r="B10326" s="4" t="s">
        <v>20303</v>
      </c>
      <c r="C10326" s="4"/>
      <c r="D10326" s="4" t="s">
        <v>20891</v>
      </c>
      <c r="E10326" s="4" t="s">
        <v>20892</v>
      </c>
      <c r="F10326" s="4" t="s">
        <v>20893</v>
      </c>
    </row>
    <row r="10327">
      <c r="A10327" s="4">
        <v>284.0</v>
      </c>
      <c r="B10327" s="4" t="s">
        <v>20303</v>
      </c>
      <c r="C10327" s="4"/>
      <c r="D10327" s="4" t="s">
        <v>1628</v>
      </c>
      <c r="E10327" s="4" t="s">
        <v>1629</v>
      </c>
      <c r="F10327" s="4" t="s">
        <v>1630</v>
      </c>
    </row>
    <row r="10328">
      <c r="A10328" s="4">
        <v>285.0</v>
      </c>
      <c r="B10328" s="4" t="s">
        <v>20303</v>
      </c>
      <c r="C10328" s="4"/>
      <c r="D10328" s="4" t="s">
        <v>20894</v>
      </c>
      <c r="E10328" s="4" t="s">
        <v>20895</v>
      </c>
      <c r="F10328" s="4" t="s">
        <v>20896</v>
      </c>
    </row>
    <row r="10329">
      <c r="A10329" s="4">
        <v>286.0</v>
      </c>
      <c r="B10329" s="4" t="s">
        <v>20303</v>
      </c>
      <c r="C10329" s="4"/>
      <c r="D10329" s="4" t="s">
        <v>20897</v>
      </c>
      <c r="E10329" s="4" t="s">
        <v>17847</v>
      </c>
      <c r="F10329" s="4" t="s">
        <v>17846</v>
      </c>
    </row>
    <row r="10330">
      <c r="A10330" s="4">
        <v>287.0</v>
      </c>
      <c r="B10330" s="4" t="s">
        <v>20303</v>
      </c>
      <c r="C10330" s="4"/>
      <c r="D10330" s="4" t="s">
        <v>20898</v>
      </c>
      <c r="E10330" s="4" t="s">
        <v>20899</v>
      </c>
      <c r="F10330" s="4" t="s">
        <v>20900</v>
      </c>
    </row>
    <row r="10331">
      <c r="A10331" s="4">
        <v>288.0</v>
      </c>
      <c r="B10331" s="4" t="s">
        <v>20303</v>
      </c>
      <c r="C10331" s="4"/>
      <c r="D10331" s="4" t="s">
        <v>20901</v>
      </c>
      <c r="E10331" s="4" t="s">
        <v>20902</v>
      </c>
      <c r="F10331" s="4" t="s">
        <v>20903</v>
      </c>
    </row>
    <row r="10332">
      <c r="A10332" s="4">
        <v>289.0</v>
      </c>
      <c r="B10332" s="4" t="s">
        <v>20303</v>
      </c>
      <c r="C10332" s="4"/>
      <c r="D10332" s="4" t="s">
        <v>16660</v>
      </c>
      <c r="E10332" s="4" t="s">
        <v>15066</v>
      </c>
      <c r="F10332" s="4" t="s">
        <v>10135</v>
      </c>
      <c r="G10332" s="4"/>
      <c r="H10332" s="4" t="s">
        <v>20904</v>
      </c>
      <c r="I10332" s="4" t="s">
        <v>20905</v>
      </c>
      <c r="J10332" s="4" t="s">
        <v>20906</v>
      </c>
      <c r="K10332" s="4" t="s">
        <v>17157</v>
      </c>
      <c r="L10332" s="4" t="s">
        <v>9239</v>
      </c>
      <c r="M10332" s="4" t="s">
        <v>20907</v>
      </c>
      <c r="N10332" s="4" t="s">
        <v>20908</v>
      </c>
      <c r="O10332" s="4" t="s">
        <v>20904</v>
      </c>
      <c r="P10332" s="4" t="s">
        <v>20909</v>
      </c>
      <c r="Q10332" s="4" t="s">
        <v>20910</v>
      </c>
      <c r="R10332" s="4" t="s">
        <v>20911</v>
      </c>
      <c r="S10332" s="4" t="s">
        <v>2125</v>
      </c>
    </row>
    <row r="10333">
      <c r="A10333" s="4">
        <v>290.0</v>
      </c>
      <c r="B10333" s="4" t="s">
        <v>20303</v>
      </c>
      <c r="C10333" s="4"/>
      <c r="D10333" s="4" t="s">
        <v>1646</v>
      </c>
      <c r="E10333" s="4" t="s">
        <v>1647</v>
      </c>
      <c r="F10333" s="4" t="s">
        <v>1648</v>
      </c>
      <c r="G10333" s="4"/>
      <c r="H10333" s="4" t="s">
        <v>1656</v>
      </c>
      <c r="I10333" s="4" t="s">
        <v>1657</v>
      </c>
      <c r="J10333" s="4" t="s">
        <v>1658</v>
      </c>
      <c r="K10333" s="4" t="s">
        <v>1659</v>
      </c>
      <c r="L10333" s="4" t="s">
        <v>20912</v>
      </c>
      <c r="M10333" s="4" t="s">
        <v>1661</v>
      </c>
    </row>
    <row r="10334">
      <c r="A10334" s="4">
        <v>291.0</v>
      </c>
      <c r="B10334" s="4" t="s">
        <v>20303</v>
      </c>
      <c r="C10334" s="4"/>
      <c r="D10334" s="4" t="s">
        <v>1662</v>
      </c>
      <c r="E10334" s="4" t="s">
        <v>1665</v>
      </c>
      <c r="F10334" s="4" t="s">
        <v>1666</v>
      </c>
      <c r="G10334" s="4"/>
      <c r="H10334" s="4" t="s">
        <v>1663</v>
      </c>
      <c r="I10334" s="4" t="s">
        <v>1658</v>
      </c>
      <c r="J10334" s="4" t="s">
        <v>1664</v>
      </c>
      <c r="K10334" s="4" t="s">
        <v>20913</v>
      </c>
      <c r="L10334" s="4" t="s">
        <v>1664</v>
      </c>
      <c r="M10334" s="4" t="s">
        <v>1658</v>
      </c>
    </row>
    <row r="10335">
      <c r="A10335" s="4">
        <v>292.0</v>
      </c>
      <c r="B10335" s="4" t="s">
        <v>20303</v>
      </c>
      <c r="C10335" s="4"/>
      <c r="D10335" s="4" t="s">
        <v>20914</v>
      </c>
      <c r="E10335" s="4" t="s">
        <v>20915</v>
      </c>
      <c r="F10335" s="4" t="s">
        <v>20916</v>
      </c>
    </row>
    <row r="10336">
      <c r="A10336" s="4">
        <v>293.0</v>
      </c>
      <c r="B10336" s="4" t="s">
        <v>20303</v>
      </c>
      <c r="C10336" s="4"/>
      <c r="D10336" s="4" t="s">
        <v>1690</v>
      </c>
      <c r="E10336" s="4" t="s">
        <v>1674</v>
      </c>
      <c r="F10336" s="4" t="s">
        <v>1675</v>
      </c>
    </row>
    <row r="10337">
      <c r="A10337" s="4">
        <v>294.0</v>
      </c>
      <c r="B10337" s="4" t="s">
        <v>20303</v>
      </c>
      <c r="C10337" s="4"/>
      <c r="D10337" s="4" t="s">
        <v>20917</v>
      </c>
      <c r="E10337" s="4" t="s">
        <v>20918</v>
      </c>
      <c r="F10337" s="4" t="s">
        <v>20919</v>
      </c>
    </row>
    <row r="10338">
      <c r="A10338" s="4">
        <v>295.0</v>
      </c>
      <c r="B10338" s="4" t="s">
        <v>20303</v>
      </c>
      <c r="C10338" s="4"/>
      <c r="D10338" s="4" t="s">
        <v>20920</v>
      </c>
      <c r="E10338" s="4" t="s">
        <v>20921</v>
      </c>
      <c r="F10338" s="4" t="s">
        <v>20922</v>
      </c>
      <c r="G10338" s="4"/>
      <c r="H10338" s="4" t="s">
        <v>20920</v>
      </c>
      <c r="I10338" s="4" t="s">
        <v>20923</v>
      </c>
      <c r="J10338" s="4" t="s">
        <v>20924</v>
      </c>
      <c r="K10338" s="4" t="s">
        <v>1696</v>
      </c>
    </row>
    <row r="10339">
      <c r="A10339" s="4">
        <v>296.0</v>
      </c>
      <c r="B10339" s="4" t="s">
        <v>20303</v>
      </c>
      <c r="C10339" s="4"/>
      <c r="D10339" s="4" t="s">
        <v>20925</v>
      </c>
      <c r="E10339" s="4" t="s">
        <v>20926</v>
      </c>
      <c r="F10339" s="4" t="s">
        <v>20927</v>
      </c>
      <c r="G10339" s="4"/>
      <c r="H10339" s="4" t="s">
        <v>20928</v>
      </c>
      <c r="I10339" s="4" t="s">
        <v>20929</v>
      </c>
      <c r="J10339" s="4" t="s">
        <v>20930</v>
      </c>
    </row>
    <row r="10340">
      <c r="A10340" s="4">
        <v>297.0</v>
      </c>
      <c r="B10340" s="4" t="s">
        <v>20303</v>
      </c>
      <c r="C10340" s="4"/>
      <c r="D10340" s="4" t="s">
        <v>20931</v>
      </c>
      <c r="E10340" s="4" t="s">
        <v>5223</v>
      </c>
      <c r="F10340" s="4" t="s">
        <v>5224</v>
      </c>
      <c r="G10340" s="4"/>
      <c r="H10340" s="4" t="s">
        <v>20932</v>
      </c>
      <c r="I10340" s="4" t="s">
        <v>20933</v>
      </c>
      <c r="J10340" s="4" t="s">
        <v>20934</v>
      </c>
    </row>
    <row r="10341">
      <c r="A10341" s="4">
        <v>298.0</v>
      </c>
      <c r="B10341" s="4" t="s">
        <v>20303</v>
      </c>
      <c r="C10341" s="4"/>
      <c r="D10341" s="4" t="s">
        <v>20935</v>
      </c>
      <c r="E10341" s="4" t="s">
        <v>20936</v>
      </c>
      <c r="F10341" s="4" t="s">
        <v>20937</v>
      </c>
    </row>
    <row r="10342">
      <c r="A10342" s="4">
        <v>299.0</v>
      </c>
      <c r="B10342" s="4" t="s">
        <v>20303</v>
      </c>
      <c r="C10342" s="4"/>
      <c r="D10342" s="4" t="s">
        <v>20938</v>
      </c>
      <c r="E10342" s="4" t="s">
        <v>20939</v>
      </c>
      <c r="F10342" s="4" t="s">
        <v>20940</v>
      </c>
      <c r="G10342" s="4"/>
      <c r="H10342" s="4" t="s">
        <v>20941</v>
      </c>
      <c r="I10342" s="4" t="s">
        <v>20942</v>
      </c>
      <c r="J10342" s="4" t="s">
        <v>13584</v>
      </c>
      <c r="K10342" s="4" t="s">
        <v>20943</v>
      </c>
      <c r="L10342" s="4" t="s">
        <v>20944</v>
      </c>
      <c r="M10342" s="4" t="s">
        <v>20945</v>
      </c>
      <c r="N10342" s="4" t="s">
        <v>20941</v>
      </c>
      <c r="O10342" s="4" t="s">
        <v>13584</v>
      </c>
      <c r="P10342" s="4" t="s">
        <v>2130</v>
      </c>
      <c r="Q10342" s="4" t="s">
        <v>13584</v>
      </c>
      <c r="R10342" s="4" t="s">
        <v>20946</v>
      </c>
      <c r="S10342" s="4" t="s">
        <v>20947</v>
      </c>
      <c r="T10342" s="4" t="s">
        <v>20948</v>
      </c>
    </row>
    <row r="10343">
      <c r="A10343" s="4">
        <v>300.0</v>
      </c>
      <c r="B10343" s="4" t="s">
        <v>20303</v>
      </c>
      <c r="C10343" s="4"/>
      <c r="D10343" s="4" t="s">
        <v>20949</v>
      </c>
      <c r="E10343" s="4" t="s">
        <v>20950</v>
      </c>
      <c r="F10343" s="4" t="s">
        <v>20951</v>
      </c>
    </row>
    <row r="10344">
      <c r="A10344" s="4">
        <v>301.0</v>
      </c>
      <c r="B10344" s="4" t="s">
        <v>20303</v>
      </c>
      <c r="C10344" s="4"/>
      <c r="D10344" s="4" t="s">
        <v>20952</v>
      </c>
      <c r="E10344" s="4" t="s">
        <v>1558</v>
      </c>
      <c r="F10344" s="4" t="s">
        <v>1559</v>
      </c>
      <c r="G10344" s="4"/>
      <c r="H10344" s="4" t="s">
        <v>20953</v>
      </c>
      <c r="I10344" s="4" t="s">
        <v>5920</v>
      </c>
      <c r="J10344" s="4" t="s">
        <v>5920</v>
      </c>
      <c r="K10344" s="4" t="s">
        <v>20954</v>
      </c>
      <c r="L10344" s="4" t="s">
        <v>20955</v>
      </c>
    </row>
    <row r="10345">
      <c r="A10345" s="4">
        <v>302.0</v>
      </c>
      <c r="B10345" s="4" t="s">
        <v>20303</v>
      </c>
      <c r="C10345" s="4"/>
      <c r="D10345" s="4" t="s">
        <v>17085</v>
      </c>
      <c r="E10345" s="4" t="s">
        <v>17539</v>
      </c>
      <c r="F10345" s="4" t="s">
        <v>3801</v>
      </c>
    </row>
    <row r="10346">
      <c r="A10346" s="4">
        <v>303.0</v>
      </c>
      <c r="B10346" s="4" t="s">
        <v>20303</v>
      </c>
      <c r="C10346" s="4"/>
      <c r="D10346" s="4" t="s">
        <v>20956</v>
      </c>
      <c r="E10346" s="4" t="s">
        <v>20957</v>
      </c>
      <c r="F10346" s="4" t="s">
        <v>10035</v>
      </c>
    </row>
    <row r="10347">
      <c r="A10347" s="4">
        <v>304.0</v>
      </c>
      <c r="B10347" s="4" t="s">
        <v>20303</v>
      </c>
      <c r="C10347" s="4"/>
      <c r="D10347" s="4" t="s">
        <v>20958</v>
      </c>
      <c r="E10347" s="4" t="s">
        <v>20959</v>
      </c>
      <c r="F10347" s="4" t="s">
        <v>20960</v>
      </c>
    </row>
    <row r="10348">
      <c r="A10348" s="4">
        <v>305.0</v>
      </c>
      <c r="B10348" s="4" t="s">
        <v>20303</v>
      </c>
      <c r="C10348" s="4"/>
      <c r="D10348" s="4" t="s">
        <v>20961</v>
      </c>
      <c r="E10348" s="4" t="s">
        <v>20962</v>
      </c>
      <c r="F10348" s="4" t="s">
        <v>20963</v>
      </c>
      <c r="G10348" s="4"/>
      <c r="H10348" s="4" t="s">
        <v>9055</v>
      </c>
      <c r="I10348" s="4" t="s">
        <v>3424</v>
      </c>
      <c r="J10348" s="4" t="s">
        <v>15181</v>
      </c>
      <c r="K10348" s="4" t="s">
        <v>15181</v>
      </c>
      <c r="L10348" s="4" t="s">
        <v>20964</v>
      </c>
      <c r="M10348" s="4" t="s">
        <v>14041</v>
      </c>
      <c r="N10348" s="4" t="s">
        <v>1088</v>
      </c>
      <c r="O10348" s="4" t="s">
        <v>20965</v>
      </c>
      <c r="P10348" s="4" t="s">
        <v>6564</v>
      </c>
      <c r="Q10348" s="4" t="s">
        <v>20966</v>
      </c>
      <c r="R10348" s="4" t="s">
        <v>20967</v>
      </c>
      <c r="S10348" s="4" t="s">
        <v>20968</v>
      </c>
      <c r="T10348" s="4" t="s">
        <v>7212</v>
      </c>
      <c r="U10348" s="4" t="s">
        <v>20969</v>
      </c>
      <c r="V10348" s="4" t="s">
        <v>20970</v>
      </c>
      <c r="W10348" s="4" t="s">
        <v>20971</v>
      </c>
      <c r="X10348" s="4" t="s">
        <v>7115</v>
      </c>
      <c r="Y10348" s="4" t="s">
        <v>14501</v>
      </c>
      <c r="Z10348" s="4" t="s">
        <v>20972</v>
      </c>
      <c r="AA10348" s="4" t="s">
        <v>7115</v>
      </c>
      <c r="AB10348" s="4" t="s">
        <v>7890</v>
      </c>
      <c r="AC10348" s="4" t="s">
        <v>20973</v>
      </c>
      <c r="AD10348" s="4" t="s">
        <v>20970</v>
      </c>
      <c r="AE10348" s="4" t="s">
        <v>15181</v>
      </c>
      <c r="AF10348" s="4" t="s">
        <v>3424</v>
      </c>
      <c r="AG10348" s="4" t="s">
        <v>15181</v>
      </c>
      <c r="AH10348" s="4" t="s">
        <v>15181</v>
      </c>
      <c r="AI10348" s="4" t="s">
        <v>20974</v>
      </c>
      <c r="AJ10348" s="4" t="s">
        <v>20975</v>
      </c>
    </row>
    <row r="10349">
      <c r="A10349" s="4">
        <v>306.0</v>
      </c>
      <c r="B10349" s="4" t="s">
        <v>20303</v>
      </c>
      <c r="C10349" s="4"/>
      <c r="D10349" s="4" t="s">
        <v>20976</v>
      </c>
      <c r="E10349" s="4" t="s">
        <v>20977</v>
      </c>
      <c r="F10349" s="4" t="s">
        <v>20978</v>
      </c>
    </row>
    <row r="10350">
      <c r="A10350" s="4">
        <v>307.0</v>
      </c>
      <c r="B10350" s="4" t="s">
        <v>20303</v>
      </c>
      <c r="C10350" s="4"/>
      <c r="D10350" s="4" t="s">
        <v>20979</v>
      </c>
      <c r="E10350" s="4" t="s">
        <v>20980</v>
      </c>
      <c r="F10350" s="4" t="s">
        <v>6469</v>
      </c>
    </row>
    <row r="10351">
      <c r="A10351" s="4">
        <v>308.0</v>
      </c>
      <c r="B10351" s="4" t="s">
        <v>20303</v>
      </c>
      <c r="C10351" s="4"/>
      <c r="D10351" s="4" t="s">
        <v>20981</v>
      </c>
      <c r="E10351" s="4" t="s">
        <v>20982</v>
      </c>
      <c r="F10351" s="4" t="s">
        <v>20983</v>
      </c>
    </row>
    <row r="10352">
      <c r="A10352" s="4">
        <v>309.0</v>
      </c>
      <c r="B10352" s="4" t="s">
        <v>20303</v>
      </c>
      <c r="C10352" s="4"/>
      <c r="D10352" s="4" t="s">
        <v>1777</v>
      </c>
      <c r="E10352" s="4" t="s">
        <v>509</v>
      </c>
      <c r="F10352" s="4" t="s">
        <v>508</v>
      </c>
    </row>
    <row r="10353">
      <c r="A10353" s="4">
        <v>310.0</v>
      </c>
      <c r="B10353" s="4" t="s">
        <v>20303</v>
      </c>
      <c r="C10353" s="4"/>
      <c r="D10353" s="4" t="s">
        <v>14147</v>
      </c>
      <c r="E10353" s="4" t="s">
        <v>14148</v>
      </c>
      <c r="F10353" s="4" t="s">
        <v>14149</v>
      </c>
    </row>
    <row r="10354">
      <c r="A10354" s="4">
        <v>311.0</v>
      </c>
      <c r="B10354" s="4" t="s">
        <v>20303</v>
      </c>
      <c r="C10354" s="4"/>
      <c r="D10354" s="4" t="s">
        <v>20984</v>
      </c>
      <c r="E10354" s="4" t="s">
        <v>11622</v>
      </c>
      <c r="F10354" s="4" t="s">
        <v>11621</v>
      </c>
      <c r="G10354" s="4"/>
      <c r="H10354" s="4" t="s">
        <v>20985</v>
      </c>
      <c r="I10354" s="4" t="s">
        <v>20986</v>
      </c>
    </row>
    <row r="10355">
      <c r="A10355" s="4">
        <v>312.0</v>
      </c>
      <c r="B10355" s="4" t="s">
        <v>20303</v>
      </c>
      <c r="C10355" s="4"/>
      <c r="D10355" s="4" t="s">
        <v>20987</v>
      </c>
      <c r="E10355" s="4" t="s">
        <v>20988</v>
      </c>
      <c r="F10355" s="4" t="s">
        <v>20989</v>
      </c>
    </row>
    <row r="10356">
      <c r="A10356" s="4">
        <v>313.0</v>
      </c>
      <c r="B10356" s="4" t="s">
        <v>20303</v>
      </c>
      <c r="C10356" s="4"/>
      <c r="D10356" s="4" t="s">
        <v>20990</v>
      </c>
      <c r="E10356" s="4" t="s">
        <v>20991</v>
      </c>
      <c r="F10356" s="4" t="s">
        <v>20992</v>
      </c>
    </row>
    <row r="10357">
      <c r="A10357" s="4">
        <v>314.0</v>
      </c>
      <c r="B10357" s="4" t="s">
        <v>20303</v>
      </c>
      <c r="C10357" s="4"/>
      <c r="D10357" s="4" t="s">
        <v>1786</v>
      </c>
      <c r="E10357" s="4" t="s">
        <v>593</v>
      </c>
      <c r="F10357" s="4" t="s">
        <v>594</v>
      </c>
    </row>
    <row r="10358">
      <c r="A10358" s="4">
        <v>315.0</v>
      </c>
      <c r="B10358" s="4" t="s">
        <v>20303</v>
      </c>
      <c r="C10358" s="4"/>
      <c r="D10358" s="4" t="s">
        <v>20993</v>
      </c>
      <c r="E10358" s="4" t="s">
        <v>20994</v>
      </c>
      <c r="F10358" s="4" t="s">
        <v>20995</v>
      </c>
    </row>
    <row r="10359">
      <c r="A10359" s="4">
        <v>316.0</v>
      </c>
      <c r="B10359" s="4" t="s">
        <v>20303</v>
      </c>
      <c r="C10359" s="4"/>
      <c r="D10359" s="4" t="s">
        <v>20993</v>
      </c>
      <c r="E10359" s="4" t="s">
        <v>20996</v>
      </c>
      <c r="F10359" s="4" t="s">
        <v>20997</v>
      </c>
    </row>
    <row r="10360">
      <c r="A10360" s="4">
        <v>317.0</v>
      </c>
      <c r="B10360" s="4" t="s">
        <v>20303</v>
      </c>
      <c r="C10360" s="4"/>
      <c r="D10360" s="4" t="s">
        <v>20998</v>
      </c>
      <c r="E10360" s="4" t="s">
        <v>20999</v>
      </c>
      <c r="F10360" s="4" t="s">
        <v>21000</v>
      </c>
    </row>
    <row r="10361">
      <c r="A10361" s="4">
        <v>318.0</v>
      </c>
      <c r="B10361" s="4" t="s">
        <v>20303</v>
      </c>
      <c r="C10361" s="4"/>
      <c r="D10361" s="4" t="s">
        <v>21001</v>
      </c>
      <c r="E10361" s="4" t="s">
        <v>21002</v>
      </c>
      <c r="F10361" s="4" t="s">
        <v>21003</v>
      </c>
      <c r="G10361" s="4"/>
      <c r="H10361" s="4" t="s">
        <v>21004</v>
      </c>
    </row>
    <row r="10362">
      <c r="A10362" s="4">
        <v>319.0</v>
      </c>
      <c r="B10362" s="4" t="s">
        <v>20303</v>
      </c>
      <c r="C10362" s="4"/>
      <c r="D10362" s="4" t="s">
        <v>21005</v>
      </c>
      <c r="E10362" s="4" t="s">
        <v>21006</v>
      </c>
      <c r="F10362" s="4" t="s">
        <v>21007</v>
      </c>
    </row>
    <row r="10363">
      <c r="A10363" s="4">
        <v>320.0</v>
      </c>
      <c r="B10363" s="4" t="s">
        <v>20303</v>
      </c>
      <c r="C10363" s="4"/>
      <c r="D10363" s="4" t="s">
        <v>21008</v>
      </c>
      <c r="E10363" s="4" t="s">
        <v>818</v>
      </c>
      <c r="F10363" s="4" t="s">
        <v>817</v>
      </c>
    </row>
    <row r="10364">
      <c r="A10364" s="4">
        <v>321.0</v>
      </c>
      <c r="B10364" s="4" t="s">
        <v>20303</v>
      </c>
      <c r="C10364" s="4"/>
      <c r="D10364" s="4" t="s">
        <v>21009</v>
      </c>
      <c r="E10364" s="4" t="s">
        <v>821</v>
      </c>
      <c r="F10364" s="4" t="s">
        <v>820</v>
      </c>
    </row>
    <row r="10365">
      <c r="A10365" s="4">
        <v>322.0</v>
      </c>
      <c r="B10365" s="4" t="s">
        <v>20303</v>
      </c>
      <c r="C10365" s="4"/>
      <c r="D10365" s="4" t="s">
        <v>21010</v>
      </c>
      <c r="E10365" s="4" t="s">
        <v>20613</v>
      </c>
      <c r="F10365" s="4" t="s">
        <v>20614</v>
      </c>
    </row>
    <row r="10366">
      <c r="A10366" s="4">
        <v>323.0</v>
      </c>
      <c r="B10366" s="4" t="s">
        <v>20303</v>
      </c>
      <c r="C10366" s="4"/>
      <c r="D10366" s="4" t="s">
        <v>1787</v>
      </c>
      <c r="E10366" s="4" t="s">
        <v>294</v>
      </c>
      <c r="F10366" s="4" t="s">
        <v>295</v>
      </c>
    </row>
    <row r="10367">
      <c r="A10367" s="4">
        <v>324.0</v>
      </c>
      <c r="B10367" s="4" t="s">
        <v>20303</v>
      </c>
      <c r="C10367" s="4"/>
      <c r="D10367" s="4" t="s">
        <v>21011</v>
      </c>
      <c r="E10367" s="4" t="s">
        <v>5089</v>
      </c>
      <c r="F10367" s="4" t="s">
        <v>5090</v>
      </c>
      <c r="G10367" s="4"/>
      <c r="H10367" s="4" t="s">
        <v>4701</v>
      </c>
      <c r="I10367" s="4" t="s">
        <v>4702</v>
      </c>
      <c r="J10367" s="4" t="s">
        <v>14809</v>
      </c>
      <c r="K10367" s="4" t="s">
        <v>6861</v>
      </c>
    </row>
    <row r="10368">
      <c r="A10368" s="4">
        <v>325.0</v>
      </c>
      <c r="B10368" s="4" t="s">
        <v>20303</v>
      </c>
      <c r="C10368" s="4"/>
      <c r="D10368" s="4" t="s">
        <v>21012</v>
      </c>
      <c r="E10368" s="4" t="s">
        <v>21013</v>
      </c>
      <c r="F10368" s="4" t="s">
        <v>21014</v>
      </c>
    </row>
    <row r="10369">
      <c r="A10369" s="4">
        <v>326.0</v>
      </c>
      <c r="B10369" s="4" t="s">
        <v>20303</v>
      </c>
      <c r="C10369" s="4"/>
      <c r="D10369" s="4" t="s">
        <v>21015</v>
      </c>
      <c r="E10369" s="4" t="s">
        <v>21016</v>
      </c>
      <c r="F10369" s="4" t="s">
        <v>21017</v>
      </c>
      <c r="G10369" s="4"/>
      <c r="H10369" s="4" t="s">
        <v>8976</v>
      </c>
      <c r="I10369" s="4" t="s">
        <v>20970</v>
      </c>
      <c r="J10369" s="4" t="s">
        <v>7901</v>
      </c>
      <c r="K10369" s="4" t="s">
        <v>7897</v>
      </c>
    </row>
    <row r="10370">
      <c r="A10370" s="4">
        <v>327.0</v>
      </c>
      <c r="B10370" s="4" t="s">
        <v>20303</v>
      </c>
      <c r="C10370" s="4"/>
      <c r="D10370" s="4" t="s">
        <v>21018</v>
      </c>
      <c r="E10370" s="4" t="s">
        <v>21019</v>
      </c>
      <c r="F10370" s="4" t="s">
        <v>21020</v>
      </c>
    </row>
    <row r="10371">
      <c r="A10371" s="4">
        <v>328.0</v>
      </c>
      <c r="B10371" s="4" t="s">
        <v>20303</v>
      </c>
      <c r="C10371" s="4"/>
      <c r="D10371" s="4" t="s">
        <v>6251</v>
      </c>
      <c r="E10371" s="4" t="s">
        <v>21021</v>
      </c>
      <c r="F10371" s="4" t="s">
        <v>15902</v>
      </c>
    </row>
    <row r="10372">
      <c r="A10372" s="4">
        <v>329.0</v>
      </c>
      <c r="B10372" s="4" t="s">
        <v>20303</v>
      </c>
      <c r="C10372" s="4"/>
      <c r="D10372" s="4" t="s">
        <v>1805</v>
      </c>
      <c r="E10372" s="4" t="s">
        <v>1806</v>
      </c>
      <c r="F10372" s="4" t="s">
        <v>1807</v>
      </c>
    </row>
    <row r="10373">
      <c r="A10373" s="4">
        <v>330.0</v>
      </c>
      <c r="B10373" s="4" t="s">
        <v>20303</v>
      </c>
      <c r="C10373" s="4"/>
      <c r="D10373" s="4" t="s">
        <v>20015</v>
      </c>
      <c r="E10373" s="4" t="s">
        <v>1843</v>
      </c>
      <c r="F10373" s="4" t="s">
        <v>1844</v>
      </c>
    </row>
    <row r="10374">
      <c r="A10374" s="4">
        <v>331.0</v>
      </c>
      <c r="B10374" s="4" t="s">
        <v>20303</v>
      </c>
      <c r="C10374" s="4"/>
      <c r="D10374" s="4" t="s">
        <v>1815</v>
      </c>
      <c r="E10374" s="4" t="s">
        <v>1816</v>
      </c>
      <c r="F10374" s="4" t="s">
        <v>1817</v>
      </c>
    </row>
    <row r="10375">
      <c r="A10375" s="4">
        <v>332.0</v>
      </c>
      <c r="B10375" s="4" t="s">
        <v>20303</v>
      </c>
      <c r="C10375" s="4"/>
      <c r="D10375" s="4" t="s">
        <v>21022</v>
      </c>
      <c r="E10375" s="4" t="s">
        <v>21023</v>
      </c>
      <c r="F10375" s="4" t="s">
        <v>21024</v>
      </c>
    </row>
    <row r="10376">
      <c r="A10376" s="4">
        <v>333.0</v>
      </c>
      <c r="B10376" s="4" t="s">
        <v>20303</v>
      </c>
      <c r="C10376" s="4"/>
      <c r="D10376" s="4" t="s">
        <v>21025</v>
      </c>
      <c r="E10376" s="4" t="s">
        <v>21026</v>
      </c>
      <c r="F10376" s="4" t="s">
        <v>21027</v>
      </c>
    </row>
    <row r="10377">
      <c r="A10377" s="4">
        <v>334.0</v>
      </c>
      <c r="B10377" s="4" t="s">
        <v>20303</v>
      </c>
      <c r="C10377" s="4"/>
      <c r="D10377" s="4" t="s">
        <v>21028</v>
      </c>
      <c r="E10377" s="4" t="s">
        <v>21029</v>
      </c>
      <c r="F10377" s="4" t="s">
        <v>21030</v>
      </c>
    </row>
    <row r="10378">
      <c r="A10378" s="4">
        <v>335.0</v>
      </c>
      <c r="B10378" s="4" t="s">
        <v>20303</v>
      </c>
      <c r="C10378" s="4"/>
      <c r="D10378" s="4" t="s">
        <v>1862</v>
      </c>
      <c r="E10378" s="4" t="s">
        <v>1863</v>
      </c>
      <c r="F10378" s="4" t="s">
        <v>1864</v>
      </c>
    </row>
    <row r="10379">
      <c r="A10379" s="4">
        <v>336.0</v>
      </c>
      <c r="B10379" s="4" t="s">
        <v>20303</v>
      </c>
      <c r="C10379" s="4"/>
      <c r="D10379" s="4" t="s">
        <v>21031</v>
      </c>
      <c r="E10379" s="4" t="s">
        <v>21032</v>
      </c>
      <c r="F10379" s="4" t="s">
        <v>21033</v>
      </c>
    </row>
    <row r="10380">
      <c r="A10380" s="4">
        <v>337.0</v>
      </c>
      <c r="B10380" s="4" t="s">
        <v>20303</v>
      </c>
      <c r="C10380" s="4"/>
      <c r="D10380" s="4" t="s">
        <v>21034</v>
      </c>
      <c r="E10380" s="4" t="s">
        <v>21035</v>
      </c>
      <c r="F10380" s="4" t="s">
        <v>21036</v>
      </c>
    </row>
    <row r="10381">
      <c r="A10381" s="4">
        <v>338.0</v>
      </c>
      <c r="B10381" s="4" t="s">
        <v>20303</v>
      </c>
      <c r="C10381" s="4"/>
      <c r="D10381" s="4" t="s">
        <v>21037</v>
      </c>
      <c r="E10381" s="4" t="s">
        <v>21038</v>
      </c>
      <c r="F10381" s="4" t="s">
        <v>21039</v>
      </c>
    </row>
    <row r="10382">
      <c r="A10382" s="4">
        <v>339.0</v>
      </c>
      <c r="B10382" s="4" t="s">
        <v>20303</v>
      </c>
      <c r="C10382" s="4"/>
      <c r="D10382" s="4" t="s">
        <v>21040</v>
      </c>
      <c r="E10382" s="4" t="s">
        <v>21041</v>
      </c>
      <c r="F10382" s="4" t="s">
        <v>21042</v>
      </c>
    </row>
    <row r="10383">
      <c r="A10383" s="4">
        <v>340.0</v>
      </c>
      <c r="B10383" s="4" t="s">
        <v>20303</v>
      </c>
      <c r="C10383" s="4"/>
      <c r="D10383" s="4" t="s">
        <v>21043</v>
      </c>
      <c r="E10383" s="4" t="s">
        <v>21044</v>
      </c>
      <c r="F10383" s="4" t="s">
        <v>21045</v>
      </c>
    </row>
    <row r="10384">
      <c r="A10384" s="4">
        <v>341.0</v>
      </c>
      <c r="B10384" s="4" t="s">
        <v>20303</v>
      </c>
      <c r="C10384" s="4"/>
      <c r="D10384" s="4" t="s">
        <v>21046</v>
      </c>
      <c r="E10384" s="4" t="s">
        <v>21047</v>
      </c>
      <c r="F10384" s="4" t="s">
        <v>19726</v>
      </c>
      <c r="G10384" s="4"/>
      <c r="H10384" s="4" t="s">
        <v>21048</v>
      </c>
    </row>
    <row r="10385">
      <c r="A10385" s="4">
        <v>342.0</v>
      </c>
      <c r="B10385" s="4" t="s">
        <v>20303</v>
      </c>
      <c r="C10385" s="4"/>
      <c r="D10385" s="4" t="s">
        <v>21049</v>
      </c>
      <c r="E10385" s="4" t="s">
        <v>21050</v>
      </c>
      <c r="F10385" s="4" t="s">
        <v>14405</v>
      </c>
    </row>
    <row r="10386">
      <c r="A10386" s="4">
        <v>343.0</v>
      </c>
      <c r="B10386" s="4" t="s">
        <v>20303</v>
      </c>
      <c r="C10386" s="4"/>
      <c r="D10386" s="4" t="s">
        <v>21051</v>
      </c>
      <c r="E10386" s="4" t="s">
        <v>21052</v>
      </c>
      <c r="F10386" s="4" t="s">
        <v>21051</v>
      </c>
    </row>
    <row r="10387">
      <c r="A10387" s="4">
        <v>344.0</v>
      </c>
      <c r="B10387" s="4" t="s">
        <v>20303</v>
      </c>
      <c r="C10387" s="4"/>
      <c r="D10387" s="4" t="s">
        <v>19622</v>
      </c>
      <c r="E10387" s="4" t="s">
        <v>19623</v>
      </c>
      <c r="F10387" s="4" t="s">
        <v>19622</v>
      </c>
      <c r="G10387" s="4"/>
      <c r="H10387" s="4" t="s">
        <v>997</v>
      </c>
      <c r="I10387" s="4" t="s">
        <v>19624</v>
      </c>
      <c r="J10387" s="4" t="s">
        <v>19625</v>
      </c>
      <c r="K10387" s="4" t="s">
        <v>995</v>
      </c>
      <c r="L10387" s="4" t="s">
        <v>19626</v>
      </c>
      <c r="M10387" s="4" t="s">
        <v>21053</v>
      </c>
      <c r="N10387" s="4" t="s">
        <v>21054</v>
      </c>
      <c r="O10387" s="4" t="s">
        <v>4502</v>
      </c>
      <c r="P10387" s="4" t="s">
        <v>997</v>
      </c>
    </row>
    <row r="10388">
      <c r="A10388" s="4">
        <v>345.0</v>
      </c>
      <c r="B10388" s="4" t="s">
        <v>20303</v>
      </c>
      <c r="C10388" s="4"/>
      <c r="D10388" s="4" t="s">
        <v>21055</v>
      </c>
      <c r="E10388" s="4" t="s">
        <v>21056</v>
      </c>
      <c r="F10388" s="4" t="s">
        <v>21057</v>
      </c>
    </row>
    <row r="10389">
      <c r="A10389" s="4">
        <v>346.0</v>
      </c>
      <c r="B10389" s="4" t="s">
        <v>20303</v>
      </c>
      <c r="C10389" s="4"/>
      <c r="D10389" s="4" t="s">
        <v>21058</v>
      </c>
      <c r="E10389" s="4" t="s">
        <v>21059</v>
      </c>
      <c r="F10389" s="4" t="s">
        <v>21060</v>
      </c>
      <c r="G10389" s="4"/>
      <c r="H10389" s="4" t="s">
        <v>21061</v>
      </c>
      <c r="I10389" s="4" t="s">
        <v>21062</v>
      </c>
      <c r="J10389" s="4" t="s">
        <v>21063</v>
      </c>
      <c r="K10389" s="4" t="s">
        <v>21064</v>
      </c>
      <c r="L10389" s="4" t="s">
        <v>6694</v>
      </c>
      <c r="M10389" s="4" t="s">
        <v>15341</v>
      </c>
      <c r="N10389" s="4" t="s">
        <v>21064</v>
      </c>
      <c r="O10389" s="4" t="s">
        <v>21065</v>
      </c>
      <c r="P10389" s="4" t="s">
        <v>21066</v>
      </c>
      <c r="Q10389" s="4" t="s">
        <v>21067</v>
      </c>
      <c r="R10389" s="4" t="s">
        <v>21061</v>
      </c>
    </row>
    <row r="10390">
      <c r="A10390" s="4">
        <v>347.0</v>
      </c>
      <c r="B10390" s="4" t="s">
        <v>20303</v>
      </c>
      <c r="C10390" s="4"/>
      <c r="D10390" s="4" t="s">
        <v>21068</v>
      </c>
      <c r="E10390" s="4" t="s">
        <v>21069</v>
      </c>
      <c r="F10390" s="4" t="s">
        <v>21070</v>
      </c>
    </row>
    <row r="10391">
      <c r="A10391" s="4">
        <v>348.0</v>
      </c>
      <c r="B10391" s="4" t="s">
        <v>20303</v>
      </c>
      <c r="C10391" s="4"/>
      <c r="D10391" s="4" t="s">
        <v>21071</v>
      </c>
      <c r="E10391" s="4" t="s">
        <v>21072</v>
      </c>
      <c r="F10391" s="4" t="s">
        <v>21073</v>
      </c>
    </row>
    <row r="10392">
      <c r="A10392" s="4">
        <v>349.0</v>
      </c>
      <c r="B10392" s="4" t="s">
        <v>20303</v>
      </c>
      <c r="C10392" s="4"/>
      <c r="D10392" s="4" t="s">
        <v>21074</v>
      </c>
      <c r="E10392" s="4" t="s">
        <v>21069</v>
      </c>
      <c r="F10392" s="4" t="s">
        <v>21070</v>
      </c>
    </row>
    <row r="10393">
      <c r="A10393" s="4">
        <v>350.0</v>
      </c>
      <c r="B10393" s="4" t="s">
        <v>20303</v>
      </c>
      <c r="C10393" s="4"/>
      <c r="D10393" s="4" t="s">
        <v>21075</v>
      </c>
      <c r="E10393" s="4" t="s">
        <v>21072</v>
      </c>
      <c r="F10393" s="4" t="s">
        <v>21073</v>
      </c>
    </row>
    <row r="10394">
      <c r="A10394" s="4">
        <v>351.0</v>
      </c>
      <c r="B10394" s="4" t="s">
        <v>20303</v>
      </c>
      <c r="C10394" s="4"/>
      <c r="D10394" s="4" t="s">
        <v>21076</v>
      </c>
      <c r="E10394" s="4" t="s">
        <v>21077</v>
      </c>
      <c r="F10394" s="4" t="s">
        <v>21078</v>
      </c>
    </row>
    <row r="10395">
      <c r="A10395" s="4">
        <v>352.0</v>
      </c>
      <c r="B10395" s="4" t="s">
        <v>20303</v>
      </c>
      <c r="C10395" s="4"/>
      <c r="D10395" s="4" t="s">
        <v>310</v>
      </c>
      <c r="E10395" s="4" t="s">
        <v>309</v>
      </c>
      <c r="F10395" s="4" t="s">
        <v>310</v>
      </c>
    </row>
    <row r="10396">
      <c r="A10396" s="4">
        <v>353.0</v>
      </c>
      <c r="B10396" s="4" t="s">
        <v>20303</v>
      </c>
      <c r="C10396" s="4"/>
      <c r="D10396" s="4" t="s">
        <v>310</v>
      </c>
      <c r="E10396" s="4" t="s">
        <v>1902</v>
      </c>
      <c r="F10396" s="4" t="s">
        <v>1903</v>
      </c>
    </row>
    <row r="10397">
      <c r="A10397" s="4">
        <v>354.0</v>
      </c>
      <c r="B10397" s="4" t="s">
        <v>20303</v>
      </c>
      <c r="C10397" s="4"/>
      <c r="D10397" s="4" t="s">
        <v>21079</v>
      </c>
      <c r="E10397" s="4" t="s">
        <v>21080</v>
      </c>
      <c r="F10397" s="4" t="s">
        <v>21079</v>
      </c>
    </row>
    <row r="10398">
      <c r="A10398" s="4">
        <v>355.0</v>
      </c>
      <c r="B10398" s="4" t="s">
        <v>20303</v>
      </c>
      <c r="C10398" s="4"/>
      <c r="D10398" s="4" t="s">
        <v>1905</v>
      </c>
      <c r="E10398" s="4" t="s">
        <v>1912</v>
      </c>
      <c r="F10398" s="4" t="s">
        <v>1905</v>
      </c>
      <c r="G10398" s="4"/>
      <c r="H10398" s="4" t="s">
        <v>21081</v>
      </c>
      <c r="I10398" s="4" t="s">
        <v>21082</v>
      </c>
      <c r="J10398" s="4" t="s">
        <v>21083</v>
      </c>
      <c r="K10398" s="4" t="s">
        <v>1908</v>
      </c>
      <c r="L10398" s="4" t="s">
        <v>1909</v>
      </c>
      <c r="M10398" s="4" t="s">
        <v>1910</v>
      </c>
      <c r="N10398" s="4" t="s">
        <v>1911</v>
      </c>
      <c r="O10398" s="4" t="s">
        <v>1909</v>
      </c>
      <c r="P10398" s="4" t="s">
        <v>2617</v>
      </c>
    </row>
    <row r="10399">
      <c r="A10399" s="4">
        <v>356.0</v>
      </c>
      <c r="B10399" s="4" t="s">
        <v>20303</v>
      </c>
      <c r="C10399" s="4"/>
      <c r="D10399" s="4" t="s">
        <v>21084</v>
      </c>
      <c r="E10399" s="4" t="s">
        <v>1902</v>
      </c>
      <c r="F10399" s="4" t="s">
        <v>1903</v>
      </c>
      <c r="G10399" s="4"/>
      <c r="H10399" s="4" t="s">
        <v>1904</v>
      </c>
      <c r="I10399" s="4" t="s">
        <v>310</v>
      </c>
      <c r="J10399" s="4" t="s">
        <v>1900</v>
      </c>
    </row>
    <row r="10400">
      <c r="A10400" s="4">
        <v>357.0</v>
      </c>
      <c r="B10400" s="4" t="s">
        <v>20303</v>
      </c>
      <c r="C10400" s="4"/>
      <c r="D10400" s="4" t="s">
        <v>1913</v>
      </c>
      <c r="E10400" s="4" t="s">
        <v>1914</v>
      </c>
      <c r="F10400" s="4" t="s">
        <v>1915</v>
      </c>
      <c r="G10400" s="4"/>
      <c r="H10400" s="4" t="s">
        <v>21085</v>
      </c>
      <c r="I10400" s="4" t="s">
        <v>6270</v>
      </c>
    </row>
    <row r="10401">
      <c r="A10401" s="4">
        <v>358.0</v>
      </c>
      <c r="B10401" s="4" t="s">
        <v>20303</v>
      </c>
      <c r="C10401" s="4"/>
      <c r="D10401" s="4" t="s">
        <v>1916</v>
      </c>
      <c r="E10401" s="4" t="s">
        <v>1917</v>
      </c>
      <c r="F10401" s="4" t="s">
        <v>1918</v>
      </c>
    </row>
    <row r="10402">
      <c r="A10402" s="4">
        <v>359.0</v>
      </c>
      <c r="B10402" s="4" t="s">
        <v>20303</v>
      </c>
      <c r="C10402" s="4"/>
      <c r="D10402" s="4" t="s">
        <v>21086</v>
      </c>
      <c r="E10402" s="4" t="s">
        <v>21087</v>
      </c>
      <c r="F10402" s="4" t="s">
        <v>21088</v>
      </c>
    </row>
    <row r="10403">
      <c r="A10403" s="4">
        <v>360.0</v>
      </c>
      <c r="B10403" s="4" t="s">
        <v>20303</v>
      </c>
      <c r="C10403" s="4"/>
      <c r="D10403" s="4" t="s">
        <v>1919</v>
      </c>
      <c r="E10403" s="4" t="s">
        <v>1922</v>
      </c>
      <c r="F10403" s="4" t="s">
        <v>1923</v>
      </c>
    </row>
    <row r="10404">
      <c r="A10404" s="4">
        <v>361.0</v>
      </c>
      <c r="B10404" s="4" t="s">
        <v>20303</v>
      </c>
      <c r="C10404" s="4"/>
      <c r="D10404" s="4" t="s">
        <v>21089</v>
      </c>
      <c r="E10404" s="4" t="s">
        <v>21090</v>
      </c>
      <c r="F10404" s="4" t="s">
        <v>21091</v>
      </c>
    </row>
    <row r="10405">
      <c r="A10405" s="4">
        <v>362.0</v>
      </c>
      <c r="B10405" s="4" t="s">
        <v>20303</v>
      </c>
      <c r="C10405" s="4"/>
      <c r="D10405" s="4" t="s">
        <v>1940</v>
      </c>
      <c r="E10405" s="4" t="s">
        <v>1941</v>
      </c>
      <c r="F10405" s="4" t="s">
        <v>1940</v>
      </c>
      <c r="G10405" s="4"/>
      <c r="H10405" s="4" t="s">
        <v>1942</v>
      </c>
    </row>
    <row r="10406">
      <c r="A10406" s="4">
        <v>363.0</v>
      </c>
      <c r="B10406" s="4" t="s">
        <v>20303</v>
      </c>
      <c r="C10406" s="4"/>
      <c r="D10406" s="4" t="s">
        <v>1943</v>
      </c>
      <c r="E10406" s="4" t="s">
        <v>1944</v>
      </c>
      <c r="F10406" s="4" t="s">
        <v>1945</v>
      </c>
      <c r="G10406" s="4"/>
      <c r="H10406" s="4" t="s">
        <v>1946</v>
      </c>
      <c r="I10406" s="4" t="s">
        <v>1947</v>
      </c>
      <c r="J10406" s="4" t="s">
        <v>1948</v>
      </c>
      <c r="K10406" s="4" t="s">
        <v>1949</v>
      </c>
      <c r="L10406" s="4" t="s">
        <v>1950</v>
      </c>
      <c r="M10406" s="4" t="s">
        <v>1951</v>
      </c>
      <c r="N10406" s="4" t="s">
        <v>1952</v>
      </c>
      <c r="O10406" s="4" t="s">
        <v>1953</v>
      </c>
      <c r="P10406" s="4" t="s">
        <v>1954</v>
      </c>
      <c r="Q10406" s="4" t="s">
        <v>1955</v>
      </c>
      <c r="R10406" s="4" t="s">
        <v>1956</v>
      </c>
      <c r="S10406" s="4" t="s">
        <v>1957</v>
      </c>
      <c r="T10406" s="4" t="s">
        <v>1958</v>
      </c>
      <c r="U10406" s="4" t="s">
        <v>1959</v>
      </c>
      <c r="V10406" s="4" t="s">
        <v>1960</v>
      </c>
      <c r="W10406" s="4" t="s">
        <v>1961</v>
      </c>
      <c r="X10406" s="4" t="s">
        <v>1962</v>
      </c>
      <c r="Y10406" s="4" t="s">
        <v>1963</v>
      </c>
      <c r="Z10406" s="4" t="s">
        <v>1964</v>
      </c>
      <c r="AA10406" s="4" t="s">
        <v>1965</v>
      </c>
      <c r="AB10406" s="4" t="s">
        <v>1966</v>
      </c>
      <c r="AC10406" s="4" t="s">
        <v>1962</v>
      </c>
      <c r="AD10406" s="4" t="s">
        <v>1950</v>
      </c>
      <c r="AE10406" s="4" t="s">
        <v>1967</v>
      </c>
      <c r="AF10406" s="4" t="s">
        <v>1968</v>
      </c>
      <c r="AG10406" s="4" t="s">
        <v>1967</v>
      </c>
      <c r="AH10406" s="4" t="s">
        <v>1969</v>
      </c>
      <c r="AI10406" s="4" t="s">
        <v>1970</v>
      </c>
      <c r="AJ10406" s="4" t="s">
        <v>1971</v>
      </c>
      <c r="AK10406" s="4" t="s">
        <v>1972</v>
      </c>
      <c r="AL10406" s="4" t="s">
        <v>1973</v>
      </c>
    </row>
    <row r="10407">
      <c r="A10407" s="4">
        <v>364.0</v>
      </c>
      <c r="B10407" s="4" t="s">
        <v>20303</v>
      </c>
      <c r="C10407" s="4"/>
      <c r="D10407" s="4" t="s">
        <v>21092</v>
      </c>
      <c r="E10407" s="4" t="s">
        <v>21093</v>
      </c>
      <c r="F10407" s="4" t="s">
        <v>21092</v>
      </c>
      <c r="G10407" s="4"/>
      <c r="H10407" s="4" t="s">
        <v>636</v>
      </c>
      <c r="I10407" s="4" t="s">
        <v>637</v>
      </c>
      <c r="J10407" s="4" t="s">
        <v>638</v>
      </c>
      <c r="K10407" s="4" t="s">
        <v>637</v>
      </c>
      <c r="L10407" s="4" t="s">
        <v>639</v>
      </c>
      <c r="M10407" s="4" t="s">
        <v>640</v>
      </c>
      <c r="N10407" s="4" t="s">
        <v>642</v>
      </c>
      <c r="O10407" s="4" t="s">
        <v>643</v>
      </c>
      <c r="P10407" s="4" t="s">
        <v>644</v>
      </c>
      <c r="Q10407" s="4" t="s">
        <v>645</v>
      </c>
      <c r="R10407" s="4" t="s">
        <v>637</v>
      </c>
      <c r="S10407" s="4" t="s">
        <v>636</v>
      </c>
      <c r="T10407" s="4" t="s">
        <v>639</v>
      </c>
      <c r="U10407" s="4" t="s">
        <v>6684</v>
      </c>
      <c r="V10407" s="4" t="s">
        <v>21094</v>
      </c>
      <c r="W10407" s="4" t="s">
        <v>20679</v>
      </c>
      <c r="X10407" s="4" t="s">
        <v>15196</v>
      </c>
      <c r="Y10407" s="4" t="s">
        <v>15474</v>
      </c>
      <c r="Z10407" s="4" t="s">
        <v>4146</v>
      </c>
      <c r="AA10407" s="4" t="s">
        <v>21095</v>
      </c>
      <c r="AB10407" s="4" t="s">
        <v>646</v>
      </c>
      <c r="AC10407" s="4" t="s">
        <v>637</v>
      </c>
      <c r="AD10407" s="4" t="s">
        <v>647</v>
      </c>
      <c r="AE10407" s="4" t="s">
        <v>648</v>
      </c>
      <c r="AF10407" s="4" t="s">
        <v>649</v>
      </c>
      <c r="AG10407" s="4" t="s">
        <v>637</v>
      </c>
      <c r="AH10407" s="4" t="s">
        <v>648</v>
      </c>
      <c r="AI10407" s="4" t="s">
        <v>650</v>
      </c>
      <c r="AJ10407" s="4" t="s">
        <v>637</v>
      </c>
      <c r="AK10407" s="4" t="s">
        <v>651</v>
      </c>
      <c r="AL10407" s="4" t="s">
        <v>21096</v>
      </c>
      <c r="AM10407" s="4" t="s">
        <v>11016</v>
      </c>
      <c r="AN10407" s="4" t="s">
        <v>16226</v>
      </c>
      <c r="AO10407" s="4" t="s">
        <v>646</v>
      </c>
      <c r="AP10407" s="4" t="s">
        <v>1266</v>
      </c>
    </row>
    <row r="10408">
      <c r="A10408" s="4">
        <v>365.0</v>
      </c>
      <c r="B10408" s="4" t="s">
        <v>20303</v>
      </c>
      <c r="C10408" s="4"/>
      <c r="D10408" s="4" t="s">
        <v>1983</v>
      </c>
      <c r="E10408" s="4" t="s">
        <v>1984</v>
      </c>
      <c r="F10408" s="4" t="s">
        <v>1983</v>
      </c>
      <c r="G10408" s="4"/>
      <c r="H10408" s="4" t="s">
        <v>1985</v>
      </c>
      <c r="I10408" s="4" t="s">
        <v>1986</v>
      </c>
      <c r="J10408" s="4" t="s">
        <v>1987</v>
      </c>
      <c r="K10408" s="4" t="s">
        <v>1983</v>
      </c>
      <c r="L10408" s="4" t="s">
        <v>1986</v>
      </c>
      <c r="M10408" s="4" t="s">
        <v>1988</v>
      </c>
      <c r="N10408" s="4" t="s">
        <v>1987</v>
      </c>
      <c r="O10408" s="4" t="s">
        <v>1986</v>
      </c>
      <c r="P10408" s="4" t="s">
        <v>1989</v>
      </c>
    </row>
    <row r="10409">
      <c r="A10409" s="4">
        <v>366.0</v>
      </c>
      <c r="B10409" s="4" t="s">
        <v>20303</v>
      </c>
      <c r="C10409" s="4"/>
      <c r="D10409" s="4" t="s">
        <v>1997</v>
      </c>
      <c r="E10409" s="4" t="s">
        <v>1996</v>
      </c>
      <c r="F10409" s="4" t="s">
        <v>1997</v>
      </c>
    </row>
    <row r="10410">
      <c r="A10410" s="4">
        <v>367.0</v>
      </c>
      <c r="B10410" s="4" t="s">
        <v>20303</v>
      </c>
      <c r="C10410" s="4"/>
      <c r="D10410" s="4" t="s">
        <v>21097</v>
      </c>
      <c r="E10410" s="4" t="s">
        <v>21098</v>
      </c>
      <c r="F10410" s="4" t="s">
        <v>21097</v>
      </c>
    </row>
    <row r="10411">
      <c r="A10411" s="4">
        <v>368.0</v>
      </c>
      <c r="B10411" s="4" t="s">
        <v>20303</v>
      </c>
      <c r="C10411" s="4"/>
      <c r="D10411" s="4" t="s">
        <v>21099</v>
      </c>
      <c r="E10411" s="4" t="s">
        <v>21100</v>
      </c>
      <c r="F10411" s="4" t="s">
        <v>21101</v>
      </c>
    </row>
    <row r="10412">
      <c r="A10412" s="4">
        <v>369.0</v>
      </c>
      <c r="B10412" s="4" t="s">
        <v>20303</v>
      </c>
      <c r="C10412" s="4"/>
      <c r="D10412" s="4" t="s">
        <v>21102</v>
      </c>
      <c r="E10412" s="4" t="s">
        <v>21098</v>
      </c>
      <c r="F10412" s="4" t="s">
        <v>21097</v>
      </c>
    </row>
    <row r="10413">
      <c r="A10413" s="4">
        <v>370.0</v>
      </c>
      <c r="B10413" s="4" t="s">
        <v>20303</v>
      </c>
      <c r="C10413" s="4"/>
      <c r="D10413" s="4" t="s">
        <v>21103</v>
      </c>
      <c r="E10413" s="4" t="s">
        <v>21098</v>
      </c>
      <c r="F10413" s="4" t="s">
        <v>21097</v>
      </c>
    </row>
    <row r="10414">
      <c r="A10414" s="4">
        <v>371.0</v>
      </c>
      <c r="B10414" s="4" t="s">
        <v>20303</v>
      </c>
      <c r="C10414" s="4"/>
      <c r="D10414" s="4" t="s">
        <v>21104</v>
      </c>
      <c r="E10414" s="4" t="s">
        <v>21105</v>
      </c>
      <c r="F10414" s="4" t="s">
        <v>21104</v>
      </c>
    </row>
    <row r="10415">
      <c r="A10415" s="4">
        <v>372.0</v>
      </c>
      <c r="B10415" s="4" t="s">
        <v>20303</v>
      </c>
      <c r="C10415" s="4"/>
      <c r="D10415" s="4" t="s">
        <v>2002</v>
      </c>
      <c r="E10415" s="4" t="s">
        <v>2003</v>
      </c>
      <c r="F10415" s="4" t="s">
        <v>2002</v>
      </c>
    </row>
    <row r="10416">
      <c r="A10416" s="4">
        <v>373.0</v>
      </c>
      <c r="B10416" s="4" t="s">
        <v>20303</v>
      </c>
      <c r="C10416" s="4"/>
      <c r="D10416" s="4" t="s">
        <v>19110</v>
      </c>
      <c r="E10416" s="4" t="s">
        <v>1984</v>
      </c>
      <c r="F10416" s="4" t="s">
        <v>1983</v>
      </c>
    </row>
    <row r="10417">
      <c r="A10417" s="4">
        <v>374.0</v>
      </c>
      <c r="B10417" s="4" t="s">
        <v>20303</v>
      </c>
      <c r="C10417" s="4"/>
      <c r="D10417" s="4" t="s">
        <v>21106</v>
      </c>
      <c r="E10417" s="4" t="s">
        <v>1991</v>
      </c>
      <c r="F10417" s="4" t="s">
        <v>1990</v>
      </c>
    </row>
    <row r="10418">
      <c r="A10418" s="4">
        <v>375.0</v>
      </c>
      <c r="B10418" s="4" t="s">
        <v>20303</v>
      </c>
      <c r="C10418" s="4"/>
      <c r="D10418" s="4" t="s">
        <v>1798</v>
      </c>
      <c r="E10418" s="4" t="s">
        <v>1797</v>
      </c>
      <c r="F10418" s="4" t="s">
        <v>1798</v>
      </c>
    </row>
    <row r="10419">
      <c r="A10419" s="4">
        <v>376.0</v>
      </c>
      <c r="B10419" s="4" t="s">
        <v>20303</v>
      </c>
      <c r="C10419" s="4"/>
      <c r="D10419" s="4" t="s">
        <v>21107</v>
      </c>
      <c r="E10419" s="4" t="s">
        <v>21108</v>
      </c>
      <c r="F10419" s="4" t="s">
        <v>21109</v>
      </c>
    </row>
    <row r="10420">
      <c r="A10420" s="4">
        <v>377.0</v>
      </c>
      <c r="B10420" s="4" t="s">
        <v>20303</v>
      </c>
      <c r="C10420" s="4"/>
      <c r="D10420" s="4" t="s">
        <v>5675</v>
      </c>
      <c r="E10420" s="4" t="s">
        <v>5674</v>
      </c>
      <c r="F10420" s="4" t="s">
        <v>5675</v>
      </c>
      <c r="G10420" s="4"/>
      <c r="H10420" s="4" t="s">
        <v>21110</v>
      </c>
    </row>
    <row r="10421">
      <c r="A10421" s="4">
        <v>378.0</v>
      </c>
      <c r="B10421" s="4" t="s">
        <v>20303</v>
      </c>
      <c r="C10421" s="4"/>
      <c r="D10421" s="4" t="s">
        <v>21111</v>
      </c>
      <c r="E10421" s="4" t="s">
        <v>21112</v>
      </c>
      <c r="F10421" s="4" t="s">
        <v>21111</v>
      </c>
    </row>
    <row r="10422">
      <c r="A10422" s="4">
        <v>379.0</v>
      </c>
      <c r="B10422" s="4" t="s">
        <v>20303</v>
      </c>
      <c r="C10422" s="4"/>
      <c r="D10422" s="4" t="s">
        <v>2009</v>
      </c>
      <c r="E10422" s="4" t="s">
        <v>17506</v>
      </c>
      <c r="F10422" s="4" t="s">
        <v>962</v>
      </c>
    </row>
    <row r="10423">
      <c r="A10423" s="4">
        <v>380.0</v>
      </c>
      <c r="B10423" s="4" t="s">
        <v>20303</v>
      </c>
      <c r="C10423" s="4"/>
      <c r="D10423" s="4" t="s">
        <v>21113</v>
      </c>
      <c r="E10423" s="4" t="s">
        <v>9072</v>
      </c>
      <c r="F10423" s="4" t="s">
        <v>9073</v>
      </c>
    </row>
    <row r="10424">
      <c r="A10424" s="4">
        <v>381.0</v>
      </c>
      <c r="B10424" s="4" t="s">
        <v>20303</v>
      </c>
      <c r="C10424" s="4"/>
      <c r="D10424" s="4" t="s">
        <v>21114</v>
      </c>
      <c r="E10424" s="4" t="s">
        <v>21115</v>
      </c>
      <c r="F10424" s="4" t="s">
        <v>21116</v>
      </c>
    </row>
    <row r="10425">
      <c r="A10425" s="4">
        <v>382.0</v>
      </c>
      <c r="B10425" s="4" t="s">
        <v>20303</v>
      </c>
      <c r="C10425" s="4"/>
      <c r="D10425" s="4" t="s">
        <v>21117</v>
      </c>
      <c r="E10425" s="4" t="s">
        <v>21118</v>
      </c>
      <c r="F10425" s="4" t="s">
        <v>21119</v>
      </c>
    </row>
    <row r="10426">
      <c r="A10426" s="4">
        <v>383.0</v>
      </c>
      <c r="B10426" s="4" t="s">
        <v>20303</v>
      </c>
      <c r="C10426" s="4"/>
      <c r="D10426" s="4" t="s">
        <v>17581</v>
      </c>
      <c r="E10426" s="4" t="s">
        <v>21120</v>
      </c>
      <c r="F10426" s="4" t="s">
        <v>9073</v>
      </c>
    </row>
    <row r="10427">
      <c r="A10427" s="4">
        <v>384.0</v>
      </c>
      <c r="B10427" s="4" t="s">
        <v>20303</v>
      </c>
      <c r="C10427" s="4"/>
      <c r="D10427" s="4" t="s">
        <v>21121</v>
      </c>
      <c r="E10427" s="4" t="s">
        <v>21122</v>
      </c>
      <c r="F10427" s="4" t="s">
        <v>21123</v>
      </c>
    </row>
    <row r="10428">
      <c r="A10428" s="4">
        <v>385.0</v>
      </c>
      <c r="B10428" s="4" t="s">
        <v>20303</v>
      </c>
      <c r="C10428" s="4"/>
      <c r="D10428" s="4" t="s">
        <v>21124</v>
      </c>
      <c r="E10428" s="4" t="s">
        <v>21122</v>
      </c>
      <c r="F10428" s="4" t="s">
        <v>21123</v>
      </c>
    </row>
    <row r="10429">
      <c r="A10429" s="4">
        <v>386.0</v>
      </c>
      <c r="B10429" s="4" t="s">
        <v>20303</v>
      </c>
      <c r="C10429" s="4"/>
      <c r="D10429" s="4" t="s">
        <v>21125</v>
      </c>
      <c r="E10429" s="4" t="s">
        <v>21120</v>
      </c>
      <c r="F10429" s="4" t="s">
        <v>9073</v>
      </c>
    </row>
    <row r="10430">
      <c r="A10430" s="4">
        <v>387.0</v>
      </c>
      <c r="B10430" s="4" t="s">
        <v>20303</v>
      </c>
      <c r="C10430" s="4"/>
      <c r="D10430" s="4" t="s">
        <v>21126</v>
      </c>
      <c r="E10430" s="4" t="s">
        <v>21127</v>
      </c>
      <c r="F10430" s="4" t="s">
        <v>21128</v>
      </c>
    </row>
    <row r="10431">
      <c r="A10431" s="4">
        <v>388.0</v>
      </c>
      <c r="B10431" s="4" t="s">
        <v>20303</v>
      </c>
      <c r="C10431" s="4"/>
      <c r="D10431" s="4" t="s">
        <v>21129</v>
      </c>
      <c r="E10431" s="4" t="s">
        <v>21130</v>
      </c>
      <c r="F10431" s="4" t="s">
        <v>992</v>
      </c>
      <c r="G10431" s="4"/>
      <c r="H10431" s="4" t="s">
        <v>7334</v>
      </c>
      <c r="I10431" s="4" t="s">
        <v>6291</v>
      </c>
      <c r="J10431" s="4" t="s">
        <v>21131</v>
      </c>
      <c r="K10431" s="4" t="s">
        <v>21132</v>
      </c>
      <c r="L10431" s="4" t="s">
        <v>21133</v>
      </c>
      <c r="M10431" s="4" t="s">
        <v>4433</v>
      </c>
    </row>
    <row r="10432">
      <c r="A10432" s="4">
        <v>389.0</v>
      </c>
      <c r="B10432" s="4" t="s">
        <v>20303</v>
      </c>
      <c r="C10432" s="4"/>
      <c r="D10432" s="4" t="s">
        <v>21134</v>
      </c>
      <c r="E10432" s="4" t="s">
        <v>17518</v>
      </c>
      <c r="F10432" s="4" t="s">
        <v>978</v>
      </c>
      <c r="G10432" s="4"/>
      <c r="H10432" s="4" t="s">
        <v>12300</v>
      </c>
      <c r="I10432" s="4" t="s">
        <v>12301</v>
      </c>
    </row>
    <row r="10433">
      <c r="A10433" s="4">
        <v>390.0</v>
      </c>
      <c r="B10433" s="4" t="s">
        <v>20303</v>
      </c>
      <c r="C10433" s="4"/>
      <c r="D10433" s="4" t="s">
        <v>21135</v>
      </c>
      <c r="E10433" s="4" t="s">
        <v>21136</v>
      </c>
      <c r="F10433" s="4" t="s">
        <v>21137</v>
      </c>
    </row>
    <row r="10434">
      <c r="A10434" s="4">
        <v>391.0</v>
      </c>
      <c r="B10434" s="4" t="s">
        <v>20303</v>
      </c>
      <c r="C10434" s="4"/>
      <c r="D10434" s="4" t="s">
        <v>9778</v>
      </c>
      <c r="E10434" s="4" t="s">
        <v>21138</v>
      </c>
      <c r="F10434" s="4" t="s">
        <v>1178</v>
      </c>
    </row>
    <row r="10435">
      <c r="A10435" s="4">
        <v>392.0</v>
      </c>
      <c r="B10435" s="4" t="s">
        <v>20303</v>
      </c>
      <c r="C10435" s="4"/>
      <c r="D10435" s="4" t="s">
        <v>21139</v>
      </c>
      <c r="E10435" s="4" t="s">
        <v>5637</v>
      </c>
      <c r="F10435" s="4" t="s">
        <v>5638</v>
      </c>
    </row>
    <row r="10436">
      <c r="A10436" s="4">
        <v>393.0</v>
      </c>
      <c r="B10436" s="4" t="s">
        <v>20303</v>
      </c>
      <c r="C10436" s="4"/>
      <c r="D10436" s="4" t="s">
        <v>21140</v>
      </c>
      <c r="E10436" s="4" t="s">
        <v>21141</v>
      </c>
      <c r="F10436" s="4" t="s">
        <v>21142</v>
      </c>
    </row>
    <row r="10437">
      <c r="A10437" s="4">
        <v>394.0</v>
      </c>
      <c r="B10437" s="4" t="s">
        <v>20303</v>
      </c>
      <c r="C10437" s="4"/>
      <c r="D10437" s="4" t="s">
        <v>21143</v>
      </c>
      <c r="E10437" s="4" t="s">
        <v>21144</v>
      </c>
      <c r="F10437" s="4" t="s">
        <v>20700</v>
      </c>
    </row>
    <row r="10438">
      <c r="A10438" s="4">
        <v>395.0</v>
      </c>
      <c r="B10438" s="4" t="s">
        <v>20303</v>
      </c>
      <c r="C10438" s="4"/>
      <c r="D10438" s="4" t="s">
        <v>21145</v>
      </c>
      <c r="E10438" s="4" t="s">
        <v>21146</v>
      </c>
      <c r="F10438" s="4" t="s">
        <v>1307</v>
      </c>
    </row>
    <row r="10439">
      <c r="A10439" s="4">
        <v>396.0</v>
      </c>
      <c r="B10439" s="4" t="s">
        <v>20303</v>
      </c>
      <c r="C10439" s="4"/>
      <c r="D10439" s="4" t="s">
        <v>21147</v>
      </c>
      <c r="E10439" s="4" t="s">
        <v>21148</v>
      </c>
      <c r="F10439" s="4" t="s">
        <v>21149</v>
      </c>
      <c r="G10439" s="4"/>
      <c r="H10439" s="4" t="s">
        <v>21150</v>
      </c>
      <c r="I10439" s="4" t="s">
        <v>21151</v>
      </c>
      <c r="J10439" s="4" t="s">
        <v>21152</v>
      </c>
      <c r="K10439" s="4" t="s">
        <v>21153</v>
      </c>
    </row>
    <row r="10440">
      <c r="A10440" s="4">
        <v>397.0</v>
      </c>
      <c r="B10440" s="4" t="s">
        <v>20303</v>
      </c>
      <c r="C10440" s="4"/>
      <c r="D10440" s="4" t="s">
        <v>17035</v>
      </c>
      <c r="E10440" s="4" t="s">
        <v>17483</v>
      </c>
      <c r="F10440" s="4" t="s">
        <v>2014</v>
      </c>
    </row>
    <row r="10441">
      <c r="A10441" s="4">
        <v>398.0</v>
      </c>
      <c r="B10441" s="4" t="s">
        <v>20303</v>
      </c>
      <c r="C10441" s="4"/>
      <c r="D10441" s="4" t="s">
        <v>21154</v>
      </c>
      <c r="E10441" s="4" t="s">
        <v>21155</v>
      </c>
      <c r="F10441" s="4" t="s">
        <v>21156</v>
      </c>
    </row>
    <row r="10442">
      <c r="A10442" s="4">
        <v>399.0</v>
      </c>
      <c r="B10442" s="4" t="s">
        <v>20303</v>
      </c>
      <c r="C10442" s="4"/>
      <c r="D10442" s="4" t="s">
        <v>21157</v>
      </c>
      <c r="E10442" s="4" t="s">
        <v>21158</v>
      </c>
      <c r="F10442" s="4" t="s">
        <v>21159</v>
      </c>
    </row>
    <row r="10443">
      <c r="A10443" s="4">
        <v>400.0</v>
      </c>
      <c r="B10443" s="4" t="s">
        <v>20303</v>
      </c>
      <c r="C10443" s="4"/>
      <c r="D10443" s="4" t="s">
        <v>21160</v>
      </c>
      <c r="E10443" s="4" t="s">
        <v>21161</v>
      </c>
      <c r="F10443" s="4" t="s">
        <v>21162</v>
      </c>
    </row>
    <row r="10444">
      <c r="A10444" s="4">
        <v>401.0</v>
      </c>
      <c r="B10444" s="4" t="s">
        <v>20303</v>
      </c>
      <c r="C10444" s="4"/>
      <c r="D10444" s="4" t="s">
        <v>17656</v>
      </c>
      <c r="E10444" s="4" t="s">
        <v>21163</v>
      </c>
      <c r="F10444" s="4" t="s">
        <v>17846</v>
      </c>
    </row>
    <row r="10445">
      <c r="A10445" s="4">
        <v>402.0</v>
      </c>
      <c r="B10445" s="4" t="s">
        <v>20303</v>
      </c>
      <c r="C10445" s="4"/>
      <c r="D10445" s="4" t="s">
        <v>21164</v>
      </c>
      <c r="E10445" s="4" t="s">
        <v>21165</v>
      </c>
      <c r="F10445" s="4" t="s">
        <v>21166</v>
      </c>
    </row>
    <row r="10446">
      <c r="A10446" s="4">
        <v>403.0</v>
      </c>
      <c r="B10446" s="4" t="s">
        <v>20303</v>
      </c>
      <c r="C10446" s="4"/>
      <c r="D10446" s="4" t="s">
        <v>21167</v>
      </c>
      <c r="E10446" s="4" t="s">
        <v>21168</v>
      </c>
      <c r="F10446" s="4" t="s">
        <v>1648</v>
      </c>
    </row>
    <row r="10447">
      <c r="A10447" s="4">
        <v>404.0</v>
      </c>
      <c r="B10447" s="4" t="s">
        <v>20303</v>
      </c>
      <c r="C10447" s="4"/>
      <c r="D10447" s="4" t="s">
        <v>21169</v>
      </c>
      <c r="E10447" s="4" t="s">
        <v>21170</v>
      </c>
      <c r="F10447" s="4" t="s">
        <v>1666</v>
      </c>
      <c r="G10447" s="4"/>
      <c r="H10447" s="4" t="s">
        <v>21171</v>
      </c>
      <c r="I10447" s="4" t="s">
        <v>19172</v>
      </c>
      <c r="J10447" s="4" t="s">
        <v>21172</v>
      </c>
      <c r="K10447" s="4" t="s">
        <v>21173</v>
      </c>
      <c r="L10447" s="4" t="s">
        <v>21174</v>
      </c>
      <c r="M10447" s="4" t="s">
        <v>21175</v>
      </c>
      <c r="N10447" s="4" t="s">
        <v>18957</v>
      </c>
      <c r="O10447" s="4" t="s">
        <v>21176</v>
      </c>
      <c r="P10447" s="4" t="s">
        <v>21173</v>
      </c>
    </row>
    <row r="10448">
      <c r="A10448" s="4">
        <v>405.0</v>
      </c>
      <c r="B10448" s="4" t="s">
        <v>20303</v>
      </c>
      <c r="C10448" s="4"/>
      <c r="D10448" s="4" t="s">
        <v>21177</v>
      </c>
      <c r="E10448" s="4" t="s">
        <v>21178</v>
      </c>
      <c r="F10448" s="4" t="s">
        <v>21179</v>
      </c>
    </row>
    <row r="10449">
      <c r="A10449" s="4">
        <v>406.0</v>
      </c>
      <c r="B10449" s="4" t="s">
        <v>20303</v>
      </c>
      <c r="C10449" s="4"/>
      <c r="D10449" s="4" t="s">
        <v>21180</v>
      </c>
      <c r="E10449" s="4" t="s">
        <v>21181</v>
      </c>
      <c r="F10449" s="4" t="s">
        <v>21182</v>
      </c>
    </row>
    <row r="10450">
      <c r="A10450" s="4">
        <v>407.0</v>
      </c>
      <c r="B10450" s="4" t="s">
        <v>20303</v>
      </c>
      <c r="C10450" s="4"/>
      <c r="D10450" s="4" t="s">
        <v>21183</v>
      </c>
      <c r="E10450" s="4" t="s">
        <v>21184</v>
      </c>
      <c r="F10450" s="4" t="s">
        <v>21185</v>
      </c>
    </row>
    <row r="10451">
      <c r="A10451" s="4">
        <v>408.0</v>
      </c>
      <c r="B10451" s="4" t="s">
        <v>20303</v>
      </c>
      <c r="C10451" s="4"/>
      <c r="D10451" s="4" t="s">
        <v>21186</v>
      </c>
      <c r="E10451" s="4" t="s">
        <v>21187</v>
      </c>
      <c r="F10451" s="4" t="s">
        <v>21188</v>
      </c>
    </row>
    <row r="10452">
      <c r="A10452" s="4">
        <v>409.0</v>
      </c>
      <c r="B10452" s="4" t="s">
        <v>20303</v>
      </c>
      <c r="C10452" s="4"/>
      <c r="D10452" s="4" t="s">
        <v>962</v>
      </c>
      <c r="E10452" s="4" t="s">
        <v>961</v>
      </c>
      <c r="F10452" s="4" t="s">
        <v>962</v>
      </c>
    </row>
    <row r="10453">
      <c r="A10453" s="4">
        <v>410.0</v>
      </c>
      <c r="B10453" s="4" t="s">
        <v>20303</v>
      </c>
      <c r="C10453" s="4"/>
      <c r="D10453" s="4" t="s">
        <v>12448</v>
      </c>
      <c r="E10453" s="4" t="s">
        <v>1232</v>
      </c>
      <c r="F10453" s="4" t="s">
        <v>1233</v>
      </c>
    </row>
    <row r="10454">
      <c r="A10454" s="4">
        <v>411.0</v>
      </c>
      <c r="B10454" s="4" t="s">
        <v>20303</v>
      </c>
      <c r="C10454" s="4"/>
      <c r="D10454" s="4" t="s">
        <v>19097</v>
      </c>
      <c r="E10454" s="4" t="s">
        <v>19096</v>
      </c>
      <c r="F10454" s="4" t="s">
        <v>19097</v>
      </c>
    </row>
    <row r="10455">
      <c r="A10455" s="4">
        <v>412.0</v>
      </c>
      <c r="B10455" s="4" t="s">
        <v>20303</v>
      </c>
      <c r="C10455" s="4"/>
      <c r="D10455" s="4" t="s">
        <v>1336</v>
      </c>
      <c r="E10455" s="4" t="s">
        <v>1335</v>
      </c>
      <c r="F10455" s="4" t="s">
        <v>1336</v>
      </c>
    </row>
    <row r="10456">
      <c r="A10456" s="4">
        <v>413.0</v>
      </c>
      <c r="B10456" s="4" t="s">
        <v>20303</v>
      </c>
      <c r="C10456" s="4"/>
      <c r="D10456" s="4" t="s">
        <v>21189</v>
      </c>
      <c r="E10456" s="4" t="s">
        <v>21190</v>
      </c>
      <c r="F10456" s="4" t="s">
        <v>21189</v>
      </c>
    </row>
    <row r="10457">
      <c r="A10457" s="4">
        <v>414.0</v>
      </c>
      <c r="B10457" s="4" t="s">
        <v>20303</v>
      </c>
      <c r="C10457" s="4"/>
      <c r="D10457" s="4" t="s">
        <v>10135</v>
      </c>
      <c r="E10457" s="4" t="s">
        <v>15066</v>
      </c>
      <c r="F10457" s="4" t="s">
        <v>10135</v>
      </c>
    </row>
    <row r="10458">
      <c r="A10458" s="4">
        <v>415.0</v>
      </c>
      <c r="B10458" s="4" t="s">
        <v>20303</v>
      </c>
      <c r="C10458" s="4"/>
      <c r="D10458" s="4" t="s">
        <v>21191</v>
      </c>
      <c r="E10458" s="4" t="s">
        <v>21192</v>
      </c>
      <c r="F10458" s="4" t="s">
        <v>21191</v>
      </c>
    </row>
    <row r="10459">
      <c r="A10459" s="4">
        <v>416.0</v>
      </c>
      <c r="B10459" s="4" t="s">
        <v>20303</v>
      </c>
      <c r="C10459" s="4"/>
      <c r="D10459" s="4" t="s">
        <v>2015</v>
      </c>
      <c r="E10459" s="4" t="s">
        <v>2016</v>
      </c>
      <c r="F10459" s="4" t="s">
        <v>2015</v>
      </c>
      <c r="G10459" s="4"/>
      <c r="H10459" s="4" t="s">
        <v>2015</v>
      </c>
      <c r="I10459" s="4" t="s">
        <v>2017</v>
      </c>
    </row>
    <row r="10460">
      <c r="A10460" s="4">
        <v>417.0</v>
      </c>
      <c r="B10460" s="4" t="s">
        <v>20303</v>
      </c>
      <c r="C10460" s="4"/>
      <c r="D10460" s="4" t="s">
        <v>21193</v>
      </c>
      <c r="E10460" s="4" t="s">
        <v>21194</v>
      </c>
      <c r="F10460" s="4" t="s">
        <v>14160</v>
      </c>
    </row>
    <row r="10461">
      <c r="A10461" s="4">
        <v>418.0</v>
      </c>
      <c r="B10461" s="4" t="s">
        <v>20303</v>
      </c>
      <c r="C10461" s="4"/>
      <c r="D10461" s="4" t="s">
        <v>21195</v>
      </c>
      <c r="E10461" s="4" t="s">
        <v>21196</v>
      </c>
      <c r="F10461" s="4" t="s">
        <v>17182</v>
      </c>
    </row>
    <row r="10462">
      <c r="A10462" s="4">
        <v>419.0</v>
      </c>
      <c r="B10462" s="4" t="s">
        <v>20303</v>
      </c>
      <c r="C10462" s="4"/>
      <c r="D10462" s="4" t="s">
        <v>21197</v>
      </c>
      <c r="E10462" s="4" t="s">
        <v>21198</v>
      </c>
      <c r="F10462" s="4" t="s">
        <v>21197</v>
      </c>
    </row>
    <row r="10463">
      <c r="A10463" s="4">
        <v>420.0</v>
      </c>
      <c r="B10463" s="4" t="s">
        <v>20303</v>
      </c>
      <c r="C10463" s="4"/>
      <c r="D10463" s="4" t="s">
        <v>2260</v>
      </c>
      <c r="E10463" s="4" t="s">
        <v>2259</v>
      </c>
      <c r="F10463" s="4" t="s">
        <v>2260</v>
      </c>
    </row>
    <row r="10464">
      <c r="A10464" s="4">
        <v>421.0</v>
      </c>
      <c r="B10464" s="4" t="s">
        <v>20303</v>
      </c>
      <c r="C10464" s="4"/>
      <c r="D10464" s="4" t="s">
        <v>2024</v>
      </c>
      <c r="E10464" s="4" t="s">
        <v>2025</v>
      </c>
      <c r="F10464" s="4" t="s">
        <v>2024</v>
      </c>
    </row>
    <row r="10465">
      <c r="A10465" s="4">
        <v>422.0</v>
      </c>
      <c r="B10465" s="4" t="s">
        <v>20303</v>
      </c>
      <c r="C10465" s="4"/>
      <c r="D10465" s="4" t="s">
        <v>21199</v>
      </c>
      <c r="E10465" s="4" t="s">
        <v>21200</v>
      </c>
      <c r="F10465" s="4" t="s">
        <v>21199</v>
      </c>
    </row>
    <row r="10466">
      <c r="A10466" s="4">
        <v>423.0</v>
      </c>
      <c r="B10466" s="4" t="s">
        <v>20303</v>
      </c>
      <c r="C10466" s="4"/>
      <c r="D10466" s="4" t="s">
        <v>21201</v>
      </c>
      <c r="E10466" s="4" t="s">
        <v>21202</v>
      </c>
      <c r="F10466" s="4" t="s">
        <v>21201</v>
      </c>
    </row>
    <row r="10467">
      <c r="A10467" s="4">
        <v>424.0</v>
      </c>
      <c r="B10467" s="4" t="s">
        <v>20303</v>
      </c>
      <c r="C10467" s="4"/>
      <c r="D10467" s="4" t="s">
        <v>21203</v>
      </c>
      <c r="E10467" s="4" t="s">
        <v>21200</v>
      </c>
      <c r="F10467" s="4" t="s">
        <v>21199</v>
      </c>
    </row>
    <row r="10468">
      <c r="A10468" s="4">
        <v>425.0</v>
      </c>
      <c r="B10468" s="4" t="s">
        <v>20303</v>
      </c>
      <c r="C10468" s="4"/>
      <c r="D10468" s="4" t="s">
        <v>21204</v>
      </c>
      <c r="E10468" s="4" t="s">
        <v>21202</v>
      </c>
      <c r="F10468" s="4" t="s">
        <v>21201</v>
      </c>
    </row>
    <row r="10469">
      <c r="A10469" s="4">
        <v>426.0</v>
      </c>
      <c r="B10469" s="4" t="s">
        <v>20303</v>
      </c>
      <c r="C10469" s="4"/>
      <c r="D10469" s="4" t="s">
        <v>21205</v>
      </c>
      <c r="E10469" s="4" t="s">
        <v>21206</v>
      </c>
      <c r="F10469" s="4" t="s">
        <v>21205</v>
      </c>
    </row>
    <row r="10470">
      <c r="A10470" s="4">
        <v>427.0</v>
      </c>
      <c r="B10470" s="4" t="s">
        <v>20303</v>
      </c>
      <c r="C10470" s="4"/>
      <c r="D10470" s="4" t="s">
        <v>10257</v>
      </c>
      <c r="E10470" s="4" t="s">
        <v>12506</v>
      </c>
      <c r="F10470" s="4" t="s">
        <v>10257</v>
      </c>
    </row>
    <row r="10471">
      <c r="A10471" s="4">
        <v>428.0</v>
      </c>
      <c r="B10471" s="4" t="s">
        <v>20303</v>
      </c>
      <c r="C10471" s="4"/>
      <c r="D10471" s="4" t="s">
        <v>21207</v>
      </c>
      <c r="E10471" s="4" t="s">
        <v>21208</v>
      </c>
      <c r="F10471" s="4" t="s">
        <v>21207</v>
      </c>
    </row>
    <row r="10472">
      <c r="A10472" s="4">
        <v>429.0</v>
      </c>
      <c r="B10472" s="4" t="s">
        <v>20303</v>
      </c>
      <c r="C10472" s="4"/>
      <c r="D10472" s="4" t="s">
        <v>21209</v>
      </c>
      <c r="E10472" s="4" t="s">
        <v>21210</v>
      </c>
      <c r="F10472" s="4" t="s">
        <v>21209</v>
      </c>
    </row>
    <row r="10473">
      <c r="A10473" s="4">
        <v>430.0</v>
      </c>
      <c r="B10473" s="4" t="s">
        <v>20303</v>
      </c>
      <c r="C10473" s="4"/>
      <c r="D10473" s="4" t="s">
        <v>6517</v>
      </c>
      <c r="E10473" s="4" t="s">
        <v>12529</v>
      </c>
      <c r="F10473" s="4" t="s">
        <v>6517</v>
      </c>
    </row>
    <row r="10474">
      <c r="A10474" s="4">
        <v>431.0</v>
      </c>
      <c r="B10474" s="4" t="s">
        <v>20303</v>
      </c>
      <c r="C10474" s="4"/>
      <c r="D10474" s="4" t="s">
        <v>21211</v>
      </c>
      <c r="E10474" s="4" t="s">
        <v>21212</v>
      </c>
      <c r="F10474" s="4" t="s">
        <v>21211</v>
      </c>
      <c r="G10474" s="4"/>
      <c r="H10474" s="4" t="s">
        <v>21213</v>
      </c>
      <c r="I10474" s="4" t="s">
        <v>21214</v>
      </c>
    </row>
    <row r="10475">
      <c r="A10475" s="4">
        <v>432.0</v>
      </c>
      <c r="B10475" s="4" t="s">
        <v>20303</v>
      </c>
      <c r="C10475" s="4"/>
      <c r="D10475" s="4" t="s">
        <v>15927</v>
      </c>
      <c r="E10475" s="4" t="s">
        <v>15928</v>
      </c>
      <c r="F10475" s="4" t="s">
        <v>15927</v>
      </c>
      <c r="G10475" s="4"/>
      <c r="H10475" s="4" t="s">
        <v>1120</v>
      </c>
      <c r="I10475" s="4" t="s">
        <v>5944</v>
      </c>
      <c r="J10475" s="4" t="s">
        <v>5945</v>
      </c>
      <c r="K10475" s="4" t="s">
        <v>4438</v>
      </c>
      <c r="L10475" s="4" t="s">
        <v>19642</v>
      </c>
      <c r="M10475" s="4" t="s">
        <v>9618</v>
      </c>
      <c r="N10475" s="4" t="s">
        <v>12767</v>
      </c>
      <c r="O10475" s="4" t="s">
        <v>12768</v>
      </c>
      <c r="P10475" s="4" t="s">
        <v>12769</v>
      </c>
      <c r="Q10475" s="4" t="s">
        <v>21215</v>
      </c>
    </row>
    <row r="10476">
      <c r="A10476" s="4">
        <v>433.0</v>
      </c>
      <c r="B10476" s="4" t="s">
        <v>20303</v>
      </c>
      <c r="C10476" s="4"/>
      <c r="D10476" s="4" t="s">
        <v>17991</v>
      </c>
      <c r="E10476" s="4" t="s">
        <v>17992</v>
      </c>
      <c r="F10476" s="4" t="s">
        <v>17991</v>
      </c>
    </row>
    <row r="10477">
      <c r="A10477" s="4">
        <v>434.0</v>
      </c>
      <c r="B10477" s="4" t="s">
        <v>20303</v>
      </c>
      <c r="C10477" s="4"/>
      <c r="D10477" s="4" t="s">
        <v>10275</v>
      </c>
      <c r="E10477" s="4" t="s">
        <v>16717</v>
      </c>
      <c r="F10477" s="4" t="s">
        <v>10275</v>
      </c>
    </row>
    <row r="10478">
      <c r="A10478" s="4">
        <v>435.0</v>
      </c>
      <c r="B10478" s="4" t="s">
        <v>20303</v>
      </c>
      <c r="C10478" s="4"/>
      <c r="D10478" s="4" t="s">
        <v>21216</v>
      </c>
      <c r="E10478" s="4" t="s">
        <v>21217</v>
      </c>
      <c r="F10478" s="4" t="s">
        <v>21216</v>
      </c>
    </row>
    <row r="10479">
      <c r="A10479" s="4">
        <v>436.0</v>
      </c>
      <c r="B10479" s="4" t="s">
        <v>20303</v>
      </c>
      <c r="C10479" s="4"/>
      <c r="D10479" s="4" t="s">
        <v>21218</v>
      </c>
      <c r="E10479" s="4" t="s">
        <v>21219</v>
      </c>
      <c r="F10479" s="4" t="s">
        <v>21218</v>
      </c>
    </row>
    <row r="10480">
      <c r="A10480" s="4">
        <v>437.0</v>
      </c>
      <c r="B10480" s="4" t="s">
        <v>20303</v>
      </c>
      <c r="C10480" s="4"/>
      <c r="D10480" s="4" t="s">
        <v>21220</v>
      </c>
      <c r="E10480" s="4" t="s">
        <v>21221</v>
      </c>
      <c r="F10480" s="4" t="s">
        <v>21220</v>
      </c>
    </row>
    <row r="10481">
      <c r="A10481" s="4">
        <v>438.0</v>
      </c>
      <c r="B10481" s="4" t="s">
        <v>20303</v>
      </c>
      <c r="C10481" s="4"/>
      <c r="D10481" s="4" t="s">
        <v>21222</v>
      </c>
      <c r="E10481" s="4" t="s">
        <v>21219</v>
      </c>
      <c r="F10481" s="4" t="s">
        <v>21218</v>
      </c>
    </row>
    <row r="10482">
      <c r="A10482" s="4">
        <v>439.0</v>
      </c>
      <c r="B10482" s="4" t="s">
        <v>20303</v>
      </c>
      <c r="C10482" s="4"/>
      <c r="D10482" s="4" t="s">
        <v>21223</v>
      </c>
      <c r="E10482" s="4" t="s">
        <v>21221</v>
      </c>
      <c r="F10482" s="4" t="s">
        <v>21220</v>
      </c>
    </row>
    <row r="10483">
      <c r="A10483" s="4">
        <v>440.0</v>
      </c>
      <c r="B10483" s="4" t="s">
        <v>20303</v>
      </c>
      <c r="C10483" s="4"/>
      <c r="D10483" s="4" t="s">
        <v>21224</v>
      </c>
      <c r="E10483" s="4" t="s">
        <v>21225</v>
      </c>
      <c r="F10483" s="4" t="s">
        <v>21224</v>
      </c>
    </row>
    <row r="10484">
      <c r="A10484" s="4">
        <v>441.0</v>
      </c>
      <c r="B10484" s="4" t="s">
        <v>20303</v>
      </c>
      <c r="C10484" s="4"/>
      <c r="D10484" s="4" t="s">
        <v>14419</v>
      </c>
      <c r="E10484" s="4" t="s">
        <v>14420</v>
      </c>
      <c r="F10484" s="4" t="s">
        <v>14419</v>
      </c>
      <c r="G10484" s="4"/>
      <c r="H10484" s="4" t="s">
        <v>3493</v>
      </c>
      <c r="I10484" s="4" t="s">
        <v>21226</v>
      </c>
      <c r="J10484" s="4" t="s">
        <v>10124</v>
      </c>
      <c r="K10484" s="4" t="s">
        <v>11518</v>
      </c>
      <c r="L10484" s="4" t="s">
        <v>11516</v>
      </c>
      <c r="M10484" s="4" t="s">
        <v>13433</v>
      </c>
      <c r="N10484" s="4" t="s">
        <v>6407</v>
      </c>
      <c r="O10484" s="4" t="s">
        <v>13433</v>
      </c>
    </row>
    <row r="10485">
      <c r="A10485" s="4">
        <v>442.0</v>
      </c>
      <c r="B10485" s="4" t="s">
        <v>20303</v>
      </c>
      <c r="C10485" s="4"/>
      <c r="D10485" s="4" t="s">
        <v>21227</v>
      </c>
      <c r="E10485" s="4" t="s">
        <v>21228</v>
      </c>
      <c r="F10485" s="4" t="s">
        <v>21227</v>
      </c>
    </row>
    <row r="10486">
      <c r="A10486" s="4">
        <v>443.0</v>
      </c>
      <c r="B10486" s="4" t="s">
        <v>20303</v>
      </c>
      <c r="C10486" s="4"/>
      <c r="D10486" s="4" t="s">
        <v>21229</v>
      </c>
      <c r="E10486" s="4" t="s">
        <v>12531</v>
      </c>
      <c r="F10486" s="4" t="s">
        <v>6589</v>
      </c>
      <c r="G10486" s="4"/>
      <c r="H10486" s="4" t="s">
        <v>2141</v>
      </c>
    </row>
    <row r="10487">
      <c r="A10487" s="4">
        <v>444.0</v>
      </c>
      <c r="B10487" s="4" t="s">
        <v>20303</v>
      </c>
      <c r="C10487" s="4"/>
      <c r="D10487" s="4" t="s">
        <v>21230</v>
      </c>
      <c r="E10487" s="4" t="s">
        <v>21231</v>
      </c>
      <c r="F10487" s="4" t="s">
        <v>21232</v>
      </c>
    </row>
    <row r="10488">
      <c r="A10488" s="4">
        <v>445.0</v>
      </c>
      <c r="B10488" s="4" t="s">
        <v>20303</v>
      </c>
      <c r="C10488" s="4"/>
      <c r="D10488" s="4" t="s">
        <v>21233</v>
      </c>
      <c r="E10488" s="4" t="s">
        <v>18007</v>
      </c>
      <c r="F10488" s="4" t="s">
        <v>10297</v>
      </c>
    </row>
    <row r="10489">
      <c r="A10489" s="4">
        <v>446.0</v>
      </c>
      <c r="B10489" s="4" t="s">
        <v>20303</v>
      </c>
      <c r="C10489" s="4"/>
      <c r="D10489" s="4" t="s">
        <v>21234</v>
      </c>
      <c r="E10489" s="4" t="s">
        <v>21235</v>
      </c>
      <c r="F10489" s="4" t="s">
        <v>19641</v>
      </c>
      <c r="G10489" s="4"/>
      <c r="H10489" s="4" t="s">
        <v>21236</v>
      </c>
      <c r="I10489" s="4" t="s">
        <v>4853</v>
      </c>
    </row>
    <row r="10490">
      <c r="A10490" s="4">
        <v>447.0</v>
      </c>
      <c r="B10490" s="4" t="s">
        <v>20303</v>
      </c>
      <c r="C10490" s="4"/>
      <c r="D10490" s="4" t="s">
        <v>2045</v>
      </c>
      <c r="E10490" s="4" t="s">
        <v>2046</v>
      </c>
      <c r="F10490" s="4" t="s">
        <v>2045</v>
      </c>
    </row>
    <row r="10491">
      <c r="A10491" s="4">
        <v>448.0</v>
      </c>
      <c r="B10491" s="4" t="s">
        <v>20303</v>
      </c>
      <c r="C10491" s="4"/>
      <c r="D10491" s="4" t="s">
        <v>10313</v>
      </c>
      <c r="E10491" s="4" t="s">
        <v>12589</v>
      </c>
      <c r="F10491" s="4" t="s">
        <v>10313</v>
      </c>
    </row>
    <row r="10492">
      <c r="A10492" s="4">
        <v>449.0</v>
      </c>
      <c r="B10492" s="4" t="s">
        <v>20303</v>
      </c>
      <c r="C10492" s="4"/>
      <c r="D10492" s="4" t="s">
        <v>21237</v>
      </c>
      <c r="E10492" s="4" t="s">
        <v>21238</v>
      </c>
      <c r="F10492" s="4" t="s">
        <v>21237</v>
      </c>
    </row>
    <row r="10493">
      <c r="A10493" s="4">
        <v>450.0</v>
      </c>
      <c r="B10493" s="4" t="s">
        <v>20303</v>
      </c>
      <c r="C10493" s="4"/>
      <c r="D10493" s="4" t="s">
        <v>21239</v>
      </c>
      <c r="E10493" s="4" t="s">
        <v>21240</v>
      </c>
      <c r="F10493" s="4" t="s">
        <v>21239</v>
      </c>
    </row>
    <row r="10494">
      <c r="A10494" s="4">
        <v>451.0</v>
      </c>
      <c r="B10494" s="4" t="s">
        <v>20303</v>
      </c>
      <c r="C10494" s="4"/>
      <c r="D10494" s="4" t="s">
        <v>2051</v>
      </c>
      <c r="E10494" s="4" t="s">
        <v>2077</v>
      </c>
      <c r="F10494" s="4" t="s">
        <v>2051</v>
      </c>
      <c r="G10494" s="4"/>
      <c r="H10494" s="4" t="s">
        <v>2055</v>
      </c>
      <c r="I10494" s="4" t="s">
        <v>2056</v>
      </c>
      <c r="J10494" s="4" t="s">
        <v>2057</v>
      </c>
      <c r="K10494" s="4" t="s">
        <v>2058</v>
      </c>
      <c r="L10494" s="4" t="s">
        <v>2059</v>
      </c>
      <c r="M10494" s="4" t="s">
        <v>2060</v>
      </c>
      <c r="N10494" s="4" t="s">
        <v>2061</v>
      </c>
      <c r="O10494" s="4" t="s">
        <v>2058</v>
      </c>
      <c r="P10494" s="4" t="s">
        <v>2062</v>
      </c>
      <c r="Q10494" s="4" t="s">
        <v>2060</v>
      </c>
      <c r="R10494" s="4" t="s">
        <v>2055</v>
      </c>
      <c r="S10494" s="4" t="s">
        <v>2059</v>
      </c>
      <c r="T10494" s="4" t="s">
        <v>2065</v>
      </c>
    </row>
    <row r="10495">
      <c r="A10495" s="4">
        <v>452.0</v>
      </c>
      <c r="B10495" s="4" t="s">
        <v>20303</v>
      </c>
      <c r="C10495" s="4"/>
      <c r="D10495" s="4" t="s">
        <v>21241</v>
      </c>
      <c r="E10495" s="4" t="s">
        <v>21242</v>
      </c>
      <c r="F10495" s="4" t="s">
        <v>21241</v>
      </c>
    </row>
    <row r="10496">
      <c r="A10496" s="4">
        <v>453.0</v>
      </c>
      <c r="B10496" s="4" t="s">
        <v>20303</v>
      </c>
      <c r="C10496" s="4"/>
      <c r="D10496" s="4" t="s">
        <v>21243</v>
      </c>
      <c r="E10496" s="4" t="s">
        <v>21244</v>
      </c>
      <c r="F10496" s="4" t="s">
        <v>21243</v>
      </c>
      <c r="G10496" s="4"/>
      <c r="H10496" s="4" t="s">
        <v>21245</v>
      </c>
    </row>
    <row r="10497">
      <c r="A10497" s="4">
        <v>454.0</v>
      </c>
      <c r="B10497" s="4" t="s">
        <v>20303</v>
      </c>
      <c r="C10497" s="4"/>
      <c r="D10497" s="4" t="s">
        <v>21246</v>
      </c>
      <c r="E10497" s="4" t="s">
        <v>18027</v>
      </c>
      <c r="F10497" s="4" t="s">
        <v>18026</v>
      </c>
    </row>
    <row r="10498">
      <c r="A10498" s="4">
        <v>455.0</v>
      </c>
      <c r="B10498" s="4" t="s">
        <v>20303</v>
      </c>
      <c r="C10498" s="4"/>
      <c r="D10498" s="4" t="s">
        <v>2078</v>
      </c>
      <c r="E10498" s="4" t="s">
        <v>2079</v>
      </c>
      <c r="F10498" s="4" t="s">
        <v>2078</v>
      </c>
      <c r="G10498" s="4"/>
      <c r="H10498" s="4" t="s">
        <v>2080</v>
      </c>
      <c r="I10498" s="4" t="s">
        <v>2078</v>
      </c>
      <c r="J10498" s="4" t="s">
        <v>2082</v>
      </c>
    </row>
    <row r="10499">
      <c r="A10499" s="4">
        <v>456.0</v>
      </c>
      <c r="B10499" s="4" t="s">
        <v>20303</v>
      </c>
      <c r="C10499" s="4"/>
      <c r="D10499" s="4" t="s">
        <v>5308</v>
      </c>
      <c r="E10499" s="4" t="s">
        <v>5307</v>
      </c>
      <c r="F10499" s="4" t="s">
        <v>5308</v>
      </c>
      <c r="G10499" s="4"/>
      <c r="H10499" s="4" t="s">
        <v>21247</v>
      </c>
      <c r="I10499" s="4" t="s">
        <v>21248</v>
      </c>
      <c r="J10499" s="4" t="s">
        <v>21249</v>
      </c>
      <c r="K10499" s="4" t="s">
        <v>21250</v>
      </c>
    </row>
    <row r="10500">
      <c r="A10500" s="4">
        <v>457.0</v>
      </c>
      <c r="B10500" s="4" t="s">
        <v>20303</v>
      </c>
      <c r="C10500" s="4"/>
      <c r="D10500" s="4" t="s">
        <v>21251</v>
      </c>
      <c r="E10500" s="4" t="s">
        <v>21252</v>
      </c>
      <c r="F10500" s="4" t="s">
        <v>21251</v>
      </c>
    </row>
    <row r="10501">
      <c r="A10501" s="4">
        <v>458.0</v>
      </c>
      <c r="B10501" s="4" t="s">
        <v>20303</v>
      </c>
      <c r="C10501" s="4"/>
      <c r="D10501" s="4" t="s">
        <v>21253</v>
      </c>
      <c r="E10501" s="4" t="s">
        <v>21254</v>
      </c>
      <c r="F10501" s="4" t="s">
        <v>21253</v>
      </c>
    </row>
    <row r="10502">
      <c r="A10502" s="4">
        <v>459.0</v>
      </c>
      <c r="B10502" s="4" t="s">
        <v>20303</v>
      </c>
      <c r="C10502" s="4"/>
      <c r="D10502" s="4" t="s">
        <v>6669</v>
      </c>
      <c r="E10502" s="4" t="s">
        <v>12633</v>
      </c>
      <c r="F10502" s="4" t="s">
        <v>6671</v>
      </c>
    </row>
    <row r="10503">
      <c r="A10503" s="4">
        <v>460.0</v>
      </c>
      <c r="B10503" s="4" t="s">
        <v>20303</v>
      </c>
      <c r="C10503" s="4"/>
      <c r="D10503" s="4" t="s">
        <v>16732</v>
      </c>
      <c r="E10503" s="4" t="s">
        <v>16733</v>
      </c>
      <c r="F10503" s="4" t="s">
        <v>10387</v>
      </c>
    </row>
    <row r="10504">
      <c r="A10504" s="4">
        <v>461.0</v>
      </c>
      <c r="B10504" s="4" t="s">
        <v>20303</v>
      </c>
      <c r="C10504" s="4"/>
      <c r="D10504" s="4" t="s">
        <v>21255</v>
      </c>
      <c r="E10504" s="4" t="s">
        <v>21256</v>
      </c>
      <c r="F10504" s="4" t="s">
        <v>21257</v>
      </c>
    </row>
    <row r="10505">
      <c r="A10505" s="4">
        <v>462.0</v>
      </c>
      <c r="B10505" s="4" t="s">
        <v>20303</v>
      </c>
      <c r="C10505" s="4"/>
      <c r="D10505" s="4" t="s">
        <v>21258</v>
      </c>
      <c r="E10505" s="4" t="s">
        <v>21259</v>
      </c>
      <c r="F10505" s="4" t="s">
        <v>21258</v>
      </c>
    </row>
    <row r="10506">
      <c r="A10506" s="4">
        <v>463.0</v>
      </c>
      <c r="B10506" s="4" t="s">
        <v>20303</v>
      </c>
      <c r="C10506" s="4"/>
      <c r="D10506" s="4" t="s">
        <v>2249</v>
      </c>
      <c r="E10506" s="4" t="s">
        <v>2248</v>
      </c>
      <c r="F10506" s="4" t="s">
        <v>2249</v>
      </c>
      <c r="G10506" s="4"/>
      <c r="H10506" s="4" t="s">
        <v>2213</v>
      </c>
      <c r="I10506" s="4" t="s">
        <v>2212</v>
      </c>
      <c r="J10506" s="4" t="s">
        <v>2212</v>
      </c>
      <c r="K10506" s="4" t="s">
        <v>21260</v>
      </c>
      <c r="L10506" s="4" t="s">
        <v>2214</v>
      </c>
      <c r="M10506" s="4" t="s">
        <v>2212</v>
      </c>
      <c r="N10506" s="4" t="s">
        <v>2215</v>
      </c>
      <c r="O10506" s="4" t="s">
        <v>2216</v>
      </c>
    </row>
    <row r="10507">
      <c r="A10507" s="4">
        <v>464.0</v>
      </c>
      <c r="B10507" s="4" t="s">
        <v>20303</v>
      </c>
      <c r="C10507" s="4"/>
      <c r="D10507" s="4" t="s">
        <v>2247</v>
      </c>
      <c r="E10507" s="4" t="s">
        <v>2250</v>
      </c>
      <c r="F10507" s="4" t="s">
        <v>2247</v>
      </c>
    </row>
    <row r="10508">
      <c r="A10508" s="4">
        <v>465.0</v>
      </c>
      <c r="B10508" s="4" t="s">
        <v>20303</v>
      </c>
      <c r="C10508" s="4"/>
      <c r="D10508" s="4" t="s">
        <v>21261</v>
      </c>
      <c r="E10508" s="4" t="s">
        <v>21262</v>
      </c>
      <c r="F10508" s="4" t="s">
        <v>21261</v>
      </c>
    </row>
    <row r="10509">
      <c r="A10509" s="4">
        <v>466.0</v>
      </c>
      <c r="B10509" s="4" t="s">
        <v>20303</v>
      </c>
      <c r="C10509" s="4"/>
      <c r="D10509" s="4" t="s">
        <v>2256</v>
      </c>
      <c r="E10509" s="4" t="s">
        <v>2257</v>
      </c>
      <c r="F10509" s="4" t="s">
        <v>2256</v>
      </c>
      <c r="G10509" s="4"/>
      <c r="H10509" s="4" t="s">
        <v>11296</v>
      </c>
    </row>
    <row r="10510">
      <c r="A10510" s="4">
        <v>467.0</v>
      </c>
      <c r="B10510" s="4" t="s">
        <v>20303</v>
      </c>
      <c r="C10510" s="4"/>
      <c r="D10510" s="4" t="s">
        <v>21263</v>
      </c>
      <c r="E10510" s="4" t="s">
        <v>21264</v>
      </c>
      <c r="F10510" s="4" t="s">
        <v>21263</v>
      </c>
    </row>
    <row r="10511">
      <c r="A10511" s="4">
        <v>468.0</v>
      </c>
      <c r="B10511" s="4" t="s">
        <v>20303</v>
      </c>
      <c r="C10511" s="4"/>
      <c r="D10511" s="4" t="s">
        <v>21265</v>
      </c>
      <c r="E10511" s="4" t="s">
        <v>2259</v>
      </c>
      <c r="F10511" s="4" t="s">
        <v>2260</v>
      </c>
      <c r="G10511" s="4"/>
      <c r="H10511" s="4" t="s">
        <v>2261</v>
      </c>
      <c r="I10511" s="4" t="s">
        <v>2262</v>
      </c>
      <c r="J10511" s="4" t="s">
        <v>2263</v>
      </c>
      <c r="K10511" s="4" t="s">
        <v>2264</v>
      </c>
      <c r="L10511" s="4" t="s">
        <v>2265</v>
      </c>
    </row>
    <row r="10512">
      <c r="A10512" s="4">
        <v>469.0</v>
      </c>
      <c r="B10512" s="4" t="s">
        <v>20303</v>
      </c>
      <c r="C10512" s="4"/>
      <c r="D10512" s="4" t="s">
        <v>21266</v>
      </c>
      <c r="E10512" s="4" t="s">
        <v>21208</v>
      </c>
      <c r="F10512" s="4" t="s">
        <v>21207</v>
      </c>
    </row>
    <row r="10513">
      <c r="A10513" s="4">
        <v>470.0</v>
      </c>
      <c r="B10513" s="4" t="s">
        <v>20303</v>
      </c>
      <c r="C10513" s="4"/>
      <c r="D10513" s="4" t="s">
        <v>2269</v>
      </c>
      <c r="E10513" s="4" t="s">
        <v>2270</v>
      </c>
      <c r="F10513" s="4" t="s">
        <v>2271</v>
      </c>
    </row>
    <row r="10514">
      <c r="A10514" s="4">
        <v>471.0</v>
      </c>
      <c r="B10514" s="4" t="s">
        <v>20303</v>
      </c>
      <c r="C10514" s="4"/>
      <c r="D10514" s="4" t="s">
        <v>2275</v>
      </c>
      <c r="E10514" s="4" t="s">
        <v>2276</v>
      </c>
      <c r="F10514" s="4" t="s">
        <v>2277</v>
      </c>
    </row>
    <row r="10515">
      <c r="A10515" s="4">
        <v>472.0</v>
      </c>
      <c r="B10515" s="4" t="s">
        <v>20303</v>
      </c>
      <c r="C10515" s="4"/>
      <c r="D10515" s="4" t="s">
        <v>21267</v>
      </c>
      <c r="E10515" s="4" t="s">
        <v>21268</v>
      </c>
      <c r="F10515" s="4" t="s">
        <v>21269</v>
      </c>
    </row>
    <row r="10516">
      <c r="A10516" s="4">
        <v>473.0</v>
      </c>
      <c r="B10516" s="4" t="s">
        <v>20303</v>
      </c>
      <c r="C10516" s="4"/>
      <c r="D10516" s="4" t="s">
        <v>21270</v>
      </c>
      <c r="E10516" s="4" t="s">
        <v>21271</v>
      </c>
      <c r="F10516" s="4" t="s">
        <v>21272</v>
      </c>
    </row>
    <row r="10517">
      <c r="A10517" s="4">
        <v>474.0</v>
      </c>
      <c r="B10517" s="4" t="s">
        <v>20303</v>
      </c>
      <c r="C10517" s="4"/>
      <c r="D10517" s="4" t="s">
        <v>21273</v>
      </c>
      <c r="E10517" s="4" t="s">
        <v>14643</v>
      </c>
      <c r="F10517" s="4" t="s">
        <v>2601</v>
      </c>
    </row>
    <row r="10518">
      <c r="A10518" s="4">
        <v>475.0</v>
      </c>
      <c r="B10518" s="4" t="s">
        <v>20303</v>
      </c>
      <c r="C10518" s="4"/>
      <c r="D10518" s="4" t="s">
        <v>2280</v>
      </c>
      <c r="E10518" s="4" t="s">
        <v>2281</v>
      </c>
      <c r="F10518" s="4" t="s">
        <v>2282</v>
      </c>
    </row>
    <row r="10519">
      <c r="A10519" s="4">
        <v>476.0</v>
      </c>
      <c r="B10519" s="4" t="s">
        <v>20303</v>
      </c>
      <c r="C10519" s="4"/>
      <c r="D10519" s="4" t="s">
        <v>21274</v>
      </c>
      <c r="E10519" s="4" t="s">
        <v>21275</v>
      </c>
      <c r="F10519" s="4" t="s">
        <v>21276</v>
      </c>
      <c r="G10519" s="4"/>
      <c r="H10519" s="4" t="s">
        <v>18141</v>
      </c>
      <c r="I10519" s="4" t="s">
        <v>18142</v>
      </c>
    </row>
    <row r="10520">
      <c r="A10520" s="4">
        <v>477.0</v>
      </c>
      <c r="B10520" s="4" t="s">
        <v>20303</v>
      </c>
      <c r="C10520" s="4"/>
      <c r="D10520" s="4" t="s">
        <v>21277</v>
      </c>
      <c r="E10520" s="4" t="s">
        <v>21278</v>
      </c>
      <c r="F10520" s="4" t="s">
        <v>21279</v>
      </c>
    </row>
    <row r="10521">
      <c r="A10521" s="4">
        <v>478.0</v>
      </c>
      <c r="B10521" s="4" t="s">
        <v>20303</v>
      </c>
      <c r="C10521" s="4"/>
      <c r="D10521" s="4" t="s">
        <v>21280</v>
      </c>
      <c r="E10521" s="4" t="s">
        <v>21281</v>
      </c>
      <c r="F10521" s="4" t="s">
        <v>18115</v>
      </c>
    </row>
    <row r="10522">
      <c r="A10522" s="4">
        <v>479.0</v>
      </c>
      <c r="B10522" s="4" t="s">
        <v>20303</v>
      </c>
      <c r="C10522" s="4"/>
      <c r="D10522" s="4" t="s">
        <v>21282</v>
      </c>
      <c r="E10522" s="4" t="s">
        <v>21283</v>
      </c>
      <c r="F10522" s="4" t="s">
        <v>21284</v>
      </c>
    </row>
    <row r="10523">
      <c r="A10523" s="4">
        <v>480.0</v>
      </c>
      <c r="B10523" s="4" t="s">
        <v>20303</v>
      </c>
      <c r="C10523" s="4"/>
      <c r="D10523" s="4" t="s">
        <v>21285</v>
      </c>
      <c r="E10523" s="4" t="s">
        <v>21286</v>
      </c>
      <c r="F10523" s="4" t="s">
        <v>21287</v>
      </c>
    </row>
    <row r="10524">
      <c r="A10524" s="4">
        <v>481.0</v>
      </c>
      <c r="B10524" s="4" t="s">
        <v>20303</v>
      </c>
      <c r="C10524" s="4"/>
      <c r="D10524" s="4" t="s">
        <v>2290</v>
      </c>
      <c r="E10524" s="4" t="s">
        <v>2291</v>
      </c>
      <c r="F10524" s="4" t="s">
        <v>2292</v>
      </c>
    </row>
    <row r="10525">
      <c r="A10525" s="4">
        <v>482.0</v>
      </c>
      <c r="B10525" s="4" t="s">
        <v>20303</v>
      </c>
      <c r="C10525" s="4"/>
      <c r="D10525" s="4" t="s">
        <v>21288</v>
      </c>
      <c r="E10525" s="4" t="s">
        <v>2281</v>
      </c>
      <c r="F10525" s="4" t="s">
        <v>2282</v>
      </c>
    </row>
    <row r="10526">
      <c r="A10526" s="4">
        <v>483.0</v>
      </c>
      <c r="B10526" s="4" t="s">
        <v>20303</v>
      </c>
      <c r="C10526" s="4"/>
      <c r="D10526" s="4" t="s">
        <v>10493</v>
      </c>
      <c r="E10526" s="4" t="s">
        <v>18104</v>
      </c>
      <c r="F10526" s="4" t="s">
        <v>2282</v>
      </c>
      <c r="G10526" s="4"/>
      <c r="H10526" s="4" t="s">
        <v>21289</v>
      </c>
      <c r="I10526" s="4" t="s">
        <v>21290</v>
      </c>
      <c r="J10526" s="4" t="s">
        <v>21291</v>
      </c>
      <c r="K10526" s="4" t="s">
        <v>21292</v>
      </c>
    </row>
    <row r="10527">
      <c r="A10527" s="4">
        <v>484.0</v>
      </c>
      <c r="B10527" s="4" t="s">
        <v>20303</v>
      </c>
      <c r="C10527" s="4"/>
      <c r="D10527" s="4" t="s">
        <v>21293</v>
      </c>
      <c r="E10527" s="4" t="s">
        <v>21294</v>
      </c>
      <c r="F10527" s="4" t="s">
        <v>21295</v>
      </c>
      <c r="G10527" s="4"/>
      <c r="H10527" s="4" t="s">
        <v>3481</v>
      </c>
      <c r="I10527" s="4" t="s">
        <v>775</v>
      </c>
      <c r="J10527" s="4" t="s">
        <v>6774</v>
      </c>
    </row>
    <row r="10528">
      <c r="A10528" s="4">
        <v>485.0</v>
      </c>
      <c r="B10528" s="4" t="s">
        <v>20303</v>
      </c>
      <c r="C10528" s="4"/>
      <c r="D10528" s="4" t="s">
        <v>21296</v>
      </c>
      <c r="E10528" s="4" t="s">
        <v>21297</v>
      </c>
      <c r="F10528" s="4" t="s">
        <v>21284</v>
      </c>
    </row>
    <row r="10529">
      <c r="A10529" s="4">
        <v>486.0</v>
      </c>
      <c r="B10529" s="4" t="s">
        <v>20303</v>
      </c>
      <c r="C10529" s="4"/>
      <c r="D10529" s="4" t="s">
        <v>2322</v>
      </c>
      <c r="E10529" s="4" t="s">
        <v>2323</v>
      </c>
      <c r="F10529" s="4" t="s">
        <v>2322</v>
      </c>
      <c r="G10529" s="4"/>
      <c r="H10529" s="4" t="s">
        <v>21298</v>
      </c>
      <c r="I10529" s="4" t="s">
        <v>21299</v>
      </c>
      <c r="J10529" s="4" t="s">
        <v>2345</v>
      </c>
      <c r="K10529" s="4" t="s">
        <v>6344</v>
      </c>
      <c r="L10529" s="4" t="s">
        <v>6344</v>
      </c>
      <c r="M10529" s="4" t="s">
        <v>12749</v>
      </c>
      <c r="N10529" s="4" t="s">
        <v>6344</v>
      </c>
      <c r="O10529" s="4" t="s">
        <v>12755</v>
      </c>
      <c r="P10529" s="4" t="s">
        <v>2324</v>
      </c>
      <c r="Q10529" s="4" t="s">
        <v>2325</v>
      </c>
      <c r="R10529" s="4" t="s">
        <v>2326</v>
      </c>
      <c r="S10529" s="4" t="s">
        <v>2327</v>
      </c>
      <c r="T10529" s="4" t="s">
        <v>2332</v>
      </c>
      <c r="U10529" s="4" t="s">
        <v>10835</v>
      </c>
      <c r="V10529" s="4" t="s">
        <v>2332</v>
      </c>
      <c r="W10529" s="4" t="s">
        <v>2342</v>
      </c>
      <c r="X10529" s="4" t="s">
        <v>2326</v>
      </c>
    </row>
    <row r="10530">
      <c r="A10530" s="4">
        <v>487.0</v>
      </c>
      <c r="B10530" s="4" t="s">
        <v>20303</v>
      </c>
      <c r="C10530" s="4"/>
      <c r="D10530" s="4" t="s">
        <v>2351</v>
      </c>
      <c r="E10530" s="4" t="s">
        <v>2352</v>
      </c>
      <c r="F10530" s="4" t="s">
        <v>2351</v>
      </c>
    </row>
    <row r="10531">
      <c r="A10531" s="4">
        <v>488.0</v>
      </c>
      <c r="B10531" s="4" t="s">
        <v>20303</v>
      </c>
      <c r="C10531" s="4"/>
      <c r="D10531" s="4" t="s">
        <v>21300</v>
      </c>
      <c r="E10531" s="4" t="s">
        <v>21301</v>
      </c>
      <c r="F10531" s="4" t="s">
        <v>21302</v>
      </c>
    </row>
    <row r="10532">
      <c r="A10532" s="4">
        <v>489.0</v>
      </c>
      <c r="B10532" s="4" t="s">
        <v>20303</v>
      </c>
      <c r="C10532" s="4"/>
      <c r="D10532" s="4" t="s">
        <v>2361</v>
      </c>
      <c r="E10532" s="4" t="s">
        <v>2362</v>
      </c>
      <c r="F10532" s="4" t="s">
        <v>2363</v>
      </c>
    </row>
    <row r="10533">
      <c r="A10533" s="4">
        <v>490.0</v>
      </c>
      <c r="B10533" s="4" t="s">
        <v>20303</v>
      </c>
      <c r="C10533" s="4"/>
      <c r="D10533" s="4" t="s">
        <v>21303</v>
      </c>
      <c r="E10533" s="4" t="s">
        <v>21304</v>
      </c>
      <c r="F10533" s="4" t="s">
        <v>21303</v>
      </c>
    </row>
    <row r="10534">
      <c r="A10534" s="4">
        <v>491.0</v>
      </c>
      <c r="B10534" s="4" t="s">
        <v>20303</v>
      </c>
      <c r="C10534" s="4"/>
      <c r="D10534" s="4" t="s">
        <v>21305</v>
      </c>
      <c r="E10534" s="4" t="s">
        <v>5313</v>
      </c>
      <c r="F10534" s="4" t="s">
        <v>5314</v>
      </c>
    </row>
    <row r="10535">
      <c r="A10535" s="4">
        <v>492.0</v>
      </c>
      <c r="B10535" s="4" t="s">
        <v>20303</v>
      </c>
      <c r="C10535" s="4"/>
      <c r="D10535" s="4" t="s">
        <v>2381</v>
      </c>
      <c r="E10535" s="4" t="s">
        <v>2382</v>
      </c>
      <c r="F10535" s="4" t="s">
        <v>2381</v>
      </c>
      <c r="G10535" s="4"/>
      <c r="H10535" s="4" t="s">
        <v>10770</v>
      </c>
      <c r="I10535" s="4" t="s">
        <v>2383</v>
      </c>
      <c r="J10535" s="4" t="s">
        <v>2384</v>
      </c>
      <c r="K10535" s="4" t="s">
        <v>2278</v>
      </c>
      <c r="L10535" s="4" t="s">
        <v>2381</v>
      </c>
      <c r="M10535" s="4" t="s">
        <v>2384</v>
      </c>
      <c r="N10535" s="4" t="s">
        <v>2385</v>
      </c>
      <c r="O10535" s="4" t="s">
        <v>2386</v>
      </c>
      <c r="P10535" s="4" t="s">
        <v>2387</v>
      </c>
      <c r="Q10535" s="4" t="s">
        <v>2388</v>
      </c>
      <c r="R10535" s="4" t="s">
        <v>2389</v>
      </c>
      <c r="S10535" s="4" t="s">
        <v>2390</v>
      </c>
    </row>
    <row r="10536">
      <c r="A10536" s="4">
        <v>493.0</v>
      </c>
      <c r="B10536" s="4" t="s">
        <v>20303</v>
      </c>
      <c r="C10536" s="4"/>
      <c r="D10536" s="4" t="s">
        <v>2391</v>
      </c>
      <c r="E10536" s="4" t="s">
        <v>2392</v>
      </c>
      <c r="F10536" s="4" t="s">
        <v>2391</v>
      </c>
      <c r="G10536" s="4"/>
      <c r="H10536" s="4" t="s">
        <v>21306</v>
      </c>
    </row>
    <row r="10537">
      <c r="A10537" s="4">
        <v>494.0</v>
      </c>
      <c r="B10537" s="4" t="s">
        <v>20303</v>
      </c>
      <c r="C10537" s="4"/>
      <c r="D10537" s="4" t="s">
        <v>21307</v>
      </c>
      <c r="E10537" s="4" t="s">
        <v>21308</v>
      </c>
      <c r="F10537" s="4" t="s">
        <v>21307</v>
      </c>
    </row>
    <row r="10538">
      <c r="A10538" s="4">
        <v>495.0</v>
      </c>
      <c r="B10538" s="4" t="s">
        <v>20303</v>
      </c>
      <c r="C10538" s="4"/>
      <c r="D10538" s="4" t="s">
        <v>12789</v>
      </c>
      <c r="E10538" s="4" t="s">
        <v>12788</v>
      </c>
      <c r="F10538" s="4" t="s">
        <v>12789</v>
      </c>
    </row>
    <row r="10539">
      <c r="A10539" s="4">
        <v>496.0</v>
      </c>
      <c r="B10539" s="4" t="s">
        <v>20303</v>
      </c>
      <c r="C10539" s="4"/>
      <c r="D10539" s="4" t="s">
        <v>21309</v>
      </c>
      <c r="E10539" s="4" t="s">
        <v>21310</v>
      </c>
      <c r="F10539" s="4" t="s">
        <v>21309</v>
      </c>
    </row>
    <row r="10540">
      <c r="A10540" s="4">
        <v>497.0</v>
      </c>
      <c r="B10540" s="4" t="s">
        <v>20303</v>
      </c>
      <c r="C10540" s="4"/>
      <c r="D10540" s="4" t="s">
        <v>21311</v>
      </c>
      <c r="E10540" s="4" t="s">
        <v>21312</v>
      </c>
      <c r="F10540" s="4" t="s">
        <v>21311</v>
      </c>
    </row>
    <row r="10541">
      <c r="A10541" s="4">
        <v>498.0</v>
      </c>
      <c r="B10541" s="4" t="s">
        <v>20303</v>
      </c>
      <c r="C10541" s="4"/>
      <c r="D10541" s="4" t="s">
        <v>14465</v>
      </c>
      <c r="E10541" s="4" t="s">
        <v>2382</v>
      </c>
      <c r="F10541" s="4" t="s">
        <v>2381</v>
      </c>
      <c r="G10541" s="4"/>
      <c r="H10541" s="4" t="s">
        <v>2278</v>
      </c>
      <c r="I10541" s="4" t="s">
        <v>2381</v>
      </c>
      <c r="J10541" s="4" t="s">
        <v>2384</v>
      </c>
      <c r="K10541" s="4" t="s">
        <v>2385</v>
      </c>
      <c r="L10541" s="4" t="s">
        <v>2386</v>
      </c>
      <c r="M10541" s="4" t="s">
        <v>2387</v>
      </c>
      <c r="N10541" s="4" t="s">
        <v>2388</v>
      </c>
      <c r="O10541" s="4" t="s">
        <v>2389</v>
      </c>
      <c r="P10541" s="4" t="s">
        <v>2390</v>
      </c>
    </row>
    <row r="10542">
      <c r="A10542" s="4">
        <v>499.0</v>
      </c>
      <c r="B10542" s="4" t="s">
        <v>20303</v>
      </c>
      <c r="C10542" s="4"/>
      <c r="D10542" s="4" t="s">
        <v>1856</v>
      </c>
      <c r="E10542" s="4" t="s">
        <v>4841</v>
      </c>
      <c r="F10542" s="4" t="s">
        <v>1856</v>
      </c>
      <c r="G10542" s="4"/>
      <c r="H10542" s="4" t="s">
        <v>6747</v>
      </c>
      <c r="I10542" s="4" t="s">
        <v>6748</v>
      </c>
    </row>
    <row r="10543">
      <c r="A10543" s="4">
        <v>500.0</v>
      </c>
      <c r="B10543" s="4" t="s">
        <v>20303</v>
      </c>
      <c r="C10543" s="4"/>
      <c r="D10543" s="4" t="s">
        <v>2401</v>
      </c>
      <c r="E10543" s="4" t="s">
        <v>2402</v>
      </c>
      <c r="F10543" s="4" t="s">
        <v>2401</v>
      </c>
    </row>
    <row r="10544">
      <c r="A10544" s="4">
        <v>501.0</v>
      </c>
      <c r="B10544" s="4" t="s">
        <v>20303</v>
      </c>
      <c r="C10544" s="4"/>
      <c r="D10544" s="4" t="s">
        <v>2403</v>
      </c>
      <c r="E10544" s="4" t="s">
        <v>2404</v>
      </c>
      <c r="F10544" s="4" t="s">
        <v>2403</v>
      </c>
      <c r="G10544" s="4"/>
      <c r="H10544" s="4" t="s">
        <v>11392</v>
      </c>
      <c r="I10544" s="4" t="s">
        <v>8375</v>
      </c>
    </row>
    <row r="10545">
      <c r="A10545" s="4">
        <v>502.0</v>
      </c>
      <c r="B10545" s="4" t="s">
        <v>20303</v>
      </c>
      <c r="C10545" s="4"/>
      <c r="D10545" s="4" t="s">
        <v>21313</v>
      </c>
      <c r="E10545" s="4" t="s">
        <v>21314</v>
      </c>
      <c r="F10545" s="4" t="s">
        <v>21315</v>
      </c>
    </row>
    <row r="10546">
      <c r="A10546" s="4">
        <v>503.0</v>
      </c>
      <c r="B10546" s="4" t="s">
        <v>20303</v>
      </c>
      <c r="C10546" s="4"/>
      <c r="D10546" s="4" t="s">
        <v>2414</v>
      </c>
      <c r="E10546" s="4" t="s">
        <v>2415</v>
      </c>
      <c r="F10546" s="4" t="s">
        <v>2414</v>
      </c>
    </row>
    <row r="10547">
      <c r="A10547" s="4">
        <v>504.0</v>
      </c>
      <c r="B10547" s="4" t="s">
        <v>20303</v>
      </c>
      <c r="C10547" s="4"/>
      <c r="D10547" s="4" t="s">
        <v>12811</v>
      </c>
      <c r="E10547" s="4" t="s">
        <v>20248</v>
      </c>
      <c r="F10547" s="4" t="s">
        <v>12811</v>
      </c>
    </row>
    <row r="10548">
      <c r="A10548" s="4">
        <v>505.0</v>
      </c>
      <c r="B10548" s="4" t="s">
        <v>20303</v>
      </c>
      <c r="C10548" s="4"/>
      <c r="D10548" s="4" t="s">
        <v>2420</v>
      </c>
      <c r="E10548" s="4" t="s">
        <v>2421</v>
      </c>
      <c r="F10548" s="4" t="s">
        <v>2420</v>
      </c>
    </row>
    <row r="10549">
      <c r="A10549" s="4">
        <v>506.0</v>
      </c>
      <c r="B10549" s="4" t="s">
        <v>20303</v>
      </c>
      <c r="C10549" s="4"/>
      <c r="D10549" s="4" t="s">
        <v>2422</v>
      </c>
      <c r="E10549" s="4" t="s">
        <v>2423</v>
      </c>
      <c r="F10549" s="4" t="s">
        <v>2422</v>
      </c>
      <c r="G10549" s="4"/>
      <c r="H10549" s="4" t="s">
        <v>2424</v>
      </c>
      <c r="I10549" s="4" t="s">
        <v>2425</v>
      </c>
      <c r="J10549" s="4" t="s">
        <v>2426</v>
      </c>
      <c r="K10549" s="4" t="s">
        <v>2427</v>
      </c>
      <c r="L10549" s="4" t="s">
        <v>2424</v>
      </c>
      <c r="M10549" s="4" t="s">
        <v>21316</v>
      </c>
      <c r="N10549" s="4" t="s">
        <v>2072</v>
      </c>
      <c r="O10549" s="4" t="s">
        <v>9359</v>
      </c>
      <c r="P10549" s="4" t="s">
        <v>2424</v>
      </c>
      <c r="Q10549" s="4" t="s">
        <v>6084</v>
      </c>
      <c r="R10549" s="4" t="s">
        <v>21317</v>
      </c>
      <c r="S10549" s="4" t="s">
        <v>2427</v>
      </c>
      <c r="T10549" s="4" t="s">
        <v>2424</v>
      </c>
      <c r="U10549" s="4" t="s">
        <v>2428</v>
      </c>
      <c r="V10549" s="4" t="s">
        <v>2429</v>
      </c>
      <c r="W10549" s="4" t="s">
        <v>6081</v>
      </c>
      <c r="X10549" s="4" t="s">
        <v>2424</v>
      </c>
      <c r="Y10549" s="4" t="s">
        <v>6082</v>
      </c>
      <c r="Z10549" s="4" t="s">
        <v>6083</v>
      </c>
      <c r="AA10549" s="4" t="s">
        <v>6072</v>
      </c>
      <c r="AB10549" s="4" t="s">
        <v>6084</v>
      </c>
      <c r="AC10549" s="4" t="s">
        <v>6085</v>
      </c>
    </row>
    <row r="10550">
      <c r="A10550" s="4">
        <v>507.0</v>
      </c>
      <c r="B10550" s="4" t="s">
        <v>20303</v>
      </c>
      <c r="C10550" s="4"/>
      <c r="D10550" s="4" t="s">
        <v>21318</v>
      </c>
      <c r="E10550" s="4" t="s">
        <v>21319</v>
      </c>
      <c r="F10550" s="4" t="s">
        <v>21318</v>
      </c>
    </row>
    <row r="10551">
      <c r="A10551" s="4">
        <v>508.0</v>
      </c>
      <c r="B10551" s="4" t="s">
        <v>20303</v>
      </c>
      <c r="C10551" s="4"/>
      <c r="D10551" s="4" t="s">
        <v>21320</v>
      </c>
      <c r="E10551" s="4" t="s">
        <v>21321</v>
      </c>
      <c r="F10551" s="4" t="s">
        <v>21320</v>
      </c>
    </row>
    <row r="10552">
      <c r="A10552" s="4">
        <v>509.0</v>
      </c>
      <c r="B10552" s="4" t="s">
        <v>20303</v>
      </c>
      <c r="C10552" s="4"/>
      <c r="D10552" s="4" t="s">
        <v>21322</v>
      </c>
      <c r="E10552" s="4" t="s">
        <v>21319</v>
      </c>
      <c r="F10552" s="4" t="s">
        <v>21318</v>
      </c>
    </row>
    <row r="10553">
      <c r="A10553" s="4">
        <v>510.0</v>
      </c>
      <c r="B10553" s="4" t="s">
        <v>20303</v>
      </c>
      <c r="C10553" s="4"/>
      <c r="D10553" s="4" t="s">
        <v>21323</v>
      </c>
      <c r="E10553" s="4" t="s">
        <v>21321</v>
      </c>
      <c r="F10553" s="4" t="s">
        <v>21320</v>
      </c>
    </row>
    <row r="10554">
      <c r="A10554" s="4">
        <v>511.0</v>
      </c>
      <c r="B10554" s="4" t="s">
        <v>20303</v>
      </c>
      <c r="C10554" s="4"/>
      <c r="D10554" s="4" t="s">
        <v>21324</v>
      </c>
      <c r="E10554" s="4" t="s">
        <v>21325</v>
      </c>
      <c r="F10554" s="4" t="s">
        <v>21324</v>
      </c>
    </row>
    <row r="10555">
      <c r="A10555" s="4">
        <v>512.0</v>
      </c>
      <c r="B10555" s="4" t="s">
        <v>20303</v>
      </c>
      <c r="C10555" s="4"/>
      <c r="D10555" s="4" t="s">
        <v>2430</v>
      </c>
      <c r="E10555" s="4" t="s">
        <v>2431</v>
      </c>
      <c r="F10555" s="4" t="s">
        <v>2432</v>
      </c>
    </row>
    <row r="10556">
      <c r="A10556" s="4">
        <v>513.0</v>
      </c>
      <c r="B10556" s="4" t="s">
        <v>20303</v>
      </c>
      <c r="C10556" s="4"/>
      <c r="D10556" s="4" t="s">
        <v>21326</v>
      </c>
      <c r="E10556" s="4" t="s">
        <v>21327</v>
      </c>
      <c r="F10556" s="4" t="s">
        <v>21326</v>
      </c>
    </row>
    <row r="10557">
      <c r="A10557" s="4">
        <v>514.0</v>
      </c>
      <c r="B10557" s="4" t="s">
        <v>20303</v>
      </c>
      <c r="C10557" s="4"/>
      <c r="D10557" s="4" t="s">
        <v>21328</v>
      </c>
      <c r="E10557" s="4" t="s">
        <v>2402</v>
      </c>
      <c r="F10557" s="4" t="s">
        <v>2401</v>
      </c>
      <c r="G10557" s="4"/>
      <c r="H10557" s="4" t="s">
        <v>12820</v>
      </c>
      <c r="I10557" s="4" t="s">
        <v>12821</v>
      </c>
      <c r="J10557" s="4" t="s">
        <v>11310</v>
      </c>
    </row>
    <row r="10558">
      <c r="A10558" s="4">
        <v>515.0</v>
      </c>
      <c r="B10558" s="4" t="s">
        <v>20303</v>
      </c>
      <c r="C10558" s="4"/>
      <c r="D10558" s="4" t="s">
        <v>21329</v>
      </c>
      <c r="E10558" s="4" t="s">
        <v>2415</v>
      </c>
      <c r="F10558" s="4" t="s">
        <v>2414</v>
      </c>
    </row>
    <row r="10559">
      <c r="A10559" s="4">
        <v>516.0</v>
      </c>
      <c r="B10559" s="4" t="s">
        <v>20303</v>
      </c>
      <c r="C10559" s="4"/>
      <c r="D10559" s="4" t="s">
        <v>2458</v>
      </c>
      <c r="E10559" s="4" t="s">
        <v>2459</v>
      </c>
      <c r="F10559" s="4" t="s">
        <v>2458</v>
      </c>
      <c r="G10559" s="4"/>
      <c r="H10559" s="4" t="s">
        <v>2460</v>
      </c>
    </row>
    <row r="10560">
      <c r="A10560" s="4">
        <v>517.0</v>
      </c>
      <c r="B10560" s="4" t="s">
        <v>20303</v>
      </c>
      <c r="C10560" s="4"/>
      <c r="D10560" s="4" t="s">
        <v>21330</v>
      </c>
      <c r="E10560" s="4" t="s">
        <v>21331</v>
      </c>
      <c r="F10560" s="4" t="s">
        <v>10642</v>
      </c>
    </row>
    <row r="10561">
      <c r="A10561" s="4">
        <v>518.0</v>
      </c>
      <c r="B10561" s="4" t="s">
        <v>20303</v>
      </c>
      <c r="C10561" s="4"/>
      <c r="D10561" s="4" t="s">
        <v>21332</v>
      </c>
      <c r="E10561" s="4" t="s">
        <v>21333</v>
      </c>
      <c r="F10561" s="4" t="s">
        <v>21334</v>
      </c>
    </row>
    <row r="10562">
      <c r="A10562" s="4">
        <v>519.0</v>
      </c>
      <c r="B10562" s="4" t="s">
        <v>20303</v>
      </c>
      <c r="C10562" s="4"/>
      <c r="D10562" s="4" t="s">
        <v>21335</v>
      </c>
      <c r="E10562" s="4" t="s">
        <v>21336</v>
      </c>
      <c r="F10562" s="4" t="s">
        <v>21337</v>
      </c>
    </row>
    <row r="10563">
      <c r="A10563" s="4">
        <v>520.0</v>
      </c>
      <c r="B10563" s="4" t="s">
        <v>20303</v>
      </c>
      <c r="C10563" s="4"/>
      <c r="D10563" s="4" t="s">
        <v>21338</v>
      </c>
      <c r="E10563" s="4" t="s">
        <v>21339</v>
      </c>
      <c r="F10563" s="4" t="s">
        <v>21340</v>
      </c>
      <c r="G10563" s="4"/>
      <c r="H10563" s="4" t="s">
        <v>21341</v>
      </c>
      <c r="I10563" s="4" t="s">
        <v>21342</v>
      </c>
    </row>
    <row r="10564">
      <c r="A10564" s="4">
        <v>521.0</v>
      </c>
      <c r="B10564" s="4" t="s">
        <v>20303</v>
      </c>
      <c r="C10564" s="4"/>
      <c r="D10564" s="4" t="s">
        <v>21343</v>
      </c>
      <c r="E10564" s="4" t="s">
        <v>21344</v>
      </c>
      <c r="F10564" s="4" t="s">
        <v>21345</v>
      </c>
    </row>
    <row r="10565">
      <c r="A10565" s="4">
        <v>522.0</v>
      </c>
      <c r="B10565" s="4" t="s">
        <v>20303</v>
      </c>
      <c r="C10565" s="4"/>
      <c r="D10565" s="4" t="s">
        <v>2293</v>
      </c>
      <c r="E10565" s="4" t="s">
        <v>2473</v>
      </c>
      <c r="F10565" s="4" t="s">
        <v>2293</v>
      </c>
      <c r="G10565" s="4"/>
      <c r="H10565" s="4" t="s">
        <v>2474</v>
      </c>
      <c r="I10565" s="4" t="s">
        <v>2475</v>
      </c>
      <c r="J10565" s="4" t="s">
        <v>2474</v>
      </c>
    </row>
    <row r="10566">
      <c r="A10566" s="4">
        <v>523.0</v>
      </c>
      <c r="B10566" s="4" t="s">
        <v>20303</v>
      </c>
      <c r="C10566" s="4"/>
      <c r="D10566" s="4" t="s">
        <v>21346</v>
      </c>
      <c r="E10566" s="4" t="s">
        <v>21347</v>
      </c>
      <c r="F10566" s="4" t="s">
        <v>21346</v>
      </c>
      <c r="G10566" s="4"/>
      <c r="H10566" s="4" t="s">
        <v>21348</v>
      </c>
      <c r="I10566" s="4" t="s">
        <v>15342</v>
      </c>
      <c r="J10566" s="4" t="s">
        <v>21349</v>
      </c>
    </row>
    <row r="10567">
      <c r="A10567" s="4">
        <v>524.0</v>
      </c>
      <c r="B10567" s="4" t="s">
        <v>20303</v>
      </c>
      <c r="C10567" s="4"/>
      <c r="D10567" s="4" t="s">
        <v>21350</v>
      </c>
      <c r="E10567" s="4" t="s">
        <v>21351</v>
      </c>
      <c r="F10567" s="4" t="s">
        <v>21350</v>
      </c>
    </row>
    <row r="10568">
      <c r="A10568" s="4">
        <v>525.0</v>
      </c>
      <c r="B10568" s="4" t="s">
        <v>20303</v>
      </c>
      <c r="C10568" s="4"/>
      <c r="D10568" s="4" t="s">
        <v>2499</v>
      </c>
      <c r="E10568" s="4" t="s">
        <v>2498</v>
      </c>
      <c r="F10568" s="4" t="s">
        <v>2499</v>
      </c>
    </row>
    <row r="10569">
      <c r="A10569" s="4">
        <v>526.0</v>
      </c>
      <c r="B10569" s="4" t="s">
        <v>20303</v>
      </c>
      <c r="C10569" s="4"/>
      <c r="D10569" s="4" t="s">
        <v>2479</v>
      </c>
      <c r="E10569" s="4" t="s">
        <v>2480</v>
      </c>
      <c r="F10569" s="4" t="s">
        <v>2481</v>
      </c>
    </row>
    <row r="10570">
      <c r="A10570" s="4">
        <v>527.0</v>
      </c>
      <c r="B10570" s="4" t="s">
        <v>20303</v>
      </c>
      <c r="C10570" s="4"/>
      <c r="D10570" s="4" t="s">
        <v>21352</v>
      </c>
      <c r="E10570" s="4" t="s">
        <v>21353</v>
      </c>
      <c r="F10570" s="4" t="s">
        <v>21354</v>
      </c>
    </row>
    <row r="10571">
      <c r="A10571" s="4">
        <v>528.0</v>
      </c>
      <c r="B10571" s="4" t="s">
        <v>20303</v>
      </c>
      <c r="C10571" s="4"/>
      <c r="D10571" s="4" t="s">
        <v>2493</v>
      </c>
      <c r="E10571" s="4" t="s">
        <v>2494</v>
      </c>
      <c r="F10571" s="4" t="s">
        <v>2493</v>
      </c>
    </row>
    <row r="10572">
      <c r="A10572" s="4">
        <v>529.0</v>
      </c>
      <c r="B10572" s="4" t="s">
        <v>20303</v>
      </c>
      <c r="C10572" s="4"/>
      <c r="D10572" s="4" t="s">
        <v>21355</v>
      </c>
      <c r="E10572" s="4" t="s">
        <v>21356</v>
      </c>
      <c r="F10572" s="4" t="s">
        <v>21355</v>
      </c>
    </row>
    <row r="10573">
      <c r="A10573" s="4">
        <v>530.0</v>
      </c>
      <c r="B10573" s="4" t="s">
        <v>20303</v>
      </c>
      <c r="C10573" s="4"/>
      <c r="D10573" s="4" t="s">
        <v>21357</v>
      </c>
      <c r="E10573" s="4" t="s">
        <v>21358</v>
      </c>
      <c r="F10573" s="4" t="s">
        <v>21359</v>
      </c>
    </row>
    <row r="10574">
      <c r="A10574" s="4">
        <v>531.0</v>
      </c>
      <c r="B10574" s="4" t="s">
        <v>20303</v>
      </c>
      <c r="C10574" s="4"/>
      <c r="D10574" s="4" t="s">
        <v>21360</v>
      </c>
      <c r="E10574" s="4" t="s">
        <v>21361</v>
      </c>
      <c r="F10574" s="4" t="s">
        <v>21362</v>
      </c>
    </row>
    <row r="10575">
      <c r="A10575" s="4">
        <v>532.0</v>
      </c>
      <c r="B10575" s="4" t="s">
        <v>20303</v>
      </c>
      <c r="C10575" s="4"/>
      <c r="D10575" s="4" t="s">
        <v>339</v>
      </c>
      <c r="E10575" s="4" t="s">
        <v>338</v>
      </c>
      <c r="F10575" s="4" t="s">
        <v>339</v>
      </c>
    </row>
    <row r="10576">
      <c r="A10576" s="4">
        <v>533.0</v>
      </c>
      <c r="B10576" s="4" t="s">
        <v>20303</v>
      </c>
      <c r="C10576" s="4"/>
      <c r="D10576" s="4" t="s">
        <v>2525</v>
      </c>
      <c r="E10576" s="4" t="s">
        <v>2524</v>
      </c>
      <c r="F10576" s="4" t="s">
        <v>2525</v>
      </c>
      <c r="G10576" s="4"/>
      <c r="H10576" s="4" t="s">
        <v>1743</v>
      </c>
      <c r="I10576" s="4" t="s">
        <v>2526</v>
      </c>
      <c r="J10576" s="4" t="s">
        <v>1743</v>
      </c>
      <c r="K10576" s="4" t="s">
        <v>2527</v>
      </c>
      <c r="L10576" s="4" t="s">
        <v>2528</v>
      </c>
      <c r="M10576" s="4" t="s">
        <v>2529</v>
      </c>
      <c r="N10576" s="4" t="s">
        <v>2530</v>
      </c>
      <c r="O10576" s="4" t="s">
        <v>2531</v>
      </c>
      <c r="P10576" s="4" t="s">
        <v>2532</v>
      </c>
      <c r="Q10576" s="4" t="s">
        <v>2533</v>
      </c>
      <c r="R10576" s="4" t="s">
        <v>1743</v>
      </c>
      <c r="S10576" s="4" t="s">
        <v>2534</v>
      </c>
      <c r="T10576" s="4" t="s">
        <v>2535</v>
      </c>
      <c r="U10576" s="4" t="s">
        <v>2536</v>
      </c>
      <c r="V10576" s="4" t="s">
        <v>781</v>
      </c>
      <c r="W10576" s="4" t="s">
        <v>2539</v>
      </c>
      <c r="X10576" s="4" t="s">
        <v>783</v>
      </c>
      <c r="Y10576" s="4" t="s">
        <v>1743</v>
      </c>
      <c r="Z10576" s="4" t="s">
        <v>2540</v>
      </c>
      <c r="AA10576" s="4" t="s">
        <v>2541</v>
      </c>
      <c r="AB10576" s="4" t="s">
        <v>2532</v>
      </c>
      <c r="AC10576" s="4" t="s">
        <v>2542</v>
      </c>
      <c r="AD10576" s="4" t="s">
        <v>2543</v>
      </c>
    </row>
    <row r="10577">
      <c r="A10577" s="4">
        <v>534.0</v>
      </c>
      <c r="B10577" s="4" t="s">
        <v>20303</v>
      </c>
      <c r="C10577" s="4"/>
      <c r="D10577" s="4" t="s">
        <v>21363</v>
      </c>
      <c r="E10577" s="4" t="s">
        <v>21364</v>
      </c>
      <c r="F10577" s="4" t="s">
        <v>21363</v>
      </c>
    </row>
    <row r="10578">
      <c r="A10578" s="4">
        <v>535.0</v>
      </c>
      <c r="B10578" s="4" t="s">
        <v>20303</v>
      </c>
      <c r="C10578" s="4"/>
      <c r="D10578" s="4" t="s">
        <v>21365</v>
      </c>
      <c r="E10578" s="4" t="s">
        <v>21366</v>
      </c>
      <c r="F10578" s="4" t="s">
        <v>21367</v>
      </c>
      <c r="G10578" s="4"/>
      <c r="H10578" s="4" t="s">
        <v>13030</v>
      </c>
    </row>
    <row r="10579">
      <c r="A10579" s="4">
        <v>536.0</v>
      </c>
      <c r="B10579" s="4" t="s">
        <v>20303</v>
      </c>
      <c r="C10579" s="4"/>
      <c r="D10579" s="4" t="s">
        <v>21368</v>
      </c>
      <c r="E10579" s="4" t="s">
        <v>21369</v>
      </c>
      <c r="F10579" s="4" t="s">
        <v>21368</v>
      </c>
    </row>
    <row r="10580">
      <c r="A10580" s="4">
        <v>537.0</v>
      </c>
      <c r="B10580" s="4" t="s">
        <v>20303</v>
      </c>
      <c r="C10580" s="4"/>
      <c r="D10580" s="4" t="s">
        <v>2566</v>
      </c>
      <c r="E10580" s="4" t="s">
        <v>2567</v>
      </c>
      <c r="F10580" s="4" t="s">
        <v>2566</v>
      </c>
      <c r="G10580" s="4"/>
      <c r="H10580" s="4" t="s">
        <v>2569</v>
      </c>
      <c r="I10580" s="4" t="s">
        <v>2570</v>
      </c>
      <c r="J10580" s="4" t="s">
        <v>2570</v>
      </c>
      <c r="K10580" s="4" t="s">
        <v>2570</v>
      </c>
      <c r="L10580" s="4" t="s">
        <v>2570</v>
      </c>
      <c r="M10580" s="4" t="s">
        <v>15148</v>
      </c>
      <c r="N10580" s="4" t="s">
        <v>14028</v>
      </c>
      <c r="O10580" s="4" t="s">
        <v>2570</v>
      </c>
    </row>
    <row r="10581">
      <c r="A10581" s="4">
        <v>538.0</v>
      </c>
      <c r="B10581" s="4" t="s">
        <v>20303</v>
      </c>
      <c r="C10581" s="4"/>
      <c r="D10581" s="4" t="s">
        <v>10680</v>
      </c>
      <c r="E10581" s="4" t="s">
        <v>21370</v>
      </c>
      <c r="F10581" s="4" t="s">
        <v>10680</v>
      </c>
    </row>
    <row r="10582">
      <c r="A10582" s="4">
        <v>539.0</v>
      </c>
      <c r="B10582" s="4" t="s">
        <v>20303</v>
      </c>
      <c r="C10582" s="4"/>
      <c r="D10582" s="4" t="s">
        <v>20249</v>
      </c>
      <c r="E10582" s="4" t="s">
        <v>20250</v>
      </c>
      <c r="F10582" s="4" t="s">
        <v>20249</v>
      </c>
    </row>
    <row r="10583">
      <c r="A10583" s="4">
        <v>540.0</v>
      </c>
      <c r="B10583" s="4" t="s">
        <v>20303</v>
      </c>
      <c r="C10583" s="4"/>
      <c r="D10583" s="4" t="s">
        <v>21371</v>
      </c>
      <c r="E10583" s="4" t="s">
        <v>21372</v>
      </c>
      <c r="F10583" s="4" t="s">
        <v>21371</v>
      </c>
    </row>
    <row r="10584">
      <c r="A10584" s="4">
        <v>541.0</v>
      </c>
      <c r="B10584" s="4" t="s">
        <v>20303</v>
      </c>
      <c r="C10584" s="4"/>
      <c r="D10584" s="4" t="s">
        <v>2445</v>
      </c>
      <c r="E10584" s="4" t="s">
        <v>2444</v>
      </c>
      <c r="F10584" s="4" t="s">
        <v>2445</v>
      </c>
    </row>
    <row r="10585">
      <c r="A10585" s="4">
        <v>542.0</v>
      </c>
      <c r="B10585" s="4" t="s">
        <v>20303</v>
      </c>
      <c r="C10585" s="4"/>
      <c r="D10585" s="4" t="s">
        <v>21373</v>
      </c>
      <c r="E10585" s="4" t="s">
        <v>21374</v>
      </c>
      <c r="F10585" s="4" t="s">
        <v>21373</v>
      </c>
      <c r="G10585" s="4"/>
      <c r="H10585" s="4" t="s">
        <v>21375</v>
      </c>
      <c r="I10585" s="4" t="s">
        <v>2576</v>
      </c>
      <c r="J10585" s="4" t="s">
        <v>2577</v>
      </c>
      <c r="K10585" s="4" t="s">
        <v>2578</v>
      </c>
      <c r="L10585" s="4" t="s">
        <v>2579</v>
      </c>
      <c r="M10585" s="4" t="s">
        <v>21375</v>
      </c>
    </row>
    <row r="10586">
      <c r="A10586" s="4">
        <v>543.0</v>
      </c>
      <c r="B10586" s="4" t="s">
        <v>20303</v>
      </c>
      <c r="C10586" s="4"/>
      <c r="D10586" s="4" t="s">
        <v>21376</v>
      </c>
      <c r="E10586" s="4" t="s">
        <v>21377</v>
      </c>
      <c r="F10586" s="4" t="s">
        <v>21376</v>
      </c>
    </row>
    <row r="10587">
      <c r="A10587" s="4">
        <v>544.0</v>
      </c>
      <c r="B10587" s="4" t="s">
        <v>20303</v>
      </c>
      <c r="C10587" s="4"/>
      <c r="D10587" s="4" t="s">
        <v>16785</v>
      </c>
      <c r="E10587" s="4" t="s">
        <v>16786</v>
      </c>
      <c r="F10587" s="4" t="s">
        <v>16787</v>
      </c>
    </row>
    <row r="10588">
      <c r="A10588" s="4">
        <v>545.0</v>
      </c>
      <c r="B10588" s="4" t="s">
        <v>20303</v>
      </c>
      <c r="C10588" s="4"/>
      <c r="D10588" s="4" t="s">
        <v>342</v>
      </c>
      <c r="E10588" s="4" t="s">
        <v>341</v>
      </c>
      <c r="F10588" s="4" t="s">
        <v>342</v>
      </c>
    </row>
    <row r="10589">
      <c r="A10589" s="4">
        <v>546.0</v>
      </c>
      <c r="B10589" s="4" t="s">
        <v>20303</v>
      </c>
      <c r="C10589" s="4"/>
      <c r="D10589" s="4" t="s">
        <v>12868</v>
      </c>
      <c r="E10589" s="4" t="s">
        <v>12869</v>
      </c>
      <c r="F10589" s="4" t="s">
        <v>12870</v>
      </c>
    </row>
    <row r="10590">
      <c r="A10590" s="4">
        <v>547.0</v>
      </c>
      <c r="B10590" s="4" t="s">
        <v>20303</v>
      </c>
      <c r="C10590" s="4"/>
      <c r="D10590" s="4" t="s">
        <v>2599</v>
      </c>
      <c r="E10590" s="4" t="s">
        <v>2600</v>
      </c>
      <c r="F10590" s="4" t="s">
        <v>2601</v>
      </c>
      <c r="G10590" s="4"/>
      <c r="H10590" s="4" t="s">
        <v>2599</v>
      </c>
      <c r="I10590" s="4" t="s">
        <v>2613</v>
      </c>
    </row>
    <row r="10591">
      <c r="A10591" s="4">
        <v>548.0</v>
      </c>
      <c r="B10591" s="4" t="s">
        <v>20303</v>
      </c>
      <c r="C10591" s="4"/>
      <c r="D10591" s="4" t="s">
        <v>18246</v>
      </c>
      <c r="E10591" s="4" t="s">
        <v>14643</v>
      </c>
      <c r="F10591" s="4" t="s">
        <v>2601</v>
      </c>
    </row>
    <row r="10592">
      <c r="A10592" s="4">
        <v>549.0</v>
      </c>
      <c r="B10592" s="4" t="s">
        <v>20303</v>
      </c>
      <c r="C10592" s="4"/>
      <c r="D10592" s="4" t="s">
        <v>2622</v>
      </c>
      <c r="E10592" s="4" t="s">
        <v>2623</v>
      </c>
      <c r="F10592" s="4" t="s">
        <v>2622</v>
      </c>
      <c r="G10592" s="4"/>
      <c r="H10592" s="4" t="s">
        <v>2622</v>
      </c>
      <c r="I10592" s="4" t="s">
        <v>2624</v>
      </c>
      <c r="J10592" s="4" t="s">
        <v>2625</v>
      </c>
      <c r="K10592" s="4">
        <v>1000.0</v>
      </c>
      <c r="L10592" s="4" t="s">
        <v>2628</v>
      </c>
      <c r="M10592" s="4" t="s">
        <v>2629</v>
      </c>
      <c r="N10592" s="4" t="s">
        <v>2630</v>
      </c>
      <c r="O10592" s="4" t="s">
        <v>2631</v>
      </c>
      <c r="P10592" s="4" t="s">
        <v>2632</v>
      </c>
      <c r="Q10592" s="4" t="s">
        <v>2633</v>
      </c>
      <c r="R10592" s="4" t="s">
        <v>2634</v>
      </c>
    </row>
    <row r="10593">
      <c r="A10593" s="4">
        <v>550.0</v>
      </c>
      <c r="B10593" s="4" t="s">
        <v>20303</v>
      </c>
      <c r="C10593" s="4"/>
      <c r="D10593" s="4" t="s">
        <v>16790</v>
      </c>
      <c r="E10593" s="4" t="s">
        <v>16791</v>
      </c>
      <c r="F10593" s="4" t="s">
        <v>16790</v>
      </c>
    </row>
    <row r="10594">
      <c r="A10594" s="4">
        <v>551.0</v>
      </c>
      <c r="B10594" s="4" t="s">
        <v>20303</v>
      </c>
      <c r="C10594" s="4"/>
      <c r="D10594" s="4" t="s">
        <v>2637</v>
      </c>
      <c r="E10594" s="4" t="s">
        <v>2638</v>
      </c>
      <c r="F10594" s="4" t="s">
        <v>2637</v>
      </c>
    </row>
    <row r="10595">
      <c r="A10595" s="4">
        <v>552.0</v>
      </c>
      <c r="B10595" s="4" t="s">
        <v>20303</v>
      </c>
      <c r="C10595" s="4"/>
      <c r="D10595" s="4" t="s">
        <v>2639</v>
      </c>
      <c r="E10595" s="4" t="s">
        <v>2645</v>
      </c>
      <c r="F10595" s="4" t="s">
        <v>2639</v>
      </c>
      <c r="G10595" s="4"/>
      <c r="H10595" s="4" t="s">
        <v>2641</v>
      </c>
      <c r="I10595" s="4" t="s">
        <v>2641</v>
      </c>
      <c r="J10595" s="4" t="s">
        <v>2641</v>
      </c>
      <c r="K10595" s="4" t="s">
        <v>21378</v>
      </c>
      <c r="L10595" s="4" t="s">
        <v>2642</v>
      </c>
      <c r="M10595" s="4" t="s">
        <v>2643</v>
      </c>
      <c r="N10595" s="4" t="s">
        <v>1856</v>
      </c>
      <c r="O10595" s="4" t="s">
        <v>2644</v>
      </c>
    </row>
    <row r="10596">
      <c r="A10596" s="4">
        <v>553.0</v>
      </c>
      <c r="B10596" s="4" t="s">
        <v>20303</v>
      </c>
      <c r="C10596" s="4"/>
      <c r="D10596" s="4" t="s">
        <v>21379</v>
      </c>
      <c r="E10596" s="4" t="s">
        <v>21380</v>
      </c>
      <c r="F10596" s="4" t="s">
        <v>21379</v>
      </c>
    </row>
    <row r="10597">
      <c r="A10597" s="4">
        <v>554.0</v>
      </c>
      <c r="B10597" s="4" t="s">
        <v>20303</v>
      </c>
      <c r="C10597" s="4"/>
      <c r="D10597" s="4" t="s">
        <v>21381</v>
      </c>
      <c r="E10597" s="4" t="s">
        <v>21382</v>
      </c>
      <c r="F10597" s="4" t="s">
        <v>21381</v>
      </c>
    </row>
    <row r="10598">
      <c r="A10598" s="4">
        <v>555.0</v>
      </c>
      <c r="B10598" s="4" t="s">
        <v>20303</v>
      </c>
      <c r="C10598" s="4"/>
      <c r="D10598" s="4" t="s">
        <v>21383</v>
      </c>
      <c r="E10598" s="4" t="s">
        <v>21380</v>
      </c>
      <c r="F10598" s="4" t="s">
        <v>21379</v>
      </c>
    </row>
    <row r="10599">
      <c r="A10599" s="4">
        <v>556.0</v>
      </c>
      <c r="B10599" s="4" t="s">
        <v>20303</v>
      </c>
      <c r="C10599" s="4"/>
      <c r="D10599" s="4" t="s">
        <v>21384</v>
      </c>
      <c r="E10599" s="4" t="s">
        <v>21382</v>
      </c>
      <c r="F10599" s="4" t="s">
        <v>21381</v>
      </c>
    </row>
    <row r="10600">
      <c r="A10600" s="4">
        <v>557.0</v>
      </c>
      <c r="B10600" s="4" t="s">
        <v>20303</v>
      </c>
      <c r="C10600" s="4"/>
      <c r="D10600" s="4" t="s">
        <v>21385</v>
      </c>
      <c r="E10600" s="4" t="s">
        <v>21386</v>
      </c>
      <c r="F10600" s="4" t="s">
        <v>21385</v>
      </c>
    </row>
    <row r="10601">
      <c r="A10601" s="4">
        <v>558.0</v>
      </c>
      <c r="B10601" s="4" t="s">
        <v>20303</v>
      </c>
      <c r="C10601" s="4"/>
      <c r="D10601" s="4" t="s">
        <v>21387</v>
      </c>
      <c r="E10601" s="4" t="s">
        <v>21388</v>
      </c>
      <c r="F10601" s="4" t="s">
        <v>21387</v>
      </c>
      <c r="G10601" s="4"/>
      <c r="H10601" s="4" t="s">
        <v>21389</v>
      </c>
      <c r="I10601" s="4" t="s">
        <v>21390</v>
      </c>
      <c r="J10601" s="4" t="s">
        <v>8941</v>
      </c>
      <c r="K10601" s="4" t="s">
        <v>9618</v>
      </c>
      <c r="L10601" s="4" t="s">
        <v>21391</v>
      </c>
    </row>
    <row r="10602">
      <c r="A10602" s="4">
        <v>559.0</v>
      </c>
      <c r="B10602" s="4" t="s">
        <v>20303</v>
      </c>
      <c r="C10602" s="4"/>
      <c r="D10602" s="4" t="s">
        <v>2695</v>
      </c>
      <c r="E10602" s="4" t="s">
        <v>2696</v>
      </c>
      <c r="F10602" s="4" t="s">
        <v>2695</v>
      </c>
      <c r="G10602" s="4"/>
      <c r="H10602" s="4" t="s">
        <v>648</v>
      </c>
      <c r="I10602" s="4" t="s">
        <v>2697</v>
      </c>
      <c r="J10602" s="4" t="s">
        <v>2698</v>
      </c>
      <c r="K10602" s="4" t="s">
        <v>2698</v>
      </c>
      <c r="L10602" s="4" t="s">
        <v>21392</v>
      </c>
    </row>
    <row r="10603">
      <c r="A10603" s="4">
        <v>560.0</v>
      </c>
      <c r="B10603" s="4" t="s">
        <v>20303</v>
      </c>
      <c r="C10603" s="4"/>
      <c r="D10603" s="4" t="s">
        <v>2699</v>
      </c>
      <c r="E10603" s="4" t="s">
        <v>2701</v>
      </c>
      <c r="F10603" s="4" t="s">
        <v>2699</v>
      </c>
      <c r="G10603" s="4"/>
      <c r="H10603" s="4" t="s">
        <v>2698</v>
      </c>
      <c r="I10603" s="4" t="s">
        <v>21393</v>
      </c>
      <c r="J10603" s="4" t="s">
        <v>21394</v>
      </c>
    </row>
    <row r="10604">
      <c r="A10604" s="4">
        <v>561.0</v>
      </c>
      <c r="B10604" s="4" t="s">
        <v>20303</v>
      </c>
      <c r="C10604" s="4"/>
      <c r="D10604" s="4" t="s">
        <v>12891</v>
      </c>
      <c r="E10604" s="4" t="s">
        <v>12893</v>
      </c>
      <c r="F10604" s="4" t="s">
        <v>12891</v>
      </c>
    </row>
    <row r="10605">
      <c r="A10605" s="4">
        <v>562.0</v>
      </c>
      <c r="B10605" s="4" t="s">
        <v>20303</v>
      </c>
      <c r="C10605" s="4"/>
      <c r="D10605" s="4" t="s">
        <v>21395</v>
      </c>
      <c r="E10605" s="4" t="s">
        <v>21396</v>
      </c>
      <c r="F10605" s="4" t="s">
        <v>21395</v>
      </c>
    </row>
    <row r="10606">
      <c r="A10606" s="4">
        <v>563.0</v>
      </c>
      <c r="B10606" s="4" t="s">
        <v>20303</v>
      </c>
      <c r="C10606" s="4"/>
      <c r="D10606" s="4" t="s">
        <v>2896</v>
      </c>
      <c r="E10606" s="4" t="s">
        <v>12908</v>
      </c>
      <c r="F10606" s="4" t="s">
        <v>2896</v>
      </c>
    </row>
    <row r="10607">
      <c r="A10607" s="4">
        <v>564.0</v>
      </c>
      <c r="B10607" s="4" t="s">
        <v>20303</v>
      </c>
      <c r="C10607" s="4"/>
      <c r="D10607" s="4" t="s">
        <v>21397</v>
      </c>
      <c r="E10607" s="4" t="s">
        <v>21398</v>
      </c>
      <c r="F10607" s="4" t="s">
        <v>21397</v>
      </c>
    </row>
    <row r="10608">
      <c r="A10608" s="4">
        <v>565.0</v>
      </c>
      <c r="B10608" s="4" t="s">
        <v>20303</v>
      </c>
      <c r="C10608" s="4"/>
      <c r="D10608" s="4" t="s">
        <v>2702</v>
      </c>
      <c r="E10608" s="4" t="s">
        <v>2703</v>
      </c>
      <c r="F10608" s="4" t="s">
        <v>2702</v>
      </c>
    </row>
    <row r="10609">
      <c r="A10609" s="4">
        <v>566.0</v>
      </c>
      <c r="B10609" s="4" t="s">
        <v>20303</v>
      </c>
      <c r="C10609" s="4"/>
      <c r="D10609" s="4" t="s">
        <v>14212</v>
      </c>
      <c r="E10609" s="4" t="s">
        <v>14213</v>
      </c>
      <c r="F10609" s="4" t="s">
        <v>14212</v>
      </c>
      <c r="G10609" s="4"/>
      <c r="H10609" s="4" t="s">
        <v>14214</v>
      </c>
      <c r="I10609" s="4" t="s">
        <v>14215</v>
      </c>
      <c r="J10609" s="4" t="s">
        <v>1063</v>
      </c>
      <c r="K10609" s="4" t="s">
        <v>7918</v>
      </c>
      <c r="L10609" s="4" t="s">
        <v>7919</v>
      </c>
      <c r="M10609" s="4" t="s">
        <v>6669</v>
      </c>
      <c r="N10609" s="4" t="s">
        <v>14216</v>
      </c>
      <c r="O10609" s="4" t="s">
        <v>6686</v>
      </c>
      <c r="P10609" s="4" t="s">
        <v>14214</v>
      </c>
      <c r="Q10609" s="4" t="s">
        <v>14214</v>
      </c>
      <c r="R10609" s="4" t="s">
        <v>6682</v>
      </c>
      <c r="S10609" s="4" t="s">
        <v>6669</v>
      </c>
      <c r="T10609" s="4" t="s">
        <v>4619</v>
      </c>
      <c r="U10609" s="4" t="s">
        <v>19668</v>
      </c>
    </row>
    <row r="10610">
      <c r="A10610" s="4">
        <v>567.0</v>
      </c>
      <c r="B10610" s="4" t="s">
        <v>20303</v>
      </c>
      <c r="C10610" s="4"/>
      <c r="D10610" s="4" t="s">
        <v>2711</v>
      </c>
      <c r="E10610" s="4" t="s">
        <v>2710</v>
      </c>
      <c r="F10610" s="4" t="s">
        <v>2711</v>
      </c>
    </row>
    <row r="10611">
      <c r="A10611" s="4">
        <v>568.0</v>
      </c>
      <c r="B10611" s="4" t="s">
        <v>20303</v>
      </c>
      <c r="C10611" s="4"/>
      <c r="D10611" s="4" t="s">
        <v>2714</v>
      </c>
      <c r="E10611" s="4" t="s">
        <v>2713</v>
      </c>
      <c r="F10611" s="4" t="s">
        <v>2714</v>
      </c>
      <c r="G10611" s="4"/>
      <c r="H10611" s="4" t="s">
        <v>2715</v>
      </c>
      <c r="I10611" s="4" t="s">
        <v>2715</v>
      </c>
    </row>
    <row r="10612">
      <c r="A10612" s="4">
        <v>569.0</v>
      </c>
      <c r="B10612" s="4" t="s">
        <v>20303</v>
      </c>
      <c r="C10612" s="4"/>
      <c r="D10612" s="4" t="s">
        <v>12921</v>
      </c>
      <c r="E10612" s="4" t="s">
        <v>12920</v>
      </c>
      <c r="F10612" s="4" t="s">
        <v>12921</v>
      </c>
    </row>
    <row r="10613">
      <c r="A10613" s="4">
        <v>570.0</v>
      </c>
      <c r="B10613" s="4" t="s">
        <v>20303</v>
      </c>
      <c r="C10613" s="4"/>
      <c r="D10613" s="4" t="s">
        <v>2718</v>
      </c>
      <c r="E10613" s="4" t="s">
        <v>2717</v>
      </c>
      <c r="F10613" s="4" t="s">
        <v>2718</v>
      </c>
    </row>
    <row r="10614">
      <c r="A10614" s="4">
        <v>571.0</v>
      </c>
      <c r="B10614" s="4" t="s">
        <v>20303</v>
      </c>
      <c r="C10614" s="4"/>
      <c r="D10614" s="4" t="s">
        <v>21399</v>
      </c>
      <c r="E10614" s="4" t="s">
        <v>2717</v>
      </c>
      <c r="F10614" s="4" t="s">
        <v>2718</v>
      </c>
    </row>
    <row r="10615">
      <c r="A10615" s="4">
        <v>572.0</v>
      </c>
      <c r="B10615" s="4" t="s">
        <v>20303</v>
      </c>
      <c r="C10615" s="4"/>
      <c r="D10615" s="4" t="s">
        <v>21400</v>
      </c>
      <c r="E10615" s="4" t="s">
        <v>21401</v>
      </c>
      <c r="F10615" s="4" t="s">
        <v>21400</v>
      </c>
    </row>
    <row r="10616">
      <c r="A10616" s="4">
        <v>573.0</v>
      </c>
      <c r="B10616" s="4" t="s">
        <v>20303</v>
      </c>
      <c r="C10616" s="4"/>
      <c r="D10616" s="4" t="s">
        <v>2709</v>
      </c>
      <c r="E10616" s="4" t="s">
        <v>2710</v>
      </c>
      <c r="F10616" s="4" t="s">
        <v>2711</v>
      </c>
    </row>
    <row r="10617">
      <c r="A10617" s="4">
        <v>574.0</v>
      </c>
      <c r="B10617" s="4" t="s">
        <v>20303</v>
      </c>
      <c r="C10617" s="4"/>
      <c r="D10617" s="4" t="s">
        <v>21402</v>
      </c>
      <c r="E10617" s="4" t="s">
        <v>21403</v>
      </c>
      <c r="F10617" s="4" t="s">
        <v>21402</v>
      </c>
    </row>
    <row r="10618">
      <c r="A10618" s="4">
        <v>575.0</v>
      </c>
      <c r="B10618" s="4" t="s">
        <v>20303</v>
      </c>
      <c r="C10618" s="4"/>
      <c r="D10618" s="4" t="s">
        <v>16787</v>
      </c>
      <c r="E10618" s="4" t="s">
        <v>16786</v>
      </c>
      <c r="F10618" s="4" t="s">
        <v>16787</v>
      </c>
    </row>
    <row r="10619">
      <c r="A10619" s="4">
        <v>576.0</v>
      </c>
      <c r="B10619" s="4" t="s">
        <v>20303</v>
      </c>
      <c r="C10619" s="4"/>
      <c r="D10619" s="4" t="s">
        <v>21404</v>
      </c>
      <c r="E10619" s="4" t="s">
        <v>16786</v>
      </c>
      <c r="F10619" s="4" t="s">
        <v>16787</v>
      </c>
    </row>
    <row r="10620">
      <c r="A10620" s="4">
        <v>577.0</v>
      </c>
      <c r="B10620" s="4" t="s">
        <v>20303</v>
      </c>
      <c r="C10620" s="4"/>
      <c r="D10620" s="4" t="s">
        <v>21405</v>
      </c>
      <c r="E10620" s="4" t="s">
        <v>21406</v>
      </c>
      <c r="F10620" s="4" t="s">
        <v>21407</v>
      </c>
    </row>
    <row r="10621">
      <c r="A10621" s="4">
        <v>578.0</v>
      </c>
      <c r="B10621" s="4" t="s">
        <v>20303</v>
      </c>
      <c r="C10621" s="4"/>
      <c r="D10621" s="4" t="s">
        <v>2786</v>
      </c>
      <c r="E10621" s="4" t="s">
        <v>2787</v>
      </c>
      <c r="F10621" s="4" t="s">
        <v>2786</v>
      </c>
      <c r="G10621" s="4"/>
      <c r="H10621" s="4" t="s">
        <v>2785</v>
      </c>
      <c r="I10621" s="4" t="s">
        <v>6237</v>
      </c>
    </row>
    <row r="10622">
      <c r="A10622" s="4">
        <v>579.0</v>
      </c>
      <c r="B10622" s="4" t="s">
        <v>20303</v>
      </c>
      <c r="C10622" s="4"/>
      <c r="D10622" s="4" t="s">
        <v>2788</v>
      </c>
      <c r="E10622" s="4" t="s">
        <v>2789</v>
      </c>
      <c r="F10622" s="4" t="s">
        <v>2788</v>
      </c>
    </row>
    <row r="10623">
      <c r="A10623" s="4">
        <v>580.0</v>
      </c>
      <c r="B10623" s="4" t="s">
        <v>20303</v>
      </c>
      <c r="C10623" s="4"/>
      <c r="D10623" s="4" t="s">
        <v>21408</v>
      </c>
      <c r="E10623" s="4" t="s">
        <v>21409</v>
      </c>
      <c r="F10623" s="4" t="s">
        <v>21408</v>
      </c>
    </row>
    <row r="10624">
      <c r="A10624" s="4">
        <v>581.0</v>
      </c>
      <c r="B10624" s="4" t="s">
        <v>20303</v>
      </c>
      <c r="C10624" s="4"/>
      <c r="D10624" s="4" t="s">
        <v>21410</v>
      </c>
      <c r="E10624" s="4" t="s">
        <v>21411</v>
      </c>
      <c r="F10624" s="4" t="s">
        <v>21410</v>
      </c>
    </row>
    <row r="10625">
      <c r="A10625" s="4">
        <v>582.0</v>
      </c>
      <c r="B10625" s="4" t="s">
        <v>20303</v>
      </c>
      <c r="C10625" s="4"/>
      <c r="D10625" s="4" t="s">
        <v>21412</v>
      </c>
      <c r="E10625" s="4" t="s">
        <v>21413</v>
      </c>
      <c r="F10625" s="4" t="s">
        <v>21412</v>
      </c>
    </row>
    <row r="10626">
      <c r="A10626" s="4">
        <v>583.0</v>
      </c>
      <c r="B10626" s="4" t="s">
        <v>20303</v>
      </c>
      <c r="C10626" s="4"/>
      <c r="D10626" s="4" t="s">
        <v>21414</v>
      </c>
      <c r="E10626" s="4" t="s">
        <v>2787</v>
      </c>
      <c r="F10626" s="4" t="s">
        <v>2786</v>
      </c>
    </row>
    <row r="10627">
      <c r="A10627" s="4">
        <v>584.0</v>
      </c>
      <c r="B10627" s="4" t="s">
        <v>20303</v>
      </c>
      <c r="C10627" s="4"/>
      <c r="D10627" s="4" t="s">
        <v>19237</v>
      </c>
      <c r="E10627" s="4" t="s">
        <v>19238</v>
      </c>
      <c r="F10627" s="4" t="s">
        <v>19237</v>
      </c>
    </row>
    <row r="10628">
      <c r="A10628" s="4">
        <v>585.0</v>
      </c>
      <c r="B10628" s="4" t="s">
        <v>20303</v>
      </c>
      <c r="C10628" s="4"/>
      <c r="D10628" s="4" t="s">
        <v>2833</v>
      </c>
      <c r="E10628" s="4" t="s">
        <v>2834</v>
      </c>
      <c r="F10628" s="4" t="s">
        <v>2833</v>
      </c>
    </row>
    <row r="10629">
      <c r="A10629" s="4">
        <v>586.0</v>
      </c>
      <c r="B10629" s="4" t="s">
        <v>20303</v>
      </c>
      <c r="C10629" s="4"/>
      <c r="D10629" s="4" t="s">
        <v>2743</v>
      </c>
      <c r="E10629" s="4" t="s">
        <v>2742</v>
      </c>
      <c r="F10629" s="4" t="s">
        <v>2743</v>
      </c>
      <c r="G10629" s="4"/>
      <c r="H10629" s="4" t="s">
        <v>2743</v>
      </c>
    </row>
    <row r="10630">
      <c r="A10630" s="4">
        <v>587.0</v>
      </c>
      <c r="B10630" s="4" t="s">
        <v>20303</v>
      </c>
      <c r="C10630" s="4"/>
      <c r="D10630" s="4" t="s">
        <v>2841</v>
      </c>
      <c r="E10630" s="4" t="s">
        <v>2844</v>
      </c>
      <c r="F10630" s="4" t="s">
        <v>2841</v>
      </c>
    </row>
    <row r="10631">
      <c r="A10631" s="4">
        <v>588.0</v>
      </c>
      <c r="B10631" s="4" t="s">
        <v>20303</v>
      </c>
      <c r="C10631" s="4"/>
      <c r="D10631" s="4" t="s">
        <v>13003</v>
      </c>
      <c r="E10631" s="4" t="s">
        <v>13002</v>
      </c>
      <c r="F10631" s="4" t="s">
        <v>13003</v>
      </c>
      <c r="G10631" s="4"/>
      <c r="H10631" s="4" t="s">
        <v>16434</v>
      </c>
    </row>
    <row r="10632">
      <c r="A10632" s="4">
        <v>589.0</v>
      </c>
      <c r="B10632" s="4" t="s">
        <v>20303</v>
      </c>
      <c r="C10632" s="4"/>
      <c r="D10632" s="4" t="s">
        <v>2847</v>
      </c>
      <c r="E10632" s="4" t="s">
        <v>2846</v>
      </c>
      <c r="F10632" s="4" t="s">
        <v>2847</v>
      </c>
      <c r="G10632" s="4"/>
      <c r="H10632" s="4" t="s">
        <v>21415</v>
      </c>
      <c r="I10632" s="4" t="s">
        <v>21416</v>
      </c>
    </row>
    <row r="10633">
      <c r="A10633" s="4">
        <v>590.0</v>
      </c>
      <c r="B10633" s="4" t="s">
        <v>20303</v>
      </c>
      <c r="C10633" s="4"/>
      <c r="D10633" s="4" t="s">
        <v>21417</v>
      </c>
      <c r="E10633" s="4" t="s">
        <v>21418</v>
      </c>
      <c r="F10633" s="4" t="s">
        <v>21417</v>
      </c>
    </row>
    <row r="10634">
      <c r="A10634" s="4">
        <v>591.0</v>
      </c>
      <c r="B10634" s="4" t="s">
        <v>20303</v>
      </c>
      <c r="C10634" s="4"/>
      <c r="D10634" s="4" t="s">
        <v>21419</v>
      </c>
      <c r="E10634" s="4" t="s">
        <v>21420</v>
      </c>
      <c r="F10634" s="4" t="s">
        <v>21421</v>
      </c>
      <c r="G10634" s="4"/>
      <c r="H10634" s="4" t="s">
        <v>21419</v>
      </c>
      <c r="I10634" s="4" t="s">
        <v>21419</v>
      </c>
      <c r="J10634" s="4" t="s">
        <v>11145</v>
      </c>
    </row>
    <row r="10635">
      <c r="A10635" s="4">
        <v>592.0</v>
      </c>
      <c r="B10635" s="4" t="s">
        <v>20303</v>
      </c>
      <c r="C10635" s="4"/>
      <c r="D10635" s="4" t="s">
        <v>2848</v>
      </c>
      <c r="E10635" s="4" t="s">
        <v>2852</v>
      </c>
      <c r="F10635" s="4" t="s">
        <v>2848</v>
      </c>
    </row>
    <row r="10636">
      <c r="A10636" s="4">
        <v>593.0</v>
      </c>
      <c r="B10636" s="4" t="s">
        <v>20303</v>
      </c>
      <c r="C10636" s="4"/>
      <c r="D10636" s="4" t="s">
        <v>21422</v>
      </c>
      <c r="E10636" s="4" t="s">
        <v>21423</v>
      </c>
      <c r="F10636" s="4" t="s">
        <v>21422</v>
      </c>
      <c r="G10636" s="4"/>
      <c r="H10636" s="4" t="s">
        <v>20758</v>
      </c>
      <c r="I10636" s="4" t="s">
        <v>20759</v>
      </c>
      <c r="J10636" s="4" t="s">
        <v>20760</v>
      </c>
      <c r="K10636" s="4" t="s">
        <v>20761</v>
      </c>
      <c r="L10636" s="4" t="s">
        <v>20762</v>
      </c>
      <c r="M10636" s="4" t="s">
        <v>20763</v>
      </c>
      <c r="N10636" s="4" t="s">
        <v>6078</v>
      </c>
      <c r="O10636" s="4" t="s">
        <v>11747</v>
      </c>
      <c r="P10636" s="4" t="s">
        <v>11748</v>
      </c>
      <c r="Q10636" s="4" t="s">
        <v>854</v>
      </c>
    </row>
    <row r="10637">
      <c r="A10637" s="4">
        <v>594.0</v>
      </c>
      <c r="B10637" s="4" t="s">
        <v>20303</v>
      </c>
      <c r="C10637" s="4"/>
      <c r="D10637" s="4" t="s">
        <v>21424</v>
      </c>
      <c r="E10637" s="4" t="s">
        <v>21425</v>
      </c>
      <c r="F10637" s="4" t="s">
        <v>21424</v>
      </c>
    </row>
    <row r="10638">
      <c r="A10638" s="4">
        <v>595.0</v>
      </c>
      <c r="B10638" s="4" t="s">
        <v>20303</v>
      </c>
      <c r="C10638" s="4"/>
      <c r="D10638" s="4" t="s">
        <v>21426</v>
      </c>
      <c r="E10638" s="4" t="s">
        <v>21427</v>
      </c>
      <c r="F10638" s="4" t="s">
        <v>21426</v>
      </c>
    </row>
    <row r="10639">
      <c r="A10639" s="4">
        <v>596.0</v>
      </c>
      <c r="B10639" s="4" t="s">
        <v>20303</v>
      </c>
      <c r="C10639" s="4"/>
      <c r="D10639" s="4" t="s">
        <v>21428</v>
      </c>
      <c r="E10639" s="4" t="s">
        <v>2863</v>
      </c>
      <c r="F10639" s="4" t="s">
        <v>2864</v>
      </c>
    </row>
    <row r="10640">
      <c r="A10640" s="4">
        <v>597.0</v>
      </c>
      <c r="B10640" s="4" t="s">
        <v>20303</v>
      </c>
      <c r="C10640" s="4"/>
      <c r="D10640" s="4" t="s">
        <v>21429</v>
      </c>
      <c r="E10640" s="4" t="s">
        <v>21430</v>
      </c>
      <c r="F10640" s="4" t="s">
        <v>21431</v>
      </c>
    </row>
    <row r="10641">
      <c r="A10641" s="4">
        <v>598.0</v>
      </c>
      <c r="B10641" s="4" t="s">
        <v>20303</v>
      </c>
      <c r="C10641" s="4"/>
      <c r="D10641" s="4" t="s">
        <v>19243</v>
      </c>
      <c r="E10641" s="4" t="s">
        <v>2872</v>
      </c>
      <c r="F10641" s="4" t="s">
        <v>2873</v>
      </c>
      <c r="G10641" s="4"/>
      <c r="H10641" s="4" t="s">
        <v>1301</v>
      </c>
      <c r="I10641" s="4" t="s">
        <v>19244</v>
      </c>
      <c r="J10641" s="4" t="s">
        <v>19245</v>
      </c>
      <c r="K10641" s="4" t="s">
        <v>2874</v>
      </c>
      <c r="L10641" s="4" t="s">
        <v>19246</v>
      </c>
      <c r="M10641" s="4" t="s">
        <v>2874</v>
      </c>
      <c r="N10641" s="4" t="s">
        <v>2874</v>
      </c>
      <c r="O10641" s="4" t="s">
        <v>2875</v>
      </c>
      <c r="P10641" s="4" t="s">
        <v>2874</v>
      </c>
    </row>
    <row r="10642">
      <c r="A10642" s="4">
        <v>599.0</v>
      </c>
      <c r="B10642" s="4" t="s">
        <v>20303</v>
      </c>
      <c r="C10642" s="4"/>
      <c r="D10642" s="4" t="s">
        <v>21432</v>
      </c>
      <c r="E10642" s="4" t="s">
        <v>338</v>
      </c>
      <c r="F10642" s="4" t="s">
        <v>339</v>
      </c>
    </row>
    <row r="10643">
      <c r="A10643" s="4">
        <v>600.0</v>
      </c>
      <c r="B10643" s="4" t="s">
        <v>20303</v>
      </c>
      <c r="C10643" s="4"/>
      <c r="D10643" s="4" t="s">
        <v>21433</v>
      </c>
      <c r="E10643" s="4" t="s">
        <v>341</v>
      </c>
      <c r="F10643" s="4" t="s">
        <v>342</v>
      </c>
    </row>
    <row r="10644">
      <c r="A10644" s="4">
        <v>601.0</v>
      </c>
      <c r="B10644" s="4" t="s">
        <v>20303</v>
      </c>
      <c r="C10644" s="4"/>
      <c r="D10644" s="4" t="s">
        <v>2879</v>
      </c>
      <c r="E10644" s="4" t="s">
        <v>2880</v>
      </c>
      <c r="F10644" s="4" t="s">
        <v>2881</v>
      </c>
      <c r="G10644" s="4"/>
      <c r="H10644" s="4" t="s">
        <v>2886</v>
      </c>
      <c r="I10644" s="4" t="s">
        <v>2887</v>
      </c>
    </row>
    <row r="10645">
      <c r="A10645" s="4">
        <v>602.0</v>
      </c>
      <c r="B10645" s="4" t="s">
        <v>20303</v>
      </c>
      <c r="C10645" s="4"/>
      <c r="D10645" s="4" t="s">
        <v>21434</v>
      </c>
      <c r="E10645" s="4" t="s">
        <v>21435</v>
      </c>
      <c r="F10645" s="4" t="s">
        <v>21436</v>
      </c>
    </row>
    <row r="10646">
      <c r="A10646" s="4">
        <v>603.0</v>
      </c>
      <c r="B10646" s="4" t="s">
        <v>20303</v>
      </c>
      <c r="C10646" s="4"/>
      <c r="D10646" s="4" t="s">
        <v>2902</v>
      </c>
      <c r="E10646" s="4" t="s">
        <v>2903</v>
      </c>
      <c r="F10646" s="4" t="s">
        <v>2904</v>
      </c>
    </row>
    <row r="10647">
      <c r="A10647" s="4">
        <v>604.0</v>
      </c>
      <c r="B10647" s="4" t="s">
        <v>20303</v>
      </c>
      <c r="C10647" s="4"/>
      <c r="D10647" s="4" t="s">
        <v>21437</v>
      </c>
      <c r="E10647" s="4" t="s">
        <v>21438</v>
      </c>
      <c r="F10647" s="4" t="s">
        <v>21439</v>
      </c>
    </row>
    <row r="10648">
      <c r="A10648" s="4">
        <v>605.0</v>
      </c>
      <c r="B10648" s="4" t="s">
        <v>20303</v>
      </c>
      <c r="C10648" s="4"/>
      <c r="D10648" s="4" t="s">
        <v>21440</v>
      </c>
      <c r="E10648" s="4" t="s">
        <v>21441</v>
      </c>
      <c r="F10648" s="4" t="s">
        <v>2897</v>
      </c>
    </row>
    <row r="10649">
      <c r="A10649" s="4">
        <v>606.0</v>
      </c>
      <c r="B10649" s="4" t="s">
        <v>20303</v>
      </c>
      <c r="C10649" s="4"/>
      <c r="D10649" s="4" t="s">
        <v>21442</v>
      </c>
      <c r="E10649" s="4" t="s">
        <v>2812</v>
      </c>
      <c r="F10649" s="4" t="s">
        <v>2813</v>
      </c>
    </row>
    <row r="10650">
      <c r="A10650" s="4">
        <v>607.0</v>
      </c>
      <c r="B10650" s="4" t="s">
        <v>20303</v>
      </c>
      <c r="C10650" s="4"/>
      <c r="D10650" s="4" t="s">
        <v>21443</v>
      </c>
      <c r="E10650" s="4" t="s">
        <v>21444</v>
      </c>
      <c r="F10650" s="4" t="s">
        <v>21445</v>
      </c>
      <c r="G10650" s="4"/>
      <c r="H10650" s="4" t="s">
        <v>4849</v>
      </c>
      <c r="I10650" s="4" t="s">
        <v>4849</v>
      </c>
      <c r="J10650" s="4" t="s">
        <v>21446</v>
      </c>
      <c r="K10650" s="4" t="s">
        <v>4849</v>
      </c>
    </row>
    <row r="10651">
      <c r="A10651" s="4">
        <v>608.0</v>
      </c>
      <c r="B10651" s="4" t="s">
        <v>20303</v>
      </c>
      <c r="C10651" s="4"/>
      <c r="D10651" s="4" t="s">
        <v>16802</v>
      </c>
      <c r="E10651" s="4" t="s">
        <v>16803</v>
      </c>
      <c r="F10651" s="4" t="s">
        <v>16804</v>
      </c>
    </row>
    <row r="10652">
      <c r="A10652" s="4">
        <v>609.0</v>
      </c>
      <c r="B10652" s="4" t="s">
        <v>20303</v>
      </c>
      <c r="C10652" s="4"/>
      <c r="D10652" s="4" t="s">
        <v>21447</v>
      </c>
      <c r="E10652" s="4" t="s">
        <v>18340</v>
      </c>
      <c r="F10652" s="4" t="s">
        <v>18341</v>
      </c>
    </row>
    <row r="10653">
      <c r="A10653" s="4">
        <v>610.0</v>
      </c>
      <c r="B10653" s="4" t="s">
        <v>20303</v>
      </c>
      <c r="C10653" s="4"/>
      <c r="D10653" s="4" t="s">
        <v>21448</v>
      </c>
      <c r="E10653" s="4" t="s">
        <v>21449</v>
      </c>
      <c r="F10653" s="4" t="s">
        <v>21450</v>
      </c>
    </row>
    <row r="10654">
      <c r="A10654" s="4">
        <v>611.0</v>
      </c>
      <c r="B10654" s="4" t="s">
        <v>20303</v>
      </c>
      <c r="C10654" s="4"/>
      <c r="D10654" s="4" t="s">
        <v>21451</v>
      </c>
      <c r="E10654" s="4" t="s">
        <v>21452</v>
      </c>
      <c r="F10654" s="4" t="s">
        <v>21453</v>
      </c>
    </row>
    <row r="10655">
      <c r="A10655" s="4">
        <v>612.0</v>
      </c>
      <c r="B10655" s="4" t="s">
        <v>20303</v>
      </c>
      <c r="C10655" s="4"/>
      <c r="D10655" s="4" t="s">
        <v>2923</v>
      </c>
      <c r="E10655" s="4" t="s">
        <v>2924</v>
      </c>
      <c r="F10655" s="4" t="s">
        <v>2923</v>
      </c>
      <c r="G10655" s="4"/>
      <c r="H10655" s="4" t="s">
        <v>1878</v>
      </c>
      <c r="I10655" s="4" t="s">
        <v>1879</v>
      </c>
      <c r="J10655" s="4" t="s">
        <v>1880</v>
      </c>
      <c r="K10655" s="4" t="s">
        <v>1881</v>
      </c>
      <c r="L10655" s="4" t="s">
        <v>1882</v>
      </c>
      <c r="N10655" s="4" t="s">
        <v>1883</v>
      </c>
    </row>
    <row r="10656">
      <c r="A10656" s="4">
        <v>613.0</v>
      </c>
      <c r="B10656" s="4" t="s">
        <v>20303</v>
      </c>
      <c r="C10656" s="4"/>
      <c r="D10656" s="4" t="s">
        <v>13051</v>
      </c>
      <c r="E10656" s="4" t="s">
        <v>15274</v>
      </c>
      <c r="F10656" s="4" t="s">
        <v>13051</v>
      </c>
    </row>
    <row r="10657">
      <c r="A10657" s="4">
        <v>614.0</v>
      </c>
      <c r="B10657" s="4" t="s">
        <v>20303</v>
      </c>
      <c r="C10657" s="4"/>
      <c r="D10657" s="4" t="s">
        <v>19266</v>
      </c>
      <c r="E10657" s="4" t="s">
        <v>19267</v>
      </c>
      <c r="F10657" s="4" t="s">
        <v>19266</v>
      </c>
      <c r="G10657" s="4"/>
      <c r="H10657" s="4" t="s">
        <v>19268</v>
      </c>
      <c r="I10657" s="4" t="s">
        <v>19269</v>
      </c>
    </row>
    <row r="10658">
      <c r="A10658" s="4">
        <v>615.0</v>
      </c>
      <c r="B10658" s="4" t="s">
        <v>20303</v>
      </c>
      <c r="C10658" s="4"/>
      <c r="D10658" s="4" t="s">
        <v>21454</v>
      </c>
      <c r="E10658" s="4" t="s">
        <v>21455</v>
      </c>
      <c r="F10658" s="4" t="s">
        <v>21454</v>
      </c>
    </row>
    <row r="10659">
      <c r="A10659" s="4">
        <v>616.0</v>
      </c>
      <c r="B10659" s="4" t="s">
        <v>20303</v>
      </c>
      <c r="C10659" s="4"/>
      <c r="D10659" s="4" t="s">
        <v>21456</v>
      </c>
      <c r="E10659" s="4" t="s">
        <v>21457</v>
      </c>
      <c r="F10659" s="4" t="s">
        <v>21456</v>
      </c>
      <c r="G10659" s="4"/>
      <c r="H10659" s="4" t="s">
        <v>21458</v>
      </c>
      <c r="I10659" s="4" t="s">
        <v>21456</v>
      </c>
      <c r="J10659" s="4" t="s">
        <v>21459</v>
      </c>
    </row>
    <row r="10660">
      <c r="A10660" s="4">
        <v>617.0</v>
      </c>
      <c r="B10660" s="4" t="s">
        <v>20303</v>
      </c>
      <c r="C10660" s="4"/>
      <c r="D10660" s="4" t="s">
        <v>2935</v>
      </c>
      <c r="E10660" s="4" t="s">
        <v>2936</v>
      </c>
      <c r="F10660" s="4" t="s">
        <v>2935</v>
      </c>
    </row>
    <row r="10661">
      <c r="A10661" s="4">
        <v>618.0</v>
      </c>
      <c r="B10661" s="4" t="s">
        <v>20303</v>
      </c>
      <c r="C10661" s="4"/>
      <c r="D10661" s="4" t="s">
        <v>2938</v>
      </c>
      <c r="E10661" s="4" t="s">
        <v>2939</v>
      </c>
      <c r="F10661" s="4" t="s">
        <v>2938</v>
      </c>
      <c r="G10661" s="4"/>
      <c r="H10661" s="4" t="s">
        <v>2940</v>
      </c>
      <c r="I10661" s="4" t="s">
        <v>2941</v>
      </c>
    </row>
    <row r="10662">
      <c r="A10662" s="4">
        <v>619.0</v>
      </c>
      <c r="B10662" s="4" t="s">
        <v>20303</v>
      </c>
      <c r="C10662" s="4"/>
      <c r="D10662" s="4" t="s">
        <v>21460</v>
      </c>
      <c r="E10662" s="4" t="s">
        <v>21461</v>
      </c>
      <c r="F10662" s="4" t="s">
        <v>21460</v>
      </c>
    </row>
    <row r="10663">
      <c r="A10663" s="4">
        <v>620.0</v>
      </c>
      <c r="B10663" s="4" t="s">
        <v>20303</v>
      </c>
      <c r="C10663" s="4"/>
      <c r="D10663" s="4" t="s">
        <v>2947</v>
      </c>
      <c r="E10663" s="4" t="s">
        <v>2948</v>
      </c>
      <c r="F10663" s="4" t="s">
        <v>2947</v>
      </c>
    </row>
    <row r="10664">
      <c r="A10664" s="4">
        <v>621.0</v>
      </c>
      <c r="B10664" s="4" t="s">
        <v>20303</v>
      </c>
      <c r="C10664" s="4"/>
      <c r="D10664" s="4" t="s">
        <v>2959</v>
      </c>
      <c r="E10664" s="4" t="s">
        <v>2960</v>
      </c>
      <c r="F10664" s="4" t="s">
        <v>2959</v>
      </c>
      <c r="G10664" s="4"/>
      <c r="H10664" s="4" t="s">
        <v>2961</v>
      </c>
      <c r="I10664" s="4" t="s">
        <v>2962</v>
      </c>
      <c r="J10664" s="4" t="s">
        <v>2959</v>
      </c>
      <c r="K10664" s="4" t="s">
        <v>2963</v>
      </c>
      <c r="L10664" s="4" t="s">
        <v>2964</v>
      </c>
      <c r="M10664" s="4" t="s">
        <v>2965</v>
      </c>
      <c r="N10664" s="4" t="s">
        <v>2966</v>
      </c>
      <c r="O10664" s="4" t="s">
        <v>2967</v>
      </c>
      <c r="P10664" s="4" t="s">
        <v>2968</v>
      </c>
      <c r="Q10664" s="4" t="s">
        <v>2969</v>
      </c>
      <c r="R10664" s="4" t="s">
        <v>2959</v>
      </c>
      <c r="S10664" s="4" t="s">
        <v>2959</v>
      </c>
      <c r="T10664" s="4" t="s">
        <v>2959</v>
      </c>
      <c r="U10664" s="4" t="s">
        <v>2959</v>
      </c>
      <c r="V10664" s="4" t="s">
        <v>2959</v>
      </c>
      <c r="W10664" s="4" t="s">
        <v>2959</v>
      </c>
      <c r="X10664" s="4" t="s">
        <v>2959</v>
      </c>
      <c r="Y10664" s="4" t="s">
        <v>2963</v>
      </c>
      <c r="Z10664" s="4" t="s">
        <v>2970</v>
      </c>
      <c r="AA10664" s="4" t="s">
        <v>15591</v>
      </c>
    </row>
    <row r="10665">
      <c r="A10665" s="4">
        <v>622.0</v>
      </c>
      <c r="B10665" s="4" t="s">
        <v>20303</v>
      </c>
      <c r="C10665" s="4"/>
      <c r="D10665" s="4" t="s">
        <v>21462</v>
      </c>
      <c r="E10665" s="4" t="s">
        <v>21461</v>
      </c>
      <c r="F10665" s="4" t="s">
        <v>21460</v>
      </c>
    </row>
    <row r="10666">
      <c r="A10666" s="4">
        <v>623.0</v>
      </c>
      <c r="B10666" s="4" t="s">
        <v>20303</v>
      </c>
      <c r="C10666" s="4"/>
      <c r="D10666" s="4" t="s">
        <v>389</v>
      </c>
      <c r="E10666" s="4" t="s">
        <v>388</v>
      </c>
      <c r="F10666" s="4" t="s">
        <v>389</v>
      </c>
    </row>
    <row r="10667">
      <c r="A10667" s="4">
        <v>624.0</v>
      </c>
      <c r="B10667" s="4" t="s">
        <v>20303</v>
      </c>
      <c r="C10667" s="4"/>
      <c r="D10667" s="4" t="s">
        <v>6994</v>
      </c>
      <c r="E10667" s="4" t="s">
        <v>13093</v>
      </c>
      <c r="F10667" s="4" t="s">
        <v>6994</v>
      </c>
    </row>
    <row r="10668">
      <c r="A10668" s="4">
        <v>625.0</v>
      </c>
      <c r="B10668" s="4" t="s">
        <v>20303</v>
      </c>
      <c r="C10668" s="4"/>
      <c r="D10668" s="4" t="s">
        <v>21463</v>
      </c>
      <c r="E10668" s="4" t="s">
        <v>21464</v>
      </c>
      <c r="F10668" s="4" t="s">
        <v>21463</v>
      </c>
      <c r="G10668" s="4"/>
      <c r="H10668" s="4" t="s">
        <v>4701</v>
      </c>
      <c r="I10668" s="4" t="s">
        <v>2283</v>
      </c>
      <c r="J10668" s="4" t="s">
        <v>21465</v>
      </c>
      <c r="K10668" s="4" t="s">
        <v>6861</v>
      </c>
      <c r="L10668" s="4" t="s">
        <v>21466</v>
      </c>
      <c r="M10668" s="4" t="s">
        <v>6861</v>
      </c>
      <c r="N10668" s="4" t="s">
        <v>2709</v>
      </c>
      <c r="O10668" s="4" t="s">
        <v>6862</v>
      </c>
      <c r="P10668" s="4" t="s">
        <v>6863</v>
      </c>
      <c r="Q10668" s="4" t="s">
        <v>6864</v>
      </c>
      <c r="R10668" s="4" t="s">
        <v>6865</v>
      </c>
      <c r="S10668" s="4" t="s">
        <v>6581</v>
      </c>
      <c r="T10668" s="4" t="s">
        <v>6582</v>
      </c>
      <c r="U10668" s="4" t="s">
        <v>6583</v>
      </c>
      <c r="V10668" s="4" t="s">
        <v>6584</v>
      </c>
    </row>
    <row r="10669">
      <c r="A10669" s="4">
        <v>626.0</v>
      </c>
      <c r="B10669" s="4" t="s">
        <v>20303</v>
      </c>
      <c r="C10669" s="4"/>
      <c r="D10669" s="4" t="s">
        <v>3037</v>
      </c>
      <c r="E10669" s="4" t="s">
        <v>3038</v>
      </c>
      <c r="F10669" s="4" t="s">
        <v>3039</v>
      </c>
      <c r="G10669" s="4"/>
      <c r="H10669" s="4" t="s">
        <v>3040</v>
      </c>
      <c r="I10669" s="4" t="s">
        <v>3041</v>
      </c>
      <c r="J10669" s="4" t="s">
        <v>3042</v>
      </c>
    </row>
    <row r="10670">
      <c r="A10670" s="4">
        <v>627.0</v>
      </c>
      <c r="B10670" s="4" t="s">
        <v>20303</v>
      </c>
      <c r="C10670" s="4"/>
      <c r="D10670" s="4" t="s">
        <v>21467</v>
      </c>
      <c r="E10670" s="4" t="s">
        <v>388</v>
      </c>
      <c r="F10670" s="4" t="s">
        <v>389</v>
      </c>
      <c r="G10670" s="4"/>
      <c r="H10670" s="4" t="s">
        <v>21468</v>
      </c>
      <c r="I10670" s="4" t="s">
        <v>21469</v>
      </c>
      <c r="J10670" s="4" t="s">
        <v>21470</v>
      </c>
      <c r="K10670" s="4" t="s">
        <v>21471</v>
      </c>
    </row>
    <row r="10671">
      <c r="A10671" s="4">
        <v>628.0</v>
      </c>
      <c r="B10671" s="4" t="s">
        <v>20303</v>
      </c>
      <c r="C10671" s="4"/>
      <c r="D10671" s="4" t="s">
        <v>21472</v>
      </c>
      <c r="E10671" s="4" t="s">
        <v>373</v>
      </c>
      <c r="F10671" s="4" t="s">
        <v>374</v>
      </c>
    </row>
    <row r="10672">
      <c r="A10672" s="4">
        <v>629.0</v>
      </c>
      <c r="B10672" s="4" t="s">
        <v>20303</v>
      </c>
      <c r="C10672" s="4"/>
      <c r="D10672" s="4" t="s">
        <v>21473</v>
      </c>
      <c r="E10672" s="4" t="s">
        <v>21474</v>
      </c>
      <c r="F10672" s="4" t="s">
        <v>21475</v>
      </c>
      <c r="G10672" s="4"/>
      <c r="H10672" s="4" t="s">
        <v>21476</v>
      </c>
      <c r="I10672" s="4" t="s">
        <v>21477</v>
      </c>
    </row>
    <row r="10673">
      <c r="A10673" s="4">
        <v>630.0</v>
      </c>
      <c r="B10673" s="4" t="s">
        <v>20303</v>
      </c>
      <c r="C10673" s="4"/>
      <c r="D10673" s="4" t="s">
        <v>21478</v>
      </c>
      <c r="E10673" s="4" t="s">
        <v>21479</v>
      </c>
      <c r="F10673" s="4" t="s">
        <v>21480</v>
      </c>
    </row>
    <row r="10674">
      <c r="A10674" s="4">
        <v>631.0</v>
      </c>
      <c r="B10674" s="4" t="s">
        <v>20303</v>
      </c>
      <c r="C10674" s="4"/>
      <c r="D10674" s="4" t="s">
        <v>21481</v>
      </c>
      <c r="E10674" s="4" t="s">
        <v>21482</v>
      </c>
      <c r="F10674" s="4" t="s">
        <v>21483</v>
      </c>
    </row>
    <row r="10675">
      <c r="A10675" s="4">
        <v>632.0</v>
      </c>
      <c r="B10675" s="4" t="s">
        <v>20303</v>
      </c>
      <c r="C10675" s="4"/>
      <c r="D10675" s="4" t="s">
        <v>3147</v>
      </c>
      <c r="E10675" s="4" t="s">
        <v>3148</v>
      </c>
      <c r="F10675" s="4" t="s">
        <v>3147</v>
      </c>
      <c r="G10675" s="4"/>
      <c r="H10675" s="4" t="s">
        <v>21484</v>
      </c>
      <c r="I10675" s="4" t="s">
        <v>21485</v>
      </c>
      <c r="J10675" s="4" t="s">
        <v>21486</v>
      </c>
    </row>
    <row r="10676">
      <c r="A10676" s="4">
        <v>633.0</v>
      </c>
      <c r="B10676" s="4" t="s">
        <v>20303</v>
      </c>
      <c r="C10676" s="4"/>
      <c r="D10676" s="4" t="s">
        <v>21487</v>
      </c>
      <c r="E10676" s="4" t="s">
        <v>3162</v>
      </c>
      <c r="F10676" s="4" t="s">
        <v>3161</v>
      </c>
    </row>
    <row r="10677">
      <c r="A10677" s="4">
        <v>634.0</v>
      </c>
      <c r="B10677" s="4" t="s">
        <v>20303</v>
      </c>
      <c r="C10677" s="4"/>
      <c r="D10677" s="4" t="s">
        <v>13144</v>
      </c>
      <c r="E10677" s="4" t="s">
        <v>13145</v>
      </c>
      <c r="F10677" s="4" t="s">
        <v>11055</v>
      </c>
    </row>
    <row r="10678">
      <c r="A10678" s="4">
        <v>635.0</v>
      </c>
      <c r="B10678" s="4" t="s">
        <v>20303</v>
      </c>
      <c r="C10678" s="4"/>
      <c r="D10678" s="4" t="s">
        <v>2543</v>
      </c>
      <c r="E10678" s="4" t="s">
        <v>391</v>
      </c>
      <c r="F10678" s="4" t="s">
        <v>392</v>
      </c>
    </row>
    <row r="10679">
      <c r="A10679" s="4">
        <v>636.0</v>
      </c>
      <c r="B10679" s="4" t="s">
        <v>20303</v>
      </c>
      <c r="C10679" s="4"/>
      <c r="D10679" s="4" t="s">
        <v>21488</v>
      </c>
      <c r="E10679" s="4" t="s">
        <v>21489</v>
      </c>
      <c r="F10679" s="4" t="s">
        <v>10884</v>
      </c>
    </row>
    <row r="10680">
      <c r="A10680" s="4">
        <v>637.0</v>
      </c>
      <c r="B10680" s="4" t="s">
        <v>20303</v>
      </c>
      <c r="C10680" s="4"/>
      <c r="D10680" s="4" t="s">
        <v>10843</v>
      </c>
      <c r="E10680" s="4" t="s">
        <v>18440</v>
      </c>
      <c r="F10680" s="4" t="s">
        <v>11055</v>
      </c>
      <c r="G10680" s="4"/>
      <c r="H10680" s="4" t="s">
        <v>21490</v>
      </c>
      <c r="I10680" s="4" t="s">
        <v>21491</v>
      </c>
      <c r="J10680" s="4" t="s">
        <v>21492</v>
      </c>
      <c r="K10680" s="4" t="s">
        <v>21493</v>
      </c>
      <c r="L10680" s="4" t="s">
        <v>3188</v>
      </c>
      <c r="M10680" s="4" t="s">
        <v>3189</v>
      </c>
      <c r="N10680" s="4" t="s">
        <v>3190</v>
      </c>
      <c r="O10680" s="4" t="s">
        <v>3191</v>
      </c>
      <c r="P10680" s="4" t="s">
        <v>3192</v>
      </c>
      <c r="Q10680" s="4" t="s">
        <v>3193</v>
      </c>
      <c r="R10680" s="4" t="s">
        <v>3194</v>
      </c>
      <c r="S10680" s="4" t="s">
        <v>3195</v>
      </c>
      <c r="T10680" s="4" t="s">
        <v>13166</v>
      </c>
      <c r="U10680" s="4" t="s">
        <v>13167</v>
      </c>
      <c r="V10680" s="4" t="s">
        <v>13168</v>
      </c>
      <c r="W10680" s="4" t="s">
        <v>1190</v>
      </c>
      <c r="X10680" s="4" t="s">
        <v>3196</v>
      </c>
      <c r="Y10680" s="4" t="s">
        <v>13169</v>
      </c>
      <c r="Z10680" s="4" t="s">
        <v>3196</v>
      </c>
      <c r="AA10680" s="4" t="s">
        <v>3197</v>
      </c>
    </row>
    <row r="10681">
      <c r="A10681" s="4">
        <v>638.0</v>
      </c>
      <c r="B10681" s="4" t="s">
        <v>20303</v>
      </c>
      <c r="C10681" s="4"/>
      <c r="D10681" s="4" t="s">
        <v>21494</v>
      </c>
      <c r="E10681" s="4" t="s">
        <v>21495</v>
      </c>
      <c r="F10681" s="4" t="s">
        <v>21496</v>
      </c>
    </row>
    <row r="10682">
      <c r="A10682" s="4">
        <v>639.0</v>
      </c>
      <c r="B10682" s="4" t="s">
        <v>20303</v>
      </c>
      <c r="C10682" s="4"/>
      <c r="D10682" s="4" t="s">
        <v>3173</v>
      </c>
      <c r="E10682" s="4" t="s">
        <v>3174</v>
      </c>
      <c r="F10682" s="4" t="s">
        <v>3173</v>
      </c>
      <c r="G10682" s="4"/>
      <c r="H10682" s="4" t="s">
        <v>13178</v>
      </c>
      <c r="I10682" s="4" t="s">
        <v>21497</v>
      </c>
    </row>
    <row r="10683">
      <c r="A10683" s="4">
        <v>640.0</v>
      </c>
      <c r="B10683" s="4" t="s">
        <v>20303</v>
      </c>
      <c r="C10683" s="4"/>
      <c r="D10683" s="4" t="s">
        <v>3177</v>
      </c>
      <c r="E10683" s="4" t="s">
        <v>3178</v>
      </c>
      <c r="F10683" s="4" t="s">
        <v>3177</v>
      </c>
      <c r="G10683" s="4"/>
      <c r="H10683" s="4" t="s">
        <v>3177</v>
      </c>
      <c r="I10683" s="4" t="s">
        <v>13173</v>
      </c>
      <c r="J10683" s="4" t="s">
        <v>13174</v>
      </c>
      <c r="K10683" s="4" t="s">
        <v>3177</v>
      </c>
      <c r="L10683" s="4" t="s">
        <v>13175</v>
      </c>
    </row>
    <row r="10684">
      <c r="A10684" s="4">
        <v>641.0</v>
      </c>
      <c r="B10684" s="4" t="s">
        <v>20303</v>
      </c>
      <c r="C10684" s="4"/>
      <c r="D10684" s="4" t="s">
        <v>3179</v>
      </c>
      <c r="E10684" s="4" t="s">
        <v>3180</v>
      </c>
      <c r="F10684" s="4" t="s">
        <v>3179</v>
      </c>
    </row>
    <row r="10685">
      <c r="A10685" s="4">
        <v>642.0</v>
      </c>
      <c r="B10685" s="4" t="s">
        <v>20303</v>
      </c>
      <c r="C10685" s="4"/>
      <c r="D10685" s="4" t="s">
        <v>21498</v>
      </c>
      <c r="E10685" s="4" t="s">
        <v>21499</v>
      </c>
      <c r="F10685" s="4" t="s">
        <v>21500</v>
      </c>
    </row>
    <row r="10686">
      <c r="A10686" s="4">
        <v>643.0</v>
      </c>
      <c r="B10686" s="4" t="s">
        <v>20303</v>
      </c>
      <c r="C10686" s="4"/>
      <c r="D10686" s="4" t="s">
        <v>21501</v>
      </c>
      <c r="E10686" s="4" t="s">
        <v>21502</v>
      </c>
      <c r="F10686" s="4" t="s">
        <v>21501</v>
      </c>
    </row>
    <row r="10687">
      <c r="A10687" s="4">
        <v>644.0</v>
      </c>
      <c r="B10687" s="4" t="s">
        <v>20303</v>
      </c>
      <c r="C10687" s="4"/>
      <c r="D10687" s="4" t="s">
        <v>7069</v>
      </c>
      <c r="E10687" s="4" t="s">
        <v>13195</v>
      </c>
      <c r="F10687" s="4" t="s">
        <v>7069</v>
      </c>
      <c r="G10687" s="4"/>
      <c r="H10687" s="4" t="s">
        <v>7072</v>
      </c>
      <c r="I10687" s="4" t="s">
        <v>7074</v>
      </c>
      <c r="J10687" s="4" t="s">
        <v>21503</v>
      </c>
      <c r="K10687" s="4" t="s">
        <v>21504</v>
      </c>
      <c r="L10687" s="4" t="s">
        <v>21505</v>
      </c>
      <c r="M10687" s="4" t="s">
        <v>3149</v>
      </c>
      <c r="N10687" s="4" t="s">
        <v>3150</v>
      </c>
      <c r="O10687" s="4" t="s">
        <v>3151</v>
      </c>
    </row>
    <row r="10688">
      <c r="A10688" s="4">
        <v>645.0</v>
      </c>
      <c r="B10688" s="4" t="s">
        <v>20303</v>
      </c>
      <c r="C10688" s="4"/>
      <c r="D10688" s="4" t="s">
        <v>13193</v>
      </c>
      <c r="E10688" s="4" t="s">
        <v>3264</v>
      </c>
      <c r="F10688" s="4" t="s">
        <v>3265</v>
      </c>
      <c r="G10688" s="4"/>
      <c r="H10688" s="4" t="s">
        <v>3268</v>
      </c>
      <c r="I10688" s="4" t="s">
        <v>3272</v>
      </c>
      <c r="J10688" s="4" t="s">
        <v>3273</v>
      </c>
      <c r="K10688" s="4" t="s">
        <v>3274</v>
      </c>
      <c r="L10688" s="4" t="s">
        <v>3275</v>
      </c>
    </row>
    <row r="10689">
      <c r="A10689" s="4">
        <v>646.0</v>
      </c>
      <c r="B10689" s="4" t="s">
        <v>20303</v>
      </c>
      <c r="C10689" s="4"/>
      <c r="D10689" s="4" t="s">
        <v>21506</v>
      </c>
      <c r="E10689" s="4" t="s">
        <v>21507</v>
      </c>
      <c r="F10689" s="4" t="s">
        <v>21508</v>
      </c>
    </row>
    <row r="10690">
      <c r="A10690" s="4">
        <v>647.0</v>
      </c>
      <c r="B10690" s="4" t="s">
        <v>20303</v>
      </c>
      <c r="C10690" s="4"/>
      <c r="D10690" s="4" t="s">
        <v>21509</v>
      </c>
      <c r="E10690" s="4" t="s">
        <v>21510</v>
      </c>
      <c r="F10690" s="4" t="s">
        <v>21511</v>
      </c>
      <c r="G10690" s="4"/>
      <c r="H10690" s="4" t="s">
        <v>21512</v>
      </c>
    </row>
    <row r="10691">
      <c r="A10691" s="4">
        <v>648.0</v>
      </c>
      <c r="B10691" s="4" t="s">
        <v>20303</v>
      </c>
      <c r="C10691" s="4"/>
      <c r="D10691" s="4" t="s">
        <v>3292</v>
      </c>
      <c r="E10691" s="4" t="s">
        <v>3293</v>
      </c>
      <c r="F10691" s="4" t="s">
        <v>3292</v>
      </c>
      <c r="G10691" s="4"/>
      <c r="H10691" s="4" t="s">
        <v>3294</v>
      </c>
      <c r="I10691" s="4" t="s">
        <v>3295</v>
      </c>
      <c r="J10691" s="4" t="s">
        <v>3296</v>
      </c>
      <c r="K10691" s="4" t="s">
        <v>3147</v>
      </c>
      <c r="L10691" s="4" t="s">
        <v>3292</v>
      </c>
      <c r="M10691" s="4" t="s">
        <v>3297</v>
      </c>
      <c r="N10691" s="4" t="s">
        <v>3298</v>
      </c>
      <c r="O10691" s="4" t="s">
        <v>3299</v>
      </c>
      <c r="P10691" s="4" t="s">
        <v>3300</v>
      </c>
      <c r="Q10691" s="4" t="s">
        <v>3301</v>
      </c>
      <c r="R10691" s="4" t="s">
        <v>3302</v>
      </c>
      <c r="S10691" s="4" t="s">
        <v>3303</v>
      </c>
      <c r="T10691" s="4" t="s">
        <v>3304</v>
      </c>
      <c r="U10691" s="4" t="s">
        <v>3305</v>
      </c>
      <c r="V10691" s="4" t="s">
        <v>3306</v>
      </c>
      <c r="W10691" s="4" t="s">
        <v>3307</v>
      </c>
      <c r="X10691" s="4" t="s">
        <v>3308</v>
      </c>
    </row>
    <row r="10692">
      <c r="A10692" s="4">
        <v>649.0</v>
      </c>
      <c r="B10692" s="4" t="s">
        <v>20303</v>
      </c>
      <c r="C10692" s="4"/>
      <c r="D10692" s="4" t="s">
        <v>16839</v>
      </c>
      <c r="E10692" s="4" t="s">
        <v>16840</v>
      </c>
      <c r="F10692" s="4" t="s">
        <v>16839</v>
      </c>
    </row>
    <row r="10693">
      <c r="A10693" s="4">
        <v>650.0</v>
      </c>
      <c r="B10693" s="4" t="s">
        <v>20303</v>
      </c>
      <c r="C10693" s="4"/>
      <c r="D10693" s="4" t="s">
        <v>21513</v>
      </c>
      <c r="E10693" s="4" t="s">
        <v>21514</v>
      </c>
      <c r="F10693" s="4" t="s">
        <v>21513</v>
      </c>
    </row>
    <row r="10694">
      <c r="A10694" s="4">
        <v>651.0</v>
      </c>
      <c r="B10694" s="4" t="s">
        <v>20303</v>
      </c>
      <c r="C10694" s="4"/>
      <c r="D10694" s="4" t="s">
        <v>21515</v>
      </c>
      <c r="E10694" s="4" t="s">
        <v>21516</v>
      </c>
      <c r="F10694" s="4" t="s">
        <v>21515</v>
      </c>
    </row>
    <row r="10695">
      <c r="A10695" s="4">
        <v>652.0</v>
      </c>
      <c r="B10695" s="4" t="s">
        <v>20303</v>
      </c>
      <c r="C10695" s="4"/>
      <c r="D10695" s="4" t="s">
        <v>7100</v>
      </c>
      <c r="E10695" s="4" t="s">
        <v>13216</v>
      </c>
      <c r="F10695" s="4" t="s">
        <v>7100</v>
      </c>
    </row>
    <row r="10696">
      <c r="A10696" s="4">
        <v>653.0</v>
      </c>
      <c r="B10696" s="4" t="s">
        <v>20303</v>
      </c>
      <c r="C10696" s="4"/>
      <c r="D10696" s="4" t="s">
        <v>21517</v>
      </c>
      <c r="E10696" s="4" t="s">
        <v>21518</v>
      </c>
      <c r="F10696" s="4" t="s">
        <v>21517</v>
      </c>
    </row>
    <row r="10697">
      <c r="A10697" s="4">
        <v>654.0</v>
      </c>
      <c r="B10697" s="4" t="s">
        <v>20303</v>
      </c>
      <c r="C10697" s="4"/>
      <c r="D10697" s="4" t="s">
        <v>21519</v>
      </c>
      <c r="E10697" s="4" t="s">
        <v>21520</v>
      </c>
      <c r="F10697" s="4" t="s">
        <v>21519</v>
      </c>
      <c r="G10697" s="4"/>
      <c r="H10697" s="4" t="s">
        <v>21521</v>
      </c>
      <c r="I10697" s="4" t="s">
        <v>21522</v>
      </c>
    </row>
    <row r="10698">
      <c r="A10698" s="4">
        <v>655.0</v>
      </c>
      <c r="B10698" s="4" t="s">
        <v>20303</v>
      </c>
      <c r="C10698" s="4"/>
      <c r="D10698" s="4" t="s">
        <v>21523</v>
      </c>
      <c r="E10698" s="4" t="s">
        <v>21524</v>
      </c>
      <c r="F10698" s="4" t="s">
        <v>21523</v>
      </c>
    </row>
    <row r="10699">
      <c r="A10699" s="4">
        <v>656.0</v>
      </c>
      <c r="B10699" s="4" t="s">
        <v>20303</v>
      </c>
      <c r="C10699" s="4"/>
      <c r="D10699" s="4" t="s">
        <v>5474</v>
      </c>
      <c r="E10699" s="4" t="s">
        <v>5473</v>
      </c>
      <c r="F10699" s="4" t="s">
        <v>5474</v>
      </c>
    </row>
    <row r="10700">
      <c r="A10700" s="4">
        <v>657.0</v>
      </c>
      <c r="B10700" s="4" t="s">
        <v>20303</v>
      </c>
      <c r="C10700" s="4"/>
      <c r="D10700" s="4" t="s">
        <v>21525</v>
      </c>
      <c r="E10700" s="4" t="s">
        <v>3293</v>
      </c>
      <c r="F10700" s="4" t="s">
        <v>3292</v>
      </c>
      <c r="G10700" s="4"/>
      <c r="H10700" s="4" t="s">
        <v>3294</v>
      </c>
      <c r="I10700" s="4" t="s">
        <v>3295</v>
      </c>
      <c r="J10700" s="4" t="s">
        <v>3296</v>
      </c>
      <c r="K10700" s="4" t="s">
        <v>3147</v>
      </c>
      <c r="L10700" s="4" t="s">
        <v>3292</v>
      </c>
      <c r="M10700" s="4" t="s">
        <v>3297</v>
      </c>
      <c r="N10700" s="4" t="s">
        <v>3298</v>
      </c>
      <c r="O10700" s="4" t="s">
        <v>3299</v>
      </c>
      <c r="P10700" s="4" t="s">
        <v>3300</v>
      </c>
      <c r="Q10700" s="4" t="s">
        <v>3301</v>
      </c>
    </row>
    <row r="10701">
      <c r="A10701" s="4">
        <v>658.0</v>
      </c>
      <c r="B10701" s="4" t="s">
        <v>20303</v>
      </c>
      <c r="C10701" s="4"/>
      <c r="D10701" s="4" t="s">
        <v>13491</v>
      </c>
      <c r="E10701" s="4" t="s">
        <v>21526</v>
      </c>
      <c r="F10701" s="4" t="s">
        <v>13491</v>
      </c>
      <c r="G10701" s="4"/>
      <c r="H10701" s="4" t="s">
        <v>15218</v>
      </c>
      <c r="I10701" s="4" t="s">
        <v>7722</v>
      </c>
      <c r="J10701" s="4" t="s">
        <v>12852</v>
      </c>
      <c r="K10701" s="4" t="s">
        <v>20817</v>
      </c>
      <c r="L10701" s="4" t="s">
        <v>11456</v>
      </c>
      <c r="M10701" s="4" t="s">
        <v>15396</v>
      </c>
      <c r="N10701" s="4" t="s">
        <v>1256</v>
      </c>
      <c r="O10701" s="4" t="s">
        <v>7722</v>
      </c>
      <c r="P10701" s="4" t="s">
        <v>15397</v>
      </c>
      <c r="Q10701" s="4" t="s">
        <v>15396</v>
      </c>
      <c r="R10701" s="4" t="s">
        <v>13491</v>
      </c>
      <c r="S10701" s="4" t="s">
        <v>20816</v>
      </c>
      <c r="T10701" s="4" t="s">
        <v>20817</v>
      </c>
      <c r="U10701" s="4" t="s">
        <v>21527</v>
      </c>
      <c r="V10701" s="4" t="s">
        <v>21528</v>
      </c>
      <c r="W10701" s="4" t="s">
        <v>11456</v>
      </c>
      <c r="X10701" s="4" t="s">
        <v>21529</v>
      </c>
      <c r="Y10701" s="4" t="s">
        <v>14579</v>
      </c>
      <c r="Z10701" s="4" t="s">
        <v>21530</v>
      </c>
      <c r="AA10701" s="4" t="s">
        <v>21531</v>
      </c>
      <c r="AB10701" s="4" t="s">
        <v>21532</v>
      </c>
      <c r="AC10701" s="4" t="s">
        <v>21533</v>
      </c>
      <c r="AD10701" s="4" t="s">
        <v>21534</v>
      </c>
      <c r="AE10701" s="4" t="s">
        <v>21535</v>
      </c>
      <c r="AF10701" s="4" t="s">
        <v>20816</v>
      </c>
    </row>
    <row r="10702">
      <c r="A10702" s="4">
        <v>659.0</v>
      </c>
      <c r="B10702" s="4" t="s">
        <v>20303</v>
      </c>
      <c r="C10702" s="4"/>
      <c r="D10702" s="4" t="s">
        <v>21536</v>
      </c>
      <c r="E10702" s="4" t="s">
        <v>21537</v>
      </c>
      <c r="F10702" s="4" t="s">
        <v>21536</v>
      </c>
    </row>
    <row r="10703">
      <c r="A10703" s="4">
        <v>660.0</v>
      </c>
      <c r="B10703" s="4" t="s">
        <v>20303</v>
      </c>
      <c r="C10703" s="4"/>
      <c r="D10703" s="4" t="s">
        <v>3328</v>
      </c>
      <c r="E10703" s="4" t="s">
        <v>3329</v>
      </c>
      <c r="F10703" s="4" t="s">
        <v>3330</v>
      </c>
    </row>
    <row r="10704">
      <c r="A10704" s="4">
        <v>661.0</v>
      </c>
      <c r="B10704" s="4" t="s">
        <v>20303</v>
      </c>
      <c r="C10704" s="4"/>
      <c r="D10704" s="4" t="s">
        <v>21538</v>
      </c>
      <c r="E10704" s="4" t="s">
        <v>21539</v>
      </c>
      <c r="F10704" s="4" t="s">
        <v>21540</v>
      </c>
    </row>
    <row r="10705">
      <c r="A10705" s="4">
        <v>662.0</v>
      </c>
      <c r="B10705" s="4" t="s">
        <v>20303</v>
      </c>
      <c r="C10705" s="4"/>
      <c r="D10705" s="4" t="s">
        <v>21541</v>
      </c>
      <c r="E10705" s="4" t="s">
        <v>21542</v>
      </c>
      <c r="F10705" s="4" t="s">
        <v>21541</v>
      </c>
    </row>
    <row r="10706">
      <c r="A10706" s="4">
        <v>663.0</v>
      </c>
      <c r="B10706" s="4" t="s">
        <v>20303</v>
      </c>
      <c r="C10706" s="4"/>
      <c r="D10706" s="4" t="s">
        <v>21543</v>
      </c>
      <c r="E10706" s="4" t="s">
        <v>21544</v>
      </c>
      <c r="F10706" s="4" t="s">
        <v>21543</v>
      </c>
      <c r="G10706" s="4"/>
      <c r="H10706" s="4" t="s">
        <v>21545</v>
      </c>
      <c r="I10706" s="4" t="s">
        <v>21546</v>
      </c>
      <c r="J10706" s="4" t="s">
        <v>21547</v>
      </c>
      <c r="K10706" s="4" t="s">
        <v>21548</v>
      </c>
      <c r="L10706" s="4" t="s">
        <v>21549</v>
      </c>
    </row>
    <row r="10707">
      <c r="A10707" s="4">
        <v>664.0</v>
      </c>
      <c r="B10707" s="4" t="s">
        <v>20303</v>
      </c>
      <c r="C10707" s="4"/>
      <c r="D10707" s="4" t="s">
        <v>21550</v>
      </c>
      <c r="E10707" s="4" t="s">
        <v>21551</v>
      </c>
      <c r="F10707" s="4" t="s">
        <v>21550</v>
      </c>
    </row>
    <row r="10708">
      <c r="A10708" s="4">
        <v>665.0</v>
      </c>
      <c r="B10708" s="4" t="s">
        <v>20303</v>
      </c>
      <c r="C10708" s="4"/>
      <c r="D10708" s="4" t="s">
        <v>21552</v>
      </c>
      <c r="E10708" s="4" t="s">
        <v>21553</v>
      </c>
      <c r="F10708" s="4" t="s">
        <v>21554</v>
      </c>
      <c r="G10708" s="4"/>
      <c r="H10708" s="4" t="s">
        <v>21555</v>
      </c>
      <c r="I10708" s="4" t="s">
        <v>21556</v>
      </c>
    </row>
    <row r="10709">
      <c r="A10709" s="4">
        <v>666.0</v>
      </c>
      <c r="B10709" s="4" t="s">
        <v>20303</v>
      </c>
      <c r="C10709" s="4"/>
      <c r="D10709" s="4" t="s">
        <v>3344</v>
      </c>
      <c r="E10709" s="4" t="s">
        <v>3345</v>
      </c>
      <c r="F10709" s="4" t="s">
        <v>3344</v>
      </c>
      <c r="G10709" s="4"/>
      <c r="H10709" s="4" t="s">
        <v>4305</v>
      </c>
      <c r="I10709" s="4" t="s">
        <v>6487</v>
      </c>
      <c r="J10709" s="4" t="s">
        <v>3346</v>
      </c>
      <c r="K10709" s="4" t="s">
        <v>945</v>
      </c>
      <c r="L10709" s="4" t="s">
        <v>941</v>
      </c>
      <c r="M10709" s="4" t="s">
        <v>942</v>
      </c>
      <c r="N10709" s="4" t="s">
        <v>943</v>
      </c>
      <c r="O10709" s="4" t="s">
        <v>944</v>
      </c>
      <c r="P10709" s="4" t="s">
        <v>21557</v>
      </c>
      <c r="Q10709" s="4" t="s">
        <v>326</v>
      </c>
      <c r="R10709" s="4" t="s">
        <v>20649</v>
      </c>
      <c r="S10709" s="4" t="s">
        <v>945</v>
      </c>
      <c r="T10709" s="4" t="s">
        <v>945</v>
      </c>
      <c r="U10709" s="4" t="s">
        <v>948</v>
      </c>
      <c r="V10709" s="4" t="s">
        <v>945</v>
      </c>
      <c r="W10709" s="4" t="s">
        <v>946</v>
      </c>
      <c r="X10709" s="4" t="s">
        <v>947</v>
      </c>
      <c r="Y10709" s="4" t="s">
        <v>945</v>
      </c>
      <c r="Z10709" s="4" t="s">
        <v>948</v>
      </c>
      <c r="AA10709" s="4" t="s">
        <v>326</v>
      </c>
      <c r="AB10709" s="4" t="s">
        <v>949</v>
      </c>
      <c r="AC10709" s="4" t="s">
        <v>950</v>
      </c>
      <c r="AD10709" s="4" t="s">
        <v>945</v>
      </c>
      <c r="AE10709" s="4" t="s">
        <v>951</v>
      </c>
      <c r="AF10709" s="4" t="s">
        <v>952</v>
      </c>
      <c r="AG10709" s="4" t="s">
        <v>953</v>
      </c>
      <c r="AH10709" s="4" t="s">
        <v>3346</v>
      </c>
      <c r="AI10709" s="4" t="s">
        <v>945</v>
      </c>
      <c r="AJ10709" s="4" t="s">
        <v>953</v>
      </c>
      <c r="AK10709" s="4" t="s">
        <v>3347</v>
      </c>
      <c r="AL10709" s="4" t="s">
        <v>3348</v>
      </c>
      <c r="AM10709" s="4" t="s">
        <v>3349</v>
      </c>
    </row>
    <row r="10710">
      <c r="A10710" s="4">
        <v>667.0</v>
      </c>
      <c r="B10710" s="4" t="s">
        <v>20303</v>
      </c>
      <c r="C10710" s="4"/>
      <c r="D10710" s="4" t="s">
        <v>21558</v>
      </c>
      <c r="E10710" s="4" t="s">
        <v>21559</v>
      </c>
      <c r="F10710" s="4" t="s">
        <v>21558</v>
      </c>
    </row>
    <row r="10711">
      <c r="A10711" s="4">
        <v>668.0</v>
      </c>
      <c r="B10711" s="4" t="s">
        <v>20303</v>
      </c>
      <c r="C10711" s="4"/>
      <c r="D10711" s="4" t="s">
        <v>21560</v>
      </c>
      <c r="E10711" s="4" t="s">
        <v>21561</v>
      </c>
      <c r="F10711" s="4" t="s">
        <v>21560</v>
      </c>
    </row>
    <row r="10712">
      <c r="A10712" s="4">
        <v>669.0</v>
      </c>
      <c r="B10712" s="4" t="s">
        <v>20303</v>
      </c>
      <c r="C10712" s="4"/>
      <c r="D10712" s="4" t="s">
        <v>21562</v>
      </c>
      <c r="E10712" s="4" t="s">
        <v>21559</v>
      </c>
      <c r="F10712" s="4" t="s">
        <v>21558</v>
      </c>
    </row>
    <row r="10713">
      <c r="A10713" s="4">
        <v>670.0</v>
      </c>
      <c r="B10713" s="4" t="s">
        <v>20303</v>
      </c>
      <c r="C10713" s="4"/>
      <c r="D10713" s="4" t="s">
        <v>21563</v>
      </c>
      <c r="E10713" s="4" t="s">
        <v>21561</v>
      </c>
      <c r="F10713" s="4" t="s">
        <v>21560</v>
      </c>
    </row>
    <row r="10714">
      <c r="A10714" s="4">
        <v>671.0</v>
      </c>
      <c r="B10714" s="4" t="s">
        <v>20303</v>
      </c>
      <c r="C10714" s="4"/>
      <c r="D10714" s="4" t="s">
        <v>21564</v>
      </c>
      <c r="E10714" s="4" t="s">
        <v>21565</v>
      </c>
      <c r="F10714" s="4" t="s">
        <v>21564</v>
      </c>
    </row>
    <row r="10715">
      <c r="A10715" s="4">
        <v>672.0</v>
      </c>
      <c r="B10715" s="4" t="s">
        <v>20303</v>
      </c>
      <c r="C10715" s="4"/>
      <c r="D10715" s="4" t="s">
        <v>21566</v>
      </c>
      <c r="E10715" s="4" t="s">
        <v>21567</v>
      </c>
      <c r="F10715" s="4" t="s">
        <v>21566</v>
      </c>
    </row>
    <row r="10716">
      <c r="A10716" s="4">
        <v>673.0</v>
      </c>
      <c r="B10716" s="4" t="s">
        <v>20303</v>
      </c>
      <c r="C10716" s="4"/>
      <c r="D10716" s="4" t="s">
        <v>21568</v>
      </c>
      <c r="E10716" s="4" t="s">
        <v>21569</v>
      </c>
      <c r="F10716" s="4" t="s">
        <v>21568</v>
      </c>
    </row>
    <row r="10717">
      <c r="A10717" s="4">
        <v>674.0</v>
      </c>
      <c r="B10717" s="4" t="s">
        <v>20303</v>
      </c>
      <c r="C10717" s="4"/>
      <c r="D10717" s="4" t="s">
        <v>21570</v>
      </c>
      <c r="E10717" s="4" t="s">
        <v>21569</v>
      </c>
      <c r="F10717" s="4" t="s">
        <v>21568</v>
      </c>
    </row>
    <row r="10718">
      <c r="A10718" s="4">
        <v>675.0</v>
      </c>
      <c r="B10718" s="4" t="s">
        <v>20303</v>
      </c>
      <c r="C10718" s="4"/>
      <c r="D10718" s="4" t="s">
        <v>3350</v>
      </c>
      <c r="E10718" s="4" t="s">
        <v>3351</v>
      </c>
      <c r="F10718" s="4" t="s">
        <v>3350</v>
      </c>
    </row>
    <row r="10719">
      <c r="A10719" s="4">
        <v>676.0</v>
      </c>
      <c r="B10719" s="4" t="s">
        <v>20303</v>
      </c>
      <c r="C10719" s="4"/>
      <c r="D10719" s="4" t="s">
        <v>21571</v>
      </c>
      <c r="E10719" s="4" t="s">
        <v>21565</v>
      </c>
      <c r="F10719" s="4" t="s">
        <v>21564</v>
      </c>
    </row>
    <row r="10720">
      <c r="A10720" s="4">
        <v>677.0</v>
      </c>
      <c r="B10720" s="4" t="s">
        <v>20303</v>
      </c>
      <c r="C10720" s="4"/>
      <c r="D10720" s="4" t="s">
        <v>21572</v>
      </c>
      <c r="E10720" s="4" t="s">
        <v>21569</v>
      </c>
      <c r="F10720" s="4" t="s">
        <v>21568</v>
      </c>
    </row>
    <row r="10721">
      <c r="A10721" s="4">
        <v>678.0</v>
      </c>
      <c r="B10721" s="4" t="s">
        <v>20303</v>
      </c>
      <c r="C10721" s="4"/>
      <c r="D10721" s="4" t="s">
        <v>3357</v>
      </c>
      <c r="E10721" s="4" t="s">
        <v>3351</v>
      </c>
      <c r="F10721" s="4" t="s">
        <v>3350</v>
      </c>
      <c r="G10721" s="4"/>
      <c r="H10721" s="4" t="s">
        <v>3352</v>
      </c>
    </row>
    <row r="10722">
      <c r="A10722" s="4">
        <v>679.0</v>
      </c>
      <c r="B10722" s="4" t="s">
        <v>20303</v>
      </c>
      <c r="C10722" s="4"/>
      <c r="D10722" s="4" t="s">
        <v>3387</v>
      </c>
      <c r="E10722" s="4" t="s">
        <v>3386</v>
      </c>
      <c r="F10722" s="4" t="s">
        <v>3387</v>
      </c>
    </row>
    <row r="10723">
      <c r="A10723" s="4">
        <v>680.0</v>
      </c>
      <c r="B10723" s="4" t="s">
        <v>20303</v>
      </c>
      <c r="C10723" s="4"/>
      <c r="D10723" s="4" t="s">
        <v>21573</v>
      </c>
      <c r="E10723" s="4" t="s">
        <v>21574</v>
      </c>
      <c r="F10723" s="4" t="s">
        <v>21573</v>
      </c>
    </row>
    <row r="10724">
      <c r="A10724" s="4">
        <v>681.0</v>
      </c>
      <c r="B10724" s="4" t="s">
        <v>20303</v>
      </c>
      <c r="C10724" s="4"/>
      <c r="D10724" s="4" t="s">
        <v>3396</v>
      </c>
      <c r="E10724" s="4" t="s">
        <v>3395</v>
      </c>
      <c r="F10724" s="4" t="s">
        <v>3396</v>
      </c>
      <c r="G10724" s="4"/>
      <c r="H10724" s="4" t="s">
        <v>4305</v>
      </c>
      <c r="I10724" s="4" t="s">
        <v>21575</v>
      </c>
      <c r="J10724" s="4" t="s">
        <v>15263</v>
      </c>
      <c r="K10724" s="4" t="s">
        <v>3398</v>
      </c>
      <c r="L10724" s="4" t="s">
        <v>3399</v>
      </c>
      <c r="M10724" s="4" t="s">
        <v>3400</v>
      </c>
      <c r="N10724" s="4" t="s">
        <v>3401</v>
      </c>
      <c r="O10724" s="4" t="s">
        <v>3402</v>
      </c>
      <c r="P10724" s="4" t="s">
        <v>647</v>
      </c>
      <c r="Q10724" s="4" t="s">
        <v>3403</v>
      </c>
      <c r="R10724" s="4" t="s">
        <v>3404</v>
      </c>
      <c r="S10724" s="4" t="s">
        <v>3405</v>
      </c>
      <c r="T10724" s="4" t="s">
        <v>3406</v>
      </c>
      <c r="U10724" s="4" t="s">
        <v>7129</v>
      </c>
      <c r="V10724" s="4" t="s">
        <v>7130</v>
      </c>
      <c r="W10724" s="4" t="s">
        <v>7131</v>
      </c>
      <c r="X10724" s="4" t="s">
        <v>3401</v>
      </c>
      <c r="Y10724" s="4" t="s">
        <v>7132</v>
      </c>
      <c r="Z10724" s="4" t="s">
        <v>647</v>
      </c>
      <c r="AA10724" s="4" t="s">
        <v>3401</v>
      </c>
      <c r="AB10724" s="4" t="s">
        <v>2075</v>
      </c>
      <c r="AC10724" s="4" t="s">
        <v>1056</v>
      </c>
      <c r="AD10724" s="4" t="s">
        <v>3413</v>
      </c>
      <c r="AE10724" s="4" t="s">
        <v>646</v>
      </c>
      <c r="AF10724" s="4" t="s">
        <v>3414</v>
      </c>
      <c r="AG10724" s="4" t="s">
        <v>647</v>
      </c>
      <c r="AH10724" s="4" t="s">
        <v>8975</v>
      </c>
      <c r="AI10724" s="4" t="s">
        <v>3415</v>
      </c>
      <c r="AJ10724" s="4" t="s">
        <v>647</v>
      </c>
      <c r="AK10724" s="4" t="s">
        <v>3416</v>
      </c>
      <c r="AL10724" s="4" t="s">
        <v>647</v>
      </c>
      <c r="AM10724" s="4" t="s">
        <v>7127</v>
      </c>
      <c r="AN10724" s="4" t="s">
        <v>7128</v>
      </c>
      <c r="AO10724" s="4" t="s">
        <v>16387</v>
      </c>
      <c r="AP10724" s="4" t="s">
        <v>647</v>
      </c>
      <c r="AQ10724" s="4" t="s">
        <v>7118</v>
      </c>
      <c r="AR10724" s="4" t="s">
        <v>7119</v>
      </c>
      <c r="AS10724" s="4" t="s">
        <v>3417</v>
      </c>
      <c r="AT10724" s="4" t="s">
        <v>3418</v>
      </c>
      <c r="AU10724" s="4" t="s">
        <v>3419</v>
      </c>
      <c r="AV10724" s="4" t="s">
        <v>3420</v>
      </c>
      <c r="AW10724" s="4" t="s">
        <v>3421</v>
      </c>
      <c r="AX10724" s="4" t="s">
        <v>647</v>
      </c>
      <c r="AY10724" s="4" t="s">
        <v>647</v>
      </c>
      <c r="AZ10724" s="4" t="s">
        <v>3422</v>
      </c>
      <c r="BA10724" s="4" t="s">
        <v>7121</v>
      </c>
      <c r="BB10724" s="4" t="s">
        <v>3416</v>
      </c>
      <c r="BC10724" s="4" t="s">
        <v>647</v>
      </c>
      <c r="BD10724" s="4" t="s">
        <v>7122</v>
      </c>
      <c r="BE10724" s="4" t="s">
        <v>7123</v>
      </c>
      <c r="BF10724" s="4" t="s">
        <v>7124</v>
      </c>
      <c r="BG10724" s="4" t="s">
        <v>3421</v>
      </c>
      <c r="BH10724" s="4" t="s">
        <v>7125</v>
      </c>
      <c r="BI10724" s="4" t="s">
        <v>7126</v>
      </c>
      <c r="BJ10724" s="4" t="s">
        <v>21576</v>
      </c>
      <c r="BK10724" s="4" t="s">
        <v>21577</v>
      </c>
      <c r="BL10724" s="4" t="s">
        <v>21578</v>
      </c>
      <c r="BM10724" s="4" t="s">
        <v>21579</v>
      </c>
      <c r="BN10724" s="4" t="s">
        <v>647</v>
      </c>
      <c r="BO10724" s="4" t="s">
        <v>1496</v>
      </c>
      <c r="BP10724" s="4" t="s">
        <v>647</v>
      </c>
      <c r="BQ10724" s="4" t="s">
        <v>2858</v>
      </c>
      <c r="BR10724" s="4" t="s">
        <v>3423</v>
      </c>
      <c r="BS10724" s="4" t="s">
        <v>1496</v>
      </c>
      <c r="BT10724" s="4" t="s">
        <v>3424</v>
      </c>
      <c r="BU10724" s="4" t="s">
        <v>1503</v>
      </c>
      <c r="BV10724" s="4" t="s">
        <v>647</v>
      </c>
      <c r="BW10724" s="4" t="s">
        <v>7120</v>
      </c>
      <c r="BX10724" s="4" t="s">
        <v>647</v>
      </c>
      <c r="BY10724" s="4" t="s">
        <v>21580</v>
      </c>
      <c r="BZ10724" s="4" t="s">
        <v>21581</v>
      </c>
      <c r="CA10724" s="4" t="s">
        <v>21582</v>
      </c>
      <c r="CB10724" s="4" t="s">
        <v>647</v>
      </c>
      <c r="CC10724" s="4" t="s">
        <v>2682</v>
      </c>
      <c r="CD10724" s="4" t="s">
        <v>647</v>
      </c>
      <c r="CE10724" s="4" t="s">
        <v>3398</v>
      </c>
      <c r="CF10724" s="4" t="s">
        <v>646</v>
      </c>
      <c r="CG10724" s="4" t="s">
        <v>637</v>
      </c>
      <c r="CH10724" s="4" t="s">
        <v>647</v>
      </c>
      <c r="CI10724" s="4" t="s">
        <v>648</v>
      </c>
      <c r="CJ10724" s="4" t="s">
        <v>649</v>
      </c>
      <c r="CK10724" s="4" t="s">
        <v>3425</v>
      </c>
      <c r="CL10724" s="4" t="s">
        <v>647</v>
      </c>
      <c r="CM10724" s="4" t="s">
        <v>3426</v>
      </c>
    </row>
    <row r="10725">
      <c r="A10725" s="4">
        <v>682.0</v>
      </c>
      <c r="B10725" s="4" t="s">
        <v>20303</v>
      </c>
      <c r="C10725" s="4"/>
      <c r="D10725" s="4" t="s">
        <v>21583</v>
      </c>
      <c r="E10725" s="4" t="s">
        <v>21584</v>
      </c>
      <c r="F10725" s="4" t="s">
        <v>21583</v>
      </c>
    </row>
    <row r="10726">
      <c r="A10726" s="4">
        <v>683.0</v>
      </c>
      <c r="B10726" s="4" t="s">
        <v>20303</v>
      </c>
      <c r="C10726" s="4"/>
      <c r="D10726" s="4" t="s">
        <v>10941</v>
      </c>
      <c r="E10726" s="4" t="s">
        <v>16845</v>
      </c>
      <c r="F10726" s="4" t="s">
        <v>10941</v>
      </c>
      <c r="G10726" s="4"/>
      <c r="H10726" s="4" t="s">
        <v>10181</v>
      </c>
      <c r="I10726" s="4" t="s">
        <v>7188</v>
      </c>
      <c r="J10726" s="4" t="s">
        <v>21585</v>
      </c>
      <c r="K10726" s="4" t="s">
        <v>1043</v>
      </c>
    </row>
    <row r="10727">
      <c r="A10727" s="4">
        <v>684.0</v>
      </c>
      <c r="B10727" s="4" t="s">
        <v>20303</v>
      </c>
      <c r="C10727" s="4"/>
      <c r="D10727" s="4" t="s">
        <v>21586</v>
      </c>
      <c r="E10727" s="4" t="s">
        <v>21587</v>
      </c>
      <c r="F10727" s="4" t="s">
        <v>21586</v>
      </c>
    </row>
    <row r="10728">
      <c r="A10728" s="4">
        <v>685.0</v>
      </c>
      <c r="B10728" s="4" t="s">
        <v>20303</v>
      </c>
      <c r="C10728" s="4"/>
      <c r="D10728" s="4" t="s">
        <v>3430</v>
      </c>
      <c r="E10728" s="4" t="s">
        <v>3431</v>
      </c>
      <c r="F10728" s="4" t="s">
        <v>3430</v>
      </c>
      <c r="G10728" s="4"/>
      <c r="H10728" s="4" t="s">
        <v>3432</v>
      </c>
      <c r="I10728" s="4" t="s">
        <v>2724</v>
      </c>
      <c r="J10728" s="4" t="s">
        <v>2725</v>
      </c>
      <c r="K10728" s="4" t="s">
        <v>3433</v>
      </c>
      <c r="L10728" s="4" t="s">
        <v>3434</v>
      </c>
      <c r="M10728" s="4" t="s">
        <v>3435</v>
      </c>
      <c r="N10728" s="4" t="s">
        <v>3436</v>
      </c>
      <c r="O10728" s="4" t="s">
        <v>3437</v>
      </c>
      <c r="P10728" s="4" t="s">
        <v>3438</v>
      </c>
      <c r="Q10728" s="4" t="s">
        <v>3439</v>
      </c>
      <c r="R10728" s="4" t="s">
        <v>3440</v>
      </c>
      <c r="S10728" s="4" t="s">
        <v>3441</v>
      </c>
    </row>
    <row r="10729">
      <c r="A10729" s="4">
        <v>686.0</v>
      </c>
      <c r="B10729" s="4" t="s">
        <v>20303</v>
      </c>
      <c r="C10729" s="4"/>
      <c r="D10729" s="4" t="s">
        <v>21588</v>
      </c>
      <c r="E10729" s="4" t="s">
        <v>21589</v>
      </c>
      <c r="F10729" s="4" t="s">
        <v>21590</v>
      </c>
    </row>
    <row r="10730">
      <c r="A10730" s="4">
        <v>687.0</v>
      </c>
      <c r="B10730" s="4" t="s">
        <v>20303</v>
      </c>
      <c r="C10730" s="4"/>
      <c r="D10730" s="4" t="s">
        <v>21591</v>
      </c>
      <c r="E10730" s="4" t="s">
        <v>21592</v>
      </c>
      <c r="F10730" s="4" t="s">
        <v>21591</v>
      </c>
      <c r="G10730" s="4"/>
      <c r="H10730" s="4" t="s">
        <v>19400</v>
      </c>
    </row>
    <row r="10731">
      <c r="A10731" s="4">
        <v>688.0</v>
      </c>
      <c r="B10731" s="4" t="s">
        <v>20303</v>
      </c>
      <c r="C10731" s="4"/>
      <c r="D10731" s="4" t="s">
        <v>21593</v>
      </c>
      <c r="E10731" s="4" t="s">
        <v>3443</v>
      </c>
      <c r="F10731" s="4" t="s">
        <v>3442</v>
      </c>
    </row>
    <row r="10732">
      <c r="A10732" s="4">
        <v>689.0</v>
      </c>
      <c r="B10732" s="4" t="s">
        <v>20303</v>
      </c>
      <c r="C10732" s="4"/>
      <c r="D10732" s="4" t="s">
        <v>21594</v>
      </c>
      <c r="E10732" s="4" t="s">
        <v>13258</v>
      </c>
      <c r="F10732" s="4" t="s">
        <v>13259</v>
      </c>
    </row>
    <row r="10733">
      <c r="A10733" s="4">
        <v>690.0</v>
      </c>
      <c r="B10733" s="4" t="s">
        <v>20303</v>
      </c>
      <c r="C10733" s="4"/>
      <c r="D10733" s="4" t="s">
        <v>21595</v>
      </c>
      <c r="E10733" s="4" t="s">
        <v>21596</v>
      </c>
      <c r="F10733" s="4" t="s">
        <v>21595</v>
      </c>
    </row>
    <row r="10734">
      <c r="A10734" s="4">
        <v>691.0</v>
      </c>
      <c r="B10734" s="4" t="s">
        <v>20303</v>
      </c>
      <c r="C10734" s="4"/>
      <c r="D10734" s="4" t="s">
        <v>21597</v>
      </c>
      <c r="E10734" s="4" t="s">
        <v>21598</v>
      </c>
      <c r="F10734" s="4" t="s">
        <v>21597</v>
      </c>
    </row>
    <row r="10735">
      <c r="A10735" s="4">
        <v>692.0</v>
      </c>
      <c r="B10735" s="4" t="s">
        <v>20303</v>
      </c>
      <c r="C10735" s="4"/>
      <c r="D10735" s="4" t="s">
        <v>21599</v>
      </c>
      <c r="E10735" s="4" t="s">
        <v>18490</v>
      </c>
      <c r="F10735" s="4" t="s">
        <v>18491</v>
      </c>
    </row>
    <row r="10736">
      <c r="A10736" s="4">
        <v>693.0</v>
      </c>
      <c r="B10736" s="4" t="s">
        <v>20303</v>
      </c>
      <c r="C10736" s="4"/>
      <c r="D10736" s="4" t="s">
        <v>230</v>
      </c>
      <c r="E10736" s="4" t="s">
        <v>229</v>
      </c>
      <c r="F10736" s="4" t="s">
        <v>230</v>
      </c>
      <c r="G10736" s="4"/>
      <c r="H10736" s="4" t="s">
        <v>230</v>
      </c>
    </row>
    <row r="10737">
      <c r="A10737" s="4">
        <v>694.0</v>
      </c>
      <c r="B10737" s="4" t="s">
        <v>20303</v>
      </c>
      <c r="C10737" s="4"/>
      <c r="D10737" s="4" t="s">
        <v>3464</v>
      </c>
      <c r="E10737" s="4" t="s">
        <v>235</v>
      </c>
      <c r="F10737" s="4" t="s">
        <v>236</v>
      </c>
      <c r="G10737" s="4"/>
      <c r="H10737" s="4" t="s">
        <v>13316</v>
      </c>
      <c r="I10737" s="4" t="s">
        <v>13317</v>
      </c>
    </row>
    <row r="10738">
      <c r="A10738" s="4">
        <v>695.0</v>
      </c>
      <c r="B10738" s="4" t="s">
        <v>20303</v>
      </c>
      <c r="C10738" s="4"/>
      <c r="D10738" s="4" t="s">
        <v>3480</v>
      </c>
      <c r="E10738" s="4" t="s">
        <v>3506</v>
      </c>
      <c r="F10738" s="4" t="s">
        <v>3507</v>
      </c>
      <c r="G10738" s="4"/>
      <c r="H10738" s="4" t="s">
        <v>6785</v>
      </c>
      <c r="I10738" s="4" t="s">
        <v>6771</v>
      </c>
      <c r="J10738" s="4" t="s">
        <v>6786</v>
      </c>
      <c r="K10738" s="4" t="s">
        <v>6787</v>
      </c>
      <c r="L10738" s="4" t="s">
        <v>6788</v>
      </c>
      <c r="M10738" s="4" t="s">
        <v>3481</v>
      </c>
      <c r="N10738" s="4" t="s">
        <v>3169</v>
      </c>
      <c r="O10738" s="4" t="s">
        <v>3482</v>
      </c>
      <c r="P10738" s="4" t="s">
        <v>21600</v>
      </c>
      <c r="Q10738" s="4" t="s">
        <v>21601</v>
      </c>
      <c r="R10738" s="4" t="s">
        <v>21602</v>
      </c>
      <c r="S10738" s="4" t="s">
        <v>3485</v>
      </c>
      <c r="T10738" s="4" t="s">
        <v>3459</v>
      </c>
      <c r="U10738" s="4" t="s">
        <v>3486</v>
      </c>
      <c r="V10738" s="4" t="s">
        <v>8763</v>
      </c>
      <c r="W10738" s="4" t="s">
        <v>20602</v>
      </c>
      <c r="X10738" s="4" t="s">
        <v>3487</v>
      </c>
      <c r="Y10738" s="4" t="s">
        <v>3487</v>
      </c>
      <c r="Z10738" s="4" t="s">
        <v>789</v>
      </c>
      <c r="AA10738" s="4" t="s">
        <v>3488</v>
      </c>
      <c r="AB10738" s="4" t="s">
        <v>788</v>
      </c>
      <c r="AC10738" s="4" t="s">
        <v>3489</v>
      </c>
      <c r="AD10738" s="4" t="s">
        <v>3490</v>
      </c>
      <c r="AE10738" s="4" t="s">
        <v>789</v>
      </c>
      <c r="AF10738" s="4" t="s">
        <v>3491</v>
      </c>
      <c r="AG10738" s="4" t="s">
        <v>3492</v>
      </c>
      <c r="AH10738" s="4" t="s">
        <v>6172</v>
      </c>
      <c r="AI10738" s="4" t="s">
        <v>2603</v>
      </c>
      <c r="AJ10738" s="4" t="s">
        <v>21603</v>
      </c>
      <c r="AK10738" s="4" t="s">
        <v>536</v>
      </c>
      <c r="AL10738" s="4" t="s">
        <v>4306</v>
      </c>
      <c r="AM10738" s="4" t="s">
        <v>6487</v>
      </c>
      <c r="AN10738" s="4" t="s">
        <v>3496</v>
      </c>
      <c r="AO10738" s="4" t="s">
        <v>3497</v>
      </c>
      <c r="AP10738" s="4" t="s">
        <v>3500</v>
      </c>
      <c r="AQ10738" s="4" t="s">
        <v>3169</v>
      </c>
      <c r="AR10738" s="4" t="s">
        <v>3169</v>
      </c>
      <c r="AS10738" s="4" t="s">
        <v>3459</v>
      </c>
      <c r="AT10738" s="4" t="s">
        <v>943</v>
      </c>
      <c r="AU10738" s="4" t="s">
        <v>3482</v>
      </c>
      <c r="AV10738" s="4" t="s">
        <v>3500</v>
      </c>
      <c r="AW10738" s="4" t="s">
        <v>3497</v>
      </c>
      <c r="AX10738" s="4" t="s">
        <v>21604</v>
      </c>
      <c r="AY10738" s="4" t="s">
        <v>21605</v>
      </c>
      <c r="AZ10738" s="4" t="s">
        <v>919</v>
      </c>
      <c r="BA10738" s="4" t="s">
        <v>920</v>
      </c>
      <c r="BB10738" s="4" t="s">
        <v>6407</v>
      </c>
      <c r="BC10738" s="4" t="s">
        <v>21606</v>
      </c>
      <c r="BD10738" s="4" t="s">
        <v>21607</v>
      </c>
      <c r="BE10738" s="4" t="s">
        <v>3630</v>
      </c>
      <c r="BF10738" s="4" t="s">
        <v>3634</v>
      </c>
      <c r="BG10738" s="4" t="s">
        <v>3501</v>
      </c>
      <c r="BH10738" s="4" t="s">
        <v>3501</v>
      </c>
      <c r="BI10738" s="4" t="s">
        <v>3501</v>
      </c>
      <c r="BJ10738" s="4" t="s">
        <v>3497</v>
      </c>
      <c r="BK10738" s="4" t="s">
        <v>3482</v>
      </c>
      <c r="BL10738" s="4" t="s">
        <v>3503</v>
      </c>
      <c r="BM10738" s="4" t="s">
        <v>3493</v>
      </c>
    </row>
    <row r="10739">
      <c r="A10739" s="4">
        <v>696.0</v>
      </c>
      <c r="B10739" s="4" t="s">
        <v>20303</v>
      </c>
      <c r="C10739" s="4"/>
      <c r="D10739" s="4" t="s">
        <v>21608</v>
      </c>
      <c r="E10739" s="4" t="s">
        <v>21609</v>
      </c>
      <c r="F10739" s="4" t="s">
        <v>21610</v>
      </c>
    </row>
    <row r="10740">
      <c r="A10740" s="4">
        <v>697.0</v>
      </c>
      <c r="B10740" s="4" t="s">
        <v>20303</v>
      </c>
      <c r="C10740" s="4"/>
      <c r="D10740" s="4" t="s">
        <v>21611</v>
      </c>
      <c r="E10740" s="4" t="s">
        <v>21612</v>
      </c>
      <c r="F10740" s="4" t="s">
        <v>21613</v>
      </c>
    </row>
    <row r="10741">
      <c r="A10741" s="4">
        <v>698.0</v>
      </c>
      <c r="B10741" s="4" t="s">
        <v>20303</v>
      </c>
      <c r="C10741" s="4"/>
      <c r="D10741" s="4" t="s">
        <v>21614</v>
      </c>
      <c r="E10741" s="4" t="s">
        <v>21609</v>
      </c>
      <c r="F10741" s="4" t="s">
        <v>21610</v>
      </c>
    </row>
    <row r="10742">
      <c r="A10742" s="4">
        <v>699.0</v>
      </c>
      <c r="B10742" s="4" t="s">
        <v>20303</v>
      </c>
      <c r="C10742" s="4"/>
      <c r="D10742" s="4" t="s">
        <v>21615</v>
      </c>
      <c r="E10742" s="4" t="s">
        <v>21612</v>
      </c>
      <c r="F10742" s="4" t="s">
        <v>21613</v>
      </c>
    </row>
    <row r="10743">
      <c r="A10743" s="4">
        <v>700.0</v>
      </c>
      <c r="B10743" s="4" t="s">
        <v>20303</v>
      </c>
      <c r="C10743" s="4"/>
      <c r="D10743" s="4" t="s">
        <v>21616</v>
      </c>
      <c r="E10743" s="4" t="s">
        <v>21617</v>
      </c>
      <c r="F10743" s="4" t="s">
        <v>21618</v>
      </c>
    </row>
    <row r="10744">
      <c r="A10744" s="4">
        <v>701.0</v>
      </c>
      <c r="B10744" s="4" t="s">
        <v>20303</v>
      </c>
      <c r="C10744" s="4"/>
      <c r="D10744" s="4" t="s">
        <v>18527</v>
      </c>
      <c r="E10744" s="4" t="s">
        <v>21619</v>
      </c>
      <c r="F10744" s="4" t="s">
        <v>236</v>
      </c>
    </row>
    <row r="10745">
      <c r="A10745" s="4">
        <v>702.0</v>
      </c>
      <c r="B10745" s="4" t="s">
        <v>20303</v>
      </c>
      <c r="C10745" s="4"/>
      <c r="D10745" s="4" t="s">
        <v>21620</v>
      </c>
      <c r="E10745" s="4" t="s">
        <v>21621</v>
      </c>
      <c r="F10745" s="4" t="s">
        <v>21622</v>
      </c>
    </row>
    <row r="10746">
      <c r="A10746" s="4">
        <v>703.0</v>
      </c>
      <c r="B10746" s="4" t="s">
        <v>20303</v>
      </c>
      <c r="C10746" s="4"/>
      <c r="D10746" s="4" t="s">
        <v>3519</v>
      </c>
      <c r="E10746" s="4" t="s">
        <v>3520</v>
      </c>
      <c r="F10746" s="4" t="s">
        <v>3519</v>
      </c>
      <c r="G10746" s="4"/>
      <c r="H10746" s="4" t="s">
        <v>3521</v>
      </c>
      <c r="I10746" s="4" t="s">
        <v>3522</v>
      </c>
      <c r="J10746" s="4" t="s">
        <v>3526</v>
      </c>
      <c r="K10746" s="4" t="s">
        <v>3415</v>
      </c>
      <c r="L10746" s="4" t="s">
        <v>483</v>
      </c>
      <c r="M10746" s="4" t="s">
        <v>484</v>
      </c>
      <c r="N10746" s="4" t="s">
        <v>2824</v>
      </c>
      <c r="O10746" s="4" t="s">
        <v>2825</v>
      </c>
      <c r="P10746" s="4" t="s">
        <v>2826</v>
      </c>
      <c r="Q10746" s="4" t="s">
        <v>1734</v>
      </c>
      <c r="R10746" s="4" t="s">
        <v>482</v>
      </c>
      <c r="S10746" s="4" t="s">
        <v>1736</v>
      </c>
      <c r="T10746" s="4" t="s">
        <v>1737</v>
      </c>
      <c r="U10746" s="4" t="s">
        <v>1738</v>
      </c>
      <c r="V10746" s="4" t="s">
        <v>1739</v>
      </c>
      <c r="W10746" s="4" t="s">
        <v>1740</v>
      </c>
      <c r="X10746" s="4" t="s">
        <v>1741</v>
      </c>
      <c r="Y10746" s="4" t="s">
        <v>484</v>
      </c>
      <c r="Z10746" s="4" t="s">
        <v>1742</v>
      </c>
      <c r="AA10746" s="4" t="s">
        <v>1743</v>
      </c>
      <c r="AB10746" s="4" t="s">
        <v>1744</v>
      </c>
      <c r="AC10746" s="4" t="s">
        <v>1745</v>
      </c>
      <c r="AD10746" s="4" t="s">
        <v>1746</v>
      </c>
      <c r="AE10746" s="4" t="s">
        <v>1747</v>
      </c>
      <c r="AF10746" s="4" t="s">
        <v>1748</v>
      </c>
      <c r="AG10746" s="4" t="s">
        <v>1749</v>
      </c>
      <c r="AH10746" s="4" t="s">
        <v>1750</v>
      </c>
      <c r="AI10746" s="4" t="s">
        <v>483</v>
      </c>
      <c r="AJ10746" s="4" t="s">
        <v>1751</v>
      </c>
      <c r="AK10746" s="4" t="s">
        <v>1752</v>
      </c>
      <c r="AL10746" s="4" t="s">
        <v>1753</v>
      </c>
      <c r="AM10746" s="4" t="s">
        <v>1754</v>
      </c>
      <c r="AN10746" s="4" t="s">
        <v>1755</v>
      </c>
      <c r="AO10746" s="4" t="s">
        <v>1756</v>
      </c>
      <c r="AP10746" s="4" t="s">
        <v>1757</v>
      </c>
      <c r="AQ10746" s="4" t="s">
        <v>482</v>
      </c>
      <c r="AR10746" s="4" t="s">
        <v>1758</v>
      </c>
      <c r="AS10746" s="4" t="s">
        <v>780</v>
      </c>
      <c r="AT10746" s="4" t="s">
        <v>1759</v>
      </c>
      <c r="AU10746" s="4" t="s">
        <v>1760</v>
      </c>
      <c r="AV10746" s="4" t="s">
        <v>1761</v>
      </c>
      <c r="AW10746" s="4" t="s">
        <v>1762</v>
      </c>
      <c r="AX10746" s="4" t="s">
        <v>1763</v>
      </c>
      <c r="AY10746" s="4" t="s">
        <v>1764</v>
      </c>
      <c r="AZ10746" s="4" t="s">
        <v>1765</v>
      </c>
      <c r="BA10746" s="4" t="s">
        <v>1766</v>
      </c>
      <c r="BB10746" s="4" t="s">
        <v>1767</v>
      </c>
      <c r="BC10746" s="4" t="s">
        <v>1768</v>
      </c>
      <c r="BD10746" s="4" t="s">
        <v>1769</v>
      </c>
      <c r="BE10746" s="4" t="s">
        <v>1770</v>
      </c>
      <c r="BF10746" s="4" t="s">
        <v>1771</v>
      </c>
      <c r="BG10746" s="4" t="s">
        <v>1772</v>
      </c>
      <c r="BH10746" s="4" t="s">
        <v>1773</v>
      </c>
    </row>
    <row r="10747">
      <c r="A10747" s="4">
        <v>704.0</v>
      </c>
      <c r="B10747" s="4" t="s">
        <v>20303</v>
      </c>
      <c r="C10747" s="4"/>
      <c r="D10747" s="4" t="s">
        <v>3523</v>
      </c>
      <c r="E10747" s="4" t="s">
        <v>3528</v>
      </c>
      <c r="F10747" s="4" t="s">
        <v>3523</v>
      </c>
      <c r="G10747" s="4"/>
      <c r="H10747" s="4" t="s">
        <v>3525</v>
      </c>
      <c r="I10747" s="4" t="s">
        <v>3527</v>
      </c>
    </row>
    <row r="10748">
      <c r="A10748" s="4">
        <v>705.0</v>
      </c>
      <c r="B10748" s="4" t="s">
        <v>20303</v>
      </c>
      <c r="C10748" s="4"/>
      <c r="D10748" s="4" t="s">
        <v>21623</v>
      </c>
      <c r="E10748" s="4" t="s">
        <v>21624</v>
      </c>
      <c r="F10748" s="4" t="s">
        <v>21623</v>
      </c>
      <c r="G10748" s="4"/>
      <c r="H10748" s="4" t="s">
        <v>3596</v>
      </c>
      <c r="I10748" s="4" t="s">
        <v>3497</v>
      </c>
      <c r="J10748" s="4" t="s">
        <v>3597</v>
      </c>
      <c r="K10748" s="4" t="s">
        <v>3598</v>
      </c>
      <c r="L10748" s="4" t="s">
        <v>3599</v>
      </c>
      <c r="M10748" s="4" t="s">
        <v>3600</v>
      </c>
      <c r="N10748" s="4" t="s">
        <v>3601</v>
      </c>
      <c r="O10748" s="4" t="s">
        <v>3602</v>
      </c>
    </row>
    <row r="10749">
      <c r="A10749" s="4">
        <v>706.0</v>
      </c>
      <c r="B10749" s="4" t="s">
        <v>20303</v>
      </c>
      <c r="C10749" s="4"/>
      <c r="D10749" s="4" t="s">
        <v>21625</v>
      </c>
      <c r="E10749" s="4" t="s">
        <v>21626</v>
      </c>
      <c r="F10749" s="4" t="s">
        <v>21625</v>
      </c>
    </row>
    <row r="10750">
      <c r="A10750" s="4">
        <v>707.0</v>
      </c>
      <c r="B10750" s="4" t="s">
        <v>20303</v>
      </c>
      <c r="C10750" s="4"/>
      <c r="D10750" s="4" t="s">
        <v>3170</v>
      </c>
      <c r="E10750" s="4" t="s">
        <v>3539</v>
      </c>
      <c r="F10750" s="4" t="s">
        <v>3170</v>
      </c>
    </row>
    <row r="10751">
      <c r="A10751" s="4">
        <v>708.0</v>
      </c>
      <c r="B10751" s="4" t="s">
        <v>20303</v>
      </c>
      <c r="C10751" s="4"/>
      <c r="D10751" s="4" t="s">
        <v>3553</v>
      </c>
      <c r="E10751" s="4" t="s">
        <v>3554</v>
      </c>
      <c r="F10751" s="4" t="s">
        <v>3553</v>
      </c>
      <c r="G10751" s="4"/>
      <c r="H10751" s="4" t="s">
        <v>16228</v>
      </c>
      <c r="I10751" s="4" t="s">
        <v>16229</v>
      </c>
      <c r="J10751" s="4" t="s">
        <v>3555</v>
      </c>
      <c r="K10751" s="4" t="s">
        <v>3556</v>
      </c>
    </row>
    <row r="10752">
      <c r="A10752" s="4">
        <v>709.0</v>
      </c>
      <c r="B10752" s="4" t="s">
        <v>20303</v>
      </c>
      <c r="C10752" s="4"/>
      <c r="D10752" s="4" t="s">
        <v>3557</v>
      </c>
      <c r="E10752" s="4" t="s">
        <v>3558</v>
      </c>
      <c r="F10752" s="4" t="s">
        <v>3557</v>
      </c>
    </row>
    <row r="10753">
      <c r="A10753" s="4">
        <v>710.0</v>
      </c>
      <c r="B10753" s="4" t="s">
        <v>20303</v>
      </c>
      <c r="C10753" s="4"/>
      <c r="D10753" s="4" t="s">
        <v>21627</v>
      </c>
      <c r="E10753" s="4" t="s">
        <v>21628</v>
      </c>
      <c r="F10753" s="4" t="s">
        <v>21627</v>
      </c>
    </row>
    <row r="10754">
      <c r="A10754" s="4">
        <v>711.0</v>
      </c>
      <c r="B10754" s="4" t="s">
        <v>20303</v>
      </c>
      <c r="C10754" s="4"/>
      <c r="D10754" s="4" t="s">
        <v>21629</v>
      </c>
      <c r="E10754" s="4" t="s">
        <v>5503</v>
      </c>
      <c r="F10754" s="4" t="s">
        <v>5504</v>
      </c>
      <c r="G10754" s="4"/>
      <c r="H10754" s="4" t="s">
        <v>7241</v>
      </c>
      <c r="I10754" s="4" t="s">
        <v>7239</v>
      </c>
      <c r="J10754" s="4" t="s">
        <v>7242</v>
      </c>
      <c r="K10754" s="4" t="s">
        <v>7243</v>
      </c>
      <c r="L10754" s="4" t="s">
        <v>7244</v>
      </c>
      <c r="M10754" s="4" t="s">
        <v>7245</v>
      </c>
    </row>
    <row r="10755">
      <c r="A10755" s="4">
        <v>712.0</v>
      </c>
      <c r="B10755" s="4" t="s">
        <v>20303</v>
      </c>
      <c r="C10755" s="4"/>
      <c r="D10755" s="4" t="s">
        <v>3559</v>
      </c>
      <c r="E10755" s="4" t="s">
        <v>3560</v>
      </c>
      <c r="F10755" s="4" t="s">
        <v>3559</v>
      </c>
      <c r="G10755" s="4"/>
      <c r="H10755" s="4" t="s">
        <v>21630</v>
      </c>
      <c r="I10755" s="4" t="s">
        <v>21631</v>
      </c>
      <c r="J10755" s="4" t="s">
        <v>3561</v>
      </c>
    </row>
    <row r="10756">
      <c r="A10756" s="4">
        <v>713.0</v>
      </c>
      <c r="B10756" s="4" t="s">
        <v>20303</v>
      </c>
      <c r="C10756" s="4"/>
      <c r="D10756" s="4" t="s">
        <v>21632</v>
      </c>
      <c r="E10756" s="4" t="s">
        <v>21633</v>
      </c>
      <c r="F10756" s="4" t="s">
        <v>21632</v>
      </c>
    </row>
    <row r="10757">
      <c r="A10757" s="4">
        <v>714.0</v>
      </c>
      <c r="B10757" s="4" t="s">
        <v>20303</v>
      </c>
      <c r="C10757" s="4"/>
      <c r="D10757" s="4" t="s">
        <v>9171</v>
      </c>
      <c r="E10757" s="4" t="s">
        <v>9172</v>
      </c>
      <c r="F10757" s="4" t="s">
        <v>9171</v>
      </c>
    </row>
    <row r="10758">
      <c r="A10758" s="4">
        <v>715.0</v>
      </c>
      <c r="B10758" s="4" t="s">
        <v>20303</v>
      </c>
      <c r="C10758" s="4"/>
      <c r="D10758" s="4" t="s">
        <v>21634</v>
      </c>
      <c r="E10758" s="4" t="s">
        <v>21635</v>
      </c>
      <c r="F10758" s="4" t="s">
        <v>21634</v>
      </c>
    </row>
    <row r="10759">
      <c r="A10759" s="4">
        <v>716.0</v>
      </c>
      <c r="B10759" s="4" t="s">
        <v>20303</v>
      </c>
      <c r="C10759" s="4"/>
      <c r="D10759" s="4" t="s">
        <v>21636</v>
      </c>
      <c r="E10759" s="4" t="s">
        <v>21637</v>
      </c>
      <c r="F10759" s="4" t="s">
        <v>21636</v>
      </c>
    </row>
    <row r="10760">
      <c r="A10760" s="4">
        <v>717.0</v>
      </c>
      <c r="B10760" s="4" t="s">
        <v>20303</v>
      </c>
      <c r="C10760" s="4"/>
      <c r="D10760" s="4" t="s">
        <v>21638</v>
      </c>
      <c r="E10760" s="4" t="s">
        <v>21639</v>
      </c>
      <c r="F10760" s="4" t="s">
        <v>21640</v>
      </c>
    </row>
    <row r="10761">
      <c r="A10761" s="4">
        <v>718.0</v>
      </c>
      <c r="B10761" s="4" t="s">
        <v>20303</v>
      </c>
      <c r="C10761" s="4"/>
      <c r="D10761" s="4" t="s">
        <v>21641</v>
      </c>
      <c r="E10761" s="4" t="s">
        <v>21642</v>
      </c>
      <c r="F10761" s="4" t="s">
        <v>21643</v>
      </c>
      <c r="G10761" s="4"/>
      <c r="H10761" s="4" t="s">
        <v>8475</v>
      </c>
      <c r="I10761" s="4" t="s">
        <v>3234</v>
      </c>
      <c r="J10761" s="4" t="s">
        <v>8481</v>
      </c>
    </row>
    <row r="10762">
      <c r="A10762" s="4">
        <v>719.0</v>
      </c>
      <c r="B10762" s="4" t="s">
        <v>20303</v>
      </c>
      <c r="C10762" s="4"/>
      <c r="D10762" s="4" t="s">
        <v>3570</v>
      </c>
      <c r="E10762" s="4" t="s">
        <v>3571</v>
      </c>
      <c r="F10762" s="4" t="s">
        <v>3570</v>
      </c>
      <c r="G10762" s="4"/>
      <c r="H10762" s="4" t="s">
        <v>7241</v>
      </c>
      <c r="I10762" s="4" t="s">
        <v>7239</v>
      </c>
      <c r="J10762" s="4" t="s">
        <v>7242</v>
      </c>
      <c r="K10762" s="4" t="s">
        <v>7243</v>
      </c>
      <c r="L10762" s="4" t="s">
        <v>7244</v>
      </c>
      <c r="M10762" s="4" t="s">
        <v>7245</v>
      </c>
    </row>
    <row r="10763">
      <c r="A10763" s="4">
        <v>720.0</v>
      </c>
      <c r="B10763" s="4" t="s">
        <v>20303</v>
      </c>
      <c r="C10763" s="4"/>
      <c r="D10763" s="4" t="s">
        <v>14243</v>
      </c>
      <c r="E10763" s="4" t="s">
        <v>14244</v>
      </c>
      <c r="F10763" s="4" t="s">
        <v>14243</v>
      </c>
      <c r="G10763" s="4"/>
      <c r="H10763" s="4" t="s">
        <v>21644</v>
      </c>
      <c r="I10763" s="4" t="s">
        <v>3368</v>
      </c>
      <c r="J10763" s="4" t="s">
        <v>21645</v>
      </c>
      <c r="K10763" s="4" t="s">
        <v>21644</v>
      </c>
      <c r="L10763" s="4" t="s">
        <v>21646</v>
      </c>
      <c r="M10763" s="4" t="s">
        <v>3365</v>
      </c>
      <c r="N10763" s="4" t="s">
        <v>3368</v>
      </c>
    </row>
    <row r="10764">
      <c r="A10764" s="4">
        <v>721.0</v>
      </c>
      <c r="B10764" s="4" t="s">
        <v>20303</v>
      </c>
      <c r="C10764" s="4"/>
      <c r="D10764" s="4" t="s">
        <v>21647</v>
      </c>
      <c r="E10764" s="4" t="s">
        <v>21648</v>
      </c>
      <c r="F10764" s="4" t="s">
        <v>21647</v>
      </c>
    </row>
    <row r="10765">
      <c r="A10765" s="4">
        <v>722.0</v>
      </c>
      <c r="B10765" s="4" t="s">
        <v>20303</v>
      </c>
      <c r="C10765" s="4"/>
      <c r="D10765" s="4" t="s">
        <v>21649</v>
      </c>
      <c r="E10765" s="4" t="s">
        <v>21650</v>
      </c>
      <c r="F10765" s="4" t="s">
        <v>21649</v>
      </c>
    </row>
    <row r="10766">
      <c r="A10766" s="4">
        <v>723.0</v>
      </c>
      <c r="B10766" s="4" t="s">
        <v>20303</v>
      </c>
      <c r="C10766" s="4"/>
      <c r="D10766" s="4" t="s">
        <v>21651</v>
      </c>
      <c r="E10766" s="4" t="s">
        <v>21648</v>
      </c>
      <c r="F10766" s="4" t="s">
        <v>21647</v>
      </c>
    </row>
    <row r="10767">
      <c r="A10767" s="4">
        <v>724.0</v>
      </c>
      <c r="B10767" s="4" t="s">
        <v>20303</v>
      </c>
      <c r="C10767" s="4"/>
      <c r="D10767" s="4" t="s">
        <v>21652</v>
      </c>
      <c r="E10767" s="4" t="s">
        <v>21650</v>
      </c>
      <c r="F10767" s="4" t="s">
        <v>21649</v>
      </c>
    </row>
    <row r="10768">
      <c r="A10768" s="4">
        <v>725.0</v>
      </c>
      <c r="B10768" s="4" t="s">
        <v>20303</v>
      </c>
      <c r="C10768" s="4"/>
      <c r="D10768" s="4" t="s">
        <v>21653</v>
      </c>
      <c r="E10768" s="4" t="s">
        <v>21654</v>
      </c>
      <c r="F10768" s="4" t="s">
        <v>21653</v>
      </c>
    </row>
    <row r="10769">
      <c r="A10769" s="4">
        <v>726.0</v>
      </c>
      <c r="B10769" s="4" t="s">
        <v>20303</v>
      </c>
      <c r="C10769" s="4"/>
      <c r="D10769" s="4" t="s">
        <v>3595</v>
      </c>
      <c r="E10769" s="4" t="s">
        <v>3594</v>
      </c>
      <c r="F10769" s="4" t="s">
        <v>3595</v>
      </c>
    </row>
    <row r="10770">
      <c r="A10770" s="4">
        <v>727.0</v>
      </c>
      <c r="B10770" s="4" t="s">
        <v>20303</v>
      </c>
      <c r="C10770" s="4"/>
      <c r="D10770" s="4" t="s">
        <v>395</v>
      </c>
      <c r="E10770" s="4" t="s">
        <v>394</v>
      </c>
      <c r="F10770" s="4" t="s">
        <v>395</v>
      </c>
      <c r="G10770" s="4"/>
      <c r="H10770" s="4" t="s">
        <v>395</v>
      </c>
      <c r="I10770" s="4" t="s">
        <v>3587</v>
      </c>
    </row>
    <row r="10771">
      <c r="A10771" s="4">
        <v>728.0</v>
      </c>
      <c r="B10771" s="4" t="s">
        <v>20303</v>
      </c>
      <c r="C10771" s="4"/>
      <c r="D10771" s="4" t="s">
        <v>14245</v>
      </c>
      <c r="E10771" s="4" t="s">
        <v>14246</v>
      </c>
      <c r="F10771" s="4" t="s">
        <v>14245</v>
      </c>
    </row>
    <row r="10772">
      <c r="A10772" s="4">
        <v>729.0</v>
      </c>
      <c r="B10772" s="4" t="s">
        <v>20303</v>
      </c>
      <c r="C10772" s="4"/>
      <c r="D10772" s="4" t="s">
        <v>5458</v>
      </c>
      <c r="E10772" s="4" t="s">
        <v>5457</v>
      </c>
      <c r="F10772" s="4" t="s">
        <v>5458</v>
      </c>
    </row>
    <row r="10773">
      <c r="A10773" s="4">
        <v>730.0</v>
      </c>
      <c r="B10773" s="4" t="s">
        <v>20303</v>
      </c>
      <c r="C10773" s="4"/>
      <c r="D10773" s="4" t="s">
        <v>3545</v>
      </c>
      <c r="E10773" s="4" t="s">
        <v>3544</v>
      </c>
      <c r="F10773" s="4" t="s">
        <v>3545</v>
      </c>
    </row>
    <row r="10774">
      <c r="A10774" s="4">
        <v>731.0</v>
      </c>
      <c r="B10774" s="4" t="s">
        <v>20303</v>
      </c>
      <c r="C10774" s="4"/>
      <c r="D10774" s="4" t="s">
        <v>3551</v>
      </c>
      <c r="E10774" s="4" t="s">
        <v>3550</v>
      </c>
      <c r="F10774" s="4" t="s">
        <v>3551</v>
      </c>
    </row>
    <row r="10775">
      <c r="A10775" s="4">
        <v>732.0</v>
      </c>
      <c r="B10775" s="4" t="s">
        <v>20303</v>
      </c>
      <c r="C10775" s="4"/>
      <c r="D10775" s="4" t="s">
        <v>21655</v>
      </c>
      <c r="E10775" s="4" t="s">
        <v>400</v>
      </c>
      <c r="F10775" s="4" t="s">
        <v>401</v>
      </c>
    </row>
    <row r="10776">
      <c r="A10776" s="4">
        <v>733.0</v>
      </c>
      <c r="B10776" s="4" t="s">
        <v>20303</v>
      </c>
      <c r="C10776" s="4"/>
      <c r="D10776" s="4" t="s">
        <v>21656</v>
      </c>
      <c r="E10776" s="4" t="s">
        <v>21657</v>
      </c>
      <c r="F10776" s="4" t="s">
        <v>21658</v>
      </c>
    </row>
    <row r="10777">
      <c r="A10777" s="4">
        <v>734.0</v>
      </c>
      <c r="B10777" s="4" t="s">
        <v>20303</v>
      </c>
      <c r="C10777" s="4"/>
      <c r="D10777" s="4" t="s">
        <v>21659</v>
      </c>
      <c r="E10777" s="4" t="s">
        <v>21660</v>
      </c>
      <c r="F10777" s="4" t="s">
        <v>21661</v>
      </c>
      <c r="G10777" s="4"/>
      <c r="H10777" s="4" t="s">
        <v>918</v>
      </c>
      <c r="I10777" s="4" t="s">
        <v>21662</v>
      </c>
      <c r="J10777" s="4" t="s">
        <v>8089</v>
      </c>
      <c r="K10777" s="4" t="s">
        <v>7116</v>
      </c>
      <c r="L10777" s="4" t="s">
        <v>8089</v>
      </c>
      <c r="M10777" s="4" t="s">
        <v>7224</v>
      </c>
    </row>
    <row r="10778">
      <c r="A10778" s="4">
        <v>735.0</v>
      </c>
      <c r="B10778" s="4" t="s">
        <v>20303</v>
      </c>
      <c r="C10778" s="4"/>
      <c r="D10778" s="4" t="s">
        <v>21663</v>
      </c>
      <c r="E10778" s="4" t="s">
        <v>21664</v>
      </c>
      <c r="F10778" s="4" t="s">
        <v>21663</v>
      </c>
    </row>
    <row r="10779">
      <c r="A10779" s="4">
        <v>736.0</v>
      </c>
      <c r="B10779" s="4" t="s">
        <v>20303</v>
      </c>
      <c r="C10779" s="4"/>
      <c r="D10779" s="4" t="s">
        <v>3678</v>
      </c>
      <c r="E10779" s="4" t="s">
        <v>3679</v>
      </c>
      <c r="F10779" s="4" t="s">
        <v>3678</v>
      </c>
    </row>
    <row r="10780">
      <c r="A10780" s="4">
        <v>737.0</v>
      </c>
      <c r="B10780" s="4" t="s">
        <v>20303</v>
      </c>
      <c r="C10780" s="4"/>
      <c r="D10780" s="4" t="s">
        <v>11028</v>
      </c>
      <c r="E10780" s="4" t="s">
        <v>21665</v>
      </c>
      <c r="F10780" s="4" t="s">
        <v>11028</v>
      </c>
    </row>
    <row r="10781">
      <c r="A10781" s="4">
        <v>738.0</v>
      </c>
      <c r="B10781" s="4" t="s">
        <v>20303</v>
      </c>
      <c r="C10781" s="4"/>
      <c r="D10781" s="4" t="s">
        <v>16232</v>
      </c>
      <c r="E10781" s="4" t="s">
        <v>16233</v>
      </c>
      <c r="F10781" s="4" t="s">
        <v>16232</v>
      </c>
    </row>
    <row r="10782">
      <c r="A10782" s="4">
        <v>739.0</v>
      </c>
      <c r="B10782" s="4" t="s">
        <v>20303</v>
      </c>
      <c r="C10782" s="4"/>
      <c r="D10782" s="4" t="s">
        <v>21666</v>
      </c>
      <c r="E10782" s="4" t="s">
        <v>21667</v>
      </c>
      <c r="F10782" s="4" t="s">
        <v>21666</v>
      </c>
    </row>
    <row r="10783">
      <c r="A10783" s="4">
        <v>740.0</v>
      </c>
      <c r="B10783" s="4" t="s">
        <v>20303</v>
      </c>
      <c r="C10783" s="4"/>
      <c r="D10783" s="4" t="s">
        <v>21668</v>
      </c>
      <c r="E10783" s="4" t="s">
        <v>21669</v>
      </c>
      <c r="F10783" s="4" t="s">
        <v>21668</v>
      </c>
    </row>
    <row r="10784">
      <c r="A10784" s="4">
        <v>741.0</v>
      </c>
      <c r="B10784" s="4" t="s">
        <v>20303</v>
      </c>
      <c r="C10784" s="4"/>
      <c r="D10784" s="4" t="s">
        <v>21670</v>
      </c>
      <c r="E10784" s="4" t="s">
        <v>21671</v>
      </c>
      <c r="F10784" s="4" t="s">
        <v>21670</v>
      </c>
    </row>
    <row r="10785">
      <c r="A10785" s="4">
        <v>742.0</v>
      </c>
      <c r="B10785" s="4" t="s">
        <v>20303</v>
      </c>
      <c r="C10785" s="4"/>
      <c r="D10785" s="4" t="s">
        <v>3748</v>
      </c>
      <c r="E10785" s="4" t="s">
        <v>3749</v>
      </c>
      <c r="F10785" s="4" t="s">
        <v>3748</v>
      </c>
    </row>
    <row r="10786">
      <c r="A10786" s="4">
        <v>743.0</v>
      </c>
      <c r="B10786" s="4" t="s">
        <v>20303</v>
      </c>
      <c r="C10786" s="4"/>
      <c r="D10786" s="4" t="s">
        <v>21672</v>
      </c>
      <c r="E10786" s="4" t="s">
        <v>21673</v>
      </c>
      <c r="F10786" s="4" t="s">
        <v>21672</v>
      </c>
    </row>
    <row r="10787">
      <c r="A10787" s="4">
        <v>744.0</v>
      </c>
      <c r="B10787" s="4" t="s">
        <v>20303</v>
      </c>
      <c r="C10787" s="4"/>
      <c r="D10787" s="4" t="s">
        <v>3773</v>
      </c>
      <c r="E10787" s="4" t="s">
        <v>3774</v>
      </c>
      <c r="F10787" s="4" t="s">
        <v>3773</v>
      </c>
      <c r="G10787" s="4"/>
      <c r="H10787" s="4" t="s">
        <v>3775</v>
      </c>
      <c r="I10787" s="4" t="s">
        <v>3776</v>
      </c>
      <c r="J10787" s="4" t="s">
        <v>3777</v>
      </c>
      <c r="K10787" s="4" t="s">
        <v>3778</v>
      </c>
      <c r="L10787" s="4" t="s">
        <v>3779</v>
      </c>
      <c r="M10787" s="4" t="s">
        <v>3780</v>
      </c>
      <c r="N10787" s="4" t="s">
        <v>3781</v>
      </c>
    </row>
    <row r="10788">
      <c r="A10788" s="4">
        <v>745.0</v>
      </c>
      <c r="B10788" s="4" t="s">
        <v>20303</v>
      </c>
      <c r="C10788" s="4"/>
      <c r="D10788" s="4" t="s">
        <v>21674</v>
      </c>
      <c r="E10788" s="4" t="s">
        <v>21675</v>
      </c>
      <c r="F10788" s="4" t="s">
        <v>21676</v>
      </c>
    </row>
    <row r="10789">
      <c r="A10789" s="4">
        <v>746.0</v>
      </c>
      <c r="B10789" s="4" t="s">
        <v>20303</v>
      </c>
      <c r="C10789" s="4"/>
      <c r="D10789" s="4" t="s">
        <v>3726</v>
      </c>
      <c r="E10789" s="4" t="s">
        <v>3725</v>
      </c>
      <c r="F10789" s="4" t="s">
        <v>3726</v>
      </c>
      <c r="G10789" s="4"/>
      <c r="H10789" s="4" t="s">
        <v>21677</v>
      </c>
      <c r="I10789" s="4" t="s">
        <v>21678</v>
      </c>
      <c r="J10789" s="4" t="s">
        <v>21679</v>
      </c>
      <c r="K10789" s="4" t="s">
        <v>3727</v>
      </c>
      <c r="L10789" s="4" t="s">
        <v>3728</v>
      </c>
    </row>
    <row r="10790">
      <c r="A10790" s="4">
        <v>747.0</v>
      </c>
      <c r="B10790" s="4" t="s">
        <v>20303</v>
      </c>
      <c r="C10790" s="4"/>
      <c r="D10790" s="4" t="s">
        <v>14250</v>
      </c>
      <c r="E10790" s="4" t="s">
        <v>14251</v>
      </c>
      <c r="F10790" s="4" t="s">
        <v>14250</v>
      </c>
    </row>
    <row r="10791">
      <c r="A10791" s="4">
        <v>748.0</v>
      </c>
      <c r="B10791" s="4" t="s">
        <v>20303</v>
      </c>
      <c r="C10791" s="4"/>
      <c r="D10791" s="4" t="s">
        <v>21680</v>
      </c>
      <c r="E10791" s="4" t="s">
        <v>21489</v>
      </c>
      <c r="F10791" s="4" t="s">
        <v>10884</v>
      </c>
      <c r="G10791" s="4"/>
      <c r="H10791" s="4" t="s">
        <v>14886</v>
      </c>
    </row>
    <row r="10792">
      <c r="A10792" s="4">
        <v>749.0</v>
      </c>
      <c r="B10792" s="4" t="s">
        <v>20303</v>
      </c>
      <c r="C10792" s="4"/>
      <c r="D10792" s="4" t="s">
        <v>21681</v>
      </c>
      <c r="E10792" s="4" t="s">
        <v>21682</v>
      </c>
      <c r="F10792" s="4" t="s">
        <v>21683</v>
      </c>
    </row>
    <row r="10793">
      <c r="A10793" s="4">
        <v>750.0</v>
      </c>
      <c r="B10793" s="4" t="s">
        <v>20303</v>
      </c>
      <c r="C10793" s="4"/>
      <c r="D10793" s="4" t="s">
        <v>21684</v>
      </c>
      <c r="E10793" s="4" t="s">
        <v>16855</v>
      </c>
      <c r="F10793" s="4" t="s">
        <v>13260</v>
      </c>
    </row>
    <row r="10794">
      <c r="A10794" s="4">
        <v>751.0</v>
      </c>
      <c r="B10794" s="4" t="s">
        <v>20303</v>
      </c>
      <c r="C10794" s="4"/>
      <c r="D10794" s="4" t="s">
        <v>21685</v>
      </c>
      <c r="E10794" s="4" t="s">
        <v>21686</v>
      </c>
      <c r="F10794" s="4" t="s">
        <v>21687</v>
      </c>
    </row>
    <row r="10795">
      <c r="A10795" s="4">
        <v>752.0</v>
      </c>
      <c r="B10795" s="4" t="s">
        <v>20303</v>
      </c>
      <c r="C10795" s="4"/>
      <c r="D10795" s="4" t="s">
        <v>21688</v>
      </c>
      <c r="E10795" s="4" t="s">
        <v>21689</v>
      </c>
      <c r="F10795" s="4" t="s">
        <v>21690</v>
      </c>
    </row>
    <row r="10796">
      <c r="A10796" s="4">
        <v>753.0</v>
      </c>
      <c r="B10796" s="4" t="s">
        <v>20303</v>
      </c>
      <c r="C10796" s="4"/>
      <c r="D10796" s="4" t="s">
        <v>21691</v>
      </c>
      <c r="E10796" s="4" t="s">
        <v>17767</v>
      </c>
      <c r="F10796" s="4" t="s">
        <v>17768</v>
      </c>
    </row>
    <row r="10797">
      <c r="A10797" s="4">
        <v>754.0</v>
      </c>
      <c r="B10797" s="4" t="s">
        <v>20303</v>
      </c>
      <c r="C10797" s="4"/>
      <c r="D10797" s="4" t="s">
        <v>21692</v>
      </c>
      <c r="E10797" s="4" t="s">
        <v>21693</v>
      </c>
      <c r="F10797" s="4" t="s">
        <v>21694</v>
      </c>
    </row>
    <row r="10798">
      <c r="A10798" s="4">
        <v>755.0</v>
      </c>
      <c r="B10798" s="4" t="s">
        <v>20303</v>
      </c>
      <c r="C10798" s="4"/>
      <c r="D10798" s="4" t="s">
        <v>3818</v>
      </c>
      <c r="E10798" s="4" t="s">
        <v>3819</v>
      </c>
      <c r="F10798" s="4" t="s">
        <v>3820</v>
      </c>
    </row>
    <row r="10799">
      <c r="A10799" s="4">
        <v>756.0</v>
      </c>
      <c r="B10799" s="4" t="s">
        <v>20303</v>
      </c>
      <c r="C10799" s="4"/>
      <c r="D10799" s="4" t="s">
        <v>21695</v>
      </c>
      <c r="E10799" s="4" t="s">
        <v>21190</v>
      </c>
      <c r="F10799" s="4" t="s">
        <v>21189</v>
      </c>
      <c r="G10799" s="4"/>
      <c r="H10799" s="4" t="s">
        <v>21696</v>
      </c>
    </row>
    <row r="10800">
      <c r="A10800" s="4">
        <v>757.0</v>
      </c>
      <c r="B10800" s="4" t="s">
        <v>20303</v>
      </c>
      <c r="C10800" s="4"/>
      <c r="D10800" s="4" t="s">
        <v>21697</v>
      </c>
      <c r="E10800" s="4" t="s">
        <v>21698</v>
      </c>
      <c r="F10800" s="4" t="s">
        <v>21699</v>
      </c>
    </row>
    <row r="10801">
      <c r="A10801" s="4">
        <v>758.0</v>
      </c>
      <c r="B10801" s="4" t="s">
        <v>20303</v>
      </c>
      <c r="C10801" s="4"/>
      <c r="D10801" s="4" t="s">
        <v>7357</v>
      </c>
      <c r="E10801" s="4" t="s">
        <v>7358</v>
      </c>
      <c r="F10801" s="4" t="s">
        <v>7359</v>
      </c>
      <c r="G10801" s="4"/>
      <c r="H10801" s="4" t="s">
        <v>7357</v>
      </c>
    </row>
    <row r="10802">
      <c r="A10802" s="4">
        <v>759.0</v>
      </c>
      <c r="B10802" s="4" t="s">
        <v>20303</v>
      </c>
      <c r="C10802" s="4"/>
      <c r="D10802" s="4" t="s">
        <v>21700</v>
      </c>
      <c r="E10802" s="4" t="s">
        <v>21701</v>
      </c>
      <c r="F10802" s="4" t="s">
        <v>21702</v>
      </c>
    </row>
    <row r="10803">
      <c r="A10803" s="4">
        <v>760.0</v>
      </c>
      <c r="B10803" s="4" t="s">
        <v>20303</v>
      </c>
      <c r="C10803" s="4"/>
      <c r="D10803" s="4" t="s">
        <v>21703</v>
      </c>
      <c r="E10803" s="4" t="s">
        <v>21704</v>
      </c>
      <c r="F10803" s="4" t="s">
        <v>21705</v>
      </c>
    </row>
    <row r="10804">
      <c r="A10804" s="4">
        <v>761.0</v>
      </c>
      <c r="B10804" s="4" t="s">
        <v>20303</v>
      </c>
      <c r="C10804" s="4"/>
      <c r="D10804" s="4" t="s">
        <v>3833</v>
      </c>
      <c r="E10804" s="4" t="s">
        <v>3834</v>
      </c>
      <c r="F10804" s="4" t="s">
        <v>3835</v>
      </c>
    </row>
    <row r="10805">
      <c r="A10805" s="4">
        <v>762.0</v>
      </c>
      <c r="B10805" s="4" t="s">
        <v>20303</v>
      </c>
      <c r="C10805" s="4"/>
      <c r="D10805" s="4" t="s">
        <v>3836</v>
      </c>
      <c r="E10805" s="4" t="s">
        <v>3837</v>
      </c>
      <c r="F10805" s="4" t="s">
        <v>3838</v>
      </c>
      <c r="G10805" s="4"/>
      <c r="H10805" s="4" t="s">
        <v>538</v>
      </c>
      <c r="I10805" s="4" t="s">
        <v>887</v>
      </c>
      <c r="J10805" s="4" t="s">
        <v>7928</v>
      </c>
      <c r="K10805" s="4" t="s">
        <v>7929</v>
      </c>
      <c r="L10805" s="4" t="s">
        <v>7928</v>
      </c>
      <c r="M10805" s="4" t="s">
        <v>21706</v>
      </c>
      <c r="N10805" s="4" t="s">
        <v>538</v>
      </c>
      <c r="O10805" s="4" t="s">
        <v>7928</v>
      </c>
      <c r="P10805" s="4" t="s">
        <v>21707</v>
      </c>
      <c r="Q10805" s="4" t="s">
        <v>4433</v>
      </c>
      <c r="R10805" s="4" t="s">
        <v>21708</v>
      </c>
      <c r="S10805" s="4" t="s">
        <v>21709</v>
      </c>
      <c r="T10805" s="4" t="s">
        <v>21710</v>
      </c>
      <c r="U10805" s="4" t="s">
        <v>21711</v>
      </c>
      <c r="V10805" s="4" t="s">
        <v>21712</v>
      </c>
      <c r="W10805" s="4" t="s">
        <v>21713</v>
      </c>
      <c r="X10805" s="4" t="s">
        <v>7187</v>
      </c>
      <c r="Y10805" s="4" t="s">
        <v>7187</v>
      </c>
      <c r="Z10805" s="4" t="s">
        <v>4423</v>
      </c>
      <c r="AA10805" s="4" t="s">
        <v>887</v>
      </c>
      <c r="AB10805" s="4" t="s">
        <v>887</v>
      </c>
      <c r="AC10805" s="4" t="s">
        <v>14259</v>
      </c>
      <c r="AD10805" s="4" t="s">
        <v>538</v>
      </c>
      <c r="AE10805" s="4" t="s">
        <v>6299</v>
      </c>
      <c r="AF10805" s="4" t="s">
        <v>6300</v>
      </c>
      <c r="AG10805" s="4" t="s">
        <v>6301</v>
      </c>
      <c r="AH10805" s="4" t="s">
        <v>6302</v>
      </c>
      <c r="AI10805" s="4" t="s">
        <v>6303</v>
      </c>
      <c r="AJ10805" s="4" t="s">
        <v>6304</v>
      </c>
      <c r="AK10805" s="4" t="s">
        <v>6305</v>
      </c>
      <c r="AL10805" s="4" t="s">
        <v>6278</v>
      </c>
      <c r="AM10805" s="4" t="s">
        <v>6306</v>
      </c>
      <c r="AN10805" s="4" t="s">
        <v>6307</v>
      </c>
      <c r="AO10805" s="4" t="s">
        <v>6308</v>
      </c>
      <c r="AP10805" s="4" t="s">
        <v>1800</v>
      </c>
      <c r="AQ10805" s="4" t="s">
        <v>7929</v>
      </c>
      <c r="AR10805" s="4" t="s">
        <v>3414</v>
      </c>
      <c r="AS10805" s="4" t="s">
        <v>7308</v>
      </c>
      <c r="AT10805" s="4" t="s">
        <v>21714</v>
      </c>
      <c r="AU10805" s="4" t="s">
        <v>19735</v>
      </c>
      <c r="AV10805" s="4" t="s">
        <v>11591</v>
      </c>
      <c r="AW10805" s="4" t="s">
        <v>538</v>
      </c>
      <c r="AX10805" s="4" t="s">
        <v>7308</v>
      </c>
      <c r="AY10805" s="4" t="s">
        <v>14260</v>
      </c>
      <c r="AZ10805" s="4" t="s">
        <v>538</v>
      </c>
    </row>
    <row r="10806">
      <c r="A10806" s="4">
        <v>763.0</v>
      </c>
      <c r="B10806" s="4" t="s">
        <v>20303</v>
      </c>
      <c r="C10806" s="4"/>
      <c r="D10806" s="4" t="s">
        <v>3839</v>
      </c>
      <c r="E10806" s="4" t="s">
        <v>3840</v>
      </c>
      <c r="F10806" s="4" t="s">
        <v>3841</v>
      </c>
      <c r="G10806" s="4"/>
      <c r="H10806" s="4" t="s">
        <v>3842</v>
      </c>
    </row>
    <row r="10807">
      <c r="A10807" s="4">
        <v>764.0</v>
      </c>
      <c r="B10807" s="4" t="s">
        <v>20303</v>
      </c>
      <c r="C10807" s="4"/>
      <c r="D10807" s="4" t="s">
        <v>3854</v>
      </c>
      <c r="E10807" s="4" t="s">
        <v>3855</v>
      </c>
      <c r="F10807" s="4" t="s">
        <v>3856</v>
      </c>
      <c r="G10807" s="4"/>
      <c r="H10807" s="4" t="s">
        <v>3857</v>
      </c>
      <c r="I10807" s="4" t="s">
        <v>3858</v>
      </c>
      <c r="J10807" s="4" t="s">
        <v>3857</v>
      </c>
      <c r="K10807" s="4" t="s">
        <v>3859</v>
      </c>
      <c r="L10807" s="4" t="s">
        <v>3860</v>
      </c>
    </row>
    <row r="10808">
      <c r="A10808" s="4">
        <v>765.0</v>
      </c>
      <c r="B10808" s="4" t="s">
        <v>20303</v>
      </c>
      <c r="C10808" s="4"/>
      <c r="D10808" s="4" t="s">
        <v>21715</v>
      </c>
      <c r="E10808" s="4" t="s">
        <v>3880</v>
      </c>
      <c r="F10808" s="4" t="s">
        <v>3881</v>
      </c>
    </row>
    <row r="10809">
      <c r="A10809" s="4">
        <v>766.0</v>
      </c>
      <c r="B10809" s="4" t="s">
        <v>20303</v>
      </c>
      <c r="C10809" s="4"/>
      <c r="D10809" s="4" t="s">
        <v>14253</v>
      </c>
      <c r="E10809" s="4" t="s">
        <v>14254</v>
      </c>
      <c r="F10809" s="4" t="s">
        <v>14255</v>
      </c>
      <c r="G10809" s="4"/>
      <c r="H10809" s="4" t="s">
        <v>538</v>
      </c>
      <c r="I10809" s="4" t="s">
        <v>887</v>
      </c>
      <c r="J10809" s="4" t="s">
        <v>7928</v>
      </c>
      <c r="K10809" s="4" t="s">
        <v>7929</v>
      </c>
      <c r="L10809" s="4" t="s">
        <v>3414</v>
      </c>
      <c r="M10809" s="4" t="s">
        <v>21716</v>
      </c>
      <c r="N10809" s="4" t="s">
        <v>21717</v>
      </c>
      <c r="O10809" s="4" t="s">
        <v>21718</v>
      </c>
      <c r="P10809" s="4" t="s">
        <v>16209</v>
      </c>
      <c r="Q10809" s="4" t="s">
        <v>7316</v>
      </c>
      <c r="R10809" s="4" t="s">
        <v>7308</v>
      </c>
      <c r="S10809" s="4" t="s">
        <v>14993</v>
      </c>
      <c r="T10809" s="4" t="s">
        <v>14258</v>
      </c>
      <c r="U10809" s="4" t="s">
        <v>14994</v>
      </c>
      <c r="V10809" s="4" t="s">
        <v>8878</v>
      </c>
      <c r="W10809" s="4" t="s">
        <v>3379</v>
      </c>
      <c r="X10809" s="4" t="s">
        <v>16894</v>
      </c>
      <c r="Y10809" s="4" t="s">
        <v>1437</v>
      </c>
      <c r="Z10809" s="4" t="s">
        <v>16026</v>
      </c>
      <c r="AA10809" s="4" t="s">
        <v>14258</v>
      </c>
      <c r="AB10809" s="4" t="s">
        <v>21719</v>
      </c>
      <c r="AC10809" s="4" t="s">
        <v>3414</v>
      </c>
      <c r="AD10809" s="4" t="s">
        <v>5158</v>
      </c>
      <c r="AE10809" s="4" t="s">
        <v>21720</v>
      </c>
      <c r="AF10809" s="4" t="s">
        <v>21721</v>
      </c>
      <c r="AG10809" s="4" t="s">
        <v>21722</v>
      </c>
      <c r="AH10809" s="4" t="s">
        <v>14258</v>
      </c>
      <c r="AI10809" s="4" t="s">
        <v>7307</v>
      </c>
      <c r="AJ10809" s="4" t="s">
        <v>4276</v>
      </c>
      <c r="AK10809" s="4" t="s">
        <v>5964</v>
      </c>
      <c r="AL10809" s="4" t="s">
        <v>21723</v>
      </c>
      <c r="AM10809" s="4" t="s">
        <v>1800</v>
      </c>
      <c r="AN10809" s="4" t="s">
        <v>21724</v>
      </c>
      <c r="AO10809" s="4" t="s">
        <v>14258</v>
      </c>
      <c r="AP10809" s="4" t="s">
        <v>21725</v>
      </c>
      <c r="AQ10809" s="4" t="s">
        <v>21726</v>
      </c>
      <c r="AR10809" s="4" t="s">
        <v>8416</v>
      </c>
      <c r="AS10809" s="4" t="s">
        <v>21727</v>
      </c>
      <c r="AT10809" s="4" t="s">
        <v>21728</v>
      </c>
      <c r="AU10809" s="4" t="s">
        <v>21729</v>
      </c>
      <c r="AV10809" s="4" t="s">
        <v>21730</v>
      </c>
      <c r="AW10809" s="4" t="s">
        <v>6291</v>
      </c>
      <c r="AX10809" s="4" t="s">
        <v>21131</v>
      </c>
      <c r="AY10809" s="4" t="s">
        <v>21132</v>
      </c>
      <c r="AZ10809" s="4" t="s">
        <v>21133</v>
      </c>
      <c r="BA10809" s="4" t="s">
        <v>21731</v>
      </c>
      <c r="BB10809" s="4" t="s">
        <v>20370</v>
      </c>
      <c r="BC10809" s="4" t="s">
        <v>21732</v>
      </c>
      <c r="BD10809" s="4" t="s">
        <v>7316</v>
      </c>
      <c r="BE10809" s="4" t="s">
        <v>7318</v>
      </c>
      <c r="BF10809" s="4" t="s">
        <v>21733</v>
      </c>
      <c r="BG10809" s="4" t="s">
        <v>21734</v>
      </c>
      <c r="BH10809" s="4" t="s">
        <v>21735</v>
      </c>
      <c r="BI10809" s="4" t="s">
        <v>21736</v>
      </c>
      <c r="BJ10809" s="4" t="s">
        <v>21737</v>
      </c>
      <c r="BK10809" s="4" t="s">
        <v>21738</v>
      </c>
      <c r="BL10809" s="4" t="s">
        <v>21739</v>
      </c>
      <c r="BM10809" s="4" t="s">
        <v>21740</v>
      </c>
      <c r="BN10809" s="4" t="s">
        <v>21741</v>
      </c>
      <c r="BO10809" s="4" t="s">
        <v>3414</v>
      </c>
      <c r="BP10809" s="4" t="s">
        <v>4433</v>
      </c>
      <c r="BQ10809" s="4" t="s">
        <v>7306</v>
      </c>
      <c r="BR10809" s="4" t="s">
        <v>7307</v>
      </c>
      <c r="BS10809" s="4" t="s">
        <v>7308</v>
      </c>
      <c r="BT10809" s="4" t="s">
        <v>14256</v>
      </c>
      <c r="BU10809" s="4" t="s">
        <v>14257</v>
      </c>
      <c r="BV10809" s="4" t="s">
        <v>14258</v>
      </c>
      <c r="BW10809" s="4" t="s">
        <v>7946</v>
      </c>
      <c r="BX10809" s="4" t="s">
        <v>884</v>
      </c>
      <c r="BY10809" s="4" t="s">
        <v>21742</v>
      </c>
      <c r="BZ10809" s="4" t="s">
        <v>10345</v>
      </c>
      <c r="CA10809" s="4" t="s">
        <v>7929</v>
      </c>
      <c r="CB10809" s="4" t="s">
        <v>3414</v>
      </c>
      <c r="CC10809" s="4" t="s">
        <v>7308</v>
      </c>
      <c r="CD10809" s="4" t="s">
        <v>21714</v>
      </c>
      <c r="CE10809" s="4" t="s">
        <v>538</v>
      </c>
      <c r="CF10809" s="4" t="s">
        <v>7308</v>
      </c>
      <c r="CG10809" s="4" t="s">
        <v>14260</v>
      </c>
      <c r="CH10809" s="4" t="s">
        <v>538</v>
      </c>
    </row>
    <row r="10810">
      <c r="A10810" s="4">
        <v>767.0</v>
      </c>
      <c r="B10810" s="4" t="s">
        <v>20303</v>
      </c>
      <c r="C10810" s="4"/>
      <c r="D10810" s="4" t="s">
        <v>3872</v>
      </c>
      <c r="E10810" s="4" t="s">
        <v>3873</v>
      </c>
      <c r="F10810" s="4" t="s">
        <v>3874</v>
      </c>
    </row>
    <row r="10811">
      <c r="A10811" s="4">
        <v>768.0</v>
      </c>
      <c r="B10811" s="4" t="s">
        <v>20303</v>
      </c>
      <c r="C10811" s="4"/>
      <c r="D10811" s="4" t="s">
        <v>21743</v>
      </c>
      <c r="E10811" s="4" t="s">
        <v>21744</v>
      </c>
      <c r="F10811" s="4" t="s">
        <v>21745</v>
      </c>
    </row>
    <row r="10812">
      <c r="A10812" s="4">
        <v>769.0</v>
      </c>
      <c r="B10812" s="4" t="s">
        <v>20303</v>
      </c>
      <c r="C10812" s="4"/>
      <c r="D10812" s="4" t="s">
        <v>21746</v>
      </c>
      <c r="E10812" s="4" t="s">
        <v>18638</v>
      </c>
      <c r="F10812" s="4" t="s">
        <v>3881</v>
      </c>
    </row>
    <row r="10813">
      <c r="A10813" s="4">
        <v>770.0</v>
      </c>
      <c r="B10813" s="4" t="s">
        <v>20303</v>
      </c>
      <c r="C10813" s="4"/>
      <c r="D10813" s="4" t="s">
        <v>21747</v>
      </c>
      <c r="E10813" s="4" t="s">
        <v>21748</v>
      </c>
      <c r="F10813" s="4" t="s">
        <v>14255</v>
      </c>
      <c r="G10813" s="4"/>
      <c r="H10813" s="4" t="s">
        <v>21749</v>
      </c>
    </row>
    <row r="10814">
      <c r="A10814" s="4">
        <v>771.0</v>
      </c>
      <c r="B10814" s="4" t="s">
        <v>20303</v>
      </c>
      <c r="C10814" s="4"/>
      <c r="D10814" s="4" t="s">
        <v>3882</v>
      </c>
      <c r="E10814" s="4" t="s">
        <v>3883</v>
      </c>
      <c r="F10814" s="4" t="s">
        <v>3882</v>
      </c>
      <c r="G10814" s="4"/>
      <c r="H10814" s="4" t="s">
        <v>3887</v>
      </c>
      <c r="I10814" s="4" t="s">
        <v>3888</v>
      </c>
      <c r="J10814" s="4" t="s">
        <v>3889</v>
      </c>
      <c r="K10814" s="4" t="s">
        <v>3887</v>
      </c>
    </row>
    <row r="10815">
      <c r="A10815" s="4">
        <v>772.0</v>
      </c>
      <c r="B10815" s="4" t="s">
        <v>20303</v>
      </c>
      <c r="C10815" s="4"/>
      <c r="D10815" s="4" t="s">
        <v>3890</v>
      </c>
      <c r="E10815" s="4" t="s">
        <v>3891</v>
      </c>
      <c r="F10815" s="4" t="s">
        <v>3890</v>
      </c>
      <c r="G10815" s="4"/>
      <c r="H10815" s="4" t="s">
        <v>3892</v>
      </c>
      <c r="I10815" s="4" t="s">
        <v>3897</v>
      </c>
      <c r="J10815" s="4" t="s">
        <v>3898</v>
      </c>
      <c r="K10815" s="4" t="s">
        <v>11404</v>
      </c>
      <c r="L10815" s="4" t="s">
        <v>3736</v>
      </c>
      <c r="M10815" s="4" t="s">
        <v>3899</v>
      </c>
    </row>
    <row r="10816">
      <c r="A10816" s="4">
        <v>773.0</v>
      </c>
      <c r="B10816" s="4" t="s">
        <v>20303</v>
      </c>
      <c r="C10816" s="4"/>
      <c r="D10816" s="4" t="s">
        <v>3902</v>
      </c>
      <c r="E10816" s="4" t="s">
        <v>3903</v>
      </c>
      <c r="F10816" s="4" t="s">
        <v>3902</v>
      </c>
    </row>
    <row r="10817">
      <c r="A10817" s="4">
        <v>774.0</v>
      </c>
      <c r="B10817" s="4" t="s">
        <v>20303</v>
      </c>
      <c r="C10817" s="4"/>
      <c r="D10817" s="4" t="s">
        <v>13564</v>
      </c>
      <c r="E10817" s="4" t="s">
        <v>21750</v>
      </c>
      <c r="F10817" s="4" t="s">
        <v>13564</v>
      </c>
    </row>
    <row r="10818">
      <c r="A10818" s="4">
        <v>775.0</v>
      </c>
      <c r="B10818" s="4" t="s">
        <v>20303</v>
      </c>
      <c r="C10818" s="4"/>
      <c r="D10818" s="4" t="s">
        <v>21751</v>
      </c>
      <c r="E10818" s="4" t="s">
        <v>21752</v>
      </c>
      <c r="F10818" s="4" t="s">
        <v>21751</v>
      </c>
      <c r="G10818" s="4"/>
      <c r="H10818" s="4" t="s">
        <v>21753</v>
      </c>
      <c r="I10818" s="4" t="s">
        <v>536</v>
      </c>
      <c r="J10818" s="4" t="s">
        <v>21754</v>
      </c>
      <c r="K10818" s="4" t="s">
        <v>21755</v>
      </c>
      <c r="L10818" s="4" t="s">
        <v>21756</v>
      </c>
      <c r="M10818" s="4" t="s">
        <v>8688</v>
      </c>
      <c r="N10818" s="4" t="s">
        <v>21757</v>
      </c>
      <c r="O10818" s="4" t="s">
        <v>15252</v>
      </c>
      <c r="P10818" s="4" t="s">
        <v>21758</v>
      </c>
      <c r="Q10818" s="4" t="s">
        <v>6680</v>
      </c>
      <c r="R10818" s="4" t="s">
        <v>8688</v>
      </c>
      <c r="S10818" s="4" t="s">
        <v>21759</v>
      </c>
      <c r="T10818" s="4" t="s">
        <v>8878</v>
      </c>
      <c r="U10818" s="4" t="s">
        <v>21759</v>
      </c>
      <c r="V10818" s="4" t="s">
        <v>8688</v>
      </c>
      <c r="W10818" s="4" t="s">
        <v>21760</v>
      </c>
      <c r="X10818" s="4" t="s">
        <v>644</v>
      </c>
      <c r="Y10818" s="4" t="s">
        <v>21761</v>
      </c>
      <c r="Z10818" s="4" t="s">
        <v>4502</v>
      </c>
      <c r="AA10818" s="4" t="s">
        <v>16145</v>
      </c>
      <c r="AB10818" s="4" t="s">
        <v>8688</v>
      </c>
      <c r="AC10818" s="4" t="s">
        <v>21762</v>
      </c>
      <c r="AD10818" s="4" t="s">
        <v>21763</v>
      </c>
      <c r="AE10818" s="4" t="s">
        <v>21764</v>
      </c>
      <c r="AF10818" s="4" t="s">
        <v>8688</v>
      </c>
      <c r="AG10818" s="4" t="s">
        <v>7641</v>
      </c>
      <c r="AH10818" s="4" t="s">
        <v>21765</v>
      </c>
      <c r="AI10818" s="4" t="s">
        <v>16012</v>
      </c>
      <c r="AJ10818" s="4" t="s">
        <v>21766</v>
      </c>
      <c r="AK10818" s="4" t="s">
        <v>16885</v>
      </c>
      <c r="AL10818" s="4" t="s">
        <v>21767</v>
      </c>
      <c r="AM10818" s="4" t="s">
        <v>21768</v>
      </c>
      <c r="AN10818" s="4" t="s">
        <v>21769</v>
      </c>
      <c r="AO10818" s="4" t="s">
        <v>643</v>
      </c>
      <c r="AP10818" s="4" t="s">
        <v>644</v>
      </c>
      <c r="AQ10818" s="4" t="s">
        <v>645</v>
      </c>
      <c r="AR10818" s="4" t="s">
        <v>21766</v>
      </c>
      <c r="AS10818" s="4" t="s">
        <v>2764</v>
      </c>
      <c r="AT10818" s="4" t="s">
        <v>21766</v>
      </c>
      <c r="AU10818" s="4" t="s">
        <v>7307</v>
      </c>
      <c r="AV10818" s="4" t="s">
        <v>643</v>
      </c>
      <c r="AW10818" s="4" t="s">
        <v>21770</v>
      </c>
      <c r="AX10818" s="4" t="s">
        <v>21771</v>
      </c>
      <c r="AY10818" s="4" t="s">
        <v>21772</v>
      </c>
      <c r="AZ10818" s="4" t="s">
        <v>21773</v>
      </c>
      <c r="BA10818" s="4" t="s">
        <v>21774</v>
      </c>
      <c r="BB10818" s="4" t="s">
        <v>21775</v>
      </c>
      <c r="BC10818" s="4" t="s">
        <v>1431</v>
      </c>
      <c r="BD10818" s="4" t="s">
        <v>21776</v>
      </c>
      <c r="BE10818" s="4" t="s">
        <v>21766</v>
      </c>
      <c r="BF10818" s="4" t="s">
        <v>1431</v>
      </c>
      <c r="BG10818" s="4" t="s">
        <v>6686</v>
      </c>
      <c r="BH10818" s="4" t="s">
        <v>4305</v>
      </c>
      <c r="BI10818" s="4" t="s">
        <v>20679</v>
      </c>
      <c r="BJ10818" s="4" t="s">
        <v>15196</v>
      </c>
      <c r="BK10818" s="4" t="s">
        <v>15474</v>
      </c>
      <c r="BL10818" s="4" t="s">
        <v>4146</v>
      </c>
      <c r="BM10818" s="4" t="s">
        <v>21095</v>
      </c>
      <c r="BN10818" s="4" t="s">
        <v>4445</v>
      </c>
      <c r="BO10818" s="4" t="s">
        <v>21767</v>
      </c>
    </row>
    <row r="10819">
      <c r="A10819" s="4">
        <v>776.0</v>
      </c>
      <c r="B10819" s="4" t="s">
        <v>20303</v>
      </c>
      <c r="C10819" s="4"/>
      <c r="D10819" s="4" t="s">
        <v>18602</v>
      </c>
      <c r="E10819" s="4" t="s">
        <v>21777</v>
      </c>
      <c r="F10819" s="4" t="s">
        <v>21778</v>
      </c>
    </row>
    <row r="10820">
      <c r="A10820" s="4">
        <v>777.0</v>
      </c>
      <c r="B10820" s="4" t="s">
        <v>20303</v>
      </c>
      <c r="C10820" s="4"/>
      <c r="D10820" s="4" t="s">
        <v>21779</v>
      </c>
      <c r="E10820" s="4" t="s">
        <v>3920</v>
      </c>
      <c r="F10820" s="4" t="s">
        <v>3921</v>
      </c>
    </row>
    <row r="10821">
      <c r="A10821" s="4">
        <v>778.0</v>
      </c>
      <c r="B10821" s="4" t="s">
        <v>20303</v>
      </c>
      <c r="C10821" s="4"/>
      <c r="D10821" s="4" t="s">
        <v>21780</v>
      </c>
      <c r="E10821" s="4" t="s">
        <v>21781</v>
      </c>
      <c r="F10821" s="4" t="s">
        <v>21782</v>
      </c>
    </row>
    <row r="10822">
      <c r="A10822" s="4">
        <v>779.0</v>
      </c>
      <c r="B10822" s="4" t="s">
        <v>20303</v>
      </c>
      <c r="C10822" s="4"/>
      <c r="D10822" s="4" t="s">
        <v>3937</v>
      </c>
      <c r="E10822" s="4" t="s">
        <v>3938</v>
      </c>
      <c r="F10822" s="4" t="s">
        <v>3937</v>
      </c>
    </row>
    <row r="10823">
      <c r="A10823" s="4">
        <v>780.0</v>
      </c>
      <c r="B10823" s="4" t="s">
        <v>20303</v>
      </c>
      <c r="C10823" s="4"/>
      <c r="D10823" s="4" t="s">
        <v>3939</v>
      </c>
      <c r="E10823" s="4" t="s">
        <v>3940</v>
      </c>
      <c r="F10823" s="4" t="s">
        <v>3939</v>
      </c>
    </row>
    <row r="10824">
      <c r="A10824" s="4">
        <v>781.0</v>
      </c>
      <c r="B10824" s="4" t="s">
        <v>20303</v>
      </c>
      <c r="C10824" s="4"/>
      <c r="D10824" s="4" t="s">
        <v>21783</v>
      </c>
      <c r="E10824" s="4" t="s">
        <v>21784</v>
      </c>
      <c r="F10824" s="4" t="s">
        <v>21783</v>
      </c>
    </row>
    <row r="10825">
      <c r="A10825" s="4">
        <v>782.0</v>
      </c>
      <c r="B10825" s="4" t="s">
        <v>20303</v>
      </c>
      <c r="C10825" s="4"/>
      <c r="D10825" s="4" t="s">
        <v>11123</v>
      </c>
      <c r="E10825" s="4" t="s">
        <v>13599</v>
      </c>
      <c r="F10825" s="4" t="s">
        <v>11123</v>
      </c>
    </row>
    <row r="10826">
      <c r="A10826" s="4">
        <v>783.0</v>
      </c>
      <c r="B10826" s="4" t="s">
        <v>20303</v>
      </c>
      <c r="C10826" s="4"/>
      <c r="D10826" s="4" t="s">
        <v>21785</v>
      </c>
      <c r="E10826" s="4" t="s">
        <v>21786</v>
      </c>
      <c r="F10826" s="4" t="s">
        <v>21785</v>
      </c>
      <c r="G10826" s="4"/>
      <c r="H10826" s="4" t="s">
        <v>21787</v>
      </c>
    </row>
    <row r="10827">
      <c r="A10827" s="4">
        <v>784.0</v>
      </c>
      <c r="B10827" s="4" t="s">
        <v>20303</v>
      </c>
      <c r="C10827" s="4"/>
      <c r="D10827" s="4" t="s">
        <v>21788</v>
      </c>
      <c r="E10827" s="4" t="s">
        <v>21789</v>
      </c>
      <c r="F10827" s="4" t="s">
        <v>21788</v>
      </c>
    </row>
    <row r="10828">
      <c r="A10828" s="4">
        <v>785.0</v>
      </c>
      <c r="B10828" s="4" t="s">
        <v>20303</v>
      </c>
      <c r="C10828" s="4"/>
      <c r="D10828" s="4" t="s">
        <v>21790</v>
      </c>
      <c r="E10828" s="4" t="s">
        <v>5755</v>
      </c>
      <c r="F10828" s="4" t="s">
        <v>5756</v>
      </c>
    </row>
    <row r="10829">
      <c r="A10829" s="4">
        <v>786.0</v>
      </c>
      <c r="B10829" s="4" t="s">
        <v>20303</v>
      </c>
      <c r="C10829" s="4"/>
      <c r="D10829" s="4" t="s">
        <v>3956</v>
      </c>
      <c r="E10829" s="4" t="s">
        <v>3957</v>
      </c>
      <c r="F10829" s="4" t="s">
        <v>3956</v>
      </c>
    </row>
    <row r="10830">
      <c r="A10830" s="4">
        <v>787.0</v>
      </c>
      <c r="B10830" s="4" t="s">
        <v>20303</v>
      </c>
      <c r="C10830" s="4"/>
      <c r="D10830" s="4" t="s">
        <v>3958</v>
      </c>
      <c r="E10830" s="4" t="s">
        <v>3959</v>
      </c>
      <c r="F10830" s="4" t="s">
        <v>3958</v>
      </c>
    </row>
    <row r="10831">
      <c r="A10831" s="4">
        <v>788.0</v>
      </c>
      <c r="B10831" s="4" t="s">
        <v>20303</v>
      </c>
      <c r="C10831" s="4"/>
      <c r="D10831" s="4" t="s">
        <v>21791</v>
      </c>
      <c r="E10831" s="4" t="s">
        <v>21792</v>
      </c>
      <c r="F10831" s="4" t="s">
        <v>21791</v>
      </c>
    </row>
    <row r="10832">
      <c r="A10832" s="4">
        <v>789.0</v>
      </c>
      <c r="B10832" s="4" t="s">
        <v>20303</v>
      </c>
      <c r="C10832" s="4"/>
      <c r="D10832" s="4" t="s">
        <v>21793</v>
      </c>
      <c r="E10832" s="4" t="s">
        <v>21794</v>
      </c>
      <c r="F10832" s="4" t="s">
        <v>21793</v>
      </c>
    </row>
    <row r="10833">
      <c r="A10833" s="4">
        <v>790.0</v>
      </c>
      <c r="B10833" s="4" t="s">
        <v>20303</v>
      </c>
      <c r="C10833" s="4"/>
      <c r="D10833" s="4" t="s">
        <v>21795</v>
      </c>
      <c r="E10833" s="4" t="s">
        <v>21792</v>
      </c>
      <c r="F10833" s="4" t="s">
        <v>21791</v>
      </c>
    </row>
    <row r="10834">
      <c r="A10834" s="4">
        <v>791.0</v>
      </c>
      <c r="B10834" s="4" t="s">
        <v>20303</v>
      </c>
      <c r="C10834" s="4"/>
      <c r="D10834" s="4" t="s">
        <v>21796</v>
      </c>
      <c r="E10834" s="4" t="s">
        <v>21794</v>
      </c>
      <c r="F10834" s="4" t="s">
        <v>21793</v>
      </c>
    </row>
    <row r="10835">
      <c r="A10835" s="4">
        <v>792.0</v>
      </c>
      <c r="B10835" s="4" t="s">
        <v>20303</v>
      </c>
      <c r="C10835" s="4"/>
      <c r="D10835" s="4" t="s">
        <v>21797</v>
      </c>
      <c r="E10835" s="4" t="s">
        <v>21798</v>
      </c>
      <c r="F10835" s="4" t="s">
        <v>21797</v>
      </c>
    </row>
    <row r="10836">
      <c r="A10836" s="4">
        <v>793.0</v>
      </c>
      <c r="B10836" s="4" t="s">
        <v>20303</v>
      </c>
      <c r="C10836" s="4"/>
      <c r="D10836" s="4" t="s">
        <v>21799</v>
      </c>
      <c r="E10836" s="4" t="s">
        <v>20265</v>
      </c>
      <c r="F10836" s="4" t="s">
        <v>20264</v>
      </c>
    </row>
    <row r="10837">
      <c r="A10837" s="4">
        <v>794.0</v>
      </c>
      <c r="B10837" s="4" t="s">
        <v>20303</v>
      </c>
      <c r="C10837" s="4"/>
      <c r="D10837" s="4" t="s">
        <v>21800</v>
      </c>
      <c r="E10837" s="4" t="s">
        <v>21801</v>
      </c>
      <c r="F10837" s="4" t="s">
        <v>21800</v>
      </c>
    </row>
    <row r="10838">
      <c r="A10838" s="4">
        <v>795.0</v>
      </c>
      <c r="B10838" s="4" t="s">
        <v>20303</v>
      </c>
      <c r="C10838" s="4"/>
      <c r="D10838" s="4" t="s">
        <v>21802</v>
      </c>
      <c r="E10838" s="4" t="s">
        <v>14710</v>
      </c>
      <c r="F10838" s="4" t="s">
        <v>14711</v>
      </c>
    </row>
    <row r="10839">
      <c r="A10839" s="4">
        <v>796.0</v>
      </c>
      <c r="B10839" s="4" t="s">
        <v>20303</v>
      </c>
      <c r="C10839" s="4"/>
      <c r="D10839" s="4" t="s">
        <v>401</v>
      </c>
      <c r="E10839" s="4" t="s">
        <v>400</v>
      </c>
      <c r="F10839" s="4" t="s">
        <v>401</v>
      </c>
      <c r="G10839" s="4"/>
      <c r="H10839" s="4" t="s">
        <v>422</v>
      </c>
      <c r="I10839" s="4" t="s">
        <v>3975</v>
      </c>
      <c r="J10839" s="4" t="s">
        <v>401</v>
      </c>
    </row>
    <row r="10840">
      <c r="A10840" s="4">
        <v>797.0</v>
      </c>
      <c r="B10840" s="4" t="s">
        <v>20303</v>
      </c>
      <c r="C10840" s="4"/>
      <c r="D10840" s="4" t="s">
        <v>21803</v>
      </c>
      <c r="E10840" s="4" t="s">
        <v>21804</v>
      </c>
      <c r="F10840" s="4" t="s">
        <v>21805</v>
      </c>
    </row>
    <row r="10841">
      <c r="A10841" s="4">
        <v>798.0</v>
      </c>
      <c r="B10841" s="4" t="s">
        <v>20303</v>
      </c>
      <c r="C10841" s="4"/>
      <c r="D10841" s="4" t="s">
        <v>21806</v>
      </c>
      <c r="E10841" s="4" t="s">
        <v>20267</v>
      </c>
      <c r="F10841" s="4" t="s">
        <v>7538</v>
      </c>
      <c r="G10841" s="4"/>
      <c r="H10841" s="4" t="s">
        <v>7576</v>
      </c>
      <c r="I10841" s="4" t="s">
        <v>7576</v>
      </c>
    </row>
    <row r="10842">
      <c r="A10842" s="4">
        <v>799.0</v>
      </c>
      <c r="B10842" s="4" t="s">
        <v>20303</v>
      </c>
      <c r="C10842" s="4"/>
      <c r="D10842" s="4" t="s">
        <v>1417</v>
      </c>
      <c r="E10842" s="4" t="s">
        <v>1416</v>
      </c>
      <c r="F10842" s="4" t="s">
        <v>1417</v>
      </c>
    </row>
    <row r="10843">
      <c r="A10843" s="4">
        <v>800.0</v>
      </c>
      <c r="B10843" s="4" t="s">
        <v>20303</v>
      </c>
      <c r="C10843" s="4"/>
      <c r="D10843" s="4" t="s">
        <v>21807</v>
      </c>
      <c r="E10843" s="4" t="s">
        <v>21808</v>
      </c>
      <c r="F10843" s="4" t="s">
        <v>21807</v>
      </c>
    </row>
    <row r="10844">
      <c r="A10844" s="4">
        <v>801.0</v>
      </c>
      <c r="B10844" s="4" t="s">
        <v>20303</v>
      </c>
      <c r="C10844" s="4"/>
      <c r="D10844" s="4" t="s">
        <v>3983</v>
      </c>
      <c r="E10844" s="4" t="s">
        <v>3989</v>
      </c>
      <c r="F10844" s="4" t="s">
        <v>3983</v>
      </c>
      <c r="G10844" s="4"/>
      <c r="H10844" s="4" t="s">
        <v>3988</v>
      </c>
      <c r="I10844" s="4" t="s">
        <v>3983</v>
      </c>
      <c r="J10844" s="4" t="s">
        <v>3986</v>
      </c>
      <c r="K10844" s="4" t="s">
        <v>3987</v>
      </c>
      <c r="L10844" s="4" t="s">
        <v>3983</v>
      </c>
      <c r="M10844" s="4" t="s">
        <v>3988</v>
      </c>
      <c r="N10844" s="4" t="s">
        <v>3983</v>
      </c>
      <c r="O10844" s="4" t="s">
        <v>3983</v>
      </c>
    </row>
    <row r="10845">
      <c r="A10845" s="4">
        <v>802.0</v>
      </c>
      <c r="B10845" s="4" t="s">
        <v>20303</v>
      </c>
      <c r="C10845" s="4"/>
      <c r="D10845" s="4" t="s">
        <v>3990</v>
      </c>
      <c r="E10845" s="4" t="s">
        <v>4001</v>
      </c>
      <c r="F10845" s="4" t="s">
        <v>3990</v>
      </c>
      <c r="G10845" s="4"/>
      <c r="H10845" s="4" t="s">
        <v>3993</v>
      </c>
      <c r="I10845" s="4" t="s">
        <v>3994</v>
      </c>
      <c r="J10845" s="4" t="s">
        <v>3995</v>
      </c>
      <c r="K10845" s="4" t="s">
        <v>3996</v>
      </c>
      <c r="L10845" s="4" t="s">
        <v>3997</v>
      </c>
      <c r="M10845" s="4" t="s">
        <v>3998</v>
      </c>
      <c r="N10845" s="4" t="s">
        <v>3999</v>
      </c>
      <c r="O10845" s="4" t="s">
        <v>4000</v>
      </c>
      <c r="P10845" s="4" t="s">
        <v>1911</v>
      </c>
      <c r="Q10845" s="4" t="s">
        <v>883</v>
      </c>
      <c r="R10845" s="4" t="s">
        <v>3997</v>
      </c>
      <c r="S10845" s="4" t="s">
        <v>3996</v>
      </c>
      <c r="T10845" s="4" t="s">
        <v>21809</v>
      </c>
    </row>
    <row r="10846">
      <c r="A10846" s="4">
        <v>803.0</v>
      </c>
      <c r="B10846" s="4" t="s">
        <v>20303</v>
      </c>
      <c r="C10846" s="4"/>
      <c r="D10846" s="4" t="s">
        <v>21810</v>
      </c>
      <c r="E10846" s="4" t="s">
        <v>13669</v>
      </c>
      <c r="F10846" s="4" t="s">
        <v>13670</v>
      </c>
      <c r="G10846" s="4"/>
      <c r="H10846" s="4" t="s">
        <v>13671</v>
      </c>
      <c r="I10846" s="4" t="s">
        <v>13672</v>
      </c>
      <c r="J10846" s="4" t="s">
        <v>13673</v>
      </c>
    </row>
    <row r="10847">
      <c r="A10847" s="4">
        <v>804.0</v>
      </c>
      <c r="B10847" s="4" t="s">
        <v>20303</v>
      </c>
      <c r="C10847" s="4"/>
      <c r="D10847" s="4" t="s">
        <v>404</v>
      </c>
      <c r="E10847" s="4" t="s">
        <v>403</v>
      </c>
      <c r="F10847" s="4" t="s">
        <v>404</v>
      </c>
    </row>
    <row r="10848">
      <c r="A10848" s="4">
        <v>805.0</v>
      </c>
      <c r="B10848" s="4" t="s">
        <v>20303</v>
      </c>
      <c r="C10848" s="4"/>
      <c r="D10848" s="4" t="s">
        <v>21811</v>
      </c>
      <c r="E10848" s="4" t="s">
        <v>21812</v>
      </c>
      <c r="F10848" s="4" t="s">
        <v>21811</v>
      </c>
      <c r="G10848" s="4"/>
      <c r="H10848" s="4" t="s">
        <v>21811</v>
      </c>
    </row>
    <row r="10849">
      <c r="A10849" s="4">
        <v>806.0</v>
      </c>
      <c r="B10849" s="4" t="s">
        <v>20303</v>
      </c>
      <c r="C10849" s="4"/>
      <c r="D10849" s="4" t="s">
        <v>7626</v>
      </c>
      <c r="E10849" s="4" t="s">
        <v>12179</v>
      </c>
      <c r="F10849" s="4" t="s">
        <v>7626</v>
      </c>
    </row>
    <row r="10850">
      <c r="A10850" s="4">
        <v>807.0</v>
      </c>
      <c r="B10850" s="4" t="s">
        <v>20303</v>
      </c>
      <c r="C10850" s="4"/>
      <c r="D10850" s="4" t="s">
        <v>21813</v>
      </c>
      <c r="E10850" s="4" t="s">
        <v>21814</v>
      </c>
      <c r="F10850" s="4" t="s">
        <v>21813</v>
      </c>
    </row>
    <row r="10851">
      <c r="A10851" s="4">
        <v>808.0</v>
      </c>
      <c r="B10851" s="4" t="s">
        <v>20303</v>
      </c>
      <c r="C10851" s="4"/>
      <c r="D10851" s="4" t="s">
        <v>21815</v>
      </c>
      <c r="E10851" s="4" t="s">
        <v>21816</v>
      </c>
      <c r="F10851" s="4" t="s">
        <v>21815</v>
      </c>
    </row>
    <row r="10852">
      <c r="A10852" s="4">
        <v>809.0</v>
      </c>
      <c r="B10852" s="4" t="s">
        <v>20303</v>
      </c>
      <c r="C10852" s="4"/>
      <c r="D10852" s="4" t="s">
        <v>16283</v>
      </c>
      <c r="E10852" s="4" t="s">
        <v>16284</v>
      </c>
      <c r="F10852" s="4" t="s">
        <v>16283</v>
      </c>
    </row>
    <row r="10853">
      <c r="A10853" s="4">
        <v>810.0</v>
      </c>
      <c r="B10853" s="4" t="s">
        <v>20303</v>
      </c>
      <c r="C10853" s="4"/>
      <c r="D10853" s="4" t="s">
        <v>21817</v>
      </c>
      <c r="E10853" s="4" t="s">
        <v>21818</v>
      </c>
      <c r="F10853" s="4" t="s">
        <v>21817</v>
      </c>
    </row>
    <row r="10854">
      <c r="A10854" s="4">
        <v>811.0</v>
      </c>
      <c r="B10854" s="4" t="s">
        <v>20303</v>
      </c>
      <c r="C10854" s="4"/>
      <c r="D10854" s="4" t="s">
        <v>8717</v>
      </c>
      <c r="E10854" s="4" t="s">
        <v>8716</v>
      </c>
      <c r="F10854" s="4" t="s">
        <v>8717</v>
      </c>
    </row>
    <row r="10855">
      <c r="A10855" s="4">
        <v>812.0</v>
      </c>
      <c r="B10855" s="4" t="s">
        <v>20303</v>
      </c>
      <c r="C10855" s="4"/>
      <c r="D10855" s="4" t="s">
        <v>4118</v>
      </c>
      <c r="E10855" s="4" t="s">
        <v>4119</v>
      </c>
      <c r="F10855" s="4" t="s">
        <v>4118</v>
      </c>
      <c r="G10855" s="4"/>
      <c r="H10855" s="4" t="s">
        <v>4120</v>
      </c>
      <c r="I10855" s="4" t="s">
        <v>4121</v>
      </c>
      <c r="J10855" s="4" t="s">
        <v>4122</v>
      </c>
      <c r="K10855" s="4" t="s">
        <v>4123</v>
      </c>
      <c r="L10855" s="4" t="s">
        <v>4125</v>
      </c>
      <c r="M10855" s="4" t="s">
        <v>4553</v>
      </c>
      <c r="N10855" s="4" t="s">
        <v>4554</v>
      </c>
      <c r="O10855" s="4" t="s">
        <v>4123</v>
      </c>
      <c r="P10855" s="4" t="s">
        <v>4124</v>
      </c>
      <c r="Q10855" s="4" t="s">
        <v>4125</v>
      </c>
      <c r="R10855" s="4" t="s">
        <v>4123</v>
      </c>
      <c r="S10855" s="4" t="s">
        <v>4120</v>
      </c>
      <c r="T10855" s="4" t="s">
        <v>4126</v>
      </c>
      <c r="U10855" s="4" t="s">
        <v>4123</v>
      </c>
      <c r="V10855" s="4" t="s">
        <v>4127</v>
      </c>
      <c r="W10855" s="4" t="s">
        <v>4124</v>
      </c>
      <c r="X10855" s="4" t="s">
        <v>4128</v>
      </c>
    </row>
    <row r="10856">
      <c r="A10856" s="4">
        <v>813.0</v>
      </c>
      <c r="B10856" s="4" t="s">
        <v>20303</v>
      </c>
      <c r="C10856" s="4"/>
      <c r="D10856" s="4" t="s">
        <v>21819</v>
      </c>
      <c r="E10856" s="4" t="s">
        <v>21820</v>
      </c>
      <c r="F10856" s="4" t="s">
        <v>21819</v>
      </c>
    </row>
    <row r="10857">
      <c r="A10857" s="4">
        <v>814.0</v>
      </c>
      <c r="B10857" s="4" t="s">
        <v>20303</v>
      </c>
      <c r="C10857" s="4"/>
      <c r="D10857" s="4" t="s">
        <v>21821</v>
      </c>
      <c r="E10857" s="4" t="s">
        <v>21822</v>
      </c>
      <c r="F10857" s="4" t="s">
        <v>21821</v>
      </c>
    </row>
    <row r="10858">
      <c r="A10858" s="4">
        <v>815.0</v>
      </c>
      <c r="B10858" s="4" t="s">
        <v>20303</v>
      </c>
      <c r="C10858" s="4"/>
      <c r="D10858" s="4" t="s">
        <v>21823</v>
      </c>
      <c r="E10858" s="4" t="s">
        <v>21824</v>
      </c>
      <c r="F10858" s="4" t="s">
        <v>21823</v>
      </c>
    </row>
    <row r="10859">
      <c r="A10859" s="4">
        <v>816.0</v>
      </c>
      <c r="B10859" s="4" t="s">
        <v>20303</v>
      </c>
      <c r="C10859" s="4"/>
      <c r="D10859" s="4" t="s">
        <v>21825</v>
      </c>
      <c r="E10859" s="4" t="s">
        <v>7656</v>
      </c>
      <c r="F10859" s="4" t="s">
        <v>7650</v>
      </c>
    </row>
    <row r="10860">
      <c r="A10860" s="4">
        <v>817.0</v>
      </c>
      <c r="B10860" s="4" t="s">
        <v>20303</v>
      </c>
      <c r="C10860" s="4"/>
      <c r="D10860" s="4" t="s">
        <v>4152</v>
      </c>
      <c r="E10860" s="4" t="s">
        <v>4153</v>
      </c>
      <c r="F10860" s="4" t="s">
        <v>4152</v>
      </c>
    </row>
    <row r="10861">
      <c r="A10861" s="4">
        <v>818.0</v>
      </c>
      <c r="B10861" s="4" t="s">
        <v>20303</v>
      </c>
      <c r="C10861" s="4"/>
      <c r="D10861" s="4" t="s">
        <v>21826</v>
      </c>
      <c r="E10861" s="4" t="s">
        <v>21827</v>
      </c>
      <c r="F10861" s="4" t="s">
        <v>21826</v>
      </c>
      <c r="G10861" s="4"/>
      <c r="H10861" s="4" t="s">
        <v>21828</v>
      </c>
      <c r="I10861" s="4" t="s">
        <v>21829</v>
      </c>
      <c r="J10861" s="4" t="s">
        <v>21830</v>
      </c>
      <c r="K10861" s="4" t="s">
        <v>21831</v>
      </c>
      <c r="L10861" s="4" t="s">
        <v>3632</v>
      </c>
      <c r="M10861" s="4" t="s">
        <v>21832</v>
      </c>
      <c r="N10861" s="4" t="s">
        <v>20604</v>
      </c>
    </row>
    <row r="10862">
      <c r="A10862" s="4">
        <v>819.0</v>
      </c>
      <c r="B10862" s="4" t="s">
        <v>20303</v>
      </c>
      <c r="C10862" s="4"/>
      <c r="D10862" s="4" t="s">
        <v>21833</v>
      </c>
      <c r="E10862" s="4" t="s">
        <v>21834</v>
      </c>
      <c r="F10862" s="4" t="s">
        <v>21833</v>
      </c>
      <c r="G10862" s="4"/>
      <c r="H10862" s="4" t="s">
        <v>21835</v>
      </c>
      <c r="I10862" s="4" t="s">
        <v>20165</v>
      </c>
      <c r="J10862" s="4" t="s">
        <v>21836</v>
      </c>
      <c r="K10862" s="4" t="s">
        <v>21837</v>
      </c>
      <c r="L10862" s="4" t="s">
        <v>21838</v>
      </c>
    </row>
    <row r="10863">
      <c r="A10863" s="4">
        <v>820.0</v>
      </c>
      <c r="B10863" s="4" t="s">
        <v>20303</v>
      </c>
      <c r="C10863" s="4"/>
      <c r="D10863" s="4" t="s">
        <v>21839</v>
      </c>
      <c r="E10863" s="4" t="s">
        <v>21840</v>
      </c>
      <c r="F10863" s="4" t="s">
        <v>21839</v>
      </c>
    </row>
    <row r="10864">
      <c r="A10864" s="4">
        <v>821.0</v>
      </c>
      <c r="B10864" s="4" t="s">
        <v>20303</v>
      </c>
      <c r="C10864" s="4"/>
      <c r="D10864" s="4" t="s">
        <v>4172</v>
      </c>
      <c r="E10864" s="4" t="s">
        <v>4173</v>
      </c>
      <c r="F10864" s="4" t="s">
        <v>4172</v>
      </c>
      <c r="G10864" s="4"/>
      <c r="H10864" s="4" t="s">
        <v>5560</v>
      </c>
      <c r="I10864" s="4" t="s">
        <v>5561</v>
      </c>
      <c r="J10864" s="4" t="s">
        <v>5562</v>
      </c>
      <c r="K10864" s="4" t="s">
        <v>5563</v>
      </c>
      <c r="L10864" s="4" t="s">
        <v>5564</v>
      </c>
    </row>
    <row r="10865">
      <c r="A10865" s="4">
        <v>822.0</v>
      </c>
      <c r="B10865" s="4" t="s">
        <v>20303</v>
      </c>
      <c r="C10865" s="4"/>
      <c r="D10865" s="4" t="s">
        <v>11292</v>
      </c>
      <c r="E10865" s="4" t="s">
        <v>11293</v>
      </c>
      <c r="F10865" s="4" t="s">
        <v>11292</v>
      </c>
      <c r="G10865" s="4"/>
      <c r="H10865" s="4" t="s">
        <v>21841</v>
      </c>
      <c r="I10865" s="4" t="s">
        <v>21842</v>
      </c>
      <c r="J10865" s="4" t="s">
        <v>5083</v>
      </c>
      <c r="K10865" s="4" t="s">
        <v>5084</v>
      </c>
      <c r="L10865" s="4" t="s">
        <v>5085</v>
      </c>
      <c r="M10865" s="4" t="s">
        <v>5086</v>
      </c>
      <c r="N10865" s="4" t="s">
        <v>5087</v>
      </c>
    </row>
    <row r="10866">
      <c r="A10866" s="4">
        <v>823.0</v>
      </c>
      <c r="B10866" s="4" t="s">
        <v>20303</v>
      </c>
      <c r="C10866" s="4"/>
      <c r="D10866" s="4" t="s">
        <v>21843</v>
      </c>
      <c r="E10866" s="4" t="s">
        <v>21844</v>
      </c>
      <c r="F10866" s="4" t="s">
        <v>21843</v>
      </c>
    </row>
    <row r="10867">
      <c r="A10867" s="4">
        <v>824.0</v>
      </c>
      <c r="B10867" s="4" t="s">
        <v>20303</v>
      </c>
      <c r="C10867" s="4"/>
      <c r="D10867" s="4" t="s">
        <v>7657</v>
      </c>
      <c r="E10867" s="4" t="s">
        <v>8795</v>
      </c>
      <c r="F10867" s="4" t="s">
        <v>7657</v>
      </c>
    </row>
    <row r="10868">
      <c r="A10868" s="4">
        <v>825.0</v>
      </c>
      <c r="B10868" s="4" t="s">
        <v>20303</v>
      </c>
      <c r="C10868" s="4"/>
      <c r="D10868" s="4" t="s">
        <v>14557</v>
      </c>
      <c r="E10868" s="4" t="s">
        <v>14558</v>
      </c>
      <c r="F10868" s="4" t="s">
        <v>14557</v>
      </c>
      <c r="G10868" s="4"/>
      <c r="H10868" s="4" t="s">
        <v>21845</v>
      </c>
      <c r="I10868" s="4" t="s">
        <v>21846</v>
      </c>
      <c r="J10868" s="4" t="s">
        <v>21847</v>
      </c>
      <c r="K10868" s="4" t="s">
        <v>21848</v>
      </c>
      <c r="L10868" s="4" t="s">
        <v>21847</v>
      </c>
      <c r="M10868" s="4" t="s">
        <v>21847</v>
      </c>
      <c r="N10868" s="4" t="s">
        <v>16450</v>
      </c>
    </row>
    <row r="10869">
      <c r="A10869" s="4">
        <v>826.0</v>
      </c>
      <c r="B10869" s="4" t="s">
        <v>20303</v>
      </c>
      <c r="C10869" s="4"/>
      <c r="D10869" s="4" t="s">
        <v>4186</v>
      </c>
      <c r="E10869" s="4" t="s">
        <v>4187</v>
      </c>
      <c r="F10869" s="4" t="s">
        <v>4186</v>
      </c>
    </row>
    <row r="10870">
      <c r="A10870" s="4">
        <v>827.0</v>
      </c>
      <c r="B10870" s="4" t="s">
        <v>20303</v>
      </c>
      <c r="C10870" s="4"/>
      <c r="D10870" s="4" t="s">
        <v>21849</v>
      </c>
      <c r="E10870" s="4" t="s">
        <v>21850</v>
      </c>
      <c r="F10870" s="4" t="s">
        <v>21849</v>
      </c>
    </row>
    <row r="10871">
      <c r="A10871" s="4">
        <v>828.0</v>
      </c>
      <c r="B10871" s="4" t="s">
        <v>20303</v>
      </c>
      <c r="C10871" s="4"/>
      <c r="D10871" s="4" t="s">
        <v>4192</v>
      </c>
      <c r="E10871" s="4" t="s">
        <v>4193</v>
      </c>
      <c r="F10871" s="4" t="s">
        <v>4192</v>
      </c>
      <c r="G10871" s="4"/>
      <c r="H10871" s="4" t="s">
        <v>4189</v>
      </c>
    </row>
    <row r="10872">
      <c r="A10872" s="4">
        <v>829.0</v>
      </c>
      <c r="B10872" s="4" t="s">
        <v>20303</v>
      </c>
      <c r="C10872" s="4"/>
      <c r="D10872" s="4" t="s">
        <v>21851</v>
      </c>
      <c r="E10872" s="4" t="s">
        <v>21852</v>
      </c>
      <c r="F10872" s="4" t="s">
        <v>21851</v>
      </c>
    </row>
    <row r="10873">
      <c r="A10873" s="4">
        <v>830.0</v>
      </c>
      <c r="B10873" s="4" t="s">
        <v>20303</v>
      </c>
      <c r="C10873" s="4"/>
      <c r="D10873" s="4" t="s">
        <v>4214</v>
      </c>
      <c r="E10873" s="4" t="s">
        <v>400</v>
      </c>
      <c r="F10873" s="4" t="s">
        <v>401</v>
      </c>
    </row>
    <row r="10874">
      <c r="A10874" s="4">
        <v>831.0</v>
      </c>
      <c r="B10874" s="4" t="s">
        <v>20303</v>
      </c>
      <c r="C10874" s="4"/>
      <c r="D10874" s="4" t="s">
        <v>21853</v>
      </c>
      <c r="E10874" s="4" t="s">
        <v>12179</v>
      </c>
      <c r="F10874" s="4" t="s">
        <v>7626</v>
      </c>
    </row>
    <row r="10875">
      <c r="A10875" s="4">
        <v>832.0</v>
      </c>
      <c r="B10875" s="4" t="s">
        <v>20303</v>
      </c>
      <c r="C10875" s="4"/>
      <c r="D10875" s="4" t="s">
        <v>4238</v>
      </c>
      <c r="E10875" s="4" t="s">
        <v>4239</v>
      </c>
      <c r="F10875" s="4" t="s">
        <v>4240</v>
      </c>
    </row>
    <row r="10876">
      <c r="A10876" s="4">
        <v>833.0</v>
      </c>
      <c r="B10876" s="4" t="s">
        <v>20303</v>
      </c>
      <c r="C10876" s="4"/>
      <c r="D10876" s="4" t="s">
        <v>21854</v>
      </c>
      <c r="E10876" s="4" t="s">
        <v>21855</v>
      </c>
      <c r="F10876" s="4" t="s">
        <v>21856</v>
      </c>
    </row>
    <row r="10877">
      <c r="A10877" s="4">
        <v>834.0</v>
      </c>
      <c r="B10877" s="4" t="s">
        <v>20303</v>
      </c>
      <c r="C10877" s="4"/>
      <c r="D10877" s="4" t="s">
        <v>21857</v>
      </c>
      <c r="E10877" s="4" t="s">
        <v>21858</v>
      </c>
      <c r="F10877" s="4" t="s">
        <v>4240</v>
      </c>
      <c r="G10877" s="4"/>
      <c r="H10877" s="4" t="s">
        <v>3492</v>
      </c>
      <c r="I10877" s="4" t="s">
        <v>4288</v>
      </c>
      <c r="J10877" s="4" t="s">
        <v>3491</v>
      </c>
    </row>
    <row r="10878">
      <c r="A10878" s="4">
        <v>835.0</v>
      </c>
      <c r="B10878" s="4" t="s">
        <v>20303</v>
      </c>
      <c r="C10878" s="4"/>
      <c r="D10878" s="4" t="s">
        <v>21859</v>
      </c>
      <c r="E10878" s="4" t="s">
        <v>21860</v>
      </c>
      <c r="F10878" s="4" t="s">
        <v>21861</v>
      </c>
    </row>
    <row r="10879">
      <c r="A10879" s="4">
        <v>836.0</v>
      </c>
      <c r="B10879" s="4" t="s">
        <v>20303</v>
      </c>
      <c r="C10879" s="4"/>
      <c r="D10879" s="4" t="s">
        <v>21862</v>
      </c>
      <c r="E10879" s="4" t="s">
        <v>21863</v>
      </c>
      <c r="F10879" s="4" t="s">
        <v>13763</v>
      </c>
    </row>
    <row r="10880">
      <c r="A10880" s="4">
        <v>837.0</v>
      </c>
      <c r="B10880" s="4" t="s">
        <v>20303</v>
      </c>
      <c r="C10880" s="4"/>
      <c r="D10880" s="4" t="s">
        <v>4251</v>
      </c>
      <c r="E10880" s="4" t="s">
        <v>4252</v>
      </c>
      <c r="F10880" s="4" t="s">
        <v>4251</v>
      </c>
    </row>
    <row r="10881">
      <c r="A10881" s="4">
        <v>838.0</v>
      </c>
      <c r="B10881" s="4" t="s">
        <v>20303</v>
      </c>
      <c r="C10881" s="4"/>
      <c r="D10881" s="4" t="s">
        <v>4254</v>
      </c>
      <c r="E10881" s="4" t="s">
        <v>4255</v>
      </c>
      <c r="F10881" s="4" t="s">
        <v>4254</v>
      </c>
    </row>
    <row r="10882">
      <c r="A10882" s="4">
        <v>839.0</v>
      </c>
      <c r="B10882" s="4" t="s">
        <v>20303</v>
      </c>
      <c r="C10882" s="4"/>
      <c r="D10882" s="4" t="s">
        <v>21864</v>
      </c>
      <c r="E10882" s="4" t="s">
        <v>21865</v>
      </c>
      <c r="F10882" s="4" t="s">
        <v>21866</v>
      </c>
    </row>
    <row r="10883">
      <c r="A10883" s="4">
        <v>840.0</v>
      </c>
      <c r="B10883" s="4" t="s">
        <v>20303</v>
      </c>
      <c r="C10883" s="4"/>
      <c r="D10883" s="4" t="s">
        <v>4264</v>
      </c>
      <c r="E10883" s="4" t="s">
        <v>4265</v>
      </c>
      <c r="F10883" s="4" t="s">
        <v>4264</v>
      </c>
      <c r="G10883" s="4"/>
      <c r="H10883" s="4" t="s">
        <v>21867</v>
      </c>
    </row>
    <row r="10884">
      <c r="A10884" s="4">
        <v>841.0</v>
      </c>
      <c r="B10884" s="4" t="s">
        <v>20303</v>
      </c>
      <c r="C10884" s="4"/>
      <c r="D10884" s="4" t="s">
        <v>11338</v>
      </c>
      <c r="E10884" s="4" t="s">
        <v>16394</v>
      </c>
      <c r="F10884" s="4" t="s">
        <v>11338</v>
      </c>
    </row>
    <row r="10885">
      <c r="A10885" s="4">
        <v>842.0</v>
      </c>
      <c r="B10885" s="4" t="s">
        <v>20303</v>
      </c>
      <c r="C10885" s="4"/>
      <c r="D10885" s="4" t="s">
        <v>21868</v>
      </c>
      <c r="E10885" s="4" t="s">
        <v>21869</v>
      </c>
      <c r="F10885" s="4" t="s">
        <v>21870</v>
      </c>
    </row>
    <row r="10886">
      <c r="A10886" s="4">
        <v>843.0</v>
      </c>
      <c r="B10886" s="4" t="s">
        <v>20303</v>
      </c>
      <c r="C10886" s="4"/>
      <c r="D10886" s="4" t="s">
        <v>21871</v>
      </c>
      <c r="E10886" s="4" t="s">
        <v>21872</v>
      </c>
      <c r="F10886" s="4" t="s">
        <v>21873</v>
      </c>
    </row>
    <row r="10887">
      <c r="A10887" s="4">
        <v>844.0</v>
      </c>
      <c r="B10887" s="4" t="s">
        <v>20303</v>
      </c>
      <c r="C10887" s="4"/>
      <c r="D10887" s="4" t="s">
        <v>21874</v>
      </c>
      <c r="E10887" s="4" t="s">
        <v>21875</v>
      </c>
      <c r="F10887" s="4" t="s">
        <v>21874</v>
      </c>
    </row>
    <row r="10888">
      <c r="A10888" s="4">
        <v>845.0</v>
      </c>
      <c r="B10888" s="4" t="s">
        <v>20303</v>
      </c>
      <c r="C10888" s="4"/>
      <c r="D10888" s="4" t="s">
        <v>7729</v>
      </c>
      <c r="E10888" s="4" t="s">
        <v>21876</v>
      </c>
      <c r="F10888" s="4" t="s">
        <v>7729</v>
      </c>
    </row>
    <row r="10889">
      <c r="A10889" s="4">
        <v>846.0</v>
      </c>
      <c r="B10889" s="4" t="s">
        <v>20303</v>
      </c>
      <c r="C10889" s="4"/>
      <c r="D10889" s="4" t="s">
        <v>4310</v>
      </c>
      <c r="E10889" s="4" t="s">
        <v>4311</v>
      </c>
      <c r="F10889" s="4" t="s">
        <v>4310</v>
      </c>
      <c r="G10889" s="4"/>
      <c r="H10889" s="4" t="s">
        <v>8791</v>
      </c>
    </row>
    <row r="10890">
      <c r="A10890" s="4">
        <v>847.0</v>
      </c>
      <c r="B10890" s="4" t="s">
        <v>20303</v>
      </c>
      <c r="C10890" s="4"/>
      <c r="D10890" s="4" t="s">
        <v>21877</v>
      </c>
      <c r="E10890" s="4" t="s">
        <v>21878</v>
      </c>
      <c r="F10890" s="4" t="s">
        <v>7746</v>
      </c>
    </row>
    <row r="10891">
      <c r="A10891" s="4">
        <v>848.0</v>
      </c>
      <c r="B10891" s="4" t="s">
        <v>20303</v>
      </c>
      <c r="C10891" s="4"/>
      <c r="D10891" s="4" t="s">
        <v>4330</v>
      </c>
      <c r="E10891" s="4" t="s">
        <v>4331</v>
      </c>
      <c r="F10891" s="4" t="s">
        <v>4330</v>
      </c>
    </row>
    <row r="10892">
      <c r="A10892" s="4">
        <v>849.0</v>
      </c>
      <c r="B10892" s="4" t="s">
        <v>20303</v>
      </c>
      <c r="C10892" s="4"/>
      <c r="D10892" s="4" t="s">
        <v>4339</v>
      </c>
      <c r="E10892" s="4" t="s">
        <v>4340</v>
      </c>
      <c r="F10892" s="4" t="s">
        <v>4339</v>
      </c>
      <c r="G10892" s="4"/>
      <c r="H10892" s="4" t="s">
        <v>21879</v>
      </c>
      <c r="I10892" s="4" t="s">
        <v>21880</v>
      </c>
      <c r="J10892" s="4" t="s">
        <v>4323</v>
      </c>
      <c r="K10892" s="4" t="s">
        <v>4341</v>
      </c>
      <c r="L10892" s="4" t="s">
        <v>4342</v>
      </c>
      <c r="M10892" s="4" t="s">
        <v>9932</v>
      </c>
      <c r="N10892" s="4" t="s">
        <v>21881</v>
      </c>
      <c r="O10892" s="4" t="s">
        <v>21882</v>
      </c>
      <c r="P10892" s="4" t="s">
        <v>326</v>
      </c>
      <c r="Q10892" s="4" t="s">
        <v>4343</v>
      </c>
      <c r="R10892" s="4" t="s">
        <v>4344</v>
      </c>
      <c r="S10892" s="4" t="s">
        <v>4343</v>
      </c>
      <c r="T10892" s="4" t="s">
        <v>4345</v>
      </c>
      <c r="U10892" s="4" t="s">
        <v>4344</v>
      </c>
      <c r="V10892" s="4" t="s">
        <v>4346</v>
      </c>
      <c r="W10892" s="4" t="s">
        <v>2073</v>
      </c>
      <c r="X10892" s="4" t="s">
        <v>21883</v>
      </c>
      <c r="Y10892" s="4" t="s">
        <v>21884</v>
      </c>
      <c r="Z10892" s="4" t="s">
        <v>21885</v>
      </c>
      <c r="AA10892" s="4" t="s">
        <v>6320</v>
      </c>
    </row>
    <row r="10893">
      <c r="A10893" s="4">
        <v>850.0</v>
      </c>
      <c r="B10893" s="4" t="s">
        <v>20303</v>
      </c>
      <c r="C10893" s="4"/>
      <c r="D10893" s="4" t="s">
        <v>7766</v>
      </c>
      <c r="E10893" s="4" t="s">
        <v>15521</v>
      </c>
      <c r="F10893" s="4" t="s">
        <v>7766</v>
      </c>
    </row>
    <row r="10894">
      <c r="A10894" s="4">
        <v>851.0</v>
      </c>
      <c r="B10894" s="4" t="s">
        <v>20303</v>
      </c>
      <c r="C10894" s="4"/>
      <c r="D10894" s="4" t="s">
        <v>21886</v>
      </c>
      <c r="E10894" s="4" t="s">
        <v>21887</v>
      </c>
      <c r="F10894" s="4" t="s">
        <v>21886</v>
      </c>
    </row>
    <row r="10895">
      <c r="A10895" s="4">
        <v>852.0</v>
      </c>
      <c r="B10895" s="4" t="s">
        <v>20303</v>
      </c>
      <c r="C10895" s="4"/>
      <c r="D10895" s="4" t="s">
        <v>4361</v>
      </c>
      <c r="E10895" s="4" t="s">
        <v>4362</v>
      </c>
      <c r="F10895" s="4" t="s">
        <v>4361</v>
      </c>
      <c r="G10895" s="4"/>
      <c r="H10895" s="4" t="s">
        <v>2869</v>
      </c>
      <c r="I10895" s="4" t="s">
        <v>2870</v>
      </c>
      <c r="J10895" s="4" t="s">
        <v>2293</v>
      </c>
      <c r="K10895" s="4" t="s">
        <v>21888</v>
      </c>
    </row>
    <row r="10896">
      <c r="A10896" s="4">
        <v>853.0</v>
      </c>
      <c r="B10896" s="4" t="s">
        <v>20303</v>
      </c>
      <c r="C10896" s="4"/>
      <c r="D10896" s="4" t="s">
        <v>21889</v>
      </c>
      <c r="E10896" s="4" t="s">
        <v>21890</v>
      </c>
      <c r="F10896" s="4" t="s">
        <v>21889</v>
      </c>
    </row>
    <row r="10897">
      <c r="A10897" s="4">
        <v>854.0</v>
      </c>
      <c r="B10897" s="4" t="s">
        <v>20303</v>
      </c>
      <c r="C10897" s="4"/>
      <c r="D10897" s="4" t="s">
        <v>21891</v>
      </c>
      <c r="E10897" s="4" t="s">
        <v>21892</v>
      </c>
      <c r="F10897" s="4" t="s">
        <v>21891</v>
      </c>
    </row>
    <row r="10898">
      <c r="A10898" s="4">
        <v>855.0</v>
      </c>
      <c r="B10898" s="4" t="s">
        <v>20303</v>
      </c>
      <c r="C10898" s="4"/>
      <c r="D10898" s="4" t="s">
        <v>21893</v>
      </c>
      <c r="E10898" s="4" t="s">
        <v>21894</v>
      </c>
      <c r="F10898" s="4" t="s">
        <v>21893</v>
      </c>
    </row>
    <row r="10899">
      <c r="A10899" s="4">
        <v>856.0</v>
      </c>
      <c r="B10899" s="4" t="s">
        <v>20303</v>
      </c>
      <c r="C10899" s="4"/>
      <c r="D10899" s="4" t="s">
        <v>4365</v>
      </c>
      <c r="E10899" s="4" t="s">
        <v>4366</v>
      </c>
      <c r="F10899" s="4" t="s">
        <v>4365</v>
      </c>
      <c r="G10899" s="4"/>
      <c r="H10899" s="4" t="s">
        <v>21895</v>
      </c>
      <c r="I10899" s="4" t="s">
        <v>21896</v>
      </c>
      <c r="J10899" s="4" t="s">
        <v>14755</v>
      </c>
      <c r="K10899" s="4" t="s">
        <v>4374</v>
      </c>
    </row>
    <row r="10900">
      <c r="A10900" s="4">
        <v>857.0</v>
      </c>
      <c r="B10900" s="4" t="s">
        <v>20303</v>
      </c>
      <c r="C10900" s="4"/>
      <c r="D10900" s="4" t="s">
        <v>4377</v>
      </c>
      <c r="E10900" s="4" t="s">
        <v>4376</v>
      </c>
      <c r="F10900" s="4" t="s">
        <v>4377</v>
      </c>
      <c r="G10900" s="4"/>
      <c r="H10900" s="4" t="s">
        <v>21897</v>
      </c>
      <c r="I10900" s="4" t="s">
        <v>21898</v>
      </c>
      <c r="J10900" s="4" t="s">
        <v>21899</v>
      </c>
      <c r="K10900" s="4" t="s">
        <v>21900</v>
      </c>
      <c r="L10900" s="4" t="s">
        <v>15338</v>
      </c>
      <c r="M10900" s="4" t="s">
        <v>21901</v>
      </c>
      <c r="N10900" s="4" t="s">
        <v>1707</v>
      </c>
      <c r="O10900" s="4" t="s">
        <v>1708</v>
      </c>
      <c r="P10900" s="4" t="s">
        <v>1709</v>
      </c>
    </row>
    <row r="10901">
      <c r="A10901" s="4">
        <v>858.0</v>
      </c>
      <c r="B10901" s="4" t="s">
        <v>20303</v>
      </c>
      <c r="C10901" s="4"/>
      <c r="D10901" s="4" t="s">
        <v>21902</v>
      </c>
      <c r="E10901" s="4" t="s">
        <v>21903</v>
      </c>
      <c r="F10901" s="4" t="s">
        <v>21902</v>
      </c>
      <c r="G10901" s="4"/>
      <c r="H10901" s="4" t="s">
        <v>19840</v>
      </c>
      <c r="I10901" s="4" t="s">
        <v>3128</v>
      </c>
      <c r="J10901" s="4" t="s">
        <v>21904</v>
      </c>
      <c r="K10901" s="4" t="s">
        <v>21905</v>
      </c>
      <c r="L10901" s="4" t="s">
        <v>21906</v>
      </c>
      <c r="M10901" s="4" t="s">
        <v>21907</v>
      </c>
      <c r="N10901" s="4" t="s">
        <v>21908</v>
      </c>
    </row>
    <row r="10902">
      <c r="A10902" s="4">
        <v>859.0</v>
      </c>
      <c r="B10902" s="4" t="s">
        <v>20303</v>
      </c>
      <c r="C10902" s="4"/>
      <c r="D10902" s="4" t="s">
        <v>13820</v>
      </c>
      <c r="E10902" s="4" t="s">
        <v>13821</v>
      </c>
      <c r="F10902" s="4" t="s">
        <v>13820</v>
      </c>
      <c r="G10902" s="4"/>
      <c r="H10902" s="4" t="s">
        <v>1878</v>
      </c>
      <c r="I10902" s="4" t="s">
        <v>1879</v>
      </c>
      <c r="J10902" s="4" t="s">
        <v>1880</v>
      </c>
      <c r="K10902" s="4" t="s">
        <v>1881</v>
      </c>
      <c r="L10902" s="4" t="s">
        <v>1882</v>
      </c>
      <c r="N10902" s="4" t="s">
        <v>1883</v>
      </c>
    </row>
    <row r="10903">
      <c r="A10903" s="4">
        <v>860.0</v>
      </c>
      <c r="B10903" s="4" t="s">
        <v>20303</v>
      </c>
      <c r="C10903" s="4"/>
      <c r="D10903" s="4" t="s">
        <v>9179</v>
      </c>
      <c r="E10903" s="4" t="s">
        <v>9180</v>
      </c>
      <c r="F10903" s="4" t="s">
        <v>9179</v>
      </c>
    </row>
    <row r="10904">
      <c r="A10904" s="4">
        <v>861.0</v>
      </c>
      <c r="B10904" s="4" t="s">
        <v>20303</v>
      </c>
      <c r="C10904" s="4"/>
      <c r="D10904" s="4" t="s">
        <v>21909</v>
      </c>
      <c r="E10904" s="4" t="s">
        <v>4464</v>
      </c>
      <c r="F10904" s="4" t="s">
        <v>4463</v>
      </c>
    </row>
    <row r="10905">
      <c r="A10905" s="4">
        <v>862.0</v>
      </c>
      <c r="B10905" s="4" t="s">
        <v>20303</v>
      </c>
      <c r="C10905" s="4"/>
      <c r="D10905" s="4" t="s">
        <v>422</v>
      </c>
      <c r="E10905" s="4" t="s">
        <v>421</v>
      </c>
      <c r="F10905" s="4" t="s">
        <v>422</v>
      </c>
    </row>
    <row r="10906">
      <c r="A10906" s="4">
        <v>863.0</v>
      </c>
      <c r="B10906" s="4" t="s">
        <v>20303</v>
      </c>
      <c r="C10906" s="4"/>
      <c r="D10906" s="4" t="s">
        <v>4379</v>
      </c>
      <c r="E10906" s="4" t="s">
        <v>4380</v>
      </c>
      <c r="F10906" s="4" t="s">
        <v>438</v>
      </c>
    </row>
    <row r="10907">
      <c r="A10907" s="4">
        <v>864.0</v>
      </c>
      <c r="B10907" s="4" t="s">
        <v>20303</v>
      </c>
      <c r="C10907" s="4"/>
      <c r="D10907" s="4" t="s">
        <v>21910</v>
      </c>
      <c r="E10907" s="4" t="s">
        <v>21911</v>
      </c>
      <c r="F10907" s="4" t="s">
        <v>21912</v>
      </c>
    </row>
    <row r="10908">
      <c r="A10908" s="4">
        <v>865.0</v>
      </c>
      <c r="B10908" s="4" t="s">
        <v>20303</v>
      </c>
      <c r="C10908" s="4"/>
      <c r="D10908" s="4" t="s">
        <v>21913</v>
      </c>
      <c r="E10908" s="4" t="s">
        <v>21914</v>
      </c>
      <c r="F10908" s="4" t="s">
        <v>21913</v>
      </c>
      <c r="G10908" s="4"/>
      <c r="H10908" s="4" t="s">
        <v>3231</v>
      </c>
      <c r="I10908" s="4" t="s">
        <v>21915</v>
      </c>
      <c r="J10908" s="4" t="s">
        <v>21916</v>
      </c>
      <c r="K10908" s="4" t="s">
        <v>21917</v>
      </c>
      <c r="L10908" s="4" t="s">
        <v>21918</v>
      </c>
      <c r="M10908" s="4" t="s">
        <v>3230</v>
      </c>
      <c r="N10908" s="4" t="s">
        <v>7476</v>
      </c>
      <c r="O10908" s="4" t="s">
        <v>486</v>
      </c>
      <c r="P10908" s="4" t="s">
        <v>21919</v>
      </c>
      <c r="Q10908" s="4" t="s">
        <v>21920</v>
      </c>
      <c r="R10908" s="4" t="s">
        <v>8200</v>
      </c>
      <c r="S10908" s="4" t="s">
        <v>8201</v>
      </c>
      <c r="T10908" s="4" t="s">
        <v>8202</v>
      </c>
      <c r="U10908" s="4" t="s">
        <v>1977</v>
      </c>
      <c r="V10908" s="4" t="s">
        <v>6308</v>
      </c>
      <c r="W10908" s="4" t="s">
        <v>8203</v>
      </c>
      <c r="X10908" s="4" t="s">
        <v>8190</v>
      </c>
      <c r="Y10908" s="4" t="s">
        <v>8204</v>
      </c>
      <c r="Z10908" s="4" t="s">
        <v>8205</v>
      </c>
      <c r="AA10908" s="4" t="s">
        <v>8206</v>
      </c>
      <c r="AB10908" s="4" t="s">
        <v>8197</v>
      </c>
      <c r="AC10908" s="4" t="s">
        <v>8207</v>
      </c>
      <c r="AD10908" s="4" t="s">
        <v>8208</v>
      </c>
      <c r="AE10908" s="4" t="s">
        <v>8209</v>
      </c>
      <c r="AF10908" s="4" t="s">
        <v>8185</v>
      </c>
    </row>
    <row r="10909">
      <c r="A10909" s="4">
        <v>866.0</v>
      </c>
      <c r="B10909" s="4" t="s">
        <v>20303</v>
      </c>
      <c r="C10909" s="4"/>
      <c r="D10909" s="4" t="s">
        <v>21921</v>
      </c>
      <c r="E10909" s="4" t="s">
        <v>21922</v>
      </c>
      <c r="F10909" s="4" t="s">
        <v>21921</v>
      </c>
      <c r="G10909" s="4"/>
      <c r="H10909" s="4" t="s">
        <v>21923</v>
      </c>
      <c r="I10909" s="4" t="s">
        <v>21924</v>
      </c>
    </row>
    <row r="10910">
      <c r="A10910" s="4">
        <v>867.0</v>
      </c>
      <c r="B10910" s="4" t="s">
        <v>20303</v>
      </c>
      <c r="C10910" s="4"/>
      <c r="D10910" s="4" t="s">
        <v>21925</v>
      </c>
      <c r="E10910" s="4" t="s">
        <v>21926</v>
      </c>
      <c r="F10910" s="4" t="s">
        <v>21927</v>
      </c>
    </row>
    <row r="10911">
      <c r="A10911" s="4">
        <v>868.0</v>
      </c>
      <c r="B10911" s="4" t="s">
        <v>20303</v>
      </c>
      <c r="C10911" s="4"/>
      <c r="D10911" s="4" t="s">
        <v>425</v>
      </c>
      <c r="E10911" s="4" t="s">
        <v>424</v>
      </c>
      <c r="F10911" s="4" t="s">
        <v>425</v>
      </c>
    </row>
    <row r="10912">
      <c r="A10912" s="4">
        <v>869.0</v>
      </c>
      <c r="B10912" s="4" t="s">
        <v>20303</v>
      </c>
      <c r="C10912" s="4"/>
      <c r="D10912" s="4" t="s">
        <v>19862</v>
      </c>
      <c r="E10912" s="4" t="s">
        <v>19863</v>
      </c>
      <c r="F10912" s="4" t="s">
        <v>19862</v>
      </c>
    </row>
    <row r="10913">
      <c r="A10913" s="4">
        <v>870.0</v>
      </c>
      <c r="B10913" s="4" t="s">
        <v>20303</v>
      </c>
      <c r="C10913" s="4"/>
      <c r="D10913" s="4" t="s">
        <v>21928</v>
      </c>
      <c r="E10913" s="4" t="s">
        <v>21929</v>
      </c>
      <c r="F10913" s="4" t="s">
        <v>21928</v>
      </c>
    </row>
    <row r="10914">
      <c r="A10914" s="4">
        <v>871.0</v>
      </c>
      <c r="B10914" s="4" t="s">
        <v>20303</v>
      </c>
      <c r="C10914" s="4"/>
      <c r="D10914" s="4" t="s">
        <v>4418</v>
      </c>
      <c r="E10914" s="4" t="s">
        <v>4419</v>
      </c>
      <c r="F10914" s="4" t="s">
        <v>4418</v>
      </c>
      <c r="G10914" s="4"/>
      <c r="H10914" s="4" t="s">
        <v>897</v>
      </c>
      <c r="I10914" s="4" t="s">
        <v>10974</v>
      </c>
      <c r="J10914" s="4" t="s">
        <v>13234</v>
      </c>
    </row>
    <row r="10915">
      <c r="A10915" s="4">
        <v>872.0</v>
      </c>
      <c r="B10915" s="4" t="s">
        <v>20303</v>
      </c>
      <c r="C10915" s="4"/>
      <c r="D10915" s="4" t="s">
        <v>21930</v>
      </c>
      <c r="E10915" s="4" t="s">
        <v>21931</v>
      </c>
      <c r="F10915" s="4" t="s">
        <v>21930</v>
      </c>
    </row>
    <row r="10916">
      <c r="A10916" s="4">
        <v>873.0</v>
      </c>
      <c r="B10916" s="4" t="s">
        <v>20303</v>
      </c>
      <c r="C10916" s="4"/>
      <c r="D10916" s="4" t="s">
        <v>21932</v>
      </c>
      <c r="E10916" s="4" t="s">
        <v>21933</v>
      </c>
      <c r="F10916" s="4" t="s">
        <v>21934</v>
      </c>
      <c r="G10916" s="4"/>
      <c r="H10916" s="4" t="s">
        <v>21934</v>
      </c>
    </row>
    <row r="10917">
      <c r="A10917" s="4">
        <v>874.0</v>
      </c>
      <c r="B10917" s="4" t="s">
        <v>20303</v>
      </c>
      <c r="C10917" s="4"/>
      <c r="D10917" s="4" t="s">
        <v>21935</v>
      </c>
      <c r="E10917" s="4" t="s">
        <v>21936</v>
      </c>
      <c r="F10917" s="4" t="s">
        <v>21935</v>
      </c>
    </row>
    <row r="10918">
      <c r="A10918" s="4">
        <v>875.0</v>
      </c>
      <c r="B10918" s="4" t="s">
        <v>20303</v>
      </c>
      <c r="C10918" s="4"/>
      <c r="D10918" s="4" t="s">
        <v>21937</v>
      </c>
      <c r="E10918" s="4" t="s">
        <v>21938</v>
      </c>
      <c r="F10918" s="4" t="s">
        <v>21937</v>
      </c>
    </row>
    <row r="10919">
      <c r="A10919" s="4">
        <v>876.0</v>
      </c>
      <c r="B10919" s="4" t="s">
        <v>20303</v>
      </c>
      <c r="C10919" s="4"/>
      <c r="D10919" s="4" t="s">
        <v>4427</v>
      </c>
      <c r="E10919" s="4" t="s">
        <v>4450</v>
      </c>
      <c r="F10919" s="4" t="s">
        <v>4427</v>
      </c>
      <c r="G10919" s="4"/>
      <c r="H10919" s="4" t="s">
        <v>4433</v>
      </c>
      <c r="I10919" s="4" t="s">
        <v>7309</v>
      </c>
      <c r="J10919" s="4" t="s">
        <v>910</v>
      </c>
      <c r="K10919" s="4" t="s">
        <v>4430</v>
      </c>
      <c r="L10919" s="4" t="s">
        <v>21939</v>
      </c>
      <c r="M10919" s="4" t="s">
        <v>3414</v>
      </c>
      <c r="N10919" s="4" t="s">
        <v>21940</v>
      </c>
      <c r="O10919" s="4" t="s">
        <v>21941</v>
      </c>
      <c r="P10919" s="4" t="s">
        <v>21942</v>
      </c>
      <c r="Q10919" s="4" t="s">
        <v>4433</v>
      </c>
      <c r="R10919" s="4" t="s">
        <v>3414</v>
      </c>
      <c r="S10919" s="4" t="s">
        <v>4434</v>
      </c>
      <c r="T10919" s="4" t="s">
        <v>4435</v>
      </c>
      <c r="U10919" s="4" t="s">
        <v>4438</v>
      </c>
      <c r="V10919" s="4" t="s">
        <v>21943</v>
      </c>
      <c r="W10919" s="4" t="s">
        <v>4446</v>
      </c>
      <c r="X10919" s="4" t="s">
        <v>7114</v>
      </c>
      <c r="Y10919" s="4" t="s">
        <v>21944</v>
      </c>
      <c r="Z10919" s="4" t="s">
        <v>5158</v>
      </c>
      <c r="AA10919" s="4" t="s">
        <v>21945</v>
      </c>
      <c r="AB10919" s="4" t="s">
        <v>7521</v>
      </c>
      <c r="AC10919" s="4" t="s">
        <v>12253</v>
      </c>
      <c r="AD10919" s="4" t="s">
        <v>7522</v>
      </c>
      <c r="AE10919" s="4" t="s">
        <v>21946</v>
      </c>
      <c r="AF10919" s="4" t="s">
        <v>6872</v>
      </c>
      <c r="AG10919" s="4" t="s">
        <v>7550</v>
      </c>
      <c r="AH10919" s="4" t="s">
        <v>4447</v>
      </c>
      <c r="AI10919" s="4" t="s">
        <v>4430</v>
      </c>
      <c r="AJ10919" s="4" t="s">
        <v>3483</v>
      </c>
      <c r="AK10919" s="4" t="s">
        <v>21947</v>
      </c>
      <c r="AL10919" s="4" t="s">
        <v>21948</v>
      </c>
      <c r="AM10919" s="4" t="s">
        <v>4431</v>
      </c>
      <c r="AN10919" s="4" t="s">
        <v>4447</v>
      </c>
      <c r="AO10919" s="4" t="s">
        <v>4431</v>
      </c>
      <c r="AP10919" s="4" t="s">
        <v>4448</v>
      </c>
      <c r="AQ10919" s="4" t="s">
        <v>15451</v>
      </c>
      <c r="AR10919" s="4" t="s">
        <v>2700</v>
      </c>
      <c r="AS10919" s="4" t="s">
        <v>7521</v>
      </c>
      <c r="AT10919" s="4" t="s">
        <v>7522</v>
      </c>
      <c r="AU10919" s="4" t="s">
        <v>7523</v>
      </c>
      <c r="AV10919" s="4" t="s">
        <v>21949</v>
      </c>
      <c r="AW10919" s="4" t="s">
        <v>7114</v>
      </c>
      <c r="AX10919" s="4" t="s">
        <v>4447</v>
      </c>
      <c r="AY10919" s="4" t="s">
        <v>21950</v>
      </c>
      <c r="AZ10919" s="4" t="s">
        <v>21951</v>
      </c>
      <c r="BA10919" s="4" t="s">
        <v>4441</v>
      </c>
      <c r="BB10919" s="4" t="s">
        <v>21952</v>
      </c>
      <c r="BC10919" s="4" t="s">
        <v>21953</v>
      </c>
      <c r="BD10919" s="4" t="s">
        <v>21954</v>
      </c>
      <c r="BE10919" s="4" t="s">
        <v>21955</v>
      </c>
      <c r="BF10919" s="4" t="s">
        <v>21946</v>
      </c>
      <c r="BG10919" s="4" t="s">
        <v>21956</v>
      </c>
      <c r="BH10919" s="4" t="s">
        <v>8453</v>
      </c>
      <c r="BI10919" s="4" t="s">
        <v>21957</v>
      </c>
      <c r="BJ10919" s="4" t="s">
        <v>21958</v>
      </c>
      <c r="BK10919" s="4" t="s">
        <v>8987</v>
      </c>
      <c r="BL10919" s="4" t="s">
        <v>3414</v>
      </c>
    </row>
    <row r="10920">
      <c r="A10920" s="4">
        <v>877.0</v>
      </c>
      <c r="B10920" s="4" t="s">
        <v>20303</v>
      </c>
      <c r="C10920" s="4"/>
      <c r="D10920" s="4" t="s">
        <v>21959</v>
      </c>
      <c r="E10920" s="4" t="s">
        <v>21960</v>
      </c>
      <c r="F10920" s="4" t="s">
        <v>21959</v>
      </c>
    </row>
    <row r="10921">
      <c r="A10921" s="4">
        <v>878.0</v>
      </c>
      <c r="B10921" s="4" t="s">
        <v>20303</v>
      </c>
      <c r="C10921" s="4"/>
      <c r="D10921" s="4" t="s">
        <v>21961</v>
      </c>
      <c r="E10921" s="4" t="s">
        <v>21962</v>
      </c>
      <c r="F10921" s="4" t="s">
        <v>21961</v>
      </c>
    </row>
    <row r="10922">
      <c r="A10922" s="4">
        <v>879.0</v>
      </c>
      <c r="B10922" s="4" t="s">
        <v>20303</v>
      </c>
      <c r="C10922" s="4"/>
      <c r="D10922" s="4" t="s">
        <v>21963</v>
      </c>
      <c r="E10922" s="4" t="s">
        <v>21960</v>
      </c>
      <c r="F10922" s="4" t="s">
        <v>21959</v>
      </c>
    </row>
    <row r="10923">
      <c r="A10923" s="4">
        <v>880.0</v>
      </c>
      <c r="B10923" s="4" t="s">
        <v>20303</v>
      </c>
      <c r="C10923" s="4"/>
      <c r="D10923" s="4" t="s">
        <v>21964</v>
      </c>
      <c r="E10923" s="4" t="s">
        <v>21962</v>
      </c>
      <c r="F10923" s="4" t="s">
        <v>21961</v>
      </c>
    </row>
    <row r="10924">
      <c r="A10924" s="4">
        <v>881.0</v>
      </c>
      <c r="B10924" s="4" t="s">
        <v>20303</v>
      </c>
      <c r="C10924" s="4"/>
      <c r="D10924" s="4" t="s">
        <v>21965</v>
      </c>
      <c r="E10924" s="4" t="s">
        <v>21966</v>
      </c>
      <c r="F10924" s="4" t="s">
        <v>21965</v>
      </c>
    </row>
    <row r="10925">
      <c r="A10925" s="4">
        <v>882.0</v>
      </c>
      <c r="B10925" s="4" t="s">
        <v>20303</v>
      </c>
      <c r="C10925" s="4"/>
      <c r="D10925" s="4" t="s">
        <v>21967</v>
      </c>
      <c r="E10925" s="4" t="s">
        <v>21968</v>
      </c>
      <c r="F10925" s="4" t="s">
        <v>21967</v>
      </c>
    </row>
    <row r="10926">
      <c r="A10926" s="4">
        <v>883.0</v>
      </c>
      <c r="B10926" s="4" t="s">
        <v>20303</v>
      </c>
      <c r="C10926" s="4"/>
      <c r="D10926" s="4" t="s">
        <v>21969</v>
      </c>
      <c r="E10926" s="4" t="s">
        <v>21970</v>
      </c>
      <c r="F10926" s="4" t="s">
        <v>21969</v>
      </c>
    </row>
    <row r="10927">
      <c r="A10927" s="4">
        <v>884.0</v>
      </c>
      <c r="B10927" s="4" t="s">
        <v>20303</v>
      </c>
      <c r="C10927" s="4"/>
      <c r="D10927" s="4" t="s">
        <v>21971</v>
      </c>
      <c r="E10927" s="4" t="s">
        <v>16452</v>
      </c>
      <c r="F10927" s="4" t="s">
        <v>16451</v>
      </c>
    </row>
    <row r="10928">
      <c r="A10928" s="4">
        <v>885.0</v>
      </c>
      <c r="B10928" s="4" t="s">
        <v>20303</v>
      </c>
      <c r="C10928" s="4"/>
      <c r="D10928" s="4" t="s">
        <v>4463</v>
      </c>
      <c r="E10928" s="4" t="s">
        <v>4464</v>
      </c>
      <c r="F10928" s="4" t="s">
        <v>4463</v>
      </c>
      <c r="G10928" s="4"/>
      <c r="H10928" s="4" t="s">
        <v>11528</v>
      </c>
      <c r="I10928" s="4" t="s">
        <v>11529</v>
      </c>
      <c r="J10928" s="4" t="s">
        <v>11530</v>
      </c>
    </row>
    <row r="10929">
      <c r="A10929" s="4">
        <v>886.0</v>
      </c>
      <c r="B10929" s="4" t="s">
        <v>20303</v>
      </c>
      <c r="C10929" s="4"/>
      <c r="D10929" s="4" t="s">
        <v>4490</v>
      </c>
      <c r="E10929" s="4" t="s">
        <v>4489</v>
      </c>
      <c r="F10929" s="4" t="s">
        <v>4490</v>
      </c>
    </row>
    <row r="10930">
      <c r="A10930" s="4">
        <v>887.0</v>
      </c>
      <c r="B10930" s="4" t="s">
        <v>20303</v>
      </c>
      <c r="C10930" s="4"/>
      <c r="D10930" s="4" t="s">
        <v>21972</v>
      </c>
      <c r="E10930" s="4" t="s">
        <v>21973</v>
      </c>
      <c r="F10930" s="4" t="s">
        <v>21972</v>
      </c>
      <c r="G10930" s="4"/>
      <c r="H10930" s="4" t="s">
        <v>347</v>
      </c>
      <c r="I10930" s="4" t="s">
        <v>21974</v>
      </c>
      <c r="J10930" s="4" t="s">
        <v>354</v>
      </c>
      <c r="K10930" s="4" t="s">
        <v>21975</v>
      </c>
      <c r="L10930" s="4" t="s">
        <v>21976</v>
      </c>
      <c r="M10930" s="4" t="s">
        <v>10073</v>
      </c>
      <c r="N10930" s="4" t="s">
        <v>4448</v>
      </c>
      <c r="O10930" s="4" t="s">
        <v>10073</v>
      </c>
      <c r="P10930" s="4" t="s">
        <v>4448</v>
      </c>
    </row>
    <row r="10931">
      <c r="A10931" s="4">
        <v>888.0</v>
      </c>
      <c r="B10931" s="4" t="s">
        <v>20303</v>
      </c>
      <c r="C10931" s="4"/>
      <c r="D10931" s="4" t="s">
        <v>21977</v>
      </c>
      <c r="E10931" s="4" t="s">
        <v>21978</v>
      </c>
      <c r="F10931" s="4" t="s">
        <v>21977</v>
      </c>
    </row>
    <row r="10932">
      <c r="A10932" s="4">
        <v>889.0</v>
      </c>
      <c r="B10932" s="4" t="s">
        <v>20303</v>
      </c>
      <c r="C10932" s="4"/>
      <c r="D10932" s="4" t="s">
        <v>4470</v>
      </c>
      <c r="E10932" s="4" t="s">
        <v>4471</v>
      </c>
      <c r="F10932" s="4" t="s">
        <v>4470</v>
      </c>
    </row>
    <row r="10933">
      <c r="A10933" s="4">
        <v>890.0</v>
      </c>
      <c r="B10933" s="4" t="s">
        <v>20303</v>
      </c>
      <c r="C10933" s="4"/>
      <c r="D10933" s="4" t="s">
        <v>21979</v>
      </c>
      <c r="E10933" s="4" t="s">
        <v>21980</v>
      </c>
      <c r="F10933" s="4" t="s">
        <v>21979</v>
      </c>
    </row>
    <row r="10934">
      <c r="A10934" s="4">
        <v>891.0</v>
      </c>
      <c r="B10934" s="4" t="s">
        <v>20303</v>
      </c>
      <c r="C10934" s="4"/>
      <c r="D10934" s="4" t="s">
        <v>21981</v>
      </c>
      <c r="E10934" s="4" t="s">
        <v>21982</v>
      </c>
      <c r="F10934" s="4" t="s">
        <v>21981</v>
      </c>
    </row>
    <row r="10935">
      <c r="A10935" s="4">
        <v>892.0</v>
      </c>
      <c r="B10935" s="4" t="s">
        <v>20303</v>
      </c>
      <c r="C10935" s="4"/>
      <c r="D10935" s="4" t="s">
        <v>21983</v>
      </c>
      <c r="E10935" s="4" t="s">
        <v>21980</v>
      </c>
      <c r="F10935" s="4" t="s">
        <v>21979</v>
      </c>
    </row>
    <row r="10936">
      <c r="A10936" s="4">
        <v>893.0</v>
      </c>
      <c r="B10936" s="4" t="s">
        <v>20303</v>
      </c>
      <c r="C10936" s="4"/>
      <c r="D10936" s="4" t="s">
        <v>21984</v>
      </c>
      <c r="E10936" s="4" t="s">
        <v>21982</v>
      </c>
      <c r="F10936" s="4" t="s">
        <v>21981</v>
      </c>
    </row>
    <row r="10937">
      <c r="A10937" s="4">
        <v>894.0</v>
      </c>
      <c r="B10937" s="4" t="s">
        <v>20303</v>
      </c>
      <c r="C10937" s="4"/>
      <c r="D10937" s="4" t="s">
        <v>21985</v>
      </c>
      <c r="E10937" s="4" t="s">
        <v>21986</v>
      </c>
      <c r="F10937" s="4" t="s">
        <v>21985</v>
      </c>
    </row>
    <row r="10938">
      <c r="A10938" s="4">
        <v>895.0</v>
      </c>
      <c r="B10938" s="4" t="s">
        <v>20303</v>
      </c>
      <c r="C10938" s="4"/>
      <c r="D10938" s="4" t="s">
        <v>21987</v>
      </c>
      <c r="E10938" s="4" t="s">
        <v>21988</v>
      </c>
      <c r="F10938" s="4" t="s">
        <v>21987</v>
      </c>
    </row>
    <row r="10939">
      <c r="A10939" s="4">
        <v>896.0</v>
      </c>
      <c r="B10939" s="4" t="s">
        <v>20303</v>
      </c>
      <c r="C10939" s="4"/>
      <c r="D10939" s="4" t="s">
        <v>21989</v>
      </c>
      <c r="E10939" s="4" t="s">
        <v>430</v>
      </c>
      <c r="F10939" s="4" t="s">
        <v>431</v>
      </c>
    </row>
    <row r="10940">
      <c r="A10940" s="4">
        <v>897.0</v>
      </c>
      <c r="B10940" s="4" t="s">
        <v>20303</v>
      </c>
      <c r="C10940" s="4"/>
      <c r="D10940" s="4" t="s">
        <v>4394</v>
      </c>
      <c r="E10940" s="4" t="s">
        <v>4393</v>
      </c>
      <c r="F10940" s="4" t="s">
        <v>4394</v>
      </c>
    </row>
    <row r="10941">
      <c r="A10941" s="4">
        <v>898.0</v>
      </c>
      <c r="B10941" s="4" t="s">
        <v>20303</v>
      </c>
      <c r="C10941" s="4"/>
      <c r="D10941" s="4" t="s">
        <v>21990</v>
      </c>
      <c r="E10941" s="4" t="s">
        <v>21991</v>
      </c>
      <c r="F10941" s="4" t="s">
        <v>21992</v>
      </c>
    </row>
    <row r="10942">
      <c r="A10942" s="4">
        <v>899.0</v>
      </c>
      <c r="B10942" s="4" t="s">
        <v>20303</v>
      </c>
      <c r="C10942" s="4"/>
      <c r="D10942" s="4" t="s">
        <v>21993</v>
      </c>
      <c r="E10942" s="4" t="s">
        <v>21994</v>
      </c>
      <c r="F10942" s="4" t="s">
        <v>21995</v>
      </c>
      <c r="G10942" s="4"/>
      <c r="H10942" s="4" t="s">
        <v>21993</v>
      </c>
      <c r="I10942" s="4" t="s">
        <v>6565</v>
      </c>
    </row>
    <row r="10943">
      <c r="A10943" s="4">
        <v>900.0</v>
      </c>
      <c r="B10943" s="4" t="s">
        <v>20303</v>
      </c>
      <c r="C10943" s="4"/>
      <c r="D10943" s="4" t="s">
        <v>8880</v>
      </c>
      <c r="E10943" s="4" t="s">
        <v>15552</v>
      </c>
      <c r="F10943" s="4" t="s">
        <v>8882</v>
      </c>
      <c r="G10943" s="4"/>
      <c r="H10943" s="4" t="s">
        <v>8880</v>
      </c>
    </row>
    <row r="10944">
      <c r="A10944" s="4">
        <v>901.0</v>
      </c>
      <c r="B10944" s="4" t="s">
        <v>20303</v>
      </c>
      <c r="C10944" s="4"/>
      <c r="D10944" s="4" t="s">
        <v>4555</v>
      </c>
      <c r="E10944" s="4" t="s">
        <v>4556</v>
      </c>
      <c r="F10944" s="4" t="s">
        <v>4555</v>
      </c>
    </row>
    <row r="10945">
      <c r="A10945" s="4">
        <v>902.0</v>
      </c>
      <c r="B10945" s="4" t="s">
        <v>20303</v>
      </c>
      <c r="C10945" s="4"/>
      <c r="D10945" s="4" t="s">
        <v>21996</v>
      </c>
      <c r="E10945" s="4" t="s">
        <v>21997</v>
      </c>
      <c r="F10945" s="4" t="s">
        <v>21998</v>
      </c>
    </row>
    <row r="10946">
      <c r="A10946" s="4">
        <v>903.0</v>
      </c>
      <c r="B10946" s="4" t="s">
        <v>20303</v>
      </c>
      <c r="C10946" s="4"/>
      <c r="D10946" s="4" t="s">
        <v>21999</v>
      </c>
      <c r="E10946" s="4" t="s">
        <v>458</v>
      </c>
      <c r="F10946" s="4" t="s">
        <v>459</v>
      </c>
    </row>
    <row r="10947">
      <c r="A10947" s="4">
        <v>904.0</v>
      </c>
      <c r="B10947" s="4" t="s">
        <v>20303</v>
      </c>
      <c r="C10947" s="4"/>
      <c r="D10947" s="4" t="s">
        <v>22000</v>
      </c>
      <c r="E10947" s="4" t="s">
        <v>22001</v>
      </c>
      <c r="F10947" s="4" t="s">
        <v>22000</v>
      </c>
    </row>
    <row r="10948">
      <c r="A10948" s="4">
        <v>905.0</v>
      </c>
      <c r="B10948" s="4" t="s">
        <v>20303</v>
      </c>
      <c r="C10948" s="4"/>
      <c r="D10948" s="4" t="s">
        <v>22002</v>
      </c>
      <c r="E10948" s="4" t="s">
        <v>18808</v>
      </c>
      <c r="F10948" s="4" t="s">
        <v>18807</v>
      </c>
      <c r="G10948" s="4"/>
      <c r="H10948" s="4" t="s">
        <v>8883</v>
      </c>
    </row>
    <row r="10949">
      <c r="A10949" s="4">
        <v>906.0</v>
      </c>
      <c r="B10949" s="4" t="s">
        <v>20303</v>
      </c>
      <c r="C10949" s="4"/>
      <c r="D10949" s="4" t="s">
        <v>16473</v>
      </c>
      <c r="E10949" s="4" t="s">
        <v>16474</v>
      </c>
      <c r="F10949" s="4" t="s">
        <v>16473</v>
      </c>
      <c r="G10949" s="4"/>
      <c r="H10949" s="4" t="s">
        <v>16473</v>
      </c>
      <c r="I10949" s="4" t="s">
        <v>22003</v>
      </c>
    </row>
    <row r="10950">
      <c r="A10950" s="4">
        <v>907.0</v>
      </c>
      <c r="B10950" s="4" t="s">
        <v>20303</v>
      </c>
      <c r="C10950" s="4"/>
      <c r="D10950" s="4" t="s">
        <v>22004</v>
      </c>
      <c r="E10950" s="4" t="s">
        <v>22005</v>
      </c>
      <c r="F10950" s="4" t="s">
        <v>22004</v>
      </c>
    </row>
    <row r="10951">
      <c r="A10951" s="4">
        <v>908.0</v>
      </c>
      <c r="B10951" s="4" t="s">
        <v>20303</v>
      </c>
      <c r="C10951" s="4"/>
      <c r="D10951" s="4" t="s">
        <v>22006</v>
      </c>
      <c r="E10951" s="4" t="s">
        <v>22007</v>
      </c>
      <c r="F10951" s="4" t="s">
        <v>22006</v>
      </c>
    </row>
    <row r="10952">
      <c r="A10952" s="4">
        <v>909.0</v>
      </c>
      <c r="B10952" s="4" t="s">
        <v>20303</v>
      </c>
      <c r="C10952" s="4"/>
      <c r="D10952" s="4" t="s">
        <v>22008</v>
      </c>
      <c r="E10952" s="4" t="s">
        <v>22009</v>
      </c>
      <c r="F10952" s="4" t="s">
        <v>22010</v>
      </c>
    </row>
    <row r="10953">
      <c r="A10953" s="4">
        <v>910.0</v>
      </c>
      <c r="B10953" s="4" t="s">
        <v>20303</v>
      </c>
      <c r="C10953" s="4"/>
      <c r="D10953" s="4" t="s">
        <v>22011</v>
      </c>
      <c r="E10953" s="4" t="s">
        <v>22012</v>
      </c>
      <c r="F10953" s="4" t="s">
        <v>22011</v>
      </c>
    </row>
    <row r="10954">
      <c r="A10954" s="4">
        <v>911.0</v>
      </c>
      <c r="B10954" s="4" t="s">
        <v>20303</v>
      </c>
      <c r="C10954" s="4"/>
      <c r="D10954" s="4" t="s">
        <v>22013</v>
      </c>
      <c r="E10954" s="4" t="s">
        <v>22014</v>
      </c>
      <c r="F10954" s="4" t="s">
        <v>22015</v>
      </c>
    </row>
    <row r="10955">
      <c r="A10955" s="4">
        <v>912.0</v>
      </c>
      <c r="B10955" s="4" t="s">
        <v>20303</v>
      </c>
      <c r="C10955" s="4"/>
      <c r="D10955" s="4" t="s">
        <v>13881</v>
      </c>
      <c r="E10955" s="4" t="s">
        <v>13880</v>
      </c>
      <c r="F10955" s="4" t="s">
        <v>13881</v>
      </c>
    </row>
    <row r="10956">
      <c r="A10956" s="4">
        <v>913.0</v>
      </c>
      <c r="B10956" s="4" t="s">
        <v>20303</v>
      </c>
      <c r="C10956" s="4"/>
      <c r="D10956" s="4" t="s">
        <v>4577</v>
      </c>
      <c r="E10956" s="4" t="s">
        <v>4578</v>
      </c>
      <c r="F10956" s="4" t="s">
        <v>4579</v>
      </c>
    </row>
    <row r="10957">
      <c r="A10957" s="4">
        <v>914.0</v>
      </c>
      <c r="B10957" s="4" t="s">
        <v>20303</v>
      </c>
      <c r="C10957" s="4"/>
      <c r="D10957" s="4" t="s">
        <v>4593</v>
      </c>
      <c r="E10957" s="4" t="s">
        <v>4594</v>
      </c>
      <c r="F10957" s="4" t="s">
        <v>4595</v>
      </c>
    </row>
    <row r="10958">
      <c r="A10958" s="4">
        <v>915.0</v>
      </c>
      <c r="B10958" s="4" t="s">
        <v>20303</v>
      </c>
      <c r="C10958" s="4"/>
      <c r="D10958" s="4" t="s">
        <v>22016</v>
      </c>
      <c r="E10958" s="4" t="s">
        <v>22017</v>
      </c>
      <c r="F10958" s="4" t="s">
        <v>22018</v>
      </c>
    </row>
    <row r="10959">
      <c r="A10959" s="4">
        <v>916.0</v>
      </c>
      <c r="B10959" s="4" t="s">
        <v>20303</v>
      </c>
      <c r="C10959" s="4"/>
      <c r="D10959" s="4" t="s">
        <v>22019</v>
      </c>
      <c r="E10959" s="4" t="s">
        <v>22020</v>
      </c>
      <c r="F10959" s="4" t="s">
        <v>22021</v>
      </c>
    </row>
    <row r="10960">
      <c r="A10960" s="4">
        <v>917.0</v>
      </c>
      <c r="B10960" s="4" t="s">
        <v>20303</v>
      </c>
      <c r="C10960" s="4"/>
      <c r="D10960" s="4" t="s">
        <v>22022</v>
      </c>
      <c r="E10960" s="4" t="s">
        <v>4556</v>
      </c>
      <c r="F10960" s="4" t="s">
        <v>4555</v>
      </c>
    </row>
    <row r="10961">
      <c r="A10961" s="4">
        <v>918.0</v>
      </c>
      <c r="B10961" s="4" t="s">
        <v>20303</v>
      </c>
      <c r="C10961" s="4"/>
      <c r="D10961" s="4" t="s">
        <v>4607</v>
      </c>
      <c r="E10961" s="4" t="s">
        <v>4608</v>
      </c>
      <c r="F10961" s="4" t="s">
        <v>4609</v>
      </c>
      <c r="G10961" s="4"/>
      <c r="H10961" s="4" t="s">
        <v>4610</v>
      </c>
      <c r="I10961" s="4" t="s">
        <v>4610</v>
      </c>
      <c r="J10961" s="4" t="s">
        <v>4611</v>
      </c>
      <c r="K10961" s="4" t="s">
        <v>4612</v>
      </c>
    </row>
    <row r="10962">
      <c r="A10962" s="4">
        <v>919.0</v>
      </c>
      <c r="B10962" s="4" t="s">
        <v>20303</v>
      </c>
      <c r="C10962" s="4"/>
      <c r="D10962" s="4" t="s">
        <v>1860</v>
      </c>
      <c r="E10962" s="4" t="s">
        <v>1859</v>
      </c>
      <c r="F10962" s="4" t="s">
        <v>1860</v>
      </c>
    </row>
    <row r="10963">
      <c r="A10963" s="4">
        <v>920.0</v>
      </c>
      <c r="B10963" s="4" t="s">
        <v>20303</v>
      </c>
      <c r="C10963" s="4"/>
      <c r="D10963" s="4" t="s">
        <v>1864</v>
      </c>
      <c r="E10963" s="4" t="s">
        <v>1863</v>
      </c>
      <c r="F10963" s="4" t="s">
        <v>1864</v>
      </c>
    </row>
    <row r="10964">
      <c r="A10964" s="4">
        <v>921.0</v>
      </c>
      <c r="B10964" s="4" t="s">
        <v>20303</v>
      </c>
      <c r="C10964" s="4"/>
      <c r="D10964" s="4" t="s">
        <v>21033</v>
      </c>
      <c r="E10964" s="4" t="s">
        <v>21032</v>
      </c>
      <c r="F10964" s="4" t="s">
        <v>21033</v>
      </c>
    </row>
    <row r="10965">
      <c r="A10965" s="4">
        <v>922.0</v>
      </c>
      <c r="B10965" s="4" t="s">
        <v>20303</v>
      </c>
      <c r="C10965" s="4"/>
      <c r="D10965" s="4" t="s">
        <v>4640</v>
      </c>
      <c r="E10965" s="4" t="s">
        <v>4639</v>
      </c>
      <c r="F10965" s="4" t="s">
        <v>4640</v>
      </c>
    </row>
    <row r="10966">
      <c r="A10966" s="4">
        <v>923.0</v>
      </c>
      <c r="B10966" s="4" t="s">
        <v>20303</v>
      </c>
      <c r="C10966" s="4"/>
      <c r="D10966" s="4" t="s">
        <v>4638</v>
      </c>
      <c r="E10966" s="4" t="s">
        <v>4656</v>
      </c>
      <c r="F10966" s="4" t="s">
        <v>4638</v>
      </c>
      <c r="G10966" s="4"/>
      <c r="H10966" s="4" t="s">
        <v>4641</v>
      </c>
      <c r="I10966" s="4" t="s">
        <v>4642</v>
      </c>
      <c r="J10966" s="4" t="s">
        <v>4643</v>
      </c>
      <c r="K10966" s="4" t="s">
        <v>4644</v>
      </c>
      <c r="L10966" s="4" t="s">
        <v>4645</v>
      </c>
      <c r="M10966" s="4" t="s">
        <v>4646</v>
      </c>
      <c r="N10966" s="4" t="s">
        <v>4645</v>
      </c>
      <c r="O10966" s="4" t="s">
        <v>4644</v>
      </c>
      <c r="P10966" s="4" t="s">
        <v>4646</v>
      </c>
      <c r="Q10966" s="4" t="s">
        <v>4647</v>
      </c>
      <c r="R10966" s="4" t="s">
        <v>4648</v>
      </c>
      <c r="S10966" s="4" t="s">
        <v>22023</v>
      </c>
      <c r="T10966" s="4" t="s">
        <v>22024</v>
      </c>
      <c r="U10966" s="4" t="s">
        <v>22025</v>
      </c>
      <c r="V10966" s="4" t="s">
        <v>3048</v>
      </c>
      <c r="W10966" s="4" t="s">
        <v>22026</v>
      </c>
      <c r="X10966" s="4" t="s">
        <v>4653</v>
      </c>
      <c r="Y10966" s="4" t="s">
        <v>4652</v>
      </c>
      <c r="Z10966" s="4" t="s">
        <v>4649</v>
      </c>
      <c r="AA10966" s="4" t="s">
        <v>4650</v>
      </c>
      <c r="AB10966" s="4" t="s">
        <v>4649</v>
      </c>
      <c r="AC10966" s="4" t="s">
        <v>4651</v>
      </c>
      <c r="AD10966" s="4" t="s">
        <v>4496</v>
      </c>
      <c r="AE10966" s="4" t="s">
        <v>4652</v>
      </c>
      <c r="AF10966" s="4" t="s">
        <v>3048</v>
      </c>
      <c r="AG10966" s="4" t="s">
        <v>3050</v>
      </c>
      <c r="AH10966" s="4" t="s">
        <v>4653</v>
      </c>
      <c r="AI10966" s="4" t="s">
        <v>22027</v>
      </c>
      <c r="AJ10966" s="4" t="s">
        <v>22028</v>
      </c>
      <c r="AK10966" s="4" t="s">
        <v>22029</v>
      </c>
      <c r="AL10966" s="4" t="s">
        <v>21767</v>
      </c>
      <c r="AM10966" s="4" t="s">
        <v>22030</v>
      </c>
      <c r="AN10966" s="4" t="s">
        <v>4642</v>
      </c>
      <c r="AO10966" s="4" t="s">
        <v>4652</v>
      </c>
      <c r="AP10966" s="4" t="s">
        <v>3048</v>
      </c>
      <c r="AQ10966" s="4" t="s">
        <v>4653</v>
      </c>
      <c r="AR10966" s="4" t="s">
        <v>4649</v>
      </c>
      <c r="AS10966" s="4" t="s">
        <v>4644</v>
      </c>
      <c r="AT10966" s="4" t="s">
        <v>4644</v>
      </c>
      <c r="AU10966" s="4" t="s">
        <v>4642</v>
      </c>
    </row>
    <row r="10967">
      <c r="A10967" s="4">
        <v>924.0</v>
      </c>
      <c r="B10967" s="4" t="s">
        <v>20303</v>
      </c>
      <c r="C10967" s="4"/>
      <c r="D10967" s="4" t="s">
        <v>22031</v>
      </c>
      <c r="E10967" s="4" t="s">
        <v>22032</v>
      </c>
      <c r="F10967" s="4" t="s">
        <v>22033</v>
      </c>
    </row>
    <row r="10968">
      <c r="A10968" s="4">
        <v>925.0</v>
      </c>
      <c r="B10968" s="4" t="s">
        <v>20303</v>
      </c>
      <c r="C10968" s="4"/>
      <c r="D10968" s="4" t="s">
        <v>22034</v>
      </c>
      <c r="E10968" s="4" t="s">
        <v>22035</v>
      </c>
      <c r="F10968" s="4" t="s">
        <v>22036</v>
      </c>
    </row>
    <row r="10969">
      <c r="A10969" s="4">
        <v>926.0</v>
      </c>
      <c r="B10969" s="4" t="s">
        <v>20303</v>
      </c>
      <c r="C10969" s="4"/>
      <c r="D10969" s="4" t="s">
        <v>4659</v>
      </c>
      <c r="E10969" s="4" t="s">
        <v>4639</v>
      </c>
      <c r="F10969" s="4" t="s">
        <v>4640</v>
      </c>
    </row>
    <row r="10970">
      <c r="A10970" s="4">
        <v>927.0</v>
      </c>
      <c r="B10970" s="4" t="s">
        <v>20303</v>
      </c>
      <c r="C10970" s="4"/>
      <c r="D10970" s="4" t="s">
        <v>22037</v>
      </c>
      <c r="E10970" s="4" t="s">
        <v>22038</v>
      </c>
      <c r="F10970" s="4" t="s">
        <v>22037</v>
      </c>
    </row>
    <row r="10971">
      <c r="A10971" s="4">
        <v>928.0</v>
      </c>
      <c r="B10971" s="4" t="s">
        <v>20303</v>
      </c>
      <c r="C10971" s="4"/>
      <c r="D10971" s="4" t="s">
        <v>22039</v>
      </c>
      <c r="E10971" s="4" t="s">
        <v>22040</v>
      </c>
      <c r="F10971" s="4" t="s">
        <v>22039</v>
      </c>
    </row>
    <row r="10972">
      <c r="A10972" s="4">
        <v>929.0</v>
      </c>
      <c r="B10972" s="4" t="s">
        <v>20303</v>
      </c>
      <c r="C10972" s="4"/>
      <c r="D10972" s="4" t="s">
        <v>22041</v>
      </c>
      <c r="E10972" s="4" t="s">
        <v>22042</v>
      </c>
      <c r="F10972" s="4" t="s">
        <v>22043</v>
      </c>
    </row>
    <row r="10973">
      <c r="A10973" s="4">
        <v>930.0</v>
      </c>
      <c r="B10973" s="4" t="s">
        <v>20303</v>
      </c>
      <c r="C10973" s="4"/>
      <c r="D10973" s="4" t="s">
        <v>22044</v>
      </c>
      <c r="E10973" s="4" t="s">
        <v>22045</v>
      </c>
      <c r="F10973" s="4" t="s">
        <v>22046</v>
      </c>
    </row>
    <row r="10974">
      <c r="A10974" s="4">
        <v>931.0</v>
      </c>
      <c r="B10974" s="4" t="s">
        <v>20303</v>
      </c>
      <c r="C10974" s="4"/>
      <c r="D10974" s="4" t="s">
        <v>22047</v>
      </c>
      <c r="E10974" s="4" t="s">
        <v>22048</v>
      </c>
      <c r="F10974" s="4" t="s">
        <v>22047</v>
      </c>
    </row>
    <row r="10975">
      <c r="A10975" s="4">
        <v>932.0</v>
      </c>
      <c r="B10975" s="4" t="s">
        <v>20303</v>
      </c>
      <c r="C10975" s="4"/>
      <c r="D10975" s="4" t="s">
        <v>19726</v>
      </c>
      <c r="E10975" s="4" t="s">
        <v>21047</v>
      </c>
      <c r="F10975" s="4" t="s">
        <v>19726</v>
      </c>
      <c r="G10975" s="4"/>
      <c r="H10975" s="4" t="s">
        <v>4799</v>
      </c>
      <c r="I10975" s="4" t="s">
        <v>22049</v>
      </c>
      <c r="J10975" s="4" t="s">
        <v>4799</v>
      </c>
      <c r="K10975" s="4" t="s">
        <v>22050</v>
      </c>
      <c r="L10975" s="4" t="s">
        <v>22051</v>
      </c>
      <c r="M10975" s="4" t="s">
        <v>22052</v>
      </c>
      <c r="N10975" s="4" t="s">
        <v>3085</v>
      </c>
      <c r="O10975" s="4" t="s">
        <v>4799</v>
      </c>
      <c r="P10975" s="4" t="s">
        <v>22053</v>
      </c>
      <c r="Q10975" s="4" t="s">
        <v>11348</v>
      </c>
      <c r="R10975" s="4" t="s">
        <v>22052</v>
      </c>
      <c r="S10975" s="4" t="s">
        <v>4799</v>
      </c>
      <c r="T10975" s="4" t="s">
        <v>4799</v>
      </c>
    </row>
    <row r="10976">
      <c r="A10976" s="4">
        <v>933.0</v>
      </c>
      <c r="B10976" s="4" t="s">
        <v>20303</v>
      </c>
      <c r="C10976" s="4"/>
      <c r="D10976" s="4" t="s">
        <v>22054</v>
      </c>
      <c r="E10976" s="4" t="s">
        <v>22055</v>
      </c>
      <c r="F10976" s="4" t="s">
        <v>22054</v>
      </c>
    </row>
    <row r="10977">
      <c r="A10977" s="4">
        <v>934.0</v>
      </c>
      <c r="B10977" s="4" t="s">
        <v>20303</v>
      </c>
      <c r="C10977" s="4"/>
      <c r="D10977" s="4" t="s">
        <v>22056</v>
      </c>
      <c r="E10977" s="4" t="s">
        <v>22057</v>
      </c>
      <c r="F10977" s="4" t="s">
        <v>22056</v>
      </c>
    </row>
    <row r="10978">
      <c r="A10978" s="4">
        <v>935.0</v>
      </c>
      <c r="B10978" s="4" t="s">
        <v>20303</v>
      </c>
      <c r="C10978" s="4"/>
      <c r="D10978" s="4" t="s">
        <v>22058</v>
      </c>
      <c r="E10978" s="4" t="s">
        <v>22055</v>
      </c>
      <c r="F10978" s="4" t="s">
        <v>22054</v>
      </c>
    </row>
    <row r="10979">
      <c r="A10979" s="4">
        <v>936.0</v>
      </c>
      <c r="B10979" s="4" t="s">
        <v>20303</v>
      </c>
      <c r="C10979" s="4"/>
      <c r="D10979" s="4" t="s">
        <v>22059</v>
      </c>
      <c r="E10979" s="4" t="s">
        <v>22057</v>
      </c>
      <c r="F10979" s="4" t="s">
        <v>22056</v>
      </c>
    </row>
    <row r="10980">
      <c r="A10980" s="4">
        <v>937.0</v>
      </c>
      <c r="B10980" s="4" t="s">
        <v>20303</v>
      </c>
      <c r="C10980" s="4"/>
      <c r="D10980" s="4" t="s">
        <v>22060</v>
      </c>
      <c r="E10980" s="4" t="s">
        <v>22061</v>
      </c>
      <c r="F10980" s="4" t="s">
        <v>22060</v>
      </c>
    </row>
    <row r="10981">
      <c r="A10981" s="4">
        <v>938.0</v>
      </c>
      <c r="B10981" s="4" t="s">
        <v>20303</v>
      </c>
      <c r="C10981" s="4"/>
      <c r="D10981" s="4" t="s">
        <v>22062</v>
      </c>
      <c r="E10981" s="4" t="s">
        <v>22063</v>
      </c>
      <c r="F10981" s="4" t="s">
        <v>22064</v>
      </c>
    </row>
    <row r="10982">
      <c r="A10982" s="4">
        <v>939.0</v>
      </c>
      <c r="B10982" s="4" t="s">
        <v>20303</v>
      </c>
      <c r="C10982" s="4"/>
      <c r="D10982" s="4" t="s">
        <v>22065</v>
      </c>
      <c r="E10982" s="4" t="s">
        <v>22066</v>
      </c>
      <c r="F10982" s="4" t="s">
        <v>22067</v>
      </c>
    </row>
    <row r="10983">
      <c r="A10983" s="4">
        <v>940.0</v>
      </c>
      <c r="B10983" s="4" t="s">
        <v>20303</v>
      </c>
      <c r="C10983" s="4"/>
      <c r="D10983" s="4" t="s">
        <v>22068</v>
      </c>
      <c r="E10983" s="4" t="s">
        <v>22069</v>
      </c>
      <c r="F10983" s="4" t="s">
        <v>22068</v>
      </c>
      <c r="G10983" s="4"/>
      <c r="H10983" s="4" t="s">
        <v>22070</v>
      </c>
      <c r="I10983" s="4" t="s">
        <v>22070</v>
      </c>
      <c r="J10983" s="4" t="s">
        <v>22071</v>
      </c>
    </row>
    <row r="10984">
      <c r="A10984" s="4">
        <v>941.0</v>
      </c>
      <c r="B10984" s="4" t="s">
        <v>20303</v>
      </c>
      <c r="C10984" s="4"/>
      <c r="D10984" s="4" t="s">
        <v>22072</v>
      </c>
      <c r="E10984" s="4" t="s">
        <v>22073</v>
      </c>
      <c r="F10984" s="4" t="s">
        <v>22072</v>
      </c>
      <c r="G10984" s="4"/>
      <c r="H10984" s="4" t="s">
        <v>15061</v>
      </c>
      <c r="I10984" s="4" t="s">
        <v>22074</v>
      </c>
      <c r="J10984" s="4" t="s">
        <v>8236</v>
      </c>
    </row>
    <row r="10985">
      <c r="A10985" s="4">
        <v>942.0</v>
      </c>
      <c r="B10985" s="4" t="s">
        <v>20303</v>
      </c>
      <c r="C10985" s="4"/>
      <c r="D10985" s="4" t="s">
        <v>22075</v>
      </c>
      <c r="E10985" s="4" t="s">
        <v>21127</v>
      </c>
      <c r="F10985" s="4" t="s">
        <v>21128</v>
      </c>
    </row>
    <row r="10986">
      <c r="A10986" s="4">
        <v>943.0</v>
      </c>
      <c r="B10986" s="4" t="s">
        <v>20303</v>
      </c>
      <c r="C10986" s="4"/>
      <c r="D10986" s="4" t="s">
        <v>22076</v>
      </c>
      <c r="E10986" s="4" t="s">
        <v>22077</v>
      </c>
      <c r="F10986" s="4" t="s">
        <v>22078</v>
      </c>
    </row>
    <row r="10987">
      <c r="A10987" s="4">
        <v>944.0</v>
      </c>
      <c r="B10987" s="4" t="s">
        <v>20303</v>
      </c>
      <c r="C10987" s="4"/>
      <c r="D10987" s="4" t="s">
        <v>22076</v>
      </c>
      <c r="E10987" s="4" t="s">
        <v>22079</v>
      </c>
      <c r="F10987" s="4" t="s">
        <v>22080</v>
      </c>
    </row>
    <row r="10988">
      <c r="A10988" s="4">
        <v>945.0</v>
      </c>
      <c r="B10988" s="4" t="s">
        <v>20303</v>
      </c>
      <c r="C10988" s="4"/>
      <c r="D10988" s="4" t="s">
        <v>22081</v>
      </c>
      <c r="E10988" s="4" t="s">
        <v>400</v>
      </c>
      <c r="F10988" s="4" t="s">
        <v>401</v>
      </c>
    </row>
    <row r="10989">
      <c r="A10989" s="4">
        <v>946.0</v>
      </c>
      <c r="B10989" s="4" t="s">
        <v>20303</v>
      </c>
      <c r="C10989" s="4"/>
      <c r="D10989" s="4" t="s">
        <v>22082</v>
      </c>
      <c r="E10989" s="4" t="s">
        <v>22083</v>
      </c>
      <c r="F10989" s="4" t="s">
        <v>9207</v>
      </c>
    </row>
    <row r="10990">
      <c r="A10990" s="4">
        <v>947.0</v>
      </c>
      <c r="B10990" s="4" t="s">
        <v>20303</v>
      </c>
      <c r="C10990" s="4"/>
      <c r="D10990" s="4" t="s">
        <v>22084</v>
      </c>
      <c r="E10990" s="4" t="s">
        <v>22085</v>
      </c>
      <c r="F10990" s="4" t="s">
        <v>14748</v>
      </c>
      <c r="G10990" s="4"/>
      <c r="H10990" s="4" t="s">
        <v>22086</v>
      </c>
      <c r="I10990" s="4" t="s">
        <v>22087</v>
      </c>
      <c r="J10990" s="4" t="s">
        <v>22088</v>
      </c>
      <c r="K10990" s="4" t="s">
        <v>22089</v>
      </c>
      <c r="L10990" s="4" t="s">
        <v>22090</v>
      </c>
      <c r="M10990" s="4" t="s">
        <v>22091</v>
      </c>
      <c r="N10990" s="4" t="s">
        <v>997</v>
      </c>
      <c r="O10990" s="4" t="s">
        <v>22092</v>
      </c>
      <c r="P10990" s="4" t="s">
        <v>19816</v>
      </c>
      <c r="Q10990" s="4" t="s">
        <v>22086</v>
      </c>
      <c r="R10990" s="4" t="s">
        <v>22087</v>
      </c>
      <c r="S10990" s="4" t="s">
        <v>22093</v>
      </c>
      <c r="T10990" s="4" t="s">
        <v>6967</v>
      </c>
      <c r="U10990" s="4" t="s">
        <v>3216</v>
      </c>
    </row>
    <row r="10991">
      <c r="A10991" s="4">
        <v>948.0</v>
      </c>
      <c r="B10991" s="4" t="s">
        <v>20303</v>
      </c>
      <c r="C10991" s="4"/>
      <c r="D10991" s="4" t="s">
        <v>22094</v>
      </c>
      <c r="E10991" s="4" t="s">
        <v>653</v>
      </c>
      <c r="F10991" s="4" t="s">
        <v>652</v>
      </c>
    </row>
    <row r="10992">
      <c r="A10992" s="4">
        <v>949.0</v>
      </c>
      <c r="B10992" s="4" t="s">
        <v>20303</v>
      </c>
      <c r="C10992" s="4"/>
      <c r="D10992" s="4" t="s">
        <v>22095</v>
      </c>
      <c r="E10992" s="4" t="s">
        <v>4775</v>
      </c>
      <c r="F10992" s="4" t="s">
        <v>4776</v>
      </c>
    </row>
    <row r="10993">
      <c r="A10993" s="4">
        <v>950.0</v>
      </c>
      <c r="B10993" s="4" t="s">
        <v>20303</v>
      </c>
      <c r="C10993" s="4"/>
      <c r="D10993" s="4" t="s">
        <v>16664</v>
      </c>
      <c r="E10993" s="4" t="s">
        <v>16663</v>
      </c>
      <c r="F10993" s="4" t="s">
        <v>16664</v>
      </c>
    </row>
    <row r="10994">
      <c r="A10994" s="4">
        <v>951.0</v>
      </c>
      <c r="B10994" s="4" t="s">
        <v>20303</v>
      </c>
      <c r="C10994" s="4"/>
      <c r="D10994" s="4" t="s">
        <v>3055</v>
      </c>
      <c r="E10994" s="4" t="s">
        <v>3054</v>
      </c>
      <c r="F10994" s="4" t="s">
        <v>3055</v>
      </c>
    </row>
    <row r="10995">
      <c r="A10995" s="4">
        <v>952.0</v>
      </c>
      <c r="B10995" s="4" t="s">
        <v>20303</v>
      </c>
      <c r="C10995" s="4"/>
      <c r="D10995" s="4" t="s">
        <v>22096</v>
      </c>
      <c r="E10995" s="4" t="s">
        <v>22097</v>
      </c>
      <c r="F10995" s="4" t="s">
        <v>22096</v>
      </c>
    </row>
    <row r="10996">
      <c r="A10996" s="4">
        <v>953.0</v>
      </c>
      <c r="B10996" s="4" t="s">
        <v>20303</v>
      </c>
      <c r="C10996" s="4"/>
      <c r="D10996" s="4" t="s">
        <v>18379</v>
      </c>
      <c r="E10996" s="4" t="s">
        <v>18378</v>
      </c>
      <c r="F10996" s="4" t="s">
        <v>18379</v>
      </c>
    </row>
    <row r="10997">
      <c r="A10997" s="4">
        <v>954.0</v>
      </c>
      <c r="B10997" s="4" t="s">
        <v>20303</v>
      </c>
      <c r="C10997" s="4"/>
      <c r="D10997" s="4" t="s">
        <v>22098</v>
      </c>
      <c r="E10997" s="4" t="s">
        <v>22099</v>
      </c>
      <c r="F10997" s="4" t="s">
        <v>22098</v>
      </c>
    </row>
    <row r="10998">
      <c r="A10998" s="4">
        <v>955.0</v>
      </c>
      <c r="B10998" s="4" t="s">
        <v>20303</v>
      </c>
      <c r="C10998" s="4"/>
      <c r="D10998" s="4" t="s">
        <v>22100</v>
      </c>
      <c r="E10998" s="4" t="s">
        <v>22101</v>
      </c>
      <c r="F10998" s="4" t="s">
        <v>22100</v>
      </c>
    </row>
    <row r="10999">
      <c r="A10999" s="4">
        <v>956.0</v>
      </c>
      <c r="B10999" s="4" t="s">
        <v>20303</v>
      </c>
      <c r="C10999" s="4"/>
      <c r="D10999" s="4" t="s">
        <v>3066</v>
      </c>
      <c r="E10999" s="4" t="s">
        <v>3065</v>
      </c>
      <c r="F10999" s="4" t="s">
        <v>3066</v>
      </c>
    </row>
    <row r="11000">
      <c r="A11000" s="4">
        <v>957.0</v>
      </c>
      <c r="B11000" s="4" t="s">
        <v>20303</v>
      </c>
      <c r="C11000" s="4"/>
      <c r="D11000" s="4" t="s">
        <v>22102</v>
      </c>
      <c r="E11000" s="4" t="s">
        <v>22103</v>
      </c>
      <c r="F11000" s="4" t="s">
        <v>22104</v>
      </c>
    </row>
    <row r="11001">
      <c r="A11001" s="4">
        <v>958.0</v>
      </c>
      <c r="B11001" s="4" t="s">
        <v>20303</v>
      </c>
      <c r="C11001" s="4"/>
      <c r="D11001" s="4" t="s">
        <v>22105</v>
      </c>
      <c r="E11001" s="4" t="s">
        <v>19878</v>
      </c>
      <c r="F11001" s="4" t="s">
        <v>19877</v>
      </c>
      <c r="G11001" s="4"/>
      <c r="H11001" s="4" t="s">
        <v>22106</v>
      </c>
      <c r="I11001" s="4" t="s">
        <v>22107</v>
      </c>
      <c r="J11001" s="4" t="s">
        <v>22108</v>
      </c>
      <c r="K11001" s="4" t="s">
        <v>19882</v>
      </c>
      <c r="L11001" s="4" t="s">
        <v>22109</v>
      </c>
      <c r="M11001" s="4" t="s">
        <v>16185</v>
      </c>
      <c r="N11001" s="4" t="s">
        <v>19882</v>
      </c>
      <c r="O11001" s="4" t="s">
        <v>19883</v>
      </c>
      <c r="P11001" s="4" t="s">
        <v>17013</v>
      </c>
      <c r="Q11001" s="4" t="s">
        <v>17014</v>
      </c>
    </row>
    <row r="11002">
      <c r="A11002" s="4">
        <v>1.0</v>
      </c>
      <c r="B11002" s="4" t="s">
        <v>22110</v>
      </c>
      <c r="C11002" s="4"/>
      <c r="D11002" s="4" t="s">
        <v>20305</v>
      </c>
      <c r="E11002" s="4" t="s">
        <v>20306</v>
      </c>
      <c r="F11002" s="4" t="s">
        <v>20307</v>
      </c>
    </row>
    <row r="11003">
      <c r="A11003" s="4">
        <v>2.0</v>
      </c>
      <c r="B11003" s="4" t="s">
        <v>22110</v>
      </c>
      <c r="C11003" s="4"/>
      <c r="D11003" s="4" t="s">
        <v>20308</v>
      </c>
      <c r="E11003" s="4" t="s">
        <v>20309</v>
      </c>
      <c r="F11003" s="4" t="s">
        <v>20310</v>
      </c>
      <c r="G11003" s="4"/>
      <c r="H11003" s="4" t="s">
        <v>20311</v>
      </c>
    </row>
    <row r="11004">
      <c r="A11004" s="4">
        <v>3.0</v>
      </c>
      <c r="B11004" s="4" t="s">
        <v>22110</v>
      </c>
      <c r="C11004" s="4"/>
      <c r="D11004" s="4" t="s">
        <v>20312</v>
      </c>
      <c r="E11004" s="4" t="s">
        <v>20313</v>
      </c>
      <c r="F11004" s="4" t="s">
        <v>20314</v>
      </c>
    </row>
    <row r="11005">
      <c r="A11005" s="4">
        <v>4.0</v>
      </c>
      <c r="B11005" s="4" t="s">
        <v>22110</v>
      </c>
      <c r="C11005" s="4"/>
      <c r="D11005" s="4" t="s">
        <v>20315</v>
      </c>
      <c r="E11005" s="4" t="s">
        <v>20316</v>
      </c>
      <c r="F11005" s="4" t="s">
        <v>20317</v>
      </c>
    </row>
    <row r="11006">
      <c r="A11006" s="4">
        <v>5.0</v>
      </c>
      <c r="B11006" s="4" t="s">
        <v>22110</v>
      </c>
      <c r="C11006" s="4"/>
      <c r="D11006" s="4" t="s">
        <v>20318</v>
      </c>
      <c r="E11006" s="4" t="s">
        <v>20319</v>
      </c>
      <c r="F11006" s="4" t="s">
        <v>20320</v>
      </c>
    </row>
    <row r="11007">
      <c r="A11007" s="4">
        <v>6.0</v>
      </c>
      <c r="B11007" s="4" t="s">
        <v>22110</v>
      </c>
      <c r="C11007" s="4"/>
      <c r="D11007" s="4" t="s">
        <v>479</v>
      </c>
      <c r="E11007" s="4" t="s">
        <v>480</v>
      </c>
      <c r="F11007" s="4" t="s">
        <v>481</v>
      </c>
      <c r="G11007" s="4"/>
      <c r="H11007" s="4" t="s">
        <v>482</v>
      </c>
      <c r="I11007" s="4" t="s">
        <v>483</v>
      </c>
      <c r="J11007" s="4" t="s">
        <v>484</v>
      </c>
      <c r="K11007" s="4" t="s">
        <v>485</v>
      </c>
      <c r="L11007" s="4" t="s">
        <v>486</v>
      </c>
      <c r="M11007" s="4" t="s">
        <v>487</v>
      </c>
      <c r="N11007" s="4" t="s">
        <v>488</v>
      </c>
      <c r="O11007" s="4" t="s">
        <v>489</v>
      </c>
      <c r="P11007" s="4" t="s">
        <v>490</v>
      </c>
      <c r="Q11007" s="4" t="s">
        <v>491</v>
      </c>
      <c r="R11007" s="4" t="s">
        <v>492</v>
      </c>
      <c r="S11007" s="4" t="s">
        <v>493</v>
      </c>
      <c r="T11007" s="4" t="s">
        <v>20321</v>
      </c>
      <c r="U11007" s="4" t="s">
        <v>485</v>
      </c>
      <c r="V11007" s="4" t="s">
        <v>20322</v>
      </c>
      <c r="W11007" s="4" t="s">
        <v>20323</v>
      </c>
      <c r="X11007" s="4" t="s">
        <v>20324</v>
      </c>
      <c r="Y11007" s="4" t="s">
        <v>20325</v>
      </c>
      <c r="Z11007" s="4" t="s">
        <v>494</v>
      </c>
      <c r="AA11007" s="4" t="s">
        <v>494</v>
      </c>
      <c r="AB11007" s="4" t="s">
        <v>495</v>
      </c>
      <c r="AC11007" s="4" t="s">
        <v>496</v>
      </c>
      <c r="AD11007" s="4" t="s">
        <v>497</v>
      </c>
      <c r="AE11007" s="4" t="s">
        <v>498</v>
      </c>
      <c r="AF11007" s="4" t="s">
        <v>499</v>
      </c>
    </row>
    <row r="11008">
      <c r="A11008" s="4">
        <v>7.0</v>
      </c>
      <c r="B11008" s="4" t="s">
        <v>22110</v>
      </c>
      <c r="C11008" s="4"/>
      <c r="D11008" s="4" t="s">
        <v>20326</v>
      </c>
      <c r="E11008" s="4" t="s">
        <v>20327</v>
      </c>
      <c r="F11008" s="4" t="s">
        <v>20328</v>
      </c>
    </row>
    <row r="11009">
      <c r="A11009" s="4">
        <v>8.0</v>
      </c>
      <c r="B11009" s="4" t="s">
        <v>22110</v>
      </c>
      <c r="C11009" s="4"/>
      <c r="D11009" s="4" t="s">
        <v>20329</v>
      </c>
      <c r="E11009" s="4" t="s">
        <v>4896</v>
      </c>
      <c r="F11009" s="4" t="s">
        <v>4897</v>
      </c>
    </row>
    <row r="11010">
      <c r="A11010" s="4">
        <v>9.0</v>
      </c>
      <c r="B11010" s="4" t="s">
        <v>22110</v>
      </c>
      <c r="C11010" s="4"/>
      <c r="D11010" s="4" t="s">
        <v>20330</v>
      </c>
      <c r="E11010" s="4" t="s">
        <v>20331</v>
      </c>
      <c r="F11010" s="4" t="s">
        <v>20332</v>
      </c>
      <c r="G11010" s="4"/>
      <c r="H11010" s="4" t="s">
        <v>917</v>
      </c>
      <c r="I11010" s="4" t="s">
        <v>20333</v>
      </c>
      <c r="J11010" s="4" t="s">
        <v>917</v>
      </c>
      <c r="K11010" s="4" t="s">
        <v>20334</v>
      </c>
    </row>
    <row r="11011">
      <c r="A11011" s="4">
        <v>10.0</v>
      </c>
      <c r="B11011" s="4" t="s">
        <v>22110</v>
      </c>
      <c r="C11011" s="4"/>
      <c r="D11011" s="4" t="s">
        <v>20335</v>
      </c>
      <c r="E11011" s="4" t="s">
        <v>20336</v>
      </c>
      <c r="F11011" s="4" t="s">
        <v>20337</v>
      </c>
    </row>
    <row r="11012">
      <c r="A11012" s="4">
        <v>11.0</v>
      </c>
      <c r="B11012" s="4" t="s">
        <v>22110</v>
      </c>
      <c r="C11012" s="4"/>
      <c r="D11012" s="4" t="s">
        <v>20338</v>
      </c>
      <c r="E11012" s="4" t="s">
        <v>20339</v>
      </c>
      <c r="F11012" s="4" t="s">
        <v>20340</v>
      </c>
    </row>
    <row r="11013">
      <c r="A11013" s="4">
        <v>12.0</v>
      </c>
      <c r="B11013" s="4" t="s">
        <v>22110</v>
      </c>
      <c r="C11013" s="4"/>
      <c r="D11013" s="4" t="s">
        <v>20341</v>
      </c>
      <c r="E11013" s="4" t="s">
        <v>20336</v>
      </c>
      <c r="F11013" s="4" t="s">
        <v>20337</v>
      </c>
    </row>
    <row r="11014">
      <c r="A11014" s="4">
        <v>13.0</v>
      </c>
      <c r="B11014" s="4" t="s">
        <v>22110</v>
      </c>
      <c r="C11014" s="4"/>
      <c r="D11014" s="4" t="s">
        <v>20342</v>
      </c>
      <c r="E11014" s="4" t="s">
        <v>20339</v>
      </c>
      <c r="F11014" s="4" t="s">
        <v>20340</v>
      </c>
    </row>
    <row r="11015">
      <c r="A11015" s="4">
        <v>14.0</v>
      </c>
      <c r="B11015" s="4" t="s">
        <v>22110</v>
      </c>
      <c r="C11015" s="4"/>
      <c r="D11015" s="4" t="s">
        <v>20343</v>
      </c>
      <c r="E11015" s="4" t="s">
        <v>20344</v>
      </c>
      <c r="F11015" s="4" t="s">
        <v>20345</v>
      </c>
    </row>
    <row r="11016">
      <c r="A11016" s="4">
        <v>15.0</v>
      </c>
      <c r="B11016" s="4" t="s">
        <v>22110</v>
      </c>
      <c r="C11016" s="4"/>
      <c r="D11016" s="4" t="s">
        <v>20346</v>
      </c>
      <c r="E11016" s="4" t="s">
        <v>20347</v>
      </c>
      <c r="F11016" s="4" t="s">
        <v>20348</v>
      </c>
    </row>
    <row r="11017">
      <c r="A11017" s="4">
        <v>16.0</v>
      </c>
      <c r="B11017" s="4" t="s">
        <v>22110</v>
      </c>
      <c r="C11017" s="4"/>
      <c r="D11017" s="4" t="s">
        <v>20349</v>
      </c>
      <c r="E11017" s="4" t="s">
        <v>20350</v>
      </c>
      <c r="F11017" s="4" t="s">
        <v>20351</v>
      </c>
      <c r="G11017" s="4"/>
      <c r="H11017" s="4" t="s">
        <v>20352</v>
      </c>
      <c r="I11017" s="4" t="s">
        <v>20353</v>
      </c>
    </row>
    <row r="11018">
      <c r="A11018" s="4">
        <v>17.0</v>
      </c>
      <c r="B11018" s="4" t="s">
        <v>22110</v>
      </c>
      <c r="C11018" s="4"/>
      <c r="D11018" s="4" t="s">
        <v>14049</v>
      </c>
      <c r="E11018" s="4" t="s">
        <v>14050</v>
      </c>
      <c r="F11018" s="4" t="s">
        <v>14051</v>
      </c>
    </row>
    <row r="11019">
      <c r="A11019" s="4">
        <v>18.0</v>
      </c>
      <c r="B11019" s="4" t="s">
        <v>22110</v>
      </c>
      <c r="C11019" s="4"/>
      <c r="D11019" s="4" t="s">
        <v>20354</v>
      </c>
      <c r="E11019" s="4" t="s">
        <v>20355</v>
      </c>
      <c r="F11019" s="4" t="s">
        <v>20356</v>
      </c>
    </row>
    <row r="11020">
      <c r="A11020" s="4">
        <v>19.0</v>
      </c>
      <c r="B11020" s="4" t="s">
        <v>22110</v>
      </c>
      <c r="C11020" s="4"/>
      <c r="D11020" s="4" t="s">
        <v>20357</v>
      </c>
      <c r="E11020" s="4" t="s">
        <v>20358</v>
      </c>
      <c r="F11020" s="4" t="s">
        <v>20359</v>
      </c>
      <c r="G11020" s="4"/>
      <c r="H11020" s="4" t="s">
        <v>2700</v>
      </c>
      <c r="I11020" s="4" t="s">
        <v>7514</v>
      </c>
      <c r="J11020" s="4" t="s">
        <v>20360</v>
      </c>
      <c r="K11020" s="4" t="s">
        <v>20361</v>
      </c>
      <c r="L11020" s="4" t="s">
        <v>7519</v>
      </c>
      <c r="M11020" s="4" t="s">
        <v>20362</v>
      </c>
      <c r="N11020" s="4" t="s">
        <v>7342</v>
      </c>
      <c r="O11020" s="4" t="s">
        <v>796</v>
      </c>
      <c r="P11020" s="4" t="s">
        <v>20363</v>
      </c>
      <c r="Q11020" s="4" t="s">
        <v>20364</v>
      </c>
      <c r="R11020" s="4" t="s">
        <v>7519</v>
      </c>
      <c r="S11020" s="4" t="s">
        <v>20365</v>
      </c>
      <c r="T11020" s="4" t="s">
        <v>20366</v>
      </c>
      <c r="U11020" s="4" t="s">
        <v>16894</v>
      </c>
      <c r="V11020" s="4" t="s">
        <v>20367</v>
      </c>
      <c r="W11020" s="4" t="s">
        <v>20368</v>
      </c>
      <c r="X11020" s="4" t="s">
        <v>20369</v>
      </c>
      <c r="Y11020" s="4" t="s">
        <v>20370</v>
      </c>
      <c r="Z11020" s="4" t="s">
        <v>7520</v>
      </c>
      <c r="AA11020" s="4" t="s">
        <v>20371</v>
      </c>
      <c r="AB11020" s="4" t="s">
        <v>707</v>
      </c>
      <c r="AC11020" s="4" t="s">
        <v>1437</v>
      </c>
      <c r="AD11020" s="4" t="s">
        <v>2997</v>
      </c>
      <c r="AE11020" s="4" t="s">
        <v>20372</v>
      </c>
      <c r="AF11020" s="4" t="s">
        <v>20373</v>
      </c>
      <c r="AG11020" s="4" t="s">
        <v>20374</v>
      </c>
      <c r="AH11020" s="4" t="s">
        <v>20375</v>
      </c>
      <c r="AI11020" s="4" t="s">
        <v>8740</v>
      </c>
      <c r="AJ11020" s="4" t="s">
        <v>4519</v>
      </c>
      <c r="AK11020" s="4" t="s">
        <v>7516</v>
      </c>
      <c r="AL11020" s="4" t="s">
        <v>7517</v>
      </c>
      <c r="AM11020" s="4" t="s">
        <v>2700</v>
      </c>
      <c r="AN11020" s="4" t="s">
        <v>20374</v>
      </c>
      <c r="AO11020" s="4" t="s">
        <v>20362</v>
      </c>
      <c r="AP11020" s="4" t="s">
        <v>9056</v>
      </c>
      <c r="AQ11020" s="4" t="s">
        <v>2802</v>
      </c>
      <c r="AR11020" s="4" t="s">
        <v>20376</v>
      </c>
      <c r="AS11020" s="4" t="s">
        <v>2700</v>
      </c>
      <c r="AT11020" s="4" t="s">
        <v>7342</v>
      </c>
      <c r="AU11020" s="4" t="s">
        <v>20377</v>
      </c>
      <c r="AV11020" s="4" t="s">
        <v>6551</v>
      </c>
      <c r="AW11020" s="4" t="s">
        <v>20378</v>
      </c>
      <c r="AX11020" s="4" t="s">
        <v>6550</v>
      </c>
      <c r="AY11020" s="4" t="s">
        <v>20379</v>
      </c>
      <c r="AZ11020" s="4" t="s">
        <v>4283</v>
      </c>
      <c r="BA11020" s="4" t="s">
        <v>4447</v>
      </c>
      <c r="BB11020" s="4" t="s">
        <v>20380</v>
      </c>
      <c r="BC11020" s="4" t="s">
        <v>3493</v>
      </c>
      <c r="BD11020" s="4" t="s">
        <v>20374</v>
      </c>
      <c r="BE11020" s="4" t="s">
        <v>3493</v>
      </c>
      <c r="BF11020" s="4" t="s">
        <v>20374</v>
      </c>
      <c r="BG11020" s="4" t="s">
        <v>7342</v>
      </c>
      <c r="BH11020" s="4" t="s">
        <v>20381</v>
      </c>
      <c r="BI11020" s="4" t="s">
        <v>20365</v>
      </c>
    </row>
    <row r="11021">
      <c r="A11021" s="4">
        <v>20.0</v>
      </c>
      <c r="B11021" s="4" t="s">
        <v>22110</v>
      </c>
      <c r="C11021" s="4"/>
      <c r="D11021" s="4" t="s">
        <v>20382</v>
      </c>
      <c r="E11021" s="4" t="s">
        <v>20383</v>
      </c>
      <c r="F11021" s="4" t="s">
        <v>14051</v>
      </c>
    </row>
    <row r="11022">
      <c r="A11022" s="4">
        <v>21.0</v>
      </c>
      <c r="B11022" s="4" t="s">
        <v>22110</v>
      </c>
      <c r="C11022" s="4"/>
      <c r="D11022" s="4" t="s">
        <v>9199</v>
      </c>
      <c r="E11022" s="4" t="s">
        <v>20384</v>
      </c>
      <c r="F11022" s="4" t="s">
        <v>4747</v>
      </c>
    </row>
    <row r="11023">
      <c r="A11023" s="4">
        <v>22.0</v>
      </c>
      <c r="B11023" s="4" t="s">
        <v>22110</v>
      </c>
      <c r="C11023" s="4"/>
      <c r="D11023" s="4" t="s">
        <v>20385</v>
      </c>
      <c r="E11023" s="4" t="s">
        <v>20386</v>
      </c>
      <c r="F11023" s="4" t="s">
        <v>20387</v>
      </c>
    </row>
    <row r="11024">
      <c r="A11024" s="4">
        <v>23.0</v>
      </c>
      <c r="B11024" s="4" t="s">
        <v>22110</v>
      </c>
      <c r="C11024" s="4"/>
      <c r="D11024" s="4" t="s">
        <v>20388</v>
      </c>
      <c r="E11024" s="4" t="s">
        <v>20389</v>
      </c>
      <c r="F11024" s="4" t="s">
        <v>19893</v>
      </c>
    </row>
    <row r="11025">
      <c r="A11025" s="4">
        <v>24.0</v>
      </c>
      <c r="B11025" s="4" t="s">
        <v>22110</v>
      </c>
      <c r="C11025" s="4"/>
      <c r="D11025" s="4" t="s">
        <v>20390</v>
      </c>
      <c r="E11025" s="4" t="s">
        <v>20383</v>
      </c>
      <c r="F11025" s="4" t="s">
        <v>14051</v>
      </c>
    </row>
    <row r="11026">
      <c r="A11026" s="4">
        <v>25.0</v>
      </c>
      <c r="B11026" s="4" t="s">
        <v>22110</v>
      </c>
      <c r="C11026" s="4"/>
      <c r="D11026" s="4" t="s">
        <v>20391</v>
      </c>
      <c r="E11026" s="4" t="s">
        <v>20392</v>
      </c>
      <c r="F11026" s="4" t="s">
        <v>816</v>
      </c>
    </row>
    <row r="11027">
      <c r="A11027" s="4">
        <v>26.0</v>
      </c>
      <c r="B11027" s="4" t="s">
        <v>22110</v>
      </c>
      <c r="C11027" s="4"/>
      <c r="D11027" s="4" t="s">
        <v>813</v>
      </c>
      <c r="E11027" s="4" t="s">
        <v>812</v>
      </c>
      <c r="F11027" s="4" t="s">
        <v>813</v>
      </c>
    </row>
    <row r="11028">
      <c r="A11028" s="4">
        <v>27.0</v>
      </c>
      <c r="B11028" s="4" t="s">
        <v>22110</v>
      </c>
      <c r="C11028" s="4"/>
      <c r="D11028" s="4" t="s">
        <v>20393</v>
      </c>
      <c r="E11028" s="4" t="s">
        <v>20394</v>
      </c>
      <c r="F11028" s="4" t="s">
        <v>20395</v>
      </c>
    </row>
    <row r="11029">
      <c r="A11029" s="4">
        <v>28.0</v>
      </c>
      <c r="B11029" s="4" t="s">
        <v>22110</v>
      </c>
      <c r="C11029" s="4"/>
      <c r="D11029" s="4" t="s">
        <v>506</v>
      </c>
      <c r="E11029" s="4" t="s">
        <v>507</v>
      </c>
      <c r="F11029" s="4" t="s">
        <v>506</v>
      </c>
      <c r="G11029" s="4"/>
      <c r="H11029" s="4" t="s">
        <v>556</v>
      </c>
      <c r="I11029" s="4" t="s">
        <v>557</v>
      </c>
      <c r="J11029" s="4" t="s">
        <v>558</v>
      </c>
      <c r="K11029" s="4" t="s">
        <v>559</v>
      </c>
    </row>
    <row r="11030">
      <c r="A11030" s="4">
        <v>29.0</v>
      </c>
      <c r="B11030" s="4" t="s">
        <v>22110</v>
      </c>
      <c r="C11030" s="4"/>
      <c r="D11030" s="4" t="s">
        <v>508</v>
      </c>
      <c r="E11030" s="4" t="s">
        <v>509</v>
      </c>
      <c r="F11030" s="4" t="s">
        <v>508</v>
      </c>
      <c r="G11030" s="4"/>
      <c r="H11030" s="4" t="s">
        <v>510</v>
      </c>
      <c r="I11030" s="4" t="s">
        <v>511</v>
      </c>
      <c r="J11030" s="4" t="s">
        <v>512</v>
      </c>
      <c r="K11030" s="4" t="s">
        <v>513</v>
      </c>
      <c r="L11030" s="4" t="s">
        <v>510</v>
      </c>
      <c r="M11030" s="4" t="s">
        <v>514</v>
      </c>
      <c r="N11030" s="4" t="s">
        <v>510</v>
      </c>
      <c r="O11030" s="4" t="s">
        <v>510</v>
      </c>
      <c r="P11030" s="4" t="s">
        <v>515</v>
      </c>
      <c r="Q11030" s="4" t="s">
        <v>517</v>
      </c>
    </row>
    <row r="11031">
      <c r="A11031" s="4">
        <v>30.0</v>
      </c>
      <c r="B11031" s="4" t="s">
        <v>22110</v>
      </c>
      <c r="C11031" s="4"/>
      <c r="D11031" s="4" t="s">
        <v>20396</v>
      </c>
      <c r="E11031" s="4" t="s">
        <v>20397</v>
      </c>
      <c r="F11031" s="4" t="s">
        <v>20398</v>
      </c>
    </row>
    <row r="11032">
      <c r="A11032" s="4">
        <v>31.0</v>
      </c>
      <c r="B11032" s="4" t="s">
        <v>22110</v>
      </c>
      <c r="C11032" s="4"/>
      <c r="D11032" s="4" t="s">
        <v>20399</v>
      </c>
      <c r="E11032" s="4" t="s">
        <v>20400</v>
      </c>
      <c r="F11032" s="4" t="s">
        <v>20399</v>
      </c>
    </row>
    <row r="11033">
      <c r="A11033" s="4">
        <v>32.0</v>
      </c>
      <c r="B11033" s="4" t="s">
        <v>22110</v>
      </c>
      <c r="C11033" s="4"/>
      <c r="D11033" s="4" t="s">
        <v>20401</v>
      </c>
      <c r="E11033" s="4" t="s">
        <v>20402</v>
      </c>
      <c r="F11033" s="4" t="s">
        <v>20401</v>
      </c>
    </row>
    <row r="11034">
      <c r="A11034" s="4">
        <v>33.0</v>
      </c>
      <c r="B11034" s="4" t="s">
        <v>22110</v>
      </c>
      <c r="C11034" s="4"/>
      <c r="D11034" s="4" t="s">
        <v>20403</v>
      </c>
      <c r="E11034" s="4" t="s">
        <v>20404</v>
      </c>
      <c r="F11034" s="4" t="s">
        <v>20405</v>
      </c>
    </row>
    <row r="11035">
      <c r="A11035" s="4">
        <v>34.0</v>
      </c>
      <c r="B11035" s="4" t="s">
        <v>22110</v>
      </c>
      <c r="C11035" s="4"/>
      <c r="D11035" s="4" t="s">
        <v>4967</v>
      </c>
      <c r="E11035" s="4" t="s">
        <v>4966</v>
      </c>
      <c r="F11035" s="4" t="s">
        <v>4967</v>
      </c>
    </row>
    <row r="11036">
      <c r="A11036" s="4">
        <v>35.0</v>
      </c>
      <c r="B11036" s="4" t="s">
        <v>22110</v>
      </c>
      <c r="C11036" s="4"/>
      <c r="D11036" s="4" t="s">
        <v>20406</v>
      </c>
      <c r="E11036" s="4" t="s">
        <v>20407</v>
      </c>
      <c r="F11036" s="4" t="s">
        <v>20406</v>
      </c>
    </row>
    <row r="11037">
      <c r="A11037" s="4">
        <v>36.0</v>
      </c>
      <c r="B11037" s="4" t="s">
        <v>22110</v>
      </c>
      <c r="C11037" s="4"/>
      <c r="D11037" s="4" t="s">
        <v>17420</v>
      </c>
      <c r="E11037" s="4" t="s">
        <v>20408</v>
      </c>
      <c r="F11037" s="4" t="s">
        <v>17420</v>
      </c>
    </row>
    <row r="11038">
      <c r="A11038" s="4">
        <v>37.0</v>
      </c>
      <c r="B11038" s="4" t="s">
        <v>22110</v>
      </c>
      <c r="C11038" s="4"/>
      <c r="D11038" s="4" t="s">
        <v>14149</v>
      </c>
      <c r="E11038" s="4" t="s">
        <v>14148</v>
      </c>
      <c r="F11038" s="4" t="s">
        <v>14149</v>
      </c>
      <c r="G11038" s="4"/>
      <c r="H11038" s="4" t="s">
        <v>20409</v>
      </c>
      <c r="I11038" s="4" t="s">
        <v>14149</v>
      </c>
    </row>
    <row r="11039">
      <c r="A11039" s="4">
        <v>38.0</v>
      </c>
      <c r="B11039" s="4" t="s">
        <v>22110</v>
      </c>
      <c r="C11039" s="4"/>
      <c r="D11039" s="4" t="s">
        <v>20410</v>
      </c>
      <c r="E11039" s="4" t="s">
        <v>20411</v>
      </c>
      <c r="F11039" s="4" t="s">
        <v>20412</v>
      </c>
    </row>
    <row r="11040">
      <c r="A11040" s="4">
        <v>39.0</v>
      </c>
      <c r="B11040" s="4" t="s">
        <v>22110</v>
      </c>
      <c r="C11040" s="4"/>
      <c r="D11040" s="4" t="s">
        <v>4900</v>
      </c>
      <c r="E11040" s="4" t="s">
        <v>4899</v>
      </c>
      <c r="F11040" s="4" t="s">
        <v>4900</v>
      </c>
    </row>
    <row r="11041">
      <c r="A11041" s="4">
        <v>40.0</v>
      </c>
      <c r="B11041" s="4" t="s">
        <v>22110</v>
      </c>
      <c r="C11041" s="4"/>
      <c r="D11041" s="4" t="s">
        <v>20413</v>
      </c>
      <c r="E11041" s="4" t="s">
        <v>20414</v>
      </c>
      <c r="F11041" s="4" t="s">
        <v>20415</v>
      </c>
    </row>
    <row r="11042">
      <c r="A11042" s="4">
        <v>41.0</v>
      </c>
      <c r="B11042" s="4" t="s">
        <v>22110</v>
      </c>
      <c r="C11042" s="4"/>
      <c r="D11042" s="4" t="s">
        <v>20416</v>
      </c>
      <c r="E11042" s="4" t="s">
        <v>20417</v>
      </c>
      <c r="F11042" s="4" t="s">
        <v>14303</v>
      </c>
    </row>
    <row r="11043">
      <c r="A11043" s="4">
        <v>42.0</v>
      </c>
      <c r="B11043" s="4" t="s">
        <v>22110</v>
      </c>
      <c r="C11043" s="4"/>
      <c r="D11043" s="4" t="s">
        <v>20418</v>
      </c>
      <c r="E11043" s="4" t="s">
        <v>20419</v>
      </c>
      <c r="F11043" s="4" t="s">
        <v>20420</v>
      </c>
    </row>
    <row r="11044">
      <c r="A11044" s="4">
        <v>43.0</v>
      </c>
      <c r="B11044" s="4" t="s">
        <v>22110</v>
      </c>
      <c r="C11044" s="4"/>
      <c r="D11044" s="4" t="s">
        <v>20421</v>
      </c>
      <c r="E11044" s="4" t="s">
        <v>20422</v>
      </c>
      <c r="F11044" s="4" t="s">
        <v>20423</v>
      </c>
    </row>
    <row r="11045">
      <c r="A11045" s="4">
        <v>44.0</v>
      </c>
      <c r="B11045" s="4" t="s">
        <v>22110</v>
      </c>
      <c r="C11045" s="4"/>
      <c r="D11045" s="4" t="s">
        <v>20424</v>
      </c>
      <c r="E11045" s="4" t="s">
        <v>20411</v>
      </c>
      <c r="F11045" s="4" t="s">
        <v>20412</v>
      </c>
    </row>
    <row r="11046">
      <c r="A11046" s="4">
        <v>45.0</v>
      </c>
      <c r="B11046" s="4" t="s">
        <v>22110</v>
      </c>
      <c r="C11046" s="4"/>
      <c r="D11046" s="4" t="s">
        <v>20425</v>
      </c>
      <c r="E11046" s="4" t="s">
        <v>20426</v>
      </c>
      <c r="F11046" s="4" t="s">
        <v>20427</v>
      </c>
    </row>
    <row r="11047">
      <c r="A11047" s="4">
        <v>46.0</v>
      </c>
      <c r="B11047" s="4" t="s">
        <v>22110</v>
      </c>
      <c r="C11047" s="4"/>
      <c r="D11047" s="4" t="s">
        <v>17424</v>
      </c>
      <c r="E11047" s="4" t="s">
        <v>20428</v>
      </c>
      <c r="F11047" s="4" t="s">
        <v>20429</v>
      </c>
    </row>
    <row r="11048">
      <c r="A11048" s="4">
        <v>47.0</v>
      </c>
      <c r="B11048" s="4" t="s">
        <v>22110</v>
      </c>
      <c r="C11048" s="4"/>
      <c r="D11048" s="4" t="s">
        <v>20430</v>
      </c>
      <c r="E11048" s="4" t="s">
        <v>20431</v>
      </c>
      <c r="F11048" s="4" t="s">
        <v>20432</v>
      </c>
    </row>
    <row r="11049">
      <c r="A11049" s="4">
        <v>48.0</v>
      </c>
      <c r="B11049" s="4" t="s">
        <v>22110</v>
      </c>
      <c r="C11049" s="4"/>
      <c r="D11049" s="4" t="s">
        <v>20433</v>
      </c>
      <c r="E11049" s="4" t="s">
        <v>20434</v>
      </c>
      <c r="F11049" s="4" t="s">
        <v>20435</v>
      </c>
    </row>
    <row r="11050">
      <c r="A11050" s="4">
        <v>49.0</v>
      </c>
      <c r="B11050" s="4" t="s">
        <v>22110</v>
      </c>
      <c r="C11050" s="4"/>
      <c r="D11050" s="4" t="s">
        <v>20436</v>
      </c>
      <c r="E11050" s="4" t="s">
        <v>20437</v>
      </c>
      <c r="F11050" s="4" t="s">
        <v>20438</v>
      </c>
    </row>
    <row r="11051">
      <c r="A11051" s="4">
        <v>50.0</v>
      </c>
      <c r="B11051" s="4" t="s">
        <v>22110</v>
      </c>
      <c r="C11051" s="4"/>
      <c r="D11051" s="4" t="s">
        <v>20439</v>
      </c>
      <c r="E11051" s="4" t="s">
        <v>20440</v>
      </c>
      <c r="F11051" s="4" t="s">
        <v>20441</v>
      </c>
    </row>
    <row r="11052">
      <c r="A11052" s="4">
        <v>51.0</v>
      </c>
      <c r="B11052" s="4" t="s">
        <v>22110</v>
      </c>
      <c r="C11052" s="4"/>
      <c r="D11052" s="4" t="s">
        <v>20442</v>
      </c>
      <c r="E11052" s="4" t="s">
        <v>20434</v>
      </c>
      <c r="F11052" s="4" t="s">
        <v>20435</v>
      </c>
    </row>
    <row r="11053">
      <c r="A11053" s="4">
        <v>52.0</v>
      </c>
      <c r="B11053" s="4" t="s">
        <v>22110</v>
      </c>
      <c r="C11053" s="4"/>
      <c r="D11053" s="4" t="s">
        <v>20443</v>
      </c>
      <c r="E11053" s="4" t="s">
        <v>20440</v>
      </c>
      <c r="F11053" s="4" t="s">
        <v>20441</v>
      </c>
    </row>
    <row r="11054">
      <c r="A11054" s="4">
        <v>53.0</v>
      </c>
      <c r="B11054" s="4" t="s">
        <v>22110</v>
      </c>
      <c r="C11054" s="4"/>
      <c r="D11054" s="4" t="s">
        <v>20444</v>
      </c>
      <c r="E11054" s="4" t="s">
        <v>20445</v>
      </c>
      <c r="F11054" s="4" t="s">
        <v>20446</v>
      </c>
    </row>
    <row r="11055">
      <c r="A11055" s="4">
        <v>54.0</v>
      </c>
      <c r="B11055" s="4" t="s">
        <v>22110</v>
      </c>
      <c r="C11055" s="4"/>
      <c r="D11055" s="4" t="s">
        <v>20447</v>
      </c>
      <c r="E11055" s="4" t="s">
        <v>20448</v>
      </c>
      <c r="F11055" s="4" t="s">
        <v>20447</v>
      </c>
    </row>
    <row r="11056">
      <c r="A11056" s="4">
        <v>55.0</v>
      </c>
      <c r="B11056" s="4" t="s">
        <v>22110</v>
      </c>
      <c r="C11056" s="4"/>
      <c r="D11056" s="4" t="s">
        <v>20449</v>
      </c>
      <c r="E11056" s="4" t="s">
        <v>20450</v>
      </c>
      <c r="F11056" s="4" t="s">
        <v>20449</v>
      </c>
    </row>
    <row r="11057">
      <c r="A11057" s="4">
        <v>56.0</v>
      </c>
      <c r="B11057" s="4" t="s">
        <v>22110</v>
      </c>
      <c r="C11057" s="4"/>
      <c r="D11057" s="4" t="s">
        <v>20451</v>
      </c>
      <c r="E11057" s="4" t="s">
        <v>20452</v>
      </c>
      <c r="F11057" s="4" t="s">
        <v>20453</v>
      </c>
    </row>
    <row r="11058">
      <c r="A11058" s="4">
        <v>57.0</v>
      </c>
      <c r="B11058" s="4" t="s">
        <v>22110</v>
      </c>
      <c r="C11058" s="4"/>
      <c r="D11058" s="4" t="s">
        <v>20454</v>
      </c>
      <c r="E11058" s="4" t="s">
        <v>20455</v>
      </c>
      <c r="F11058" s="4" t="s">
        <v>20454</v>
      </c>
    </row>
    <row r="11059">
      <c r="A11059" s="4">
        <v>58.0</v>
      </c>
      <c r="B11059" s="4" t="s">
        <v>22110</v>
      </c>
      <c r="C11059" s="4"/>
      <c r="D11059" s="4" t="s">
        <v>20456</v>
      </c>
      <c r="E11059" s="4" t="s">
        <v>20457</v>
      </c>
      <c r="F11059" s="4" t="s">
        <v>20456</v>
      </c>
    </row>
    <row r="11060">
      <c r="A11060" s="4">
        <v>59.0</v>
      </c>
      <c r="B11060" s="4" t="s">
        <v>22110</v>
      </c>
      <c r="C11060" s="4"/>
      <c r="D11060" s="4" t="s">
        <v>11621</v>
      </c>
      <c r="E11060" s="4" t="s">
        <v>11622</v>
      </c>
      <c r="F11060" s="4" t="s">
        <v>11621</v>
      </c>
      <c r="G11060" s="4"/>
      <c r="H11060" s="4" t="s">
        <v>20458</v>
      </c>
    </row>
    <row r="11061">
      <c r="A11061" s="4">
        <v>60.0</v>
      </c>
      <c r="B11061" s="4" t="s">
        <v>22110</v>
      </c>
      <c r="C11061" s="4"/>
      <c r="D11061" s="4" t="s">
        <v>20459</v>
      </c>
      <c r="E11061" s="4" t="s">
        <v>20460</v>
      </c>
      <c r="F11061" s="4" t="s">
        <v>20461</v>
      </c>
    </row>
    <row r="11062">
      <c r="A11062" s="4">
        <v>61.0</v>
      </c>
      <c r="B11062" s="4" t="s">
        <v>22110</v>
      </c>
      <c r="C11062" s="4"/>
      <c r="D11062" s="4" t="s">
        <v>20462</v>
      </c>
      <c r="E11062" s="4" t="s">
        <v>20463</v>
      </c>
      <c r="F11062" s="4" t="s">
        <v>20462</v>
      </c>
    </row>
    <row r="11063">
      <c r="A11063" s="4">
        <v>62.0</v>
      </c>
      <c r="B11063" s="4" t="s">
        <v>22110</v>
      </c>
      <c r="C11063" s="4"/>
      <c r="D11063" s="4" t="s">
        <v>20464</v>
      </c>
      <c r="E11063" s="4" t="s">
        <v>20465</v>
      </c>
      <c r="F11063" s="4" t="s">
        <v>20464</v>
      </c>
    </row>
    <row r="11064">
      <c r="A11064" s="4">
        <v>63.0</v>
      </c>
      <c r="B11064" s="4" t="s">
        <v>22110</v>
      </c>
      <c r="C11064" s="4"/>
      <c r="D11064" s="4" t="s">
        <v>18935</v>
      </c>
      <c r="E11064" s="4" t="s">
        <v>509</v>
      </c>
      <c r="F11064" s="4" t="s">
        <v>508</v>
      </c>
      <c r="G11064" s="4"/>
      <c r="H11064" s="4" t="s">
        <v>18936</v>
      </c>
    </row>
    <row r="11065">
      <c r="A11065" s="4">
        <v>64.0</v>
      </c>
      <c r="B11065" s="4" t="s">
        <v>22110</v>
      </c>
      <c r="C11065" s="4"/>
      <c r="D11065" s="4" t="s">
        <v>20466</v>
      </c>
      <c r="E11065" s="4" t="s">
        <v>20467</v>
      </c>
      <c r="F11065" s="4" t="s">
        <v>20468</v>
      </c>
    </row>
    <row r="11066">
      <c r="A11066" s="4">
        <v>65.0</v>
      </c>
      <c r="B11066" s="4" t="s">
        <v>22110</v>
      </c>
      <c r="C11066" s="4"/>
      <c r="D11066" s="4" t="s">
        <v>20469</v>
      </c>
      <c r="E11066" s="4" t="s">
        <v>20470</v>
      </c>
      <c r="F11066" s="4" t="s">
        <v>20471</v>
      </c>
    </row>
    <row r="11067">
      <c r="A11067" s="4">
        <v>66.0</v>
      </c>
      <c r="B11067" s="4" t="s">
        <v>22110</v>
      </c>
      <c r="C11067" s="4"/>
      <c r="D11067" s="4" t="s">
        <v>566</v>
      </c>
      <c r="E11067" s="4" t="s">
        <v>567</v>
      </c>
      <c r="F11067" s="4" t="s">
        <v>566</v>
      </c>
      <c r="G11067" s="4"/>
      <c r="H11067" s="4" t="s">
        <v>20472</v>
      </c>
      <c r="I11067" s="4" t="s">
        <v>20473</v>
      </c>
      <c r="J11067" s="4" t="s">
        <v>20474</v>
      </c>
      <c r="K11067" s="4" t="s">
        <v>17249</v>
      </c>
    </row>
    <row r="11068">
      <c r="A11068" s="4">
        <v>67.0</v>
      </c>
      <c r="B11068" s="4" t="s">
        <v>22110</v>
      </c>
      <c r="C11068" s="4"/>
      <c r="D11068" s="4" t="s">
        <v>20475</v>
      </c>
      <c r="E11068" s="4" t="s">
        <v>20476</v>
      </c>
      <c r="F11068" s="4" t="s">
        <v>20475</v>
      </c>
    </row>
    <row r="11069">
      <c r="A11069" s="4">
        <v>68.0</v>
      </c>
      <c r="B11069" s="4" t="s">
        <v>22110</v>
      </c>
      <c r="C11069" s="4"/>
      <c r="D11069" s="4" t="s">
        <v>298</v>
      </c>
      <c r="E11069" s="4" t="s">
        <v>297</v>
      </c>
      <c r="F11069" s="4" t="s">
        <v>298</v>
      </c>
    </row>
    <row r="11070">
      <c r="A11070" s="4">
        <v>69.0</v>
      </c>
      <c r="B11070" s="4" t="s">
        <v>22110</v>
      </c>
      <c r="C11070" s="4"/>
      <c r="D11070" s="4" t="s">
        <v>20477</v>
      </c>
      <c r="E11070" s="4" t="s">
        <v>20478</v>
      </c>
      <c r="F11070" s="4" t="s">
        <v>20479</v>
      </c>
    </row>
    <row r="11071">
      <c r="A11071" s="4">
        <v>70.0</v>
      </c>
      <c r="B11071" s="4" t="s">
        <v>22110</v>
      </c>
      <c r="C11071" s="4"/>
      <c r="D11071" s="4" t="s">
        <v>570</v>
      </c>
      <c r="E11071" s="4" t="s">
        <v>571</v>
      </c>
      <c r="F11071" s="4" t="s">
        <v>570</v>
      </c>
      <c r="G11071" s="4"/>
      <c r="H11071" s="4" t="s">
        <v>572</v>
      </c>
    </row>
    <row r="11072">
      <c r="A11072" s="4">
        <v>71.0</v>
      </c>
      <c r="B11072" s="4" t="s">
        <v>22110</v>
      </c>
      <c r="C11072" s="4"/>
      <c r="D11072" s="4" t="s">
        <v>573</v>
      </c>
      <c r="E11072" s="4" t="s">
        <v>574</v>
      </c>
      <c r="F11072" s="4" t="s">
        <v>573</v>
      </c>
    </row>
    <row r="11073">
      <c r="A11073" s="4">
        <v>72.0</v>
      </c>
      <c r="B11073" s="4" t="s">
        <v>22110</v>
      </c>
      <c r="C11073" s="4"/>
      <c r="D11073" s="4" t="s">
        <v>575</v>
      </c>
      <c r="E11073" s="4" t="s">
        <v>576</v>
      </c>
      <c r="F11073" s="4" t="s">
        <v>575</v>
      </c>
    </row>
    <row r="11074">
      <c r="A11074" s="4">
        <v>73.0</v>
      </c>
      <c r="B11074" s="4" t="s">
        <v>22110</v>
      </c>
      <c r="C11074" s="4"/>
      <c r="D11074" s="4" t="s">
        <v>20480</v>
      </c>
      <c r="E11074" s="4" t="s">
        <v>20481</v>
      </c>
      <c r="F11074" s="4" t="s">
        <v>20480</v>
      </c>
    </row>
    <row r="11075">
      <c r="A11075" s="4">
        <v>74.0</v>
      </c>
      <c r="B11075" s="4" t="s">
        <v>22110</v>
      </c>
      <c r="C11075" s="4"/>
      <c r="D11075" s="4" t="s">
        <v>14312</v>
      </c>
      <c r="E11075" s="4" t="s">
        <v>14313</v>
      </c>
      <c r="F11075" s="4" t="s">
        <v>14312</v>
      </c>
      <c r="G11075" s="4"/>
      <c r="H11075" s="4" t="s">
        <v>20482</v>
      </c>
      <c r="I11075" s="4" t="s">
        <v>6611</v>
      </c>
    </row>
    <row r="11076">
      <c r="A11076" s="4">
        <v>75.0</v>
      </c>
      <c r="B11076" s="4" t="s">
        <v>22110</v>
      </c>
      <c r="C11076" s="4"/>
      <c r="D11076" s="4" t="s">
        <v>20483</v>
      </c>
      <c r="E11076" s="4" t="s">
        <v>20484</v>
      </c>
      <c r="F11076" s="4" t="s">
        <v>20485</v>
      </c>
    </row>
    <row r="11077">
      <c r="A11077" s="4">
        <v>76.0</v>
      </c>
      <c r="B11077" s="4" t="s">
        <v>22110</v>
      </c>
      <c r="C11077" s="4"/>
      <c r="D11077" s="4" t="s">
        <v>14077</v>
      </c>
      <c r="E11077" s="4" t="s">
        <v>14078</v>
      </c>
      <c r="F11077" s="4" t="s">
        <v>14077</v>
      </c>
    </row>
    <row r="11078">
      <c r="A11078" s="4">
        <v>77.0</v>
      </c>
      <c r="B11078" s="4" t="s">
        <v>22110</v>
      </c>
      <c r="C11078" s="4"/>
      <c r="D11078" s="4" t="s">
        <v>11659</v>
      </c>
      <c r="E11078" s="4" t="s">
        <v>11660</v>
      </c>
      <c r="F11078" s="4" t="s">
        <v>11661</v>
      </c>
    </row>
    <row r="11079">
      <c r="A11079" s="4">
        <v>78.0</v>
      </c>
      <c r="B11079" s="4" t="s">
        <v>22110</v>
      </c>
      <c r="C11079" s="4"/>
      <c r="D11079" s="4" t="s">
        <v>20486</v>
      </c>
      <c r="E11079" s="4" t="s">
        <v>20487</v>
      </c>
      <c r="F11079" s="4" t="s">
        <v>20486</v>
      </c>
    </row>
    <row r="11080">
      <c r="A11080" s="4">
        <v>79.0</v>
      </c>
      <c r="B11080" s="4" t="s">
        <v>22110</v>
      </c>
      <c r="C11080" s="4"/>
      <c r="D11080" s="4" t="s">
        <v>20488</v>
      </c>
      <c r="E11080" s="4" t="s">
        <v>20489</v>
      </c>
      <c r="F11080" s="4" t="s">
        <v>20488</v>
      </c>
    </row>
    <row r="11081">
      <c r="A11081" s="4">
        <v>80.0</v>
      </c>
      <c r="B11081" s="4" t="s">
        <v>22110</v>
      </c>
      <c r="C11081" s="4"/>
      <c r="D11081" s="4" t="s">
        <v>608</v>
      </c>
      <c r="E11081" s="4" t="s">
        <v>609</v>
      </c>
      <c r="F11081" s="4" t="s">
        <v>608</v>
      </c>
    </row>
    <row r="11082">
      <c r="A11082" s="4">
        <v>81.0</v>
      </c>
      <c r="B11082" s="4" t="s">
        <v>22110</v>
      </c>
      <c r="C11082" s="4"/>
      <c r="D11082" s="4" t="s">
        <v>20490</v>
      </c>
      <c r="E11082" s="4" t="s">
        <v>20491</v>
      </c>
      <c r="F11082" s="4" t="s">
        <v>20490</v>
      </c>
    </row>
    <row r="11083">
      <c r="A11083" s="4">
        <v>82.0</v>
      </c>
      <c r="B11083" s="4" t="s">
        <v>22110</v>
      </c>
      <c r="C11083" s="4"/>
      <c r="D11083" s="4" t="s">
        <v>5823</v>
      </c>
      <c r="E11083" s="4" t="s">
        <v>20492</v>
      </c>
      <c r="F11083" s="4" t="s">
        <v>5823</v>
      </c>
    </row>
    <row r="11084">
      <c r="A11084" s="4">
        <v>83.0</v>
      </c>
      <c r="B11084" s="4" t="s">
        <v>22110</v>
      </c>
      <c r="C11084" s="4"/>
      <c r="D11084" s="4" t="s">
        <v>20493</v>
      </c>
      <c r="E11084" s="4" t="s">
        <v>20478</v>
      </c>
      <c r="F11084" s="4" t="s">
        <v>20479</v>
      </c>
    </row>
    <row r="11085">
      <c r="A11085" s="4">
        <v>84.0</v>
      </c>
      <c r="B11085" s="4" t="s">
        <v>22110</v>
      </c>
      <c r="C11085" s="4"/>
      <c r="D11085" s="4" t="s">
        <v>20494</v>
      </c>
      <c r="E11085" s="4" t="s">
        <v>297</v>
      </c>
      <c r="F11085" s="4" t="s">
        <v>298</v>
      </c>
    </row>
    <row r="11086">
      <c r="A11086" s="4">
        <v>85.0</v>
      </c>
      <c r="B11086" s="4" t="s">
        <v>22110</v>
      </c>
      <c r="C11086" s="4"/>
      <c r="D11086" s="4" t="s">
        <v>20495</v>
      </c>
      <c r="E11086" s="4" t="s">
        <v>297</v>
      </c>
      <c r="F11086" s="4" t="s">
        <v>298</v>
      </c>
    </row>
    <row r="11087">
      <c r="A11087" s="4">
        <v>86.0</v>
      </c>
      <c r="B11087" s="4" t="s">
        <v>22110</v>
      </c>
      <c r="C11087" s="4"/>
      <c r="D11087" s="4" t="s">
        <v>20496</v>
      </c>
      <c r="E11087" s="4" t="s">
        <v>20497</v>
      </c>
      <c r="F11087" s="4" t="s">
        <v>20498</v>
      </c>
    </row>
    <row r="11088">
      <c r="A11088" s="4">
        <v>87.0</v>
      </c>
      <c r="B11088" s="4" t="s">
        <v>22110</v>
      </c>
      <c r="C11088" s="4"/>
      <c r="D11088" s="4" t="s">
        <v>20499</v>
      </c>
      <c r="E11088" s="4" t="s">
        <v>20500</v>
      </c>
      <c r="F11088" s="4" t="s">
        <v>20501</v>
      </c>
    </row>
    <row r="11089">
      <c r="A11089" s="4">
        <v>88.0</v>
      </c>
      <c r="B11089" s="4" t="s">
        <v>22110</v>
      </c>
      <c r="C11089" s="4"/>
      <c r="D11089" s="4" t="s">
        <v>741</v>
      </c>
      <c r="E11089" s="4" t="s">
        <v>740</v>
      </c>
      <c r="F11089" s="4" t="s">
        <v>741</v>
      </c>
    </row>
    <row r="11090">
      <c r="A11090" s="4">
        <v>89.0</v>
      </c>
      <c r="B11090" s="4" t="s">
        <v>22110</v>
      </c>
      <c r="C11090" s="4"/>
      <c r="D11090" s="4" t="s">
        <v>622</v>
      </c>
      <c r="E11090" s="4" t="s">
        <v>623</v>
      </c>
      <c r="F11090" s="4" t="s">
        <v>622</v>
      </c>
      <c r="G11090" s="4"/>
      <c r="H11090" s="4" t="s">
        <v>622</v>
      </c>
    </row>
    <row r="11091">
      <c r="A11091" s="4">
        <v>90.0</v>
      </c>
      <c r="B11091" s="4" t="s">
        <v>22110</v>
      </c>
      <c r="C11091" s="4"/>
      <c r="D11091" s="4" t="s">
        <v>631</v>
      </c>
      <c r="E11091" s="4" t="s">
        <v>632</v>
      </c>
      <c r="F11091" s="4" t="s">
        <v>633</v>
      </c>
    </row>
    <row r="11092">
      <c r="A11092" s="4">
        <v>91.0</v>
      </c>
      <c r="B11092" s="4" t="s">
        <v>22110</v>
      </c>
      <c r="C11092" s="4"/>
      <c r="D11092" s="4" t="s">
        <v>20502</v>
      </c>
      <c r="E11092" s="4" t="s">
        <v>20503</v>
      </c>
      <c r="F11092" s="4" t="s">
        <v>20502</v>
      </c>
    </row>
    <row r="11093">
      <c r="A11093" s="4">
        <v>92.0</v>
      </c>
      <c r="B11093" s="4" t="s">
        <v>22110</v>
      </c>
      <c r="C11093" s="4"/>
      <c r="D11093" s="4" t="s">
        <v>20504</v>
      </c>
      <c r="E11093" s="4" t="s">
        <v>5023</v>
      </c>
      <c r="F11093" s="4" t="s">
        <v>5024</v>
      </c>
    </row>
    <row r="11094">
      <c r="A11094" s="4">
        <v>93.0</v>
      </c>
      <c r="B11094" s="4" t="s">
        <v>22110</v>
      </c>
      <c r="C11094" s="4"/>
      <c r="D11094" s="4" t="s">
        <v>20505</v>
      </c>
      <c r="E11094" s="4" t="s">
        <v>4810</v>
      </c>
      <c r="F11094" s="4" t="s">
        <v>3547</v>
      </c>
    </row>
    <row r="11095">
      <c r="A11095" s="4">
        <v>94.0</v>
      </c>
      <c r="B11095" s="4" t="s">
        <v>22110</v>
      </c>
      <c r="C11095" s="4"/>
      <c r="D11095" s="4" t="s">
        <v>20506</v>
      </c>
      <c r="E11095" s="4" t="s">
        <v>20507</v>
      </c>
      <c r="F11095" s="4" t="s">
        <v>20506</v>
      </c>
    </row>
    <row r="11096">
      <c r="A11096" s="4">
        <v>95.0</v>
      </c>
      <c r="B11096" s="4" t="s">
        <v>22110</v>
      </c>
      <c r="C11096" s="4"/>
      <c r="D11096" s="4" t="s">
        <v>20508</v>
      </c>
      <c r="E11096" s="4" t="s">
        <v>20509</v>
      </c>
      <c r="F11096" s="4" t="s">
        <v>20508</v>
      </c>
    </row>
    <row r="11097">
      <c r="A11097" s="4">
        <v>96.0</v>
      </c>
      <c r="B11097" s="4" t="s">
        <v>22110</v>
      </c>
      <c r="C11097" s="4"/>
      <c r="D11097" s="4" t="s">
        <v>17442</v>
      </c>
      <c r="E11097" s="4" t="s">
        <v>18937</v>
      </c>
      <c r="F11097" s="4" t="s">
        <v>17442</v>
      </c>
      <c r="G11097" s="4"/>
      <c r="H11097" s="4" t="s">
        <v>17445</v>
      </c>
      <c r="I11097" s="4" t="s">
        <v>17446</v>
      </c>
      <c r="J11097" s="4" t="s">
        <v>17447</v>
      </c>
      <c r="K11097" s="4" t="s">
        <v>17448</v>
      </c>
    </row>
    <row r="11098">
      <c r="A11098" s="4">
        <v>97.0</v>
      </c>
      <c r="B11098" s="4" t="s">
        <v>22110</v>
      </c>
      <c r="C11098" s="4"/>
      <c r="D11098" s="4" t="s">
        <v>652</v>
      </c>
      <c r="E11098" s="4" t="s">
        <v>653</v>
      </c>
      <c r="F11098" s="4" t="s">
        <v>652</v>
      </c>
    </row>
    <row r="11099">
      <c r="A11099" s="4">
        <v>98.0</v>
      </c>
      <c r="B11099" s="4" t="s">
        <v>22110</v>
      </c>
      <c r="C11099" s="4"/>
      <c r="D11099" s="4" t="s">
        <v>654</v>
      </c>
      <c r="E11099" s="4" t="s">
        <v>655</v>
      </c>
      <c r="F11099" s="4" t="s">
        <v>654</v>
      </c>
      <c r="G11099" s="4"/>
      <c r="H11099" s="4" t="s">
        <v>654</v>
      </c>
      <c r="I11099" s="4" t="s">
        <v>656</v>
      </c>
      <c r="J11099" s="4" t="s">
        <v>657</v>
      </c>
      <c r="K11099" s="4" t="s">
        <v>658</v>
      </c>
      <c r="L11099" s="4" t="s">
        <v>659</v>
      </c>
      <c r="M11099" s="4" t="s">
        <v>660</v>
      </c>
      <c r="N11099" s="4" t="s">
        <v>657</v>
      </c>
      <c r="O11099" s="4" t="s">
        <v>664</v>
      </c>
      <c r="P11099" s="4" t="s">
        <v>665</v>
      </c>
      <c r="Q11099" s="4" t="s">
        <v>658</v>
      </c>
      <c r="R11099" s="4" t="s">
        <v>666</v>
      </c>
      <c r="S11099" s="4" t="s">
        <v>667</v>
      </c>
      <c r="T11099" s="4" t="s">
        <v>668</v>
      </c>
      <c r="U11099" s="4" t="s">
        <v>669</v>
      </c>
      <c r="V11099" s="4" t="s">
        <v>670</v>
      </c>
      <c r="W11099" s="4" t="s">
        <v>671</v>
      </c>
      <c r="X11099" s="4" t="s">
        <v>672</v>
      </c>
      <c r="Y11099" s="4" t="s">
        <v>673</v>
      </c>
      <c r="Z11099" s="4" t="s">
        <v>674</v>
      </c>
      <c r="AA11099" s="4" t="s">
        <v>675</v>
      </c>
      <c r="AB11099" s="4" t="s">
        <v>676</v>
      </c>
      <c r="AC11099" s="4" t="s">
        <v>677</v>
      </c>
      <c r="AD11099" s="4" t="s">
        <v>678</v>
      </c>
      <c r="AE11099" s="4" t="s">
        <v>679</v>
      </c>
    </row>
    <row r="11100">
      <c r="A11100" s="4">
        <v>99.0</v>
      </c>
      <c r="B11100" s="4" t="s">
        <v>22110</v>
      </c>
      <c r="C11100" s="4"/>
      <c r="D11100" s="4" t="s">
        <v>680</v>
      </c>
      <c r="E11100" s="4" t="s">
        <v>681</v>
      </c>
      <c r="F11100" s="4" t="s">
        <v>680</v>
      </c>
      <c r="G11100" s="4"/>
      <c r="H11100" s="4" t="s">
        <v>682</v>
      </c>
      <c r="I11100" s="4" t="s">
        <v>683</v>
      </c>
      <c r="J11100" s="4" t="s">
        <v>684</v>
      </c>
      <c r="K11100" s="4" t="s">
        <v>685</v>
      </c>
      <c r="L11100" s="4" t="s">
        <v>686</v>
      </c>
      <c r="M11100" s="4" t="s">
        <v>687</v>
      </c>
      <c r="N11100" s="4" t="s">
        <v>688</v>
      </c>
      <c r="O11100" s="4" t="s">
        <v>689</v>
      </c>
      <c r="P11100" s="4" t="s">
        <v>690</v>
      </c>
      <c r="Q11100" s="4" t="s">
        <v>4751</v>
      </c>
      <c r="R11100" s="4" t="s">
        <v>19744</v>
      </c>
      <c r="S11100" s="4" t="s">
        <v>19745</v>
      </c>
      <c r="T11100" s="4" t="s">
        <v>598</v>
      </c>
      <c r="U11100" s="4" t="s">
        <v>695</v>
      </c>
      <c r="V11100" s="4" t="s">
        <v>696</v>
      </c>
      <c r="W11100" s="4" t="s">
        <v>690</v>
      </c>
      <c r="X11100" s="4" t="s">
        <v>16894</v>
      </c>
      <c r="Y11100" s="4" t="s">
        <v>1800</v>
      </c>
      <c r="Z11100" s="4" t="s">
        <v>3887</v>
      </c>
      <c r="AA11100" s="4" t="s">
        <v>697</v>
      </c>
      <c r="AB11100" s="4" t="s">
        <v>698</v>
      </c>
      <c r="AC11100" s="4" t="s">
        <v>699</v>
      </c>
      <c r="AD11100" s="4" t="s">
        <v>700</v>
      </c>
      <c r="AE11100" s="4" t="s">
        <v>700</v>
      </c>
      <c r="AF11100" s="4" t="s">
        <v>20510</v>
      </c>
      <c r="AG11100" s="4" t="s">
        <v>19746</v>
      </c>
      <c r="AH11100" s="4" t="s">
        <v>9437</v>
      </c>
      <c r="AI11100" s="4" t="s">
        <v>20511</v>
      </c>
      <c r="AJ11100" s="4" t="s">
        <v>20512</v>
      </c>
      <c r="AK11100" s="4" t="s">
        <v>20513</v>
      </c>
      <c r="AL11100" s="4" t="s">
        <v>684</v>
      </c>
      <c r="AM11100" s="4" t="s">
        <v>700</v>
      </c>
      <c r="AN11100" s="4" t="s">
        <v>701</v>
      </c>
      <c r="AO11100" s="4" t="s">
        <v>703</v>
      </c>
      <c r="AP11100" s="4" t="s">
        <v>704</v>
      </c>
      <c r="AQ11100" s="4" t="s">
        <v>705</v>
      </c>
      <c r="AR11100" s="4" t="s">
        <v>706</v>
      </c>
      <c r="AS11100" s="4" t="s">
        <v>8083</v>
      </c>
      <c r="AT11100" s="4" t="s">
        <v>19746</v>
      </c>
      <c r="AU11100" s="4" t="s">
        <v>690</v>
      </c>
      <c r="AV11100" s="4" t="s">
        <v>689</v>
      </c>
      <c r="AW11100" s="4" t="s">
        <v>686</v>
      </c>
      <c r="AX11100" s="4" t="s">
        <v>19747</v>
      </c>
      <c r="AY11100" s="4" t="s">
        <v>700</v>
      </c>
      <c r="AZ11100" s="4" t="s">
        <v>20514</v>
      </c>
      <c r="BA11100" s="4" t="s">
        <v>20515</v>
      </c>
      <c r="BB11100" s="4" t="s">
        <v>20516</v>
      </c>
      <c r="BC11100" s="4" t="s">
        <v>699</v>
      </c>
      <c r="BD11100" s="4" t="s">
        <v>718</v>
      </c>
      <c r="BE11100" s="4" t="s">
        <v>719</v>
      </c>
    </row>
    <row r="11101">
      <c r="A11101" s="4">
        <v>100.0</v>
      </c>
      <c r="B11101" s="4" t="s">
        <v>22110</v>
      </c>
      <c r="C11101" s="4"/>
      <c r="D11101" s="4" t="s">
        <v>20517</v>
      </c>
      <c r="E11101" s="4" t="s">
        <v>20518</v>
      </c>
      <c r="F11101" s="4" t="s">
        <v>20517</v>
      </c>
    </row>
    <row r="11102">
      <c r="A11102" s="4">
        <v>101.0</v>
      </c>
      <c r="B11102" s="4" t="s">
        <v>22110</v>
      </c>
      <c r="C11102" s="4"/>
      <c r="D11102" s="4" t="s">
        <v>20519</v>
      </c>
      <c r="E11102" s="4" t="s">
        <v>20520</v>
      </c>
      <c r="F11102" s="4" t="s">
        <v>20519</v>
      </c>
    </row>
    <row r="11103">
      <c r="A11103" s="4">
        <v>102.0</v>
      </c>
      <c r="B11103" s="4" t="s">
        <v>22110</v>
      </c>
      <c r="C11103" s="4"/>
      <c r="D11103" s="4" t="s">
        <v>20521</v>
      </c>
      <c r="E11103" s="4" t="s">
        <v>20518</v>
      </c>
      <c r="F11103" s="4" t="s">
        <v>20517</v>
      </c>
    </row>
    <row r="11104">
      <c r="A11104" s="4">
        <v>103.0</v>
      </c>
      <c r="B11104" s="4" t="s">
        <v>22110</v>
      </c>
      <c r="C11104" s="4"/>
      <c r="D11104" s="4" t="s">
        <v>20522</v>
      </c>
      <c r="E11104" s="4" t="s">
        <v>20520</v>
      </c>
      <c r="F11104" s="4" t="s">
        <v>20519</v>
      </c>
    </row>
    <row r="11105">
      <c r="A11105" s="4">
        <v>104.0</v>
      </c>
      <c r="B11105" s="4" t="s">
        <v>22110</v>
      </c>
      <c r="C11105" s="4"/>
      <c r="D11105" s="4" t="s">
        <v>11683</v>
      </c>
      <c r="E11105" s="4" t="s">
        <v>11682</v>
      </c>
      <c r="F11105" s="4" t="s">
        <v>11683</v>
      </c>
    </row>
    <row r="11106">
      <c r="A11106" s="4">
        <v>105.0</v>
      </c>
      <c r="B11106" s="4" t="s">
        <v>22110</v>
      </c>
      <c r="C11106" s="4"/>
      <c r="D11106" s="4" t="s">
        <v>20523</v>
      </c>
      <c r="E11106" s="4" t="s">
        <v>20524</v>
      </c>
      <c r="F11106" s="4" t="s">
        <v>20525</v>
      </c>
      <c r="G11106" s="4"/>
      <c r="H11106" s="4" t="s">
        <v>20526</v>
      </c>
      <c r="I11106" s="4" t="s">
        <v>20527</v>
      </c>
      <c r="J11106" s="4" t="s">
        <v>20528</v>
      </c>
      <c r="K11106" s="4" t="s">
        <v>20529</v>
      </c>
    </row>
    <row r="11107">
      <c r="A11107" s="4">
        <v>106.0</v>
      </c>
      <c r="B11107" s="4" t="s">
        <v>22110</v>
      </c>
      <c r="C11107" s="4"/>
      <c r="D11107" s="4" t="s">
        <v>20530</v>
      </c>
      <c r="E11107" s="4" t="s">
        <v>20531</v>
      </c>
      <c r="F11107" s="4" t="s">
        <v>20530</v>
      </c>
    </row>
    <row r="11108">
      <c r="A11108" s="4">
        <v>107.0</v>
      </c>
      <c r="B11108" s="4" t="s">
        <v>22110</v>
      </c>
      <c r="C11108" s="4"/>
      <c r="D11108" s="4" t="s">
        <v>9294</v>
      </c>
      <c r="E11108" s="4" t="s">
        <v>11686</v>
      </c>
      <c r="F11108" s="4" t="s">
        <v>9294</v>
      </c>
    </row>
    <row r="11109">
      <c r="A11109" s="4">
        <v>108.0</v>
      </c>
      <c r="B11109" s="4" t="s">
        <v>22110</v>
      </c>
      <c r="C11109" s="4"/>
      <c r="D11109" s="4" t="s">
        <v>20532</v>
      </c>
      <c r="E11109" s="4" t="s">
        <v>20533</v>
      </c>
      <c r="F11109" s="4" t="s">
        <v>20532</v>
      </c>
    </row>
    <row r="11110">
      <c r="A11110" s="4">
        <v>109.0</v>
      </c>
      <c r="B11110" s="4" t="s">
        <v>22110</v>
      </c>
      <c r="C11110" s="4"/>
      <c r="D11110" s="4" t="s">
        <v>20534</v>
      </c>
      <c r="E11110" s="4" t="s">
        <v>20535</v>
      </c>
      <c r="F11110" s="4" t="s">
        <v>20534</v>
      </c>
      <c r="G11110" s="4"/>
      <c r="H11110" s="4" t="s">
        <v>19930</v>
      </c>
      <c r="I11110" s="4" t="s">
        <v>3045</v>
      </c>
      <c r="J11110" s="4" t="s">
        <v>2297</v>
      </c>
      <c r="K11110" s="4" t="s">
        <v>8984</v>
      </c>
      <c r="L11110" s="4" t="s">
        <v>8985</v>
      </c>
      <c r="M11110" s="4" t="s">
        <v>19934</v>
      </c>
      <c r="N11110" s="4" t="s">
        <v>20536</v>
      </c>
      <c r="O11110" s="4" t="s">
        <v>20537</v>
      </c>
      <c r="P11110" s="4" t="s">
        <v>6431</v>
      </c>
      <c r="Q11110" s="4" t="s">
        <v>20538</v>
      </c>
      <c r="R11110" s="4" t="s">
        <v>20539</v>
      </c>
      <c r="S11110" s="4" t="s">
        <v>20540</v>
      </c>
      <c r="T11110" s="4" t="s">
        <v>20541</v>
      </c>
      <c r="U11110" s="4" t="s">
        <v>20542</v>
      </c>
      <c r="V11110" s="4" t="s">
        <v>20543</v>
      </c>
      <c r="W11110" s="4" t="s">
        <v>20544</v>
      </c>
      <c r="X11110" s="4" t="s">
        <v>19931</v>
      </c>
      <c r="Y11110" s="4" t="s">
        <v>1800</v>
      </c>
      <c r="Z11110" s="4" t="s">
        <v>20545</v>
      </c>
      <c r="AA11110" s="4" t="s">
        <v>20543</v>
      </c>
      <c r="AB11110" s="4" t="s">
        <v>20546</v>
      </c>
      <c r="AC11110" s="4" t="s">
        <v>20540</v>
      </c>
      <c r="AD11110" s="4" t="s">
        <v>20547</v>
      </c>
      <c r="AE11110" s="4" t="s">
        <v>20548</v>
      </c>
      <c r="AF11110" s="4" t="s">
        <v>15699</v>
      </c>
      <c r="AG11110" s="4" t="s">
        <v>15700</v>
      </c>
      <c r="AH11110" s="4" t="s">
        <v>15700</v>
      </c>
      <c r="AI11110" s="4" t="s">
        <v>20549</v>
      </c>
      <c r="AJ11110" s="4" t="s">
        <v>19930</v>
      </c>
      <c r="AK11110" s="4" t="s">
        <v>19931</v>
      </c>
      <c r="AL11110" s="4" t="s">
        <v>19932</v>
      </c>
      <c r="AM11110" s="4" t="s">
        <v>3045</v>
      </c>
      <c r="AN11110" s="4" t="s">
        <v>19933</v>
      </c>
      <c r="AO11110" s="4" t="s">
        <v>19934</v>
      </c>
      <c r="AP11110" s="4" t="s">
        <v>20541</v>
      </c>
      <c r="AQ11110" s="4" t="s">
        <v>3346</v>
      </c>
      <c r="AR11110" s="4" t="s">
        <v>20549</v>
      </c>
      <c r="AS11110" s="4" t="s">
        <v>8965</v>
      </c>
      <c r="AT11110" s="4" t="s">
        <v>20550</v>
      </c>
      <c r="AU11110" s="4" t="s">
        <v>20551</v>
      </c>
    </row>
    <row r="11111">
      <c r="A11111" s="4">
        <v>110.0</v>
      </c>
      <c r="B11111" s="4" t="s">
        <v>22110</v>
      </c>
      <c r="C11111" s="4"/>
      <c r="D11111" s="4" t="s">
        <v>20552</v>
      </c>
      <c r="E11111" s="4" t="s">
        <v>20553</v>
      </c>
      <c r="F11111" s="4" t="s">
        <v>14817</v>
      </c>
      <c r="G11111" s="4"/>
      <c r="H11111" s="4" t="s">
        <v>4998</v>
      </c>
      <c r="I11111" s="4" t="s">
        <v>20554</v>
      </c>
      <c r="J11111" s="4" t="s">
        <v>20555</v>
      </c>
      <c r="K11111" s="4" t="s">
        <v>4998</v>
      </c>
      <c r="L11111" s="4" t="s">
        <v>4999</v>
      </c>
      <c r="M11111" s="4" t="s">
        <v>4998</v>
      </c>
      <c r="N11111" s="4" t="s">
        <v>4998</v>
      </c>
    </row>
    <row r="11112">
      <c r="A11112" s="4">
        <v>111.0</v>
      </c>
      <c r="B11112" s="4" t="s">
        <v>22110</v>
      </c>
      <c r="C11112" s="4"/>
      <c r="D11112" s="4" t="s">
        <v>745</v>
      </c>
      <c r="E11112" s="4" t="s">
        <v>746</v>
      </c>
      <c r="F11112" s="4" t="s">
        <v>747</v>
      </c>
      <c r="G11112" s="4"/>
      <c r="H11112" s="4" t="s">
        <v>751</v>
      </c>
      <c r="I11112" s="4" t="s">
        <v>752</v>
      </c>
    </row>
    <row r="11113">
      <c r="A11113" s="4">
        <v>112.0</v>
      </c>
      <c r="B11113" s="4" t="s">
        <v>22110</v>
      </c>
      <c r="C11113" s="4"/>
      <c r="D11113" s="4" t="s">
        <v>755</v>
      </c>
      <c r="E11113" s="4" t="s">
        <v>756</v>
      </c>
      <c r="F11113" s="4" t="s">
        <v>755</v>
      </c>
    </row>
    <row r="11114">
      <c r="A11114" s="4">
        <v>113.0</v>
      </c>
      <c r="B11114" s="4" t="s">
        <v>22110</v>
      </c>
      <c r="C11114" s="4"/>
      <c r="D11114" s="4" t="s">
        <v>20556</v>
      </c>
      <c r="E11114" s="4" t="s">
        <v>20557</v>
      </c>
      <c r="F11114" s="4" t="s">
        <v>20556</v>
      </c>
    </row>
    <row r="11115">
      <c r="A11115" s="4">
        <v>114.0</v>
      </c>
      <c r="B11115" s="4" t="s">
        <v>22110</v>
      </c>
      <c r="C11115" s="4"/>
      <c r="D11115" s="4" t="s">
        <v>20558</v>
      </c>
      <c r="E11115" s="4" t="s">
        <v>20559</v>
      </c>
      <c r="F11115" s="4" t="s">
        <v>20558</v>
      </c>
      <c r="G11115" s="4"/>
      <c r="H11115" s="4" t="s">
        <v>20560</v>
      </c>
      <c r="I11115" s="4" t="s">
        <v>20561</v>
      </c>
      <c r="J11115" s="4" t="s">
        <v>20562</v>
      </c>
    </row>
    <row r="11116">
      <c r="A11116" s="4">
        <v>115.0</v>
      </c>
      <c r="B11116" s="4" t="s">
        <v>22110</v>
      </c>
      <c r="C11116" s="4"/>
      <c r="D11116" s="4" t="s">
        <v>20563</v>
      </c>
      <c r="E11116" s="4" t="s">
        <v>20564</v>
      </c>
      <c r="F11116" s="4" t="s">
        <v>20563</v>
      </c>
    </row>
    <row r="11117">
      <c r="A11117" s="4">
        <v>116.0</v>
      </c>
      <c r="B11117" s="4" t="s">
        <v>22110</v>
      </c>
      <c r="C11117" s="4"/>
      <c r="D11117" s="4" t="s">
        <v>20565</v>
      </c>
      <c r="E11117" s="4" t="s">
        <v>20566</v>
      </c>
      <c r="F11117" s="4" t="s">
        <v>20565</v>
      </c>
    </row>
    <row r="11118">
      <c r="A11118" s="4">
        <v>117.0</v>
      </c>
      <c r="B11118" s="4" t="s">
        <v>22110</v>
      </c>
      <c r="C11118" s="4"/>
      <c r="D11118" s="4" t="s">
        <v>20567</v>
      </c>
      <c r="E11118" s="4" t="s">
        <v>20568</v>
      </c>
      <c r="F11118" s="4" t="s">
        <v>20567</v>
      </c>
    </row>
    <row r="11119">
      <c r="A11119" s="4">
        <v>118.0</v>
      </c>
      <c r="B11119" s="4" t="s">
        <v>22110</v>
      </c>
      <c r="C11119" s="4"/>
      <c r="D11119" s="4" t="s">
        <v>20569</v>
      </c>
      <c r="E11119" s="4" t="s">
        <v>20566</v>
      </c>
      <c r="F11119" s="4" t="s">
        <v>20565</v>
      </c>
    </row>
    <row r="11120">
      <c r="A11120" s="4">
        <v>119.0</v>
      </c>
      <c r="B11120" s="4" t="s">
        <v>22110</v>
      </c>
      <c r="C11120" s="4"/>
      <c r="D11120" s="4" t="s">
        <v>20570</v>
      </c>
      <c r="E11120" s="4" t="s">
        <v>20568</v>
      </c>
      <c r="F11120" s="4" t="s">
        <v>20567</v>
      </c>
    </row>
    <row r="11121">
      <c r="A11121" s="4">
        <v>120.0</v>
      </c>
      <c r="B11121" s="4" t="s">
        <v>22110</v>
      </c>
      <c r="C11121" s="4"/>
      <c r="D11121" s="4" t="s">
        <v>20571</v>
      </c>
      <c r="E11121" s="4" t="s">
        <v>20572</v>
      </c>
      <c r="F11121" s="4" t="s">
        <v>20571</v>
      </c>
    </row>
    <row r="11122">
      <c r="A11122" s="4">
        <v>121.0</v>
      </c>
      <c r="B11122" s="4" t="s">
        <v>22110</v>
      </c>
      <c r="C11122" s="4"/>
      <c r="D11122" s="4" t="s">
        <v>20573</v>
      </c>
      <c r="E11122" s="4" t="s">
        <v>20574</v>
      </c>
      <c r="F11122" s="4" t="s">
        <v>20573</v>
      </c>
    </row>
    <row r="11123">
      <c r="A11123" s="4">
        <v>122.0</v>
      </c>
      <c r="B11123" s="4" t="s">
        <v>22110</v>
      </c>
      <c r="C11123" s="4"/>
      <c r="D11123" s="4" t="s">
        <v>14082</v>
      </c>
      <c r="E11123" s="4" t="s">
        <v>14083</v>
      </c>
      <c r="F11123" s="4" t="s">
        <v>14082</v>
      </c>
    </row>
    <row r="11124">
      <c r="A11124" s="4">
        <v>123.0</v>
      </c>
      <c r="B11124" s="4" t="s">
        <v>22110</v>
      </c>
      <c r="C11124" s="4"/>
      <c r="D11124" s="4" t="s">
        <v>20575</v>
      </c>
      <c r="E11124" s="4" t="s">
        <v>20576</v>
      </c>
      <c r="F11124" s="4" t="s">
        <v>20577</v>
      </c>
    </row>
    <row r="11125">
      <c r="A11125" s="4">
        <v>124.0</v>
      </c>
      <c r="B11125" s="4" t="s">
        <v>22110</v>
      </c>
      <c r="C11125" s="4"/>
      <c r="D11125" s="4" t="s">
        <v>20578</v>
      </c>
      <c r="E11125" s="4" t="s">
        <v>20579</v>
      </c>
      <c r="F11125" s="4" t="s">
        <v>20578</v>
      </c>
    </row>
    <row r="11126">
      <c r="A11126" s="4">
        <v>125.0</v>
      </c>
      <c r="B11126" s="4" t="s">
        <v>22110</v>
      </c>
      <c r="C11126" s="4"/>
      <c r="D11126" s="4" t="s">
        <v>774</v>
      </c>
      <c r="E11126" s="4" t="s">
        <v>773</v>
      </c>
      <c r="F11126" s="4" t="s">
        <v>774</v>
      </c>
      <c r="G11126" s="4"/>
      <c r="H11126" s="4" t="s">
        <v>781</v>
      </c>
      <c r="I11126" s="4" t="s">
        <v>782</v>
      </c>
    </row>
    <row r="11127">
      <c r="A11127" s="4">
        <v>126.0</v>
      </c>
      <c r="B11127" s="4" t="s">
        <v>22110</v>
      </c>
      <c r="C11127" s="4"/>
      <c r="D11127" s="4" t="s">
        <v>784</v>
      </c>
      <c r="E11127" s="4" t="s">
        <v>474</v>
      </c>
      <c r="F11127" s="4" t="s">
        <v>475</v>
      </c>
    </row>
    <row r="11128">
      <c r="A11128" s="4">
        <v>127.0</v>
      </c>
      <c r="B11128" s="4" t="s">
        <v>22110</v>
      </c>
      <c r="C11128" s="4"/>
      <c r="D11128" s="4" t="s">
        <v>791</v>
      </c>
      <c r="E11128" s="4" t="s">
        <v>792</v>
      </c>
      <c r="F11128" s="4" t="s">
        <v>791</v>
      </c>
    </row>
    <row r="11129">
      <c r="A11129" s="4">
        <v>128.0</v>
      </c>
      <c r="B11129" s="4" t="s">
        <v>22110</v>
      </c>
      <c r="C11129" s="4"/>
      <c r="D11129" s="4" t="s">
        <v>793</v>
      </c>
      <c r="E11129" s="4" t="s">
        <v>794</v>
      </c>
      <c r="F11129" s="4" t="s">
        <v>793</v>
      </c>
      <c r="G11129" s="4"/>
      <c r="H11129" s="4" t="s">
        <v>15159</v>
      </c>
      <c r="I11129" s="4" t="s">
        <v>795</v>
      </c>
      <c r="J11129" s="4" t="s">
        <v>796</v>
      </c>
    </row>
    <row r="11130">
      <c r="A11130" s="4">
        <v>129.0</v>
      </c>
      <c r="B11130" s="4" t="s">
        <v>22110</v>
      </c>
      <c r="C11130" s="4"/>
      <c r="D11130" s="4" t="s">
        <v>20580</v>
      </c>
      <c r="E11130" s="4" t="s">
        <v>20581</v>
      </c>
      <c r="F11130" s="4" t="s">
        <v>20580</v>
      </c>
    </row>
    <row r="11131">
      <c r="A11131" s="4">
        <v>130.0</v>
      </c>
      <c r="B11131" s="4" t="s">
        <v>22110</v>
      </c>
      <c r="C11131" s="4"/>
      <c r="D11131" s="4" t="s">
        <v>20582</v>
      </c>
      <c r="E11131" s="4" t="s">
        <v>20583</v>
      </c>
      <c r="F11131" s="4" t="s">
        <v>20582</v>
      </c>
    </row>
    <row r="11132">
      <c r="A11132" s="4">
        <v>131.0</v>
      </c>
      <c r="B11132" s="4" t="s">
        <v>22110</v>
      </c>
      <c r="C11132" s="4"/>
      <c r="D11132" s="4" t="s">
        <v>20584</v>
      </c>
      <c r="E11132" s="4" t="s">
        <v>20581</v>
      </c>
      <c r="F11132" s="4" t="s">
        <v>20580</v>
      </c>
    </row>
    <row r="11133">
      <c r="A11133" s="4">
        <v>132.0</v>
      </c>
      <c r="B11133" s="4" t="s">
        <v>22110</v>
      </c>
      <c r="C11133" s="4"/>
      <c r="D11133" s="4" t="s">
        <v>20585</v>
      </c>
      <c r="E11133" s="4" t="s">
        <v>20583</v>
      </c>
      <c r="F11133" s="4" t="s">
        <v>20582</v>
      </c>
    </row>
    <row r="11134">
      <c r="A11134" s="4">
        <v>133.0</v>
      </c>
      <c r="B11134" s="4" t="s">
        <v>22110</v>
      </c>
      <c r="C11134" s="4"/>
      <c r="D11134" s="4" t="s">
        <v>20586</v>
      </c>
      <c r="E11134" s="4" t="s">
        <v>20587</v>
      </c>
      <c r="F11134" s="4" t="s">
        <v>20586</v>
      </c>
    </row>
    <row r="11135">
      <c r="A11135" s="4">
        <v>134.0</v>
      </c>
      <c r="B11135" s="4" t="s">
        <v>22110</v>
      </c>
      <c r="C11135" s="4"/>
      <c r="D11135" s="4" t="s">
        <v>787</v>
      </c>
      <c r="E11135" s="4" t="s">
        <v>786</v>
      </c>
      <c r="F11135" s="4" t="s">
        <v>787</v>
      </c>
      <c r="G11135" s="4"/>
      <c r="H11135" s="4" t="s">
        <v>789</v>
      </c>
      <c r="I11135" s="4" t="s">
        <v>3488</v>
      </c>
      <c r="J11135" s="4" t="s">
        <v>788</v>
      </c>
      <c r="K11135" s="4" t="s">
        <v>3489</v>
      </c>
      <c r="L11135" s="4" t="s">
        <v>3490</v>
      </c>
      <c r="M11135" s="4" t="s">
        <v>788</v>
      </c>
      <c r="N11135" s="4" t="s">
        <v>789</v>
      </c>
      <c r="O11135" s="4" t="s">
        <v>3727</v>
      </c>
    </row>
    <row r="11136">
      <c r="A11136" s="4">
        <v>135.0</v>
      </c>
      <c r="B11136" s="4" t="s">
        <v>22110</v>
      </c>
      <c r="C11136" s="4"/>
      <c r="D11136" s="4" t="s">
        <v>20588</v>
      </c>
      <c r="E11136" s="4" t="s">
        <v>20589</v>
      </c>
      <c r="F11136" s="4" t="s">
        <v>20590</v>
      </c>
    </row>
    <row r="11137">
      <c r="A11137" s="4">
        <v>136.0</v>
      </c>
      <c r="B11137" s="4" t="s">
        <v>22110</v>
      </c>
      <c r="C11137" s="4"/>
      <c r="D11137" s="4" t="s">
        <v>814</v>
      </c>
      <c r="E11137" s="4" t="s">
        <v>815</v>
      </c>
      <c r="F11137" s="4" t="s">
        <v>816</v>
      </c>
    </row>
    <row r="11138">
      <c r="A11138" s="4">
        <v>137.0</v>
      </c>
      <c r="B11138" s="4" t="s">
        <v>22110</v>
      </c>
      <c r="C11138" s="4"/>
      <c r="D11138" s="4" t="s">
        <v>817</v>
      </c>
      <c r="E11138" s="4" t="s">
        <v>818</v>
      </c>
      <c r="F11138" s="4" t="s">
        <v>817</v>
      </c>
      <c r="G11138" s="4"/>
      <c r="H11138" s="4" t="s">
        <v>20591</v>
      </c>
      <c r="I11138" s="4" t="s">
        <v>20592</v>
      </c>
      <c r="J11138" s="4" t="s">
        <v>20591</v>
      </c>
    </row>
    <row r="11139">
      <c r="A11139" s="4">
        <v>138.0</v>
      </c>
      <c r="B11139" s="4" t="s">
        <v>22110</v>
      </c>
      <c r="C11139" s="4"/>
      <c r="D11139" s="4" t="s">
        <v>20593</v>
      </c>
      <c r="E11139" s="4" t="s">
        <v>20594</v>
      </c>
      <c r="F11139" s="4" t="s">
        <v>20593</v>
      </c>
    </row>
    <row r="11140">
      <c r="A11140" s="4">
        <v>139.0</v>
      </c>
      <c r="B11140" s="4" t="s">
        <v>22110</v>
      </c>
      <c r="C11140" s="4"/>
      <c r="D11140" s="4" t="s">
        <v>20595</v>
      </c>
      <c r="E11140" s="4" t="s">
        <v>20596</v>
      </c>
      <c r="F11140" s="4" t="s">
        <v>20595</v>
      </c>
    </row>
    <row r="11141">
      <c r="A11141" s="4">
        <v>140.0</v>
      </c>
      <c r="B11141" s="4" t="s">
        <v>22110</v>
      </c>
      <c r="C11141" s="4"/>
      <c r="D11141" s="4" t="s">
        <v>20597</v>
      </c>
      <c r="E11141" s="4" t="s">
        <v>20598</v>
      </c>
      <c r="F11141" s="4" t="s">
        <v>20599</v>
      </c>
    </row>
    <row r="11142">
      <c r="A11142" s="4">
        <v>141.0</v>
      </c>
      <c r="B11142" s="4" t="s">
        <v>22110</v>
      </c>
      <c r="C11142" s="4"/>
      <c r="D11142" s="4" t="s">
        <v>824</v>
      </c>
      <c r="E11142" s="4" t="s">
        <v>823</v>
      </c>
      <c r="F11142" s="4" t="s">
        <v>824</v>
      </c>
      <c r="G11142" s="4"/>
      <c r="H11142" s="4" t="s">
        <v>825</v>
      </c>
    </row>
    <row r="11143">
      <c r="A11143" s="4">
        <v>142.0</v>
      </c>
      <c r="B11143" s="4" t="s">
        <v>22110</v>
      </c>
      <c r="C11143" s="4"/>
      <c r="D11143" s="4" t="s">
        <v>20600</v>
      </c>
      <c r="E11143" s="4" t="s">
        <v>20601</v>
      </c>
      <c r="F11143" s="4" t="s">
        <v>20600</v>
      </c>
      <c r="G11143" s="4"/>
      <c r="H11143" s="4" t="s">
        <v>20602</v>
      </c>
      <c r="I11143" s="4" t="s">
        <v>12577</v>
      </c>
      <c r="J11143" s="4" t="s">
        <v>20603</v>
      </c>
      <c r="K11143" s="4" t="s">
        <v>19611</v>
      </c>
      <c r="L11143" s="4" t="s">
        <v>20604</v>
      </c>
      <c r="M11143" s="4" t="s">
        <v>6284</v>
      </c>
    </row>
    <row r="11144">
      <c r="A11144" s="4">
        <v>143.0</v>
      </c>
      <c r="B11144" s="4" t="s">
        <v>22110</v>
      </c>
      <c r="C11144" s="4"/>
      <c r="D11144" s="4" t="s">
        <v>20605</v>
      </c>
      <c r="E11144" s="4" t="s">
        <v>20606</v>
      </c>
      <c r="F11144" s="4" t="s">
        <v>20605</v>
      </c>
    </row>
    <row r="11145">
      <c r="A11145" s="4">
        <v>144.0</v>
      </c>
      <c r="B11145" s="4" t="s">
        <v>22110</v>
      </c>
      <c r="C11145" s="4"/>
      <c r="D11145" s="4" t="s">
        <v>20607</v>
      </c>
      <c r="E11145" s="4" t="s">
        <v>20608</v>
      </c>
      <c r="F11145" s="4" t="s">
        <v>20609</v>
      </c>
    </row>
    <row r="11146">
      <c r="A11146" s="4">
        <v>145.0</v>
      </c>
      <c r="B11146" s="4" t="s">
        <v>22110</v>
      </c>
      <c r="C11146" s="4"/>
      <c r="D11146" s="4" t="s">
        <v>20610</v>
      </c>
      <c r="E11146" s="4" t="s">
        <v>20611</v>
      </c>
      <c r="F11146" s="4" t="s">
        <v>20610</v>
      </c>
    </row>
    <row r="11147">
      <c r="A11147" s="4">
        <v>146.0</v>
      </c>
      <c r="B11147" s="4" t="s">
        <v>22110</v>
      </c>
      <c r="C11147" s="4"/>
      <c r="D11147" s="4" t="s">
        <v>20612</v>
      </c>
      <c r="E11147" s="4" t="s">
        <v>20613</v>
      </c>
      <c r="F11147" s="4" t="s">
        <v>20614</v>
      </c>
    </row>
    <row r="11148">
      <c r="A11148" s="4">
        <v>147.0</v>
      </c>
      <c r="B11148" s="4" t="s">
        <v>22110</v>
      </c>
      <c r="C11148" s="4"/>
      <c r="D11148" s="4" t="s">
        <v>295</v>
      </c>
      <c r="E11148" s="4" t="s">
        <v>294</v>
      </c>
      <c r="F11148" s="4" t="s">
        <v>295</v>
      </c>
      <c r="G11148" s="4"/>
      <c r="H11148" s="4" t="s">
        <v>833</v>
      </c>
      <c r="I11148" s="4" t="s">
        <v>833</v>
      </c>
      <c r="J11148" s="4" t="s">
        <v>834</v>
      </c>
      <c r="K11148" s="4" t="s">
        <v>605</v>
      </c>
      <c r="L11148" s="4" t="s">
        <v>835</v>
      </c>
      <c r="M11148" s="4" t="s">
        <v>836</v>
      </c>
      <c r="N11148" s="4" t="s">
        <v>837</v>
      </c>
      <c r="O11148" s="4" t="s">
        <v>838</v>
      </c>
      <c r="P11148" s="4" t="s">
        <v>839</v>
      </c>
      <c r="Q11148" s="4" t="s">
        <v>840</v>
      </c>
      <c r="R11148" s="4" t="s">
        <v>841</v>
      </c>
      <c r="S11148" s="4" t="s">
        <v>842</v>
      </c>
      <c r="T11148" s="4" t="s">
        <v>843</v>
      </c>
      <c r="U11148" s="4" t="s">
        <v>844</v>
      </c>
      <c r="V11148" s="4" t="s">
        <v>845</v>
      </c>
      <c r="W11148" s="4" t="s">
        <v>846</v>
      </c>
    </row>
    <row r="11149">
      <c r="A11149" s="4">
        <v>148.0</v>
      </c>
      <c r="B11149" s="4" t="s">
        <v>22110</v>
      </c>
      <c r="C11149" s="4"/>
      <c r="D11149" s="4" t="s">
        <v>14086</v>
      </c>
      <c r="E11149" s="4" t="s">
        <v>14087</v>
      </c>
      <c r="F11149" s="4" t="s">
        <v>14086</v>
      </c>
      <c r="G11149" s="4"/>
      <c r="H11149" s="4" t="s">
        <v>2426</v>
      </c>
      <c r="I11149" s="4" t="s">
        <v>11321</v>
      </c>
      <c r="J11149" s="4" t="s">
        <v>14088</v>
      </c>
      <c r="K11149" s="4" t="s">
        <v>313</v>
      </c>
    </row>
    <row r="11150">
      <c r="A11150" s="4">
        <v>149.0</v>
      </c>
      <c r="B11150" s="4" t="s">
        <v>22110</v>
      </c>
      <c r="C11150" s="4"/>
      <c r="D11150" s="4" t="s">
        <v>9342</v>
      </c>
      <c r="E11150" s="4" t="s">
        <v>15648</v>
      </c>
      <c r="F11150" s="4" t="s">
        <v>9342</v>
      </c>
      <c r="G11150" s="4"/>
      <c r="H11150" s="4" t="s">
        <v>9342</v>
      </c>
    </row>
    <row r="11151">
      <c r="A11151" s="4">
        <v>150.0</v>
      </c>
      <c r="B11151" s="4" t="s">
        <v>22110</v>
      </c>
      <c r="C11151" s="4"/>
      <c r="D11151" s="4" t="s">
        <v>14089</v>
      </c>
      <c r="E11151" s="4" t="s">
        <v>14090</v>
      </c>
      <c r="F11151" s="4" t="s">
        <v>14089</v>
      </c>
    </row>
    <row r="11152">
      <c r="A11152" s="4">
        <v>151.0</v>
      </c>
      <c r="B11152" s="4" t="s">
        <v>22110</v>
      </c>
      <c r="C11152" s="4"/>
      <c r="D11152" s="4" t="s">
        <v>20615</v>
      </c>
      <c r="E11152" s="4" t="s">
        <v>20616</v>
      </c>
      <c r="F11152" s="4" t="s">
        <v>20615</v>
      </c>
    </row>
    <row r="11153">
      <c r="A11153" s="4">
        <v>152.0</v>
      </c>
      <c r="B11153" s="4" t="s">
        <v>22110</v>
      </c>
      <c r="C11153" s="4"/>
      <c r="D11153" s="4" t="s">
        <v>20617</v>
      </c>
      <c r="E11153" s="4" t="s">
        <v>20618</v>
      </c>
      <c r="F11153" s="4" t="s">
        <v>20617</v>
      </c>
    </row>
    <row r="11154">
      <c r="A11154" s="4">
        <v>153.0</v>
      </c>
      <c r="B11154" s="4" t="s">
        <v>22110</v>
      </c>
      <c r="C11154" s="4"/>
      <c r="D11154" s="4" t="s">
        <v>20619</v>
      </c>
      <c r="E11154" s="4" t="s">
        <v>20616</v>
      </c>
      <c r="F11154" s="4" t="s">
        <v>20615</v>
      </c>
    </row>
    <row r="11155">
      <c r="A11155" s="4">
        <v>154.0</v>
      </c>
      <c r="B11155" s="4" t="s">
        <v>22110</v>
      </c>
      <c r="C11155" s="4"/>
      <c r="D11155" s="4" t="s">
        <v>20620</v>
      </c>
      <c r="E11155" s="4" t="s">
        <v>20618</v>
      </c>
      <c r="F11155" s="4" t="s">
        <v>20617</v>
      </c>
    </row>
    <row r="11156">
      <c r="A11156" s="4">
        <v>155.0</v>
      </c>
      <c r="B11156" s="4" t="s">
        <v>22110</v>
      </c>
      <c r="C11156" s="4"/>
      <c r="D11156" s="4" t="s">
        <v>15649</v>
      </c>
      <c r="E11156" s="4" t="s">
        <v>15650</v>
      </c>
      <c r="F11156" s="4" t="s">
        <v>15649</v>
      </c>
    </row>
    <row r="11157">
      <c r="A11157" s="4">
        <v>156.0</v>
      </c>
      <c r="B11157" s="4" t="s">
        <v>22110</v>
      </c>
      <c r="C11157" s="4"/>
      <c r="D11157" s="4" t="s">
        <v>20621</v>
      </c>
      <c r="E11157" s="4" t="s">
        <v>20622</v>
      </c>
      <c r="F11157" s="4" t="s">
        <v>20621</v>
      </c>
      <c r="G11157" s="4"/>
      <c r="H11157" s="4" t="s">
        <v>486</v>
      </c>
    </row>
    <row r="11158">
      <c r="A11158" s="4">
        <v>157.0</v>
      </c>
      <c r="B11158" s="4" t="s">
        <v>22110</v>
      </c>
      <c r="C11158" s="4"/>
      <c r="D11158" s="4" t="s">
        <v>875</v>
      </c>
      <c r="E11158" s="4" t="s">
        <v>874</v>
      </c>
      <c r="F11158" s="4" t="s">
        <v>875</v>
      </c>
      <c r="G11158" s="4"/>
      <c r="H11158" s="4" t="s">
        <v>876</v>
      </c>
      <c r="I11158" s="4" t="s">
        <v>877</v>
      </c>
      <c r="J11158" s="4" t="s">
        <v>877</v>
      </c>
      <c r="K11158" s="4" t="s">
        <v>878</v>
      </c>
      <c r="L11158" s="4" t="s">
        <v>876</v>
      </c>
      <c r="M11158" s="4" t="s">
        <v>879</v>
      </c>
      <c r="N11158" s="4" t="s">
        <v>486</v>
      </c>
      <c r="O11158" s="4" t="s">
        <v>878</v>
      </c>
    </row>
    <row r="11159">
      <c r="A11159" s="4">
        <v>158.0</v>
      </c>
      <c r="B11159" s="4" t="s">
        <v>22110</v>
      </c>
      <c r="C11159" s="4"/>
      <c r="D11159" s="4" t="s">
        <v>20623</v>
      </c>
      <c r="E11159" s="4" t="s">
        <v>20624</v>
      </c>
      <c r="F11159" s="4" t="s">
        <v>20623</v>
      </c>
    </row>
    <row r="11160">
      <c r="A11160" s="4">
        <v>159.0</v>
      </c>
      <c r="B11160" s="4" t="s">
        <v>22110</v>
      </c>
      <c r="C11160" s="4"/>
      <c r="D11160" s="4" t="s">
        <v>20625</v>
      </c>
      <c r="E11160" s="4" t="s">
        <v>20626</v>
      </c>
      <c r="F11160" s="4" t="s">
        <v>20625</v>
      </c>
    </row>
    <row r="11161">
      <c r="A11161" s="4">
        <v>160.0</v>
      </c>
      <c r="B11161" s="4" t="s">
        <v>22110</v>
      </c>
      <c r="C11161" s="4"/>
      <c r="D11161" s="4" t="s">
        <v>20627</v>
      </c>
      <c r="E11161" s="4" t="s">
        <v>20628</v>
      </c>
      <c r="F11161" s="4" t="s">
        <v>20627</v>
      </c>
      <c r="G11161" s="4"/>
      <c r="H11161" s="4" t="s">
        <v>20629</v>
      </c>
      <c r="I11161" s="4" t="s">
        <v>20630</v>
      </c>
      <c r="J11161" s="4" t="s">
        <v>20631</v>
      </c>
      <c r="K11161" s="4" t="s">
        <v>11322</v>
      </c>
      <c r="L11161" s="4" t="s">
        <v>20632</v>
      </c>
      <c r="M11161" s="4" t="s">
        <v>20633</v>
      </c>
      <c r="N11161" s="4" t="s">
        <v>20633</v>
      </c>
      <c r="O11161" s="4" t="s">
        <v>11321</v>
      </c>
      <c r="P11161" s="4" t="s">
        <v>15189</v>
      </c>
      <c r="Q11161" s="4" t="s">
        <v>5742</v>
      </c>
      <c r="R11161" s="4" t="s">
        <v>11321</v>
      </c>
    </row>
    <row r="11162">
      <c r="A11162" s="4">
        <v>161.0</v>
      </c>
      <c r="B11162" s="4" t="s">
        <v>22110</v>
      </c>
      <c r="C11162" s="4"/>
      <c r="D11162" s="4" t="s">
        <v>9347</v>
      </c>
      <c r="E11162" s="4" t="s">
        <v>15678</v>
      </c>
      <c r="F11162" s="4" t="s">
        <v>9347</v>
      </c>
    </row>
    <row r="11163">
      <c r="A11163" s="4">
        <v>162.0</v>
      </c>
      <c r="B11163" s="4" t="s">
        <v>22110</v>
      </c>
      <c r="C11163" s="4"/>
      <c r="D11163" s="4" t="s">
        <v>882</v>
      </c>
      <c r="E11163" s="4" t="s">
        <v>881</v>
      </c>
      <c r="F11163" s="4" t="s">
        <v>882</v>
      </c>
      <c r="G11163" s="4"/>
      <c r="H11163" s="4" t="s">
        <v>883</v>
      </c>
      <c r="I11163" s="4" t="s">
        <v>884</v>
      </c>
      <c r="J11163" s="4" t="s">
        <v>885</v>
      </c>
      <c r="K11163" s="4" t="s">
        <v>886</v>
      </c>
      <c r="L11163" s="4" t="s">
        <v>887</v>
      </c>
      <c r="M11163" s="4" t="s">
        <v>878</v>
      </c>
      <c r="N11163" s="4" t="s">
        <v>888</v>
      </c>
      <c r="O11163" s="4" t="s">
        <v>15684</v>
      </c>
      <c r="P11163" s="4" t="s">
        <v>888</v>
      </c>
      <c r="Q11163" s="4" t="s">
        <v>7917</v>
      </c>
      <c r="R11163" s="4" t="s">
        <v>883</v>
      </c>
      <c r="S11163" s="4" t="s">
        <v>883</v>
      </c>
      <c r="T11163" s="4" t="s">
        <v>885</v>
      </c>
      <c r="U11163" s="4" t="s">
        <v>886</v>
      </c>
      <c r="V11163" s="4" t="s">
        <v>888</v>
      </c>
      <c r="W11163" s="4" t="s">
        <v>3086</v>
      </c>
      <c r="X11163" s="4" t="s">
        <v>887</v>
      </c>
      <c r="Y11163" s="4" t="s">
        <v>3082</v>
      </c>
    </row>
    <row r="11164">
      <c r="A11164" s="4">
        <v>163.0</v>
      </c>
      <c r="B11164" s="4" t="s">
        <v>22110</v>
      </c>
      <c r="C11164" s="4"/>
      <c r="D11164" s="4" t="s">
        <v>20634</v>
      </c>
      <c r="E11164" s="4" t="s">
        <v>14087</v>
      </c>
      <c r="F11164" s="4" t="s">
        <v>14086</v>
      </c>
    </row>
    <row r="11165">
      <c r="A11165" s="4">
        <v>164.0</v>
      </c>
      <c r="B11165" s="4" t="s">
        <v>22110</v>
      </c>
      <c r="C11165" s="4"/>
      <c r="D11165" s="4" t="s">
        <v>20635</v>
      </c>
      <c r="E11165" s="4" t="s">
        <v>501</v>
      </c>
      <c r="F11165" s="4" t="s">
        <v>502</v>
      </c>
    </row>
    <row r="11166">
      <c r="A11166" s="4">
        <v>165.0</v>
      </c>
      <c r="B11166" s="4" t="s">
        <v>22110</v>
      </c>
      <c r="C11166" s="4"/>
      <c r="D11166" s="4" t="s">
        <v>20636</v>
      </c>
      <c r="E11166" s="4" t="s">
        <v>890</v>
      </c>
      <c r="F11166" s="4" t="s">
        <v>891</v>
      </c>
    </row>
    <row r="11167">
      <c r="A11167" s="4">
        <v>166.0</v>
      </c>
      <c r="B11167" s="4" t="s">
        <v>22110</v>
      </c>
      <c r="C11167" s="4"/>
      <c r="D11167" s="4" t="s">
        <v>19539</v>
      </c>
      <c r="E11167" s="4" t="s">
        <v>19540</v>
      </c>
      <c r="F11167" s="4" t="s">
        <v>19539</v>
      </c>
    </row>
    <row r="11168">
      <c r="A11168" s="4">
        <v>167.0</v>
      </c>
      <c r="B11168" s="4" t="s">
        <v>22110</v>
      </c>
      <c r="C11168" s="4"/>
      <c r="D11168" s="4" t="s">
        <v>20637</v>
      </c>
      <c r="E11168" s="4" t="s">
        <v>20638</v>
      </c>
      <c r="F11168" s="4" t="s">
        <v>20639</v>
      </c>
    </row>
    <row r="11169">
      <c r="A11169" s="4">
        <v>168.0</v>
      </c>
      <c r="B11169" s="4" t="s">
        <v>22110</v>
      </c>
      <c r="C11169" s="4"/>
      <c r="D11169" s="4" t="s">
        <v>911</v>
      </c>
      <c r="E11169" s="4" t="s">
        <v>912</v>
      </c>
      <c r="F11169" s="4" t="s">
        <v>913</v>
      </c>
      <c r="G11169" s="4"/>
      <c r="H11169" s="4" t="s">
        <v>895</v>
      </c>
      <c r="I11169" s="4" t="s">
        <v>895</v>
      </c>
      <c r="J11169" s="4" t="s">
        <v>3618</v>
      </c>
      <c r="K11169" s="4" t="s">
        <v>914</v>
      </c>
      <c r="L11169" s="4" t="s">
        <v>19971</v>
      </c>
      <c r="M11169" s="4" t="s">
        <v>19972</v>
      </c>
      <c r="N11169" s="4" t="s">
        <v>915</v>
      </c>
      <c r="O11169" s="4" t="s">
        <v>895</v>
      </c>
      <c r="P11169" s="4" t="s">
        <v>19973</v>
      </c>
      <c r="Q11169" s="4" t="s">
        <v>895</v>
      </c>
      <c r="R11169" s="4" t="s">
        <v>914</v>
      </c>
      <c r="S11169" s="4" t="s">
        <v>914</v>
      </c>
      <c r="T11169" s="4" t="s">
        <v>915</v>
      </c>
      <c r="U11169" s="4" t="s">
        <v>916</v>
      </c>
      <c r="V11169" s="4" t="s">
        <v>895</v>
      </c>
    </row>
    <row r="11170">
      <c r="A11170" s="4">
        <v>169.0</v>
      </c>
      <c r="B11170" s="4" t="s">
        <v>22110</v>
      </c>
      <c r="C11170" s="4"/>
      <c r="D11170" s="4" t="s">
        <v>20640</v>
      </c>
      <c r="E11170" s="4" t="s">
        <v>20641</v>
      </c>
      <c r="F11170" s="4" t="s">
        <v>913</v>
      </c>
      <c r="G11170" s="4"/>
      <c r="H11170" s="4" t="s">
        <v>20642</v>
      </c>
      <c r="I11170" s="4" t="s">
        <v>932</v>
      </c>
      <c r="J11170" s="4" t="s">
        <v>20643</v>
      </c>
      <c r="K11170" s="4" t="s">
        <v>20644</v>
      </c>
      <c r="L11170" s="4" t="s">
        <v>20645</v>
      </c>
      <c r="M11170" s="4" t="s">
        <v>20646</v>
      </c>
      <c r="N11170" s="4" t="s">
        <v>20647</v>
      </c>
      <c r="O11170" s="4" t="s">
        <v>20648</v>
      </c>
      <c r="P11170" s="4" t="s">
        <v>20649</v>
      </c>
      <c r="Q11170" s="4" t="s">
        <v>20650</v>
      </c>
      <c r="R11170" s="4" t="s">
        <v>20651</v>
      </c>
      <c r="S11170" s="4" t="s">
        <v>20652</v>
      </c>
      <c r="T11170" s="4" t="s">
        <v>20653</v>
      </c>
      <c r="U11170" s="4" t="s">
        <v>19933</v>
      </c>
      <c r="V11170" s="4" t="s">
        <v>20654</v>
      </c>
    </row>
    <row r="11171">
      <c r="A11171" s="4">
        <v>170.0</v>
      </c>
      <c r="B11171" s="4" t="s">
        <v>22110</v>
      </c>
      <c r="C11171" s="4"/>
      <c r="D11171" s="4" t="s">
        <v>20655</v>
      </c>
      <c r="E11171" s="4" t="s">
        <v>20656</v>
      </c>
      <c r="F11171" s="4" t="s">
        <v>20657</v>
      </c>
    </row>
    <row r="11172">
      <c r="A11172" s="4">
        <v>171.0</v>
      </c>
      <c r="B11172" s="4" t="s">
        <v>22110</v>
      </c>
      <c r="C11172" s="4"/>
      <c r="D11172" s="4" t="s">
        <v>14093</v>
      </c>
      <c r="E11172" s="4" t="s">
        <v>14094</v>
      </c>
      <c r="F11172" s="4" t="s">
        <v>14093</v>
      </c>
      <c r="G11172" s="4"/>
      <c r="H11172" s="4" t="s">
        <v>20658</v>
      </c>
      <c r="I11172" s="4" t="s">
        <v>20659</v>
      </c>
      <c r="J11172" s="4" t="s">
        <v>20660</v>
      </c>
      <c r="K11172" s="4" t="s">
        <v>3050</v>
      </c>
      <c r="L11172" s="4" t="s">
        <v>19642</v>
      </c>
      <c r="M11172" s="4" t="s">
        <v>20660</v>
      </c>
      <c r="N11172" s="4" t="s">
        <v>20661</v>
      </c>
      <c r="O11172" s="4" t="s">
        <v>19642</v>
      </c>
      <c r="P11172" s="4" t="s">
        <v>20662</v>
      </c>
      <c r="Q11172" s="4" t="s">
        <v>2145</v>
      </c>
      <c r="R11172" s="4" t="s">
        <v>19642</v>
      </c>
      <c r="S11172" s="4" t="s">
        <v>20659</v>
      </c>
      <c r="T11172" s="4" t="s">
        <v>19584</v>
      </c>
      <c r="U11172" s="4" t="s">
        <v>20663</v>
      </c>
      <c r="V11172" s="4" t="s">
        <v>9189</v>
      </c>
      <c r="W11172" s="4" t="s">
        <v>19642</v>
      </c>
      <c r="X11172" s="4" t="s">
        <v>3169</v>
      </c>
      <c r="Y11172" s="4" t="s">
        <v>20664</v>
      </c>
      <c r="Z11172" s="4" t="s">
        <v>3050</v>
      </c>
    </row>
    <row r="11173">
      <c r="A11173" s="4">
        <v>172.0</v>
      </c>
      <c r="B11173" s="4" t="s">
        <v>22110</v>
      </c>
      <c r="C11173" s="4"/>
      <c r="D11173" s="4" t="s">
        <v>20665</v>
      </c>
      <c r="E11173" s="4" t="s">
        <v>20666</v>
      </c>
      <c r="F11173" s="4" t="s">
        <v>20665</v>
      </c>
    </row>
    <row r="11174">
      <c r="A11174" s="4">
        <v>173.0</v>
      </c>
      <c r="B11174" s="4" t="s">
        <v>22110</v>
      </c>
      <c r="C11174" s="4"/>
      <c r="D11174" s="4" t="s">
        <v>20667</v>
      </c>
      <c r="E11174" s="4" t="s">
        <v>20668</v>
      </c>
      <c r="F11174" s="4" t="s">
        <v>20667</v>
      </c>
    </row>
    <row r="11175">
      <c r="A11175" s="4">
        <v>174.0</v>
      </c>
      <c r="B11175" s="4" t="s">
        <v>22110</v>
      </c>
      <c r="C11175" s="4"/>
      <c r="D11175" s="4" t="s">
        <v>20669</v>
      </c>
      <c r="E11175" s="4" t="s">
        <v>20666</v>
      </c>
      <c r="F11175" s="4" t="s">
        <v>20665</v>
      </c>
    </row>
    <row r="11176">
      <c r="A11176" s="4">
        <v>175.0</v>
      </c>
      <c r="B11176" s="4" t="s">
        <v>22110</v>
      </c>
      <c r="C11176" s="4"/>
      <c r="D11176" s="4" t="s">
        <v>20670</v>
      </c>
      <c r="E11176" s="4" t="s">
        <v>20668</v>
      </c>
      <c r="F11176" s="4" t="s">
        <v>20667</v>
      </c>
    </row>
    <row r="11177">
      <c r="A11177" s="4">
        <v>176.0</v>
      </c>
      <c r="B11177" s="4" t="s">
        <v>22110</v>
      </c>
      <c r="C11177" s="4"/>
      <c r="D11177" s="4" t="s">
        <v>20671</v>
      </c>
      <c r="E11177" s="4" t="s">
        <v>20672</v>
      </c>
      <c r="F11177" s="4" t="s">
        <v>20671</v>
      </c>
    </row>
    <row r="11178">
      <c r="A11178" s="4">
        <v>177.0</v>
      </c>
      <c r="B11178" s="4" t="s">
        <v>22110</v>
      </c>
      <c r="C11178" s="4"/>
      <c r="D11178" s="4" t="s">
        <v>20673</v>
      </c>
      <c r="E11178" s="4" t="s">
        <v>20674</v>
      </c>
      <c r="F11178" s="4" t="s">
        <v>20673</v>
      </c>
      <c r="G11178" s="4"/>
      <c r="H11178" s="4" t="s">
        <v>15341</v>
      </c>
      <c r="I11178" s="4" t="s">
        <v>20675</v>
      </c>
    </row>
    <row r="11179">
      <c r="A11179" s="4">
        <v>178.0</v>
      </c>
      <c r="B11179" s="4" t="s">
        <v>22110</v>
      </c>
      <c r="C11179" s="4"/>
      <c r="D11179" s="4" t="s">
        <v>936</v>
      </c>
      <c r="E11179" s="4" t="s">
        <v>937</v>
      </c>
      <c r="F11179" s="4" t="s">
        <v>936</v>
      </c>
    </row>
    <row r="11180">
      <c r="A11180" s="4">
        <v>179.0</v>
      </c>
      <c r="B11180" s="4" t="s">
        <v>22110</v>
      </c>
      <c r="C11180" s="4"/>
      <c r="D11180" s="4" t="s">
        <v>938</v>
      </c>
      <c r="E11180" s="4" t="s">
        <v>939</v>
      </c>
      <c r="F11180" s="4" t="s">
        <v>938</v>
      </c>
    </row>
    <row r="11181">
      <c r="A11181" s="4">
        <v>180.0</v>
      </c>
      <c r="B11181" s="4" t="s">
        <v>22110</v>
      </c>
      <c r="C11181" s="4"/>
      <c r="D11181" s="4" t="s">
        <v>20676</v>
      </c>
      <c r="E11181" s="4" t="s">
        <v>20677</v>
      </c>
      <c r="F11181" s="4" t="s">
        <v>20676</v>
      </c>
      <c r="G11181" s="4"/>
      <c r="H11181" s="4" t="s">
        <v>9351</v>
      </c>
      <c r="I11181" s="4" t="s">
        <v>20678</v>
      </c>
      <c r="J11181" s="4" t="s">
        <v>7539</v>
      </c>
      <c r="K11181" s="4" t="s">
        <v>20679</v>
      </c>
      <c r="L11181" s="4" t="s">
        <v>20680</v>
      </c>
      <c r="M11181" s="4" t="s">
        <v>20681</v>
      </c>
      <c r="N11181" s="4" t="s">
        <v>20682</v>
      </c>
    </row>
    <row r="11182">
      <c r="A11182" s="4">
        <v>181.0</v>
      </c>
      <c r="B11182" s="4" t="s">
        <v>22110</v>
      </c>
      <c r="C11182" s="4"/>
      <c r="D11182" s="4" t="s">
        <v>20683</v>
      </c>
      <c r="E11182" s="4" t="s">
        <v>19540</v>
      </c>
      <c r="F11182" s="4" t="s">
        <v>19539</v>
      </c>
    </row>
    <row r="11183">
      <c r="A11183" s="4">
        <v>182.0</v>
      </c>
      <c r="B11183" s="4" t="s">
        <v>22110</v>
      </c>
      <c r="C11183" s="4"/>
      <c r="D11183" s="4" t="s">
        <v>20684</v>
      </c>
      <c r="E11183" s="4" t="s">
        <v>4781</v>
      </c>
      <c r="F11183" s="4" t="s">
        <v>4782</v>
      </c>
    </row>
    <row r="11184">
      <c r="A11184" s="4">
        <v>183.0</v>
      </c>
      <c r="B11184" s="4" t="s">
        <v>22110</v>
      </c>
      <c r="C11184" s="4"/>
      <c r="D11184" s="4" t="s">
        <v>17441</v>
      </c>
      <c r="E11184" s="4" t="s">
        <v>17440</v>
      </c>
      <c r="F11184" s="4" t="s">
        <v>17441</v>
      </c>
    </row>
    <row r="11185">
      <c r="A11185" s="4">
        <v>184.0</v>
      </c>
      <c r="B11185" s="4" t="s">
        <v>22110</v>
      </c>
      <c r="C11185" s="4"/>
      <c r="D11185" s="4" t="s">
        <v>20685</v>
      </c>
      <c r="E11185" s="4" t="s">
        <v>20686</v>
      </c>
      <c r="F11185" s="4" t="s">
        <v>20685</v>
      </c>
    </row>
    <row r="11186">
      <c r="A11186" s="4">
        <v>185.0</v>
      </c>
      <c r="B11186" s="4" t="s">
        <v>22110</v>
      </c>
      <c r="C11186" s="4"/>
      <c r="D11186" s="4" t="s">
        <v>20687</v>
      </c>
      <c r="E11186" s="4" t="s">
        <v>20688</v>
      </c>
      <c r="F11186" s="4" t="s">
        <v>20687</v>
      </c>
    </row>
    <row r="11187">
      <c r="A11187" s="4">
        <v>186.0</v>
      </c>
      <c r="B11187" s="4" t="s">
        <v>22110</v>
      </c>
      <c r="C11187" s="4"/>
      <c r="D11187" s="4" t="s">
        <v>960</v>
      </c>
      <c r="E11187" s="4" t="s">
        <v>961</v>
      </c>
      <c r="F11187" s="4" t="s">
        <v>962</v>
      </c>
    </row>
    <row r="11188">
      <c r="A11188" s="4">
        <v>187.0</v>
      </c>
      <c r="B11188" s="4" t="s">
        <v>22110</v>
      </c>
      <c r="C11188" s="4"/>
      <c r="D11188" s="4" t="s">
        <v>20689</v>
      </c>
      <c r="E11188" s="4" t="s">
        <v>20690</v>
      </c>
      <c r="F11188" s="4" t="s">
        <v>9073</v>
      </c>
      <c r="G11188" s="4"/>
      <c r="H11188" s="4" t="s">
        <v>20691</v>
      </c>
      <c r="I11188" s="4" t="s">
        <v>1301</v>
      </c>
      <c r="J11188" s="4" t="s">
        <v>20692</v>
      </c>
      <c r="K11188" s="4" t="s">
        <v>20693</v>
      </c>
      <c r="L11188" s="4" t="s">
        <v>20694</v>
      </c>
      <c r="M11188" s="4" t="s">
        <v>20695</v>
      </c>
      <c r="N11188" s="4" t="s">
        <v>10333</v>
      </c>
      <c r="O11188" s="4" t="s">
        <v>11925</v>
      </c>
      <c r="P11188" s="4" t="s">
        <v>1337</v>
      </c>
      <c r="Q11188" s="4" t="s">
        <v>11924</v>
      </c>
      <c r="R11188" s="4" t="s">
        <v>20696</v>
      </c>
      <c r="S11188" s="4" t="s">
        <v>20697</v>
      </c>
      <c r="T11188" s="4" t="s">
        <v>20691</v>
      </c>
    </row>
    <row r="11189">
      <c r="A11189" s="4">
        <v>188.0</v>
      </c>
      <c r="B11189" s="4" t="s">
        <v>22110</v>
      </c>
      <c r="C11189" s="4"/>
      <c r="D11189" s="4" t="s">
        <v>20698</v>
      </c>
      <c r="E11189" s="4" t="s">
        <v>20699</v>
      </c>
      <c r="F11189" s="4" t="s">
        <v>20700</v>
      </c>
    </row>
    <row r="11190">
      <c r="A11190" s="4">
        <v>189.0</v>
      </c>
      <c r="B11190" s="4" t="s">
        <v>22110</v>
      </c>
      <c r="C11190" s="4"/>
      <c r="D11190" s="4" t="s">
        <v>20701</v>
      </c>
      <c r="E11190" s="4" t="s">
        <v>20702</v>
      </c>
      <c r="F11190" s="4" t="s">
        <v>20703</v>
      </c>
      <c r="G11190" s="4"/>
      <c r="H11190" s="4" t="s">
        <v>20704</v>
      </c>
    </row>
    <row r="11191">
      <c r="A11191" s="4">
        <v>190.0</v>
      </c>
      <c r="B11191" s="4" t="s">
        <v>22110</v>
      </c>
      <c r="C11191" s="4"/>
      <c r="D11191" s="4" t="s">
        <v>976</v>
      </c>
      <c r="E11191" s="4" t="s">
        <v>977</v>
      </c>
      <c r="F11191" s="4" t="s">
        <v>978</v>
      </c>
      <c r="G11191" s="4"/>
      <c r="H11191" s="4" t="s">
        <v>20705</v>
      </c>
      <c r="I11191" s="4" t="s">
        <v>20706</v>
      </c>
    </row>
    <row r="11192">
      <c r="A11192" s="4">
        <v>191.0</v>
      </c>
      <c r="B11192" s="4" t="s">
        <v>22110</v>
      </c>
      <c r="C11192" s="4"/>
      <c r="D11192" s="4" t="s">
        <v>20707</v>
      </c>
      <c r="E11192" s="4" t="s">
        <v>20708</v>
      </c>
      <c r="F11192" s="4" t="s">
        <v>20709</v>
      </c>
    </row>
    <row r="11193">
      <c r="A11193" s="4">
        <v>192.0</v>
      </c>
      <c r="B11193" s="4" t="s">
        <v>22110</v>
      </c>
      <c r="C11193" s="4"/>
      <c r="D11193" s="4" t="s">
        <v>20710</v>
      </c>
      <c r="E11193" s="4" t="s">
        <v>20711</v>
      </c>
      <c r="F11193" s="4" t="s">
        <v>20712</v>
      </c>
    </row>
    <row r="11194">
      <c r="A11194" s="4">
        <v>193.0</v>
      </c>
      <c r="B11194" s="4" t="s">
        <v>22110</v>
      </c>
      <c r="C11194" s="4"/>
      <c r="D11194" s="4" t="s">
        <v>984</v>
      </c>
      <c r="E11194" s="4" t="s">
        <v>985</v>
      </c>
      <c r="F11194" s="4" t="s">
        <v>986</v>
      </c>
    </row>
    <row r="11195">
      <c r="A11195" s="4">
        <v>194.0</v>
      </c>
      <c r="B11195" s="4" t="s">
        <v>22110</v>
      </c>
      <c r="C11195" s="4"/>
      <c r="D11195" s="4" t="s">
        <v>990</v>
      </c>
      <c r="E11195" s="4" t="s">
        <v>991</v>
      </c>
      <c r="F11195" s="4" t="s">
        <v>992</v>
      </c>
      <c r="G11195" s="4"/>
      <c r="H11195" s="4" t="s">
        <v>993</v>
      </c>
      <c r="I11195" s="4" t="s">
        <v>994</v>
      </c>
      <c r="J11195" s="4" t="s">
        <v>2798</v>
      </c>
      <c r="K11195" s="4" t="s">
        <v>20713</v>
      </c>
      <c r="L11195" s="4" t="s">
        <v>3632</v>
      </c>
      <c r="M11195" s="4" t="s">
        <v>940</v>
      </c>
    </row>
    <row r="11196">
      <c r="A11196" s="4">
        <v>195.0</v>
      </c>
      <c r="B11196" s="4" t="s">
        <v>22110</v>
      </c>
      <c r="C11196" s="4"/>
      <c r="D11196" s="4" t="s">
        <v>20714</v>
      </c>
      <c r="E11196" s="4" t="s">
        <v>1004</v>
      </c>
      <c r="F11196" s="4" t="s">
        <v>1005</v>
      </c>
    </row>
    <row r="11197">
      <c r="A11197" s="4">
        <v>196.0</v>
      </c>
      <c r="B11197" s="4" t="s">
        <v>22110</v>
      </c>
      <c r="C11197" s="4"/>
      <c r="D11197" s="4" t="s">
        <v>20715</v>
      </c>
      <c r="E11197" s="4" t="s">
        <v>1007</v>
      </c>
      <c r="F11197" s="4" t="s">
        <v>1008</v>
      </c>
    </row>
    <row r="11198">
      <c r="A11198" s="4">
        <v>197.0</v>
      </c>
      <c r="B11198" s="4" t="s">
        <v>22110</v>
      </c>
      <c r="C11198" s="4"/>
      <c r="D11198" s="4" t="s">
        <v>20716</v>
      </c>
      <c r="E11198" s="4" t="s">
        <v>1004</v>
      </c>
      <c r="F11198" s="4" t="s">
        <v>1005</v>
      </c>
    </row>
    <row r="11199">
      <c r="A11199" s="4">
        <v>198.0</v>
      </c>
      <c r="B11199" s="4" t="s">
        <v>22110</v>
      </c>
      <c r="C11199" s="4"/>
      <c r="D11199" s="4" t="s">
        <v>20717</v>
      </c>
      <c r="E11199" s="4" t="s">
        <v>1007</v>
      </c>
      <c r="F11199" s="4" t="s">
        <v>1008</v>
      </c>
    </row>
    <row r="11200">
      <c r="A11200" s="4">
        <v>199.0</v>
      </c>
      <c r="B11200" s="4" t="s">
        <v>22110</v>
      </c>
      <c r="C11200" s="4"/>
      <c r="D11200" s="4" t="s">
        <v>11822</v>
      </c>
      <c r="E11200" s="4" t="s">
        <v>11824</v>
      </c>
      <c r="F11200" s="4" t="s">
        <v>11825</v>
      </c>
    </row>
    <row r="11201">
      <c r="A11201" s="4">
        <v>200.0</v>
      </c>
      <c r="B11201" s="4" t="s">
        <v>22110</v>
      </c>
      <c r="C11201" s="4"/>
      <c r="D11201" s="4" t="s">
        <v>5931</v>
      </c>
      <c r="E11201" s="4" t="s">
        <v>5147</v>
      </c>
      <c r="F11201" s="4" t="s">
        <v>5148</v>
      </c>
    </row>
    <row r="11202">
      <c r="A11202" s="4">
        <v>201.0</v>
      </c>
      <c r="B11202" s="4" t="s">
        <v>22110</v>
      </c>
      <c r="C11202" s="4"/>
      <c r="D11202" s="4" t="s">
        <v>1040</v>
      </c>
      <c r="E11202" s="4" t="s">
        <v>1041</v>
      </c>
      <c r="F11202" s="4" t="s">
        <v>1042</v>
      </c>
      <c r="G11202" s="4"/>
      <c r="H11202" s="4" t="s">
        <v>1241</v>
      </c>
    </row>
    <row r="11203">
      <c r="A11203" s="4">
        <v>202.0</v>
      </c>
      <c r="B11203" s="4" t="s">
        <v>22110</v>
      </c>
      <c r="C11203" s="4"/>
      <c r="D11203" s="4" t="s">
        <v>20718</v>
      </c>
      <c r="E11203" s="4" t="s">
        <v>20719</v>
      </c>
      <c r="F11203" s="4" t="s">
        <v>20720</v>
      </c>
    </row>
    <row r="11204">
      <c r="A11204" s="4">
        <v>203.0</v>
      </c>
      <c r="B11204" s="4" t="s">
        <v>22110</v>
      </c>
      <c r="C11204" s="4"/>
      <c r="D11204" s="4" t="s">
        <v>1053</v>
      </c>
      <c r="E11204" s="4" t="s">
        <v>1054</v>
      </c>
      <c r="F11204" s="4" t="s">
        <v>1055</v>
      </c>
      <c r="G11204" s="4"/>
      <c r="H11204" s="4" t="s">
        <v>1056</v>
      </c>
      <c r="I11204" s="4" t="s">
        <v>20721</v>
      </c>
      <c r="J11204" s="4" t="s">
        <v>1056</v>
      </c>
      <c r="K11204" s="4" t="s">
        <v>1057</v>
      </c>
      <c r="L11204" s="4" t="s">
        <v>1056</v>
      </c>
    </row>
    <row r="11205">
      <c r="A11205" s="4">
        <v>204.0</v>
      </c>
      <c r="B11205" s="4" t="s">
        <v>22110</v>
      </c>
      <c r="C11205" s="4"/>
      <c r="D11205" s="4" t="s">
        <v>20722</v>
      </c>
      <c r="E11205" s="4" t="s">
        <v>20723</v>
      </c>
      <c r="F11205" s="4" t="s">
        <v>20724</v>
      </c>
      <c r="G11205" s="4"/>
      <c r="H11205" s="4" t="s">
        <v>641</v>
      </c>
      <c r="I11205" s="4" t="s">
        <v>20725</v>
      </c>
      <c r="J11205" s="4" t="s">
        <v>1057</v>
      </c>
      <c r="K11205" s="4" t="s">
        <v>20726</v>
      </c>
    </row>
    <row r="11206">
      <c r="A11206" s="4">
        <v>205.0</v>
      </c>
      <c r="B11206" s="4" t="s">
        <v>22110</v>
      </c>
      <c r="C11206" s="4"/>
      <c r="D11206" s="4" t="s">
        <v>20727</v>
      </c>
      <c r="E11206" s="4" t="s">
        <v>15796</v>
      </c>
      <c r="F11206" s="4" t="s">
        <v>5056</v>
      </c>
      <c r="G11206" s="4"/>
      <c r="H11206" s="4" t="s">
        <v>20728</v>
      </c>
    </row>
    <row r="11207">
      <c r="A11207" s="4">
        <v>206.0</v>
      </c>
      <c r="B11207" s="4" t="s">
        <v>22110</v>
      </c>
      <c r="C11207" s="4"/>
      <c r="D11207" s="4" t="s">
        <v>20729</v>
      </c>
      <c r="E11207" s="4" t="s">
        <v>20730</v>
      </c>
      <c r="F11207" s="4" t="s">
        <v>20731</v>
      </c>
    </row>
    <row r="11208">
      <c r="A11208" s="4">
        <v>207.0</v>
      </c>
      <c r="B11208" s="4" t="s">
        <v>22110</v>
      </c>
      <c r="C11208" s="4"/>
      <c r="D11208" s="4" t="s">
        <v>16603</v>
      </c>
      <c r="E11208" s="4" t="s">
        <v>16604</v>
      </c>
      <c r="F11208" s="4" t="s">
        <v>16605</v>
      </c>
    </row>
    <row r="11209">
      <c r="A11209" s="4">
        <v>208.0</v>
      </c>
      <c r="B11209" s="4" t="s">
        <v>22110</v>
      </c>
      <c r="C11209" s="4"/>
      <c r="D11209" s="4" t="s">
        <v>1120</v>
      </c>
      <c r="E11209" s="4" t="s">
        <v>1121</v>
      </c>
      <c r="F11209" s="4" t="s">
        <v>1122</v>
      </c>
      <c r="G11209" s="4"/>
      <c r="H11209" s="4" t="s">
        <v>963</v>
      </c>
      <c r="I11209" s="4" t="s">
        <v>964</v>
      </c>
      <c r="J11209" s="4" t="s">
        <v>965</v>
      </c>
    </row>
    <row r="11210">
      <c r="A11210" s="4">
        <v>209.0</v>
      </c>
      <c r="B11210" s="4" t="s">
        <v>22110</v>
      </c>
      <c r="C11210" s="4"/>
      <c r="D11210" s="4" t="s">
        <v>1123</v>
      </c>
      <c r="E11210" s="4" t="s">
        <v>1124</v>
      </c>
      <c r="F11210" s="4" t="s">
        <v>1125</v>
      </c>
      <c r="G11210" s="4"/>
      <c r="H11210" s="4" t="s">
        <v>20732</v>
      </c>
      <c r="I11210" s="4" t="s">
        <v>20733</v>
      </c>
    </row>
    <row r="11211">
      <c r="A11211" s="4">
        <v>210.0</v>
      </c>
      <c r="B11211" s="4" t="s">
        <v>22110</v>
      </c>
      <c r="C11211" s="4"/>
      <c r="D11211" s="4" t="s">
        <v>1126</v>
      </c>
      <c r="E11211" s="4" t="s">
        <v>1127</v>
      </c>
      <c r="F11211" s="4" t="s">
        <v>1128</v>
      </c>
      <c r="G11211" s="4"/>
      <c r="H11211" s="4" t="s">
        <v>1126</v>
      </c>
      <c r="I11211" s="4" t="s">
        <v>1136</v>
      </c>
      <c r="J11211" s="4" t="s">
        <v>19760</v>
      </c>
      <c r="K11211" s="4" t="s">
        <v>19761</v>
      </c>
      <c r="L11211" s="4" t="s">
        <v>1129</v>
      </c>
      <c r="M11211" s="4" t="s">
        <v>1130</v>
      </c>
      <c r="N11211" s="4" t="s">
        <v>1131</v>
      </c>
      <c r="O11211" s="4" t="s">
        <v>1132</v>
      </c>
      <c r="P11211" s="4" t="s">
        <v>1133</v>
      </c>
      <c r="Q11211" s="4" t="s">
        <v>1134</v>
      </c>
      <c r="R11211" s="4" t="s">
        <v>20734</v>
      </c>
      <c r="S11211" s="4" t="s">
        <v>1130</v>
      </c>
      <c r="T11211" s="4" t="s">
        <v>1135</v>
      </c>
      <c r="U11211" s="4" t="s">
        <v>1126</v>
      </c>
      <c r="V11211" s="4" t="s">
        <v>1136</v>
      </c>
      <c r="W11211" s="4" t="s">
        <v>1136</v>
      </c>
      <c r="X11211" s="4" t="s">
        <v>1137</v>
      </c>
      <c r="Y11211" s="4" t="s">
        <v>1136</v>
      </c>
    </row>
    <row r="11212">
      <c r="A11212" s="4">
        <v>211.0</v>
      </c>
      <c r="B11212" s="4" t="s">
        <v>22110</v>
      </c>
      <c r="C11212" s="4"/>
      <c r="D11212" s="4" t="s">
        <v>1161</v>
      </c>
      <c r="E11212" s="4" t="s">
        <v>1162</v>
      </c>
      <c r="F11212" s="4" t="s">
        <v>1163</v>
      </c>
      <c r="G11212" s="4"/>
      <c r="H11212" s="4" t="s">
        <v>20735</v>
      </c>
      <c r="I11212" s="4" t="s">
        <v>20736</v>
      </c>
    </row>
    <row r="11213">
      <c r="A11213" s="4">
        <v>212.0</v>
      </c>
      <c r="B11213" s="4" t="s">
        <v>22110</v>
      </c>
      <c r="C11213" s="4"/>
      <c r="D11213" s="4" t="s">
        <v>20737</v>
      </c>
      <c r="E11213" s="4" t="s">
        <v>20738</v>
      </c>
      <c r="F11213" s="4" t="s">
        <v>20739</v>
      </c>
    </row>
    <row r="11214">
      <c r="A11214" s="4">
        <v>213.0</v>
      </c>
      <c r="B11214" s="4" t="s">
        <v>22110</v>
      </c>
      <c r="C11214" s="4"/>
      <c r="D11214" s="4" t="s">
        <v>20740</v>
      </c>
      <c r="E11214" s="4" t="s">
        <v>1206</v>
      </c>
      <c r="F11214" s="4" t="s">
        <v>1207</v>
      </c>
    </row>
    <row r="11215">
      <c r="A11215" s="4">
        <v>214.0</v>
      </c>
      <c r="B11215" s="4" t="s">
        <v>22110</v>
      </c>
      <c r="C11215" s="4"/>
      <c r="D11215" s="4" t="s">
        <v>20741</v>
      </c>
      <c r="E11215" s="4" t="s">
        <v>20742</v>
      </c>
      <c r="F11215" s="4" t="s">
        <v>20743</v>
      </c>
      <c r="G11215" s="4"/>
      <c r="H11215" s="4" t="s">
        <v>20744</v>
      </c>
      <c r="I11215" s="4" t="s">
        <v>20745</v>
      </c>
    </row>
    <row r="11216">
      <c r="A11216" s="4">
        <v>215.0</v>
      </c>
      <c r="B11216" s="4" t="s">
        <v>22110</v>
      </c>
      <c r="C11216" s="4"/>
      <c r="D11216" s="4" t="s">
        <v>1176</v>
      </c>
      <c r="E11216" s="4" t="s">
        <v>1177</v>
      </c>
      <c r="F11216" s="4" t="s">
        <v>1178</v>
      </c>
    </row>
    <row r="11217">
      <c r="A11217" s="4">
        <v>216.0</v>
      </c>
      <c r="B11217" s="4" t="s">
        <v>22110</v>
      </c>
      <c r="C11217" s="4"/>
      <c r="D11217" s="4" t="s">
        <v>20746</v>
      </c>
      <c r="E11217" s="4" t="s">
        <v>20747</v>
      </c>
      <c r="F11217" s="4" t="s">
        <v>20748</v>
      </c>
    </row>
    <row r="11218">
      <c r="A11218" s="4">
        <v>217.0</v>
      </c>
      <c r="B11218" s="4" t="s">
        <v>22110</v>
      </c>
      <c r="C11218" s="4"/>
      <c r="D11218" s="4" t="s">
        <v>20749</v>
      </c>
      <c r="E11218" s="4" t="s">
        <v>20750</v>
      </c>
      <c r="F11218" s="4" t="s">
        <v>20751</v>
      </c>
    </row>
    <row r="11219">
      <c r="A11219" s="4">
        <v>218.0</v>
      </c>
      <c r="B11219" s="4" t="s">
        <v>22110</v>
      </c>
      <c r="C11219" s="4"/>
      <c r="D11219" s="4" t="s">
        <v>20752</v>
      </c>
      <c r="E11219" s="4" t="s">
        <v>19992</v>
      </c>
      <c r="F11219" s="4" t="s">
        <v>19993</v>
      </c>
      <c r="G11219" s="4"/>
      <c r="H11219" s="4" t="s">
        <v>20753</v>
      </c>
      <c r="I11219" s="4" t="s">
        <v>20754</v>
      </c>
      <c r="J11219" s="4" t="s">
        <v>20755</v>
      </c>
      <c r="K11219" s="4" t="s">
        <v>20756</v>
      </c>
    </row>
    <row r="11220">
      <c r="A11220" s="4">
        <v>219.0</v>
      </c>
      <c r="B11220" s="4" t="s">
        <v>22110</v>
      </c>
      <c r="C11220" s="4"/>
      <c r="D11220" s="4" t="s">
        <v>1231</v>
      </c>
      <c r="E11220" s="4" t="s">
        <v>1232</v>
      </c>
      <c r="F11220" s="4" t="s">
        <v>1233</v>
      </c>
      <c r="G11220" s="4"/>
      <c r="H11220" s="4" t="s">
        <v>1234</v>
      </c>
      <c r="I11220" s="4" t="s">
        <v>1235</v>
      </c>
      <c r="J11220" s="4" t="s">
        <v>1236</v>
      </c>
      <c r="K11220" s="4" t="s">
        <v>1237</v>
      </c>
      <c r="L11220" s="4" t="s">
        <v>1241</v>
      </c>
      <c r="M11220" s="4" t="s">
        <v>1217</v>
      </c>
      <c r="N11220" s="4" t="s">
        <v>1243</v>
      </c>
      <c r="O11220" s="4" t="s">
        <v>1238</v>
      </c>
      <c r="P11220" s="4" t="s">
        <v>1235</v>
      </c>
      <c r="Q11220" s="4" t="s">
        <v>1239</v>
      </c>
      <c r="R11220" s="4" t="s">
        <v>1240</v>
      </c>
      <c r="S11220" s="4" t="s">
        <v>1237</v>
      </c>
      <c r="T11220" s="4" t="s">
        <v>1241</v>
      </c>
      <c r="U11220" s="4" t="s">
        <v>1237</v>
      </c>
      <c r="V11220" s="4" t="s">
        <v>1242</v>
      </c>
      <c r="W11220" s="4" t="s">
        <v>1243</v>
      </c>
      <c r="X11220" s="4" t="s">
        <v>20757</v>
      </c>
    </row>
    <row r="11221">
      <c r="A11221" s="4">
        <v>220.0</v>
      </c>
      <c r="B11221" s="4" t="s">
        <v>22110</v>
      </c>
      <c r="C11221" s="4"/>
      <c r="D11221" s="4" t="s">
        <v>1244</v>
      </c>
      <c r="E11221" s="4" t="s">
        <v>1245</v>
      </c>
      <c r="F11221" s="4" t="s">
        <v>1246</v>
      </c>
      <c r="G11221" s="4"/>
      <c r="H11221" s="4" t="s">
        <v>20758</v>
      </c>
      <c r="I11221" s="4" t="s">
        <v>20759</v>
      </c>
      <c r="J11221" s="4" t="s">
        <v>20760</v>
      </c>
      <c r="K11221" s="4" t="s">
        <v>20761</v>
      </c>
      <c r="L11221" s="4" t="s">
        <v>20762</v>
      </c>
      <c r="M11221" s="4" t="s">
        <v>20763</v>
      </c>
      <c r="N11221" s="4" t="s">
        <v>6078</v>
      </c>
    </row>
    <row r="11222">
      <c r="A11222" s="4">
        <v>221.0</v>
      </c>
      <c r="B11222" s="4" t="s">
        <v>22110</v>
      </c>
      <c r="C11222" s="4"/>
      <c r="D11222" s="4" t="s">
        <v>20764</v>
      </c>
      <c r="E11222" s="4" t="s">
        <v>20765</v>
      </c>
      <c r="F11222" s="4" t="s">
        <v>20766</v>
      </c>
    </row>
    <row r="11223">
      <c r="A11223" s="4">
        <v>222.0</v>
      </c>
      <c r="B11223" s="4" t="s">
        <v>22110</v>
      </c>
      <c r="C11223" s="4"/>
      <c r="D11223" s="4" t="s">
        <v>20767</v>
      </c>
      <c r="E11223" s="4" t="s">
        <v>20768</v>
      </c>
      <c r="F11223" s="4" t="s">
        <v>20769</v>
      </c>
    </row>
    <row r="11224">
      <c r="A11224" s="4">
        <v>223.0</v>
      </c>
      <c r="B11224" s="4" t="s">
        <v>22110</v>
      </c>
      <c r="C11224" s="4"/>
      <c r="D11224" s="4" t="s">
        <v>1274</v>
      </c>
      <c r="E11224" s="4" t="s">
        <v>1275</v>
      </c>
      <c r="F11224" s="4" t="s">
        <v>1276</v>
      </c>
      <c r="G11224" s="4"/>
      <c r="H11224" s="4" t="s">
        <v>1274</v>
      </c>
      <c r="I11224" s="4" t="s">
        <v>1277</v>
      </c>
      <c r="J11224" s="4" t="s">
        <v>1278</v>
      </c>
      <c r="K11224" s="4" t="s">
        <v>1279</v>
      </c>
      <c r="L11224" s="4" t="s">
        <v>11898</v>
      </c>
      <c r="M11224" s="4" t="s">
        <v>20770</v>
      </c>
      <c r="N11224" s="4" t="s">
        <v>1274</v>
      </c>
      <c r="O11224" s="4" t="s">
        <v>1280</v>
      </c>
      <c r="P11224" s="4" t="s">
        <v>1274</v>
      </c>
      <c r="Q11224" s="4" t="s">
        <v>1274</v>
      </c>
      <c r="R11224" s="4" t="s">
        <v>11899</v>
      </c>
      <c r="S11224" s="4" t="s">
        <v>1281</v>
      </c>
    </row>
    <row r="11225">
      <c r="A11225" s="4">
        <v>224.0</v>
      </c>
      <c r="B11225" s="4" t="s">
        <v>22110</v>
      </c>
      <c r="C11225" s="4"/>
      <c r="D11225" s="4" t="s">
        <v>1282</v>
      </c>
      <c r="E11225" s="4" t="s">
        <v>1283</v>
      </c>
      <c r="F11225" s="4" t="s">
        <v>1284</v>
      </c>
    </row>
    <row r="11226">
      <c r="A11226" s="4">
        <v>225.0</v>
      </c>
      <c r="B11226" s="4" t="s">
        <v>22110</v>
      </c>
      <c r="C11226" s="4"/>
      <c r="D11226" s="4" t="s">
        <v>1288</v>
      </c>
      <c r="E11226" s="4" t="s">
        <v>1289</v>
      </c>
      <c r="F11226" s="4" t="s">
        <v>1290</v>
      </c>
    </row>
    <row r="11227">
      <c r="A11227" s="4">
        <v>226.0</v>
      </c>
      <c r="B11227" s="4" t="s">
        <v>22110</v>
      </c>
      <c r="C11227" s="4"/>
      <c r="D11227" s="4" t="s">
        <v>20771</v>
      </c>
      <c r="E11227" s="4" t="s">
        <v>15031</v>
      </c>
      <c r="F11227" s="4" t="s">
        <v>5986</v>
      </c>
      <c r="G11227" s="4"/>
      <c r="H11227" s="4" t="s">
        <v>1221</v>
      </c>
      <c r="I11227" s="4" t="s">
        <v>1294</v>
      </c>
      <c r="J11227" s="4" t="s">
        <v>1221</v>
      </c>
      <c r="K11227" s="4" t="s">
        <v>1287</v>
      </c>
      <c r="L11227" s="4" t="s">
        <v>1221</v>
      </c>
      <c r="M11227" s="4" t="s">
        <v>20772</v>
      </c>
      <c r="N11227" s="4" t="s">
        <v>20773</v>
      </c>
      <c r="O11227" s="4" t="s">
        <v>1221</v>
      </c>
      <c r="P11227" s="4" t="s">
        <v>20774</v>
      </c>
      <c r="Q11227" s="4" t="s">
        <v>617</v>
      </c>
      <c r="R11227" s="4" t="s">
        <v>1221</v>
      </c>
      <c r="S11227" s="4" t="s">
        <v>1286</v>
      </c>
      <c r="T11227" s="4" t="s">
        <v>1287</v>
      </c>
    </row>
    <row r="11228">
      <c r="A11228" s="4">
        <v>227.0</v>
      </c>
      <c r="B11228" s="4" t="s">
        <v>22110</v>
      </c>
      <c r="C11228" s="4"/>
      <c r="D11228" s="4" t="s">
        <v>20775</v>
      </c>
      <c r="E11228" s="4" t="s">
        <v>1232</v>
      </c>
      <c r="F11228" s="4" t="s">
        <v>1233</v>
      </c>
    </row>
    <row r="11229">
      <c r="A11229" s="4">
        <v>228.0</v>
      </c>
      <c r="B11229" s="4" t="s">
        <v>22110</v>
      </c>
      <c r="C11229" s="4"/>
      <c r="D11229" s="4" t="s">
        <v>1295</v>
      </c>
      <c r="E11229" s="4" t="s">
        <v>1296</v>
      </c>
      <c r="F11229" s="4" t="s">
        <v>1297</v>
      </c>
      <c r="G11229" s="4"/>
      <c r="H11229" s="4" t="s">
        <v>20776</v>
      </c>
    </row>
    <row r="11230">
      <c r="A11230" s="4">
        <v>229.0</v>
      </c>
      <c r="B11230" s="4" t="s">
        <v>22110</v>
      </c>
      <c r="C11230" s="4"/>
      <c r="D11230" s="4" t="s">
        <v>20777</v>
      </c>
      <c r="E11230" s="4" t="s">
        <v>20778</v>
      </c>
      <c r="F11230" s="4" t="s">
        <v>20700</v>
      </c>
    </row>
    <row r="11231">
      <c r="A11231" s="4">
        <v>230.0</v>
      </c>
      <c r="B11231" s="4" t="s">
        <v>22110</v>
      </c>
      <c r="C11231" s="4"/>
      <c r="D11231" s="4" t="s">
        <v>1305</v>
      </c>
      <c r="E11231" s="4" t="s">
        <v>1306</v>
      </c>
      <c r="F11231" s="4" t="s">
        <v>1307</v>
      </c>
      <c r="G11231" s="4"/>
      <c r="H11231" s="4" t="s">
        <v>1310</v>
      </c>
      <c r="I11231" s="4" t="s">
        <v>1209</v>
      </c>
      <c r="J11231" s="4" t="s">
        <v>515</v>
      </c>
      <c r="K11231" s="4" t="s">
        <v>1308</v>
      </c>
      <c r="L11231" s="4" t="s">
        <v>1309</v>
      </c>
      <c r="M11231" s="4" t="s">
        <v>1310</v>
      </c>
      <c r="N11231" s="4" t="s">
        <v>1311</v>
      </c>
      <c r="O11231" s="4" t="s">
        <v>1312</v>
      </c>
      <c r="P11231" s="4" t="s">
        <v>1313</v>
      </c>
      <c r="Q11231" s="4" t="s">
        <v>1310</v>
      </c>
      <c r="R11231" s="4" t="s">
        <v>1314</v>
      </c>
      <c r="S11231" s="4" t="s">
        <v>3491</v>
      </c>
      <c r="T11231" s="4" t="s">
        <v>1310</v>
      </c>
      <c r="U11231" s="4" t="s">
        <v>1315</v>
      </c>
      <c r="V11231" s="4" t="s">
        <v>1310</v>
      </c>
      <c r="W11231" s="4" t="s">
        <v>20779</v>
      </c>
      <c r="X11231" s="4" t="s">
        <v>1310</v>
      </c>
      <c r="Y11231" s="4" t="s">
        <v>515</v>
      </c>
      <c r="Z11231" s="4" t="s">
        <v>1310</v>
      </c>
      <c r="AA11231" s="4" t="s">
        <v>950</v>
      </c>
      <c r="AB11231" s="4" t="s">
        <v>1310</v>
      </c>
    </row>
    <row r="11232">
      <c r="A11232" s="4">
        <v>231.0</v>
      </c>
      <c r="B11232" s="4" t="s">
        <v>22110</v>
      </c>
      <c r="C11232" s="4"/>
      <c r="D11232" s="4" t="s">
        <v>20780</v>
      </c>
      <c r="E11232" s="4" t="s">
        <v>20781</v>
      </c>
      <c r="F11232" s="4" t="s">
        <v>20782</v>
      </c>
    </row>
    <row r="11233">
      <c r="A11233" s="4">
        <v>232.0</v>
      </c>
      <c r="B11233" s="4" t="s">
        <v>22110</v>
      </c>
      <c r="C11233" s="4"/>
      <c r="D11233" s="4" t="s">
        <v>20783</v>
      </c>
      <c r="E11233" s="4" t="s">
        <v>20784</v>
      </c>
      <c r="F11233" s="4" t="s">
        <v>20785</v>
      </c>
    </row>
    <row r="11234">
      <c r="A11234" s="4">
        <v>233.0</v>
      </c>
      <c r="B11234" s="4" t="s">
        <v>22110</v>
      </c>
      <c r="C11234" s="4"/>
      <c r="D11234" s="4" t="s">
        <v>20786</v>
      </c>
      <c r="E11234" s="4" t="s">
        <v>20787</v>
      </c>
      <c r="F11234" s="4" t="s">
        <v>20788</v>
      </c>
    </row>
    <row r="11235">
      <c r="A11235" s="4">
        <v>234.0</v>
      </c>
      <c r="B11235" s="4" t="s">
        <v>22110</v>
      </c>
      <c r="C11235" s="4"/>
      <c r="D11235" s="4" t="s">
        <v>20789</v>
      </c>
      <c r="E11235" s="4" t="s">
        <v>20790</v>
      </c>
      <c r="F11235" s="4" t="s">
        <v>20791</v>
      </c>
    </row>
    <row r="11236">
      <c r="A11236" s="4">
        <v>235.0</v>
      </c>
      <c r="B11236" s="4" t="s">
        <v>22110</v>
      </c>
      <c r="C11236" s="4"/>
      <c r="D11236" s="4" t="s">
        <v>1322</v>
      </c>
      <c r="E11236" s="4" t="s">
        <v>1323</v>
      </c>
      <c r="F11236" s="4" t="s">
        <v>1324</v>
      </c>
      <c r="G11236" s="4"/>
      <c r="H11236" s="4" t="s">
        <v>20792</v>
      </c>
      <c r="I11236" s="4" t="s">
        <v>20793</v>
      </c>
      <c r="J11236" s="4" t="s">
        <v>20794</v>
      </c>
      <c r="K11236" s="4" t="s">
        <v>14828</v>
      </c>
      <c r="L11236" s="4" t="s">
        <v>14831</v>
      </c>
    </row>
    <row r="11237">
      <c r="A11237" s="4">
        <v>236.0</v>
      </c>
      <c r="B11237" s="4" t="s">
        <v>22110</v>
      </c>
      <c r="C11237" s="4"/>
      <c r="D11237" s="4" t="s">
        <v>1328</v>
      </c>
      <c r="E11237" s="4" t="s">
        <v>1329</v>
      </c>
      <c r="F11237" s="4" t="s">
        <v>1330</v>
      </c>
    </row>
    <row r="11238">
      <c r="A11238" s="4">
        <v>237.0</v>
      </c>
      <c r="B11238" s="4" t="s">
        <v>22110</v>
      </c>
      <c r="C11238" s="4"/>
      <c r="D11238" s="4" t="s">
        <v>20795</v>
      </c>
      <c r="E11238" s="4" t="s">
        <v>20796</v>
      </c>
      <c r="F11238" s="4" t="s">
        <v>20797</v>
      </c>
    </row>
    <row r="11239">
      <c r="A11239" s="4">
        <v>238.0</v>
      </c>
      <c r="B11239" s="4" t="s">
        <v>22110</v>
      </c>
      <c r="C11239" s="4"/>
      <c r="D11239" s="4" t="s">
        <v>19025</v>
      </c>
      <c r="E11239" s="4" t="s">
        <v>1306</v>
      </c>
      <c r="F11239" s="4" t="s">
        <v>1307</v>
      </c>
    </row>
    <row r="11240">
      <c r="A11240" s="4">
        <v>239.0</v>
      </c>
      <c r="B11240" s="4" t="s">
        <v>22110</v>
      </c>
      <c r="C11240" s="4"/>
      <c r="D11240" s="4" t="s">
        <v>20798</v>
      </c>
      <c r="E11240" s="4" t="s">
        <v>20799</v>
      </c>
      <c r="F11240" s="4" t="s">
        <v>20800</v>
      </c>
    </row>
    <row r="11241">
      <c r="A11241" s="4">
        <v>240.0</v>
      </c>
      <c r="B11241" s="4" t="s">
        <v>22110</v>
      </c>
      <c r="C11241" s="4"/>
      <c r="D11241" s="4" t="s">
        <v>1334</v>
      </c>
      <c r="E11241" s="4" t="s">
        <v>1335</v>
      </c>
      <c r="F11241" s="4" t="s">
        <v>1336</v>
      </c>
    </row>
    <row r="11242">
      <c r="A11242" s="4">
        <v>241.0</v>
      </c>
      <c r="B11242" s="4" t="s">
        <v>22110</v>
      </c>
      <c r="C11242" s="4"/>
      <c r="D11242" s="4" t="s">
        <v>16624</v>
      </c>
      <c r="E11242" s="4" t="s">
        <v>1358</v>
      </c>
      <c r="F11242" s="4" t="s">
        <v>1359</v>
      </c>
      <c r="G11242" s="4"/>
      <c r="H11242" s="4" t="s">
        <v>20801</v>
      </c>
      <c r="I11242" s="4" t="s">
        <v>20802</v>
      </c>
      <c r="J11242" s="4" t="s">
        <v>20803</v>
      </c>
      <c r="K11242" s="4" t="s">
        <v>20804</v>
      </c>
      <c r="L11242" s="4" t="s">
        <v>20805</v>
      </c>
      <c r="M11242" s="4" t="s">
        <v>3573</v>
      </c>
      <c r="N11242" s="4" t="s">
        <v>2125</v>
      </c>
      <c r="O11242" s="4" t="s">
        <v>3574</v>
      </c>
      <c r="P11242" s="4" t="s">
        <v>3575</v>
      </c>
      <c r="Q11242" s="4" t="s">
        <v>3576</v>
      </c>
      <c r="R11242" s="4" t="s">
        <v>3577</v>
      </c>
      <c r="S11242" s="4" t="s">
        <v>2130</v>
      </c>
      <c r="T11242" s="4" t="s">
        <v>2130</v>
      </c>
      <c r="U11242" s="4" t="s">
        <v>2547</v>
      </c>
      <c r="V11242" s="4" t="s">
        <v>2130</v>
      </c>
      <c r="W11242" s="4" t="s">
        <v>20806</v>
      </c>
      <c r="X11242" s="4" t="s">
        <v>20807</v>
      </c>
      <c r="Y11242" s="4" t="s">
        <v>20808</v>
      </c>
      <c r="Z11242" s="4" t="s">
        <v>20809</v>
      </c>
      <c r="AA11242" s="4" t="s">
        <v>2128</v>
      </c>
      <c r="AB11242" s="4" t="s">
        <v>2129</v>
      </c>
      <c r="AC11242" s="4" t="s">
        <v>2130</v>
      </c>
      <c r="AD11242" s="4" t="s">
        <v>2125</v>
      </c>
      <c r="AE11242" s="4" t="s">
        <v>2131</v>
      </c>
      <c r="AF11242" s="4" t="s">
        <v>2130</v>
      </c>
      <c r="AG11242" s="4" t="s">
        <v>2125</v>
      </c>
      <c r="AH11242" s="4" t="s">
        <v>2125</v>
      </c>
      <c r="AI11242" s="4" t="s">
        <v>11158</v>
      </c>
      <c r="AJ11242" s="4" t="s">
        <v>2125</v>
      </c>
    </row>
    <row r="11243">
      <c r="A11243" s="4">
        <v>242.0</v>
      </c>
      <c r="B11243" s="4" t="s">
        <v>22110</v>
      </c>
      <c r="C11243" s="4"/>
      <c r="D11243" s="4" t="s">
        <v>20810</v>
      </c>
      <c r="E11243" s="4" t="s">
        <v>20811</v>
      </c>
      <c r="F11243" s="4" t="s">
        <v>20812</v>
      </c>
    </row>
    <row r="11244">
      <c r="A11244" s="4">
        <v>243.0</v>
      </c>
      <c r="B11244" s="4" t="s">
        <v>22110</v>
      </c>
      <c r="C11244" s="4"/>
      <c r="D11244" s="4" t="s">
        <v>14129</v>
      </c>
      <c r="E11244" s="4" t="s">
        <v>14130</v>
      </c>
      <c r="F11244" s="4" t="s">
        <v>14131</v>
      </c>
    </row>
    <row r="11245">
      <c r="A11245" s="4">
        <v>244.0</v>
      </c>
      <c r="B11245" s="4" t="s">
        <v>22110</v>
      </c>
      <c r="C11245" s="4"/>
      <c r="D11245" s="4" t="s">
        <v>20813</v>
      </c>
      <c r="E11245" s="4" t="s">
        <v>20814</v>
      </c>
      <c r="F11245" s="4" t="s">
        <v>20815</v>
      </c>
    </row>
    <row r="11246">
      <c r="A11246" s="4">
        <v>245.0</v>
      </c>
      <c r="B11246" s="4" t="s">
        <v>22110</v>
      </c>
      <c r="C11246" s="4"/>
      <c r="D11246" s="4" t="s">
        <v>14354</v>
      </c>
      <c r="E11246" s="4" t="s">
        <v>1371</v>
      </c>
      <c r="F11246" s="4" t="s">
        <v>1372</v>
      </c>
      <c r="G11246" s="4"/>
      <c r="H11246" s="4" t="s">
        <v>7722</v>
      </c>
      <c r="I11246" s="4" t="s">
        <v>12852</v>
      </c>
      <c r="J11246" s="4" t="s">
        <v>20816</v>
      </c>
      <c r="K11246" s="4" t="s">
        <v>20817</v>
      </c>
      <c r="L11246" s="4" t="s">
        <v>20818</v>
      </c>
      <c r="M11246" s="4" t="s">
        <v>7722</v>
      </c>
      <c r="N11246" s="4" t="s">
        <v>20819</v>
      </c>
      <c r="O11246" s="4" t="s">
        <v>20820</v>
      </c>
      <c r="P11246" s="4" t="s">
        <v>3050</v>
      </c>
      <c r="Q11246" s="4" t="s">
        <v>20821</v>
      </c>
      <c r="R11246" s="4" t="s">
        <v>650</v>
      </c>
      <c r="S11246" s="4" t="s">
        <v>637</v>
      </c>
      <c r="T11246" s="4" t="s">
        <v>651</v>
      </c>
    </row>
    <row r="11247">
      <c r="A11247" s="4">
        <v>246.0</v>
      </c>
      <c r="B11247" s="4" t="s">
        <v>22110</v>
      </c>
      <c r="C11247" s="4"/>
      <c r="D11247" s="4" t="s">
        <v>20822</v>
      </c>
      <c r="E11247" s="4" t="s">
        <v>20823</v>
      </c>
      <c r="F11247" s="4" t="s">
        <v>20824</v>
      </c>
    </row>
    <row r="11248">
      <c r="A11248" s="4">
        <v>247.0</v>
      </c>
      <c r="B11248" s="4" t="s">
        <v>22110</v>
      </c>
      <c r="C11248" s="4"/>
      <c r="D11248" s="4" t="s">
        <v>20825</v>
      </c>
      <c r="E11248" s="4" t="s">
        <v>20826</v>
      </c>
      <c r="F11248" s="4" t="s">
        <v>20827</v>
      </c>
    </row>
    <row r="11249">
      <c r="A11249" s="4">
        <v>248.0</v>
      </c>
      <c r="B11249" s="4" t="s">
        <v>22110</v>
      </c>
      <c r="C11249" s="4"/>
      <c r="D11249" s="4" t="s">
        <v>20828</v>
      </c>
      <c r="E11249" s="4" t="s">
        <v>20823</v>
      </c>
      <c r="F11249" s="4" t="s">
        <v>20824</v>
      </c>
    </row>
    <row r="11250">
      <c r="A11250" s="4">
        <v>249.0</v>
      </c>
      <c r="B11250" s="4" t="s">
        <v>22110</v>
      </c>
      <c r="C11250" s="4"/>
      <c r="D11250" s="4" t="s">
        <v>20829</v>
      </c>
      <c r="E11250" s="4" t="s">
        <v>20826</v>
      </c>
      <c r="F11250" s="4" t="s">
        <v>20827</v>
      </c>
    </row>
    <row r="11251">
      <c r="A11251" s="4">
        <v>250.0</v>
      </c>
      <c r="B11251" s="4" t="s">
        <v>22110</v>
      </c>
      <c r="C11251" s="4"/>
      <c r="D11251" s="4" t="s">
        <v>20830</v>
      </c>
      <c r="E11251" s="4" t="s">
        <v>20831</v>
      </c>
      <c r="F11251" s="4" t="s">
        <v>20832</v>
      </c>
    </row>
    <row r="11252">
      <c r="A11252" s="4">
        <v>251.0</v>
      </c>
      <c r="B11252" s="4" t="s">
        <v>22110</v>
      </c>
      <c r="C11252" s="4"/>
      <c r="D11252" s="4" t="s">
        <v>20833</v>
      </c>
      <c r="E11252" s="4" t="s">
        <v>11937</v>
      </c>
      <c r="F11252" s="4" t="s">
        <v>8121</v>
      </c>
    </row>
    <row r="11253">
      <c r="A11253" s="4">
        <v>252.0</v>
      </c>
      <c r="B11253" s="4" t="s">
        <v>22110</v>
      </c>
      <c r="C11253" s="4"/>
      <c r="D11253" s="4" t="s">
        <v>20834</v>
      </c>
      <c r="E11253" s="4" t="s">
        <v>16631</v>
      </c>
      <c r="F11253" s="4" t="s">
        <v>16632</v>
      </c>
    </row>
    <row r="11254">
      <c r="A11254" s="4">
        <v>253.0</v>
      </c>
      <c r="B11254" s="4" t="s">
        <v>22110</v>
      </c>
      <c r="C11254" s="4"/>
      <c r="D11254" s="4" t="s">
        <v>11941</v>
      </c>
      <c r="E11254" s="4" t="s">
        <v>5161</v>
      </c>
      <c r="F11254" s="4" t="s">
        <v>5162</v>
      </c>
    </row>
    <row r="11255">
      <c r="A11255" s="4">
        <v>254.0</v>
      </c>
      <c r="B11255" s="4" t="s">
        <v>22110</v>
      </c>
      <c r="C11255" s="4"/>
      <c r="D11255" s="4" t="s">
        <v>1340</v>
      </c>
      <c r="E11255" s="4" t="s">
        <v>1341</v>
      </c>
      <c r="F11255" s="4" t="s">
        <v>1342</v>
      </c>
    </row>
    <row r="11256">
      <c r="A11256" s="4">
        <v>255.0</v>
      </c>
      <c r="B11256" s="4" t="s">
        <v>22110</v>
      </c>
      <c r="C11256" s="4"/>
      <c r="D11256" s="4" t="s">
        <v>20835</v>
      </c>
      <c r="E11256" s="4" t="s">
        <v>20836</v>
      </c>
      <c r="F11256" s="4" t="s">
        <v>20837</v>
      </c>
    </row>
    <row r="11257">
      <c r="A11257" s="4">
        <v>256.0</v>
      </c>
      <c r="B11257" s="4" t="s">
        <v>22110</v>
      </c>
      <c r="C11257" s="4"/>
      <c r="D11257" s="4" t="s">
        <v>20838</v>
      </c>
      <c r="E11257" s="4" t="s">
        <v>1344</v>
      </c>
      <c r="F11257" s="4" t="s">
        <v>1345</v>
      </c>
    </row>
    <row r="11258">
      <c r="A11258" s="4">
        <v>257.0</v>
      </c>
      <c r="B11258" s="4" t="s">
        <v>22110</v>
      </c>
      <c r="C11258" s="4"/>
      <c r="D11258" s="4" t="s">
        <v>20839</v>
      </c>
      <c r="E11258" s="4" t="s">
        <v>11943</v>
      </c>
      <c r="F11258" s="4" t="s">
        <v>11944</v>
      </c>
      <c r="G11258" s="4"/>
      <c r="H11258" s="4" t="s">
        <v>1350</v>
      </c>
      <c r="I11258" s="4" t="s">
        <v>1350</v>
      </c>
      <c r="J11258" s="4" t="s">
        <v>1350</v>
      </c>
    </row>
    <row r="11259">
      <c r="A11259" s="4">
        <v>258.0</v>
      </c>
      <c r="B11259" s="4" t="s">
        <v>22110</v>
      </c>
      <c r="C11259" s="4"/>
      <c r="D11259" s="4" t="s">
        <v>1354</v>
      </c>
      <c r="E11259" s="4" t="s">
        <v>1355</v>
      </c>
      <c r="F11259" s="4" t="s">
        <v>1356</v>
      </c>
    </row>
    <row r="11260">
      <c r="A11260" s="4">
        <v>259.0</v>
      </c>
      <c r="B11260" s="4" t="s">
        <v>22110</v>
      </c>
      <c r="C11260" s="4"/>
      <c r="D11260" s="4" t="s">
        <v>20840</v>
      </c>
      <c r="E11260" s="4" t="s">
        <v>20841</v>
      </c>
      <c r="F11260" s="4" t="s">
        <v>20842</v>
      </c>
    </row>
    <row r="11261">
      <c r="A11261" s="4">
        <v>260.0</v>
      </c>
      <c r="B11261" s="4" t="s">
        <v>22110</v>
      </c>
      <c r="C11261" s="4"/>
      <c r="D11261" s="4" t="s">
        <v>20843</v>
      </c>
      <c r="E11261" s="4" t="s">
        <v>20844</v>
      </c>
      <c r="F11261" s="4" t="s">
        <v>20845</v>
      </c>
    </row>
    <row r="11262">
      <c r="A11262" s="4">
        <v>261.0</v>
      </c>
      <c r="B11262" s="4" t="s">
        <v>22110</v>
      </c>
      <c r="C11262" s="4"/>
      <c r="D11262" s="4" t="s">
        <v>20846</v>
      </c>
      <c r="E11262" s="4" t="s">
        <v>20847</v>
      </c>
      <c r="F11262" s="4" t="s">
        <v>20848</v>
      </c>
    </row>
    <row r="11263">
      <c r="A11263" s="4">
        <v>262.0</v>
      </c>
      <c r="B11263" s="4" t="s">
        <v>22110</v>
      </c>
      <c r="C11263" s="4"/>
      <c r="D11263" s="4" t="s">
        <v>14132</v>
      </c>
      <c r="E11263" s="4" t="s">
        <v>5164</v>
      </c>
      <c r="F11263" s="4" t="s">
        <v>5165</v>
      </c>
      <c r="G11263" s="4"/>
      <c r="H11263" s="4" t="s">
        <v>20849</v>
      </c>
      <c r="I11263" s="4" t="s">
        <v>15571</v>
      </c>
      <c r="J11263" s="4" t="s">
        <v>20850</v>
      </c>
      <c r="K11263" s="4" t="s">
        <v>10503</v>
      </c>
      <c r="L11263" s="4" t="s">
        <v>10503</v>
      </c>
    </row>
    <row r="11264">
      <c r="A11264" s="4">
        <v>263.0</v>
      </c>
      <c r="B11264" s="4" t="s">
        <v>22110</v>
      </c>
      <c r="C11264" s="4"/>
      <c r="D11264" s="4" t="s">
        <v>20851</v>
      </c>
      <c r="E11264" s="4" t="s">
        <v>20852</v>
      </c>
      <c r="F11264" s="4" t="s">
        <v>20853</v>
      </c>
    </row>
    <row r="11265">
      <c r="A11265" s="4">
        <v>264.0</v>
      </c>
      <c r="B11265" s="4" t="s">
        <v>22110</v>
      </c>
      <c r="C11265" s="4"/>
      <c r="D11265" s="4" t="s">
        <v>20854</v>
      </c>
      <c r="E11265" s="4" t="s">
        <v>20855</v>
      </c>
      <c r="F11265" s="4" t="s">
        <v>20856</v>
      </c>
    </row>
    <row r="11266">
      <c r="A11266" s="4">
        <v>265.0</v>
      </c>
      <c r="B11266" s="4" t="s">
        <v>22110</v>
      </c>
      <c r="C11266" s="4"/>
      <c r="D11266" s="4" t="s">
        <v>20857</v>
      </c>
      <c r="E11266" s="4" t="s">
        <v>20858</v>
      </c>
      <c r="F11266" s="4" t="s">
        <v>20859</v>
      </c>
    </row>
    <row r="11267">
      <c r="A11267" s="4">
        <v>266.0</v>
      </c>
      <c r="B11267" s="4" t="s">
        <v>22110</v>
      </c>
      <c r="C11267" s="4"/>
      <c r="D11267" s="4" t="s">
        <v>20860</v>
      </c>
      <c r="E11267" s="4" t="s">
        <v>20852</v>
      </c>
      <c r="F11267" s="4" t="s">
        <v>20853</v>
      </c>
    </row>
    <row r="11268">
      <c r="A11268" s="4">
        <v>267.0</v>
      </c>
      <c r="B11268" s="4" t="s">
        <v>22110</v>
      </c>
      <c r="C11268" s="4"/>
      <c r="D11268" s="4" t="s">
        <v>20861</v>
      </c>
      <c r="E11268" s="4" t="s">
        <v>20855</v>
      </c>
      <c r="F11268" s="4" t="s">
        <v>20856</v>
      </c>
    </row>
    <row r="11269">
      <c r="A11269" s="4">
        <v>268.0</v>
      </c>
      <c r="B11269" s="4" t="s">
        <v>22110</v>
      </c>
      <c r="C11269" s="4"/>
      <c r="D11269" s="4" t="s">
        <v>20862</v>
      </c>
      <c r="E11269" s="4" t="s">
        <v>20863</v>
      </c>
      <c r="F11269" s="4" t="s">
        <v>20864</v>
      </c>
    </row>
    <row r="11270">
      <c r="A11270" s="4">
        <v>269.0</v>
      </c>
      <c r="B11270" s="4" t="s">
        <v>22110</v>
      </c>
      <c r="C11270" s="4"/>
      <c r="D11270" s="4" t="s">
        <v>11949</v>
      </c>
      <c r="E11270" s="4" t="s">
        <v>20865</v>
      </c>
      <c r="F11270" s="4" t="s">
        <v>20866</v>
      </c>
    </row>
    <row r="11271">
      <c r="A11271" s="4">
        <v>270.0</v>
      </c>
      <c r="B11271" s="4" t="s">
        <v>22110</v>
      </c>
      <c r="C11271" s="4"/>
      <c r="D11271" s="4" t="s">
        <v>20867</v>
      </c>
      <c r="E11271" s="4" t="s">
        <v>20868</v>
      </c>
      <c r="F11271" s="4" t="s">
        <v>20869</v>
      </c>
    </row>
    <row r="11272">
      <c r="A11272" s="4">
        <v>271.0</v>
      </c>
      <c r="B11272" s="4" t="s">
        <v>22110</v>
      </c>
      <c r="C11272" s="4"/>
      <c r="D11272" s="4" t="s">
        <v>20870</v>
      </c>
      <c r="E11272" s="4" t="s">
        <v>20871</v>
      </c>
      <c r="F11272" s="4" t="s">
        <v>20872</v>
      </c>
    </row>
    <row r="11273">
      <c r="A11273" s="4">
        <v>272.0</v>
      </c>
      <c r="B11273" s="4" t="s">
        <v>22110</v>
      </c>
      <c r="C11273" s="4"/>
      <c r="D11273" s="4" t="s">
        <v>20873</v>
      </c>
      <c r="E11273" s="4" t="s">
        <v>1185</v>
      </c>
      <c r="F11273" s="4" t="s">
        <v>1186</v>
      </c>
      <c r="G11273" s="4"/>
      <c r="H11273" s="4" t="s">
        <v>1044</v>
      </c>
      <c r="I11273" s="4" t="s">
        <v>1187</v>
      </c>
      <c r="J11273" s="4" t="s">
        <v>1188</v>
      </c>
      <c r="K11273" s="4" t="s">
        <v>11871</v>
      </c>
      <c r="L11273" s="4" t="s">
        <v>1189</v>
      </c>
    </row>
    <row r="11274">
      <c r="A11274" s="4">
        <v>273.0</v>
      </c>
      <c r="B11274" s="4" t="s">
        <v>22110</v>
      </c>
      <c r="C11274" s="4"/>
      <c r="D11274" s="4" t="s">
        <v>20874</v>
      </c>
      <c r="E11274" s="4" t="s">
        <v>20875</v>
      </c>
      <c r="F11274" s="4" t="s">
        <v>20876</v>
      </c>
    </row>
    <row r="11275">
      <c r="A11275" s="4">
        <v>274.0</v>
      </c>
      <c r="B11275" s="4" t="s">
        <v>22110</v>
      </c>
      <c r="C11275" s="4"/>
      <c r="D11275" s="4" t="s">
        <v>20877</v>
      </c>
      <c r="E11275" s="4" t="s">
        <v>20878</v>
      </c>
      <c r="F11275" s="4" t="s">
        <v>20879</v>
      </c>
    </row>
    <row r="11276">
      <c r="A11276" s="4">
        <v>275.0</v>
      </c>
      <c r="B11276" s="4" t="s">
        <v>22110</v>
      </c>
      <c r="C11276" s="4"/>
      <c r="D11276" s="4" t="s">
        <v>20880</v>
      </c>
      <c r="E11276" s="4" t="s">
        <v>20881</v>
      </c>
      <c r="F11276" s="4" t="s">
        <v>20882</v>
      </c>
    </row>
    <row r="11277">
      <c r="A11277" s="4">
        <v>276.0</v>
      </c>
      <c r="B11277" s="4" t="s">
        <v>22110</v>
      </c>
      <c r="C11277" s="4"/>
      <c r="D11277" s="4" t="s">
        <v>20883</v>
      </c>
      <c r="E11277" s="4" t="s">
        <v>20884</v>
      </c>
      <c r="F11277" s="4" t="s">
        <v>20885</v>
      </c>
    </row>
    <row r="11278">
      <c r="A11278" s="4">
        <v>277.0</v>
      </c>
      <c r="B11278" s="4" t="s">
        <v>22110</v>
      </c>
      <c r="C11278" s="4"/>
      <c r="D11278" s="4" t="s">
        <v>20886</v>
      </c>
      <c r="E11278" s="4" t="s">
        <v>17710</v>
      </c>
      <c r="F11278" s="4" t="s">
        <v>17711</v>
      </c>
    </row>
    <row r="11279">
      <c r="A11279" s="4">
        <v>278.0</v>
      </c>
      <c r="B11279" s="4" t="s">
        <v>22110</v>
      </c>
      <c r="C11279" s="4"/>
      <c r="D11279" s="4" t="s">
        <v>1554</v>
      </c>
      <c r="E11279" s="4" t="s">
        <v>1555</v>
      </c>
      <c r="F11279" s="4" t="s">
        <v>1556</v>
      </c>
      <c r="G11279" s="4"/>
      <c r="H11279" s="4" t="s">
        <v>1554</v>
      </c>
    </row>
    <row r="11280">
      <c r="A11280" s="4">
        <v>279.0</v>
      </c>
      <c r="B11280" s="4" t="s">
        <v>22110</v>
      </c>
      <c r="C11280" s="4"/>
      <c r="D11280" s="4" t="s">
        <v>12185</v>
      </c>
      <c r="E11280" s="4" t="s">
        <v>1600</v>
      </c>
      <c r="F11280" s="4" t="s">
        <v>1601</v>
      </c>
    </row>
    <row r="11281">
      <c r="A11281" s="4">
        <v>280.0</v>
      </c>
      <c r="B11281" s="4" t="s">
        <v>22110</v>
      </c>
      <c r="C11281" s="4"/>
      <c r="D11281" s="4" t="s">
        <v>1580</v>
      </c>
      <c r="E11281" s="4" t="s">
        <v>1581</v>
      </c>
      <c r="F11281" s="4" t="s">
        <v>1582</v>
      </c>
    </row>
    <row r="11282">
      <c r="A11282" s="4">
        <v>281.0</v>
      </c>
      <c r="B11282" s="4" t="s">
        <v>22110</v>
      </c>
      <c r="C11282" s="4"/>
      <c r="D11282" s="4" t="s">
        <v>20887</v>
      </c>
      <c r="E11282" s="4" t="s">
        <v>17817</v>
      </c>
      <c r="F11282" s="4" t="s">
        <v>10111</v>
      </c>
    </row>
    <row r="11283">
      <c r="A11283" s="4">
        <v>282.0</v>
      </c>
      <c r="B11283" s="4" t="s">
        <v>22110</v>
      </c>
      <c r="C11283" s="4"/>
      <c r="D11283" s="4" t="s">
        <v>20888</v>
      </c>
      <c r="E11283" s="4" t="s">
        <v>20889</v>
      </c>
      <c r="F11283" s="4" t="s">
        <v>20890</v>
      </c>
    </row>
    <row r="11284">
      <c r="A11284" s="4">
        <v>283.0</v>
      </c>
      <c r="B11284" s="4" t="s">
        <v>22110</v>
      </c>
      <c r="C11284" s="4"/>
      <c r="D11284" s="4" t="s">
        <v>20891</v>
      </c>
      <c r="E11284" s="4" t="s">
        <v>20892</v>
      </c>
      <c r="F11284" s="4" t="s">
        <v>20893</v>
      </c>
    </row>
    <row r="11285">
      <c r="A11285" s="4">
        <v>284.0</v>
      </c>
      <c r="B11285" s="4" t="s">
        <v>22110</v>
      </c>
      <c r="C11285" s="4"/>
      <c r="D11285" s="4" t="s">
        <v>1628</v>
      </c>
      <c r="E11285" s="4" t="s">
        <v>1629</v>
      </c>
      <c r="F11285" s="4" t="s">
        <v>1630</v>
      </c>
    </row>
    <row r="11286">
      <c r="A11286" s="4">
        <v>285.0</v>
      </c>
      <c r="B11286" s="4" t="s">
        <v>22110</v>
      </c>
      <c r="C11286" s="4"/>
      <c r="D11286" s="4" t="s">
        <v>20894</v>
      </c>
      <c r="E11286" s="4" t="s">
        <v>20895</v>
      </c>
      <c r="F11286" s="4" t="s">
        <v>20896</v>
      </c>
    </row>
    <row r="11287">
      <c r="A11287" s="4">
        <v>286.0</v>
      </c>
      <c r="B11287" s="4" t="s">
        <v>22110</v>
      </c>
      <c r="C11287" s="4"/>
      <c r="D11287" s="4" t="s">
        <v>20897</v>
      </c>
      <c r="E11287" s="4" t="s">
        <v>17847</v>
      </c>
      <c r="F11287" s="4" t="s">
        <v>17846</v>
      </c>
    </row>
    <row r="11288">
      <c r="A11288" s="4">
        <v>287.0</v>
      </c>
      <c r="B11288" s="4" t="s">
        <v>22110</v>
      </c>
      <c r="C11288" s="4"/>
      <c r="D11288" s="4" t="s">
        <v>20898</v>
      </c>
      <c r="E11288" s="4" t="s">
        <v>20899</v>
      </c>
      <c r="F11288" s="4" t="s">
        <v>20900</v>
      </c>
    </row>
    <row r="11289">
      <c r="A11289" s="4">
        <v>288.0</v>
      </c>
      <c r="B11289" s="4" t="s">
        <v>22110</v>
      </c>
      <c r="C11289" s="4"/>
      <c r="D11289" s="4" t="s">
        <v>20901</v>
      </c>
      <c r="E11289" s="4" t="s">
        <v>20902</v>
      </c>
      <c r="F11289" s="4" t="s">
        <v>20903</v>
      </c>
    </row>
    <row r="11290">
      <c r="A11290" s="4">
        <v>289.0</v>
      </c>
      <c r="B11290" s="4" t="s">
        <v>22110</v>
      </c>
      <c r="C11290" s="4"/>
      <c r="D11290" s="4" t="s">
        <v>16660</v>
      </c>
      <c r="E11290" s="4" t="s">
        <v>15066</v>
      </c>
      <c r="F11290" s="4" t="s">
        <v>10135</v>
      </c>
      <c r="G11290" s="4"/>
      <c r="H11290" s="4" t="s">
        <v>20904</v>
      </c>
      <c r="I11290" s="4" t="s">
        <v>20905</v>
      </c>
      <c r="J11290" s="4" t="s">
        <v>20906</v>
      </c>
      <c r="K11290" s="4" t="s">
        <v>17157</v>
      </c>
      <c r="L11290" s="4" t="s">
        <v>9239</v>
      </c>
      <c r="M11290" s="4" t="s">
        <v>20907</v>
      </c>
      <c r="N11290" s="4" t="s">
        <v>20908</v>
      </c>
      <c r="O11290" s="4" t="s">
        <v>20904</v>
      </c>
      <c r="P11290" s="4" t="s">
        <v>20909</v>
      </c>
      <c r="Q11290" s="4" t="s">
        <v>20910</v>
      </c>
      <c r="R11290" s="4" t="s">
        <v>20911</v>
      </c>
      <c r="S11290" s="4" t="s">
        <v>2125</v>
      </c>
    </row>
    <row r="11291">
      <c r="A11291" s="4">
        <v>290.0</v>
      </c>
      <c r="B11291" s="4" t="s">
        <v>22110</v>
      </c>
      <c r="C11291" s="4"/>
      <c r="D11291" s="4" t="s">
        <v>1646</v>
      </c>
      <c r="E11291" s="4" t="s">
        <v>1647</v>
      </c>
      <c r="F11291" s="4" t="s">
        <v>1648</v>
      </c>
      <c r="G11291" s="4"/>
      <c r="H11291" s="4" t="s">
        <v>1656</v>
      </c>
      <c r="I11291" s="4" t="s">
        <v>1657</v>
      </c>
      <c r="J11291" s="4" t="s">
        <v>1658</v>
      </c>
      <c r="K11291" s="4" t="s">
        <v>1659</v>
      </c>
      <c r="L11291" s="4" t="s">
        <v>20912</v>
      </c>
      <c r="M11291" s="4" t="s">
        <v>1661</v>
      </c>
    </row>
    <row r="11292">
      <c r="A11292" s="4">
        <v>291.0</v>
      </c>
      <c r="B11292" s="4" t="s">
        <v>22110</v>
      </c>
      <c r="C11292" s="4"/>
      <c r="D11292" s="4" t="s">
        <v>1662</v>
      </c>
      <c r="E11292" s="4" t="s">
        <v>1665</v>
      </c>
      <c r="F11292" s="4" t="s">
        <v>1666</v>
      </c>
      <c r="G11292" s="4"/>
      <c r="H11292" s="4" t="s">
        <v>1663</v>
      </c>
      <c r="I11292" s="4" t="s">
        <v>1658</v>
      </c>
      <c r="J11292" s="4" t="s">
        <v>1664</v>
      </c>
      <c r="K11292" s="4" t="s">
        <v>20913</v>
      </c>
      <c r="L11292" s="4" t="s">
        <v>1664</v>
      </c>
      <c r="M11292" s="4" t="s">
        <v>1658</v>
      </c>
    </row>
    <row r="11293">
      <c r="A11293" s="4">
        <v>292.0</v>
      </c>
      <c r="B11293" s="4" t="s">
        <v>22110</v>
      </c>
      <c r="C11293" s="4"/>
      <c r="D11293" s="4" t="s">
        <v>20914</v>
      </c>
      <c r="E11293" s="4" t="s">
        <v>20915</v>
      </c>
      <c r="F11293" s="4" t="s">
        <v>20916</v>
      </c>
    </row>
    <row r="11294">
      <c r="A11294" s="4">
        <v>293.0</v>
      </c>
      <c r="B11294" s="4" t="s">
        <v>22110</v>
      </c>
      <c r="C11294" s="4"/>
      <c r="D11294" s="4" t="s">
        <v>1690</v>
      </c>
      <c r="E11294" s="4" t="s">
        <v>1674</v>
      </c>
      <c r="F11294" s="4" t="s">
        <v>1675</v>
      </c>
    </row>
    <row r="11295">
      <c r="A11295" s="4">
        <v>294.0</v>
      </c>
      <c r="B11295" s="4" t="s">
        <v>22110</v>
      </c>
      <c r="C11295" s="4"/>
      <c r="D11295" s="4" t="s">
        <v>20917</v>
      </c>
      <c r="E11295" s="4" t="s">
        <v>20918</v>
      </c>
      <c r="F11295" s="4" t="s">
        <v>20919</v>
      </c>
    </row>
    <row r="11296">
      <c r="A11296" s="4">
        <v>295.0</v>
      </c>
      <c r="B11296" s="4" t="s">
        <v>22110</v>
      </c>
      <c r="C11296" s="4"/>
      <c r="D11296" s="4" t="s">
        <v>20920</v>
      </c>
      <c r="E11296" s="4" t="s">
        <v>20921</v>
      </c>
      <c r="F11296" s="4" t="s">
        <v>20922</v>
      </c>
      <c r="G11296" s="4"/>
      <c r="H11296" s="4" t="s">
        <v>20920</v>
      </c>
      <c r="I11296" s="4" t="s">
        <v>20923</v>
      </c>
      <c r="J11296" s="4" t="s">
        <v>20924</v>
      </c>
      <c r="K11296" s="4" t="s">
        <v>1696</v>
      </c>
    </row>
    <row r="11297">
      <c r="A11297" s="4">
        <v>296.0</v>
      </c>
      <c r="B11297" s="4" t="s">
        <v>22110</v>
      </c>
      <c r="C11297" s="4"/>
      <c r="D11297" s="4" t="s">
        <v>20925</v>
      </c>
      <c r="E11297" s="4" t="s">
        <v>20926</v>
      </c>
      <c r="F11297" s="4" t="s">
        <v>20927</v>
      </c>
      <c r="G11297" s="4"/>
      <c r="H11297" s="4" t="s">
        <v>20928</v>
      </c>
      <c r="I11297" s="4" t="s">
        <v>20929</v>
      </c>
      <c r="J11297" s="4" t="s">
        <v>20930</v>
      </c>
    </row>
    <row r="11298">
      <c r="A11298" s="4">
        <v>297.0</v>
      </c>
      <c r="B11298" s="4" t="s">
        <v>22110</v>
      </c>
      <c r="C11298" s="4"/>
      <c r="D11298" s="4" t="s">
        <v>20931</v>
      </c>
      <c r="E11298" s="4" t="s">
        <v>5223</v>
      </c>
      <c r="F11298" s="4" t="s">
        <v>5224</v>
      </c>
      <c r="G11298" s="4"/>
      <c r="H11298" s="4" t="s">
        <v>20932</v>
      </c>
      <c r="I11298" s="4" t="s">
        <v>20933</v>
      </c>
      <c r="J11298" s="4" t="s">
        <v>20934</v>
      </c>
    </row>
    <row r="11299">
      <c r="A11299" s="4">
        <v>298.0</v>
      </c>
      <c r="B11299" s="4" t="s">
        <v>22110</v>
      </c>
      <c r="C11299" s="4"/>
      <c r="D11299" s="4" t="s">
        <v>20935</v>
      </c>
      <c r="E11299" s="4" t="s">
        <v>20936</v>
      </c>
      <c r="F11299" s="4" t="s">
        <v>20937</v>
      </c>
    </row>
    <row r="11300">
      <c r="A11300" s="4">
        <v>299.0</v>
      </c>
      <c r="B11300" s="4" t="s">
        <v>22110</v>
      </c>
      <c r="C11300" s="4"/>
      <c r="D11300" s="4" t="s">
        <v>20938</v>
      </c>
      <c r="E11300" s="4" t="s">
        <v>20939</v>
      </c>
      <c r="F11300" s="4" t="s">
        <v>20940</v>
      </c>
      <c r="G11300" s="4"/>
      <c r="H11300" s="4" t="s">
        <v>20941</v>
      </c>
      <c r="I11300" s="4" t="s">
        <v>20942</v>
      </c>
      <c r="J11300" s="4" t="s">
        <v>13584</v>
      </c>
      <c r="K11300" s="4" t="s">
        <v>20943</v>
      </c>
      <c r="L11300" s="4" t="s">
        <v>20944</v>
      </c>
      <c r="M11300" s="4" t="s">
        <v>20945</v>
      </c>
      <c r="N11300" s="4" t="s">
        <v>20941</v>
      </c>
      <c r="O11300" s="4" t="s">
        <v>13584</v>
      </c>
      <c r="P11300" s="4" t="s">
        <v>2130</v>
      </c>
      <c r="Q11300" s="4" t="s">
        <v>13584</v>
      </c>
      <c r="R11300" s="4" t="s">
        <v>20946</v>
      </c>
      <c r="S11300" s="4" t="s">
        <v>20947</v>
      </c>
      <c r="T11300" s="4" t="s">
        <v>20948</v>
      </c>
    </row>
    <row r="11301">
      <c r="A11301" s="4">
        <v>300.0</v>
      </c>
      <c r="B11301" s="4" t="s">
        <v>22110</v>
      </c>
      <c r="C11301" s="4"/>
      <c r="D11301" s="4" t="s">
        <v>20949</v>
      </c>
      <c r="E11301" s="4" t="s">
        <v>20950</v>
      </c>
      <c r="F11301" s="4" t="s">
        <v>20951</v>
      </c>
    </row>
    <row r="11302">
      <c r="A11302" s="4">
        <v>301.0</v>
      </c>
      <c r="B11302" s="4" t="s">
        <v>22110</v>
      </c>
      <c r="C11302" s="4"/>
      <c r="D11302" s="4" t="s">
        <v>20952</v>
      </c>
      <c r="E11302" s="4" t="s">
        <v>1558</v>
      </c>
      <c r="F11302" s="4" t="s">
        <v>1559</v>
      </c>
      <c r="G11302" s="4"/>
      <c r="H11302" s="4" t="s">
        <v>20953</v>
      </c>
      <c r="I11302" s="4" t="s">
        <v>5920</v>
      </c>
      <c r="J11302" s="4" t="s">
        <v>5920</v>
      </c>
      <c r="K11302" s="4" t="s">
        <v>20954</v>
      </c>
      <c r="L11302" s="4" t="s">
        <v>20955</v>
      </c>
    </row>
    <row r="11303">
      <c r="A11303" s="4">
        <v>302.0</v>
      </c>
      <c r="B11303" s="4" t="s">
        <v>22110</v>
      </c>
      <c r="C11303" s="4"/>
      <c r="D11303" s="4" t="s">
        <v>17085</v>
      </c>
      <c r="E11303" s="4" t="s">
        <v>17539</v>
      </c>
      <c r="F11303" s="4" t="s">
        <v>3801</v>
      </c>
    </row>
    <row r="11304">
      <c r="A11304" s="4">
        <v>303.0</v>
      </c>
      <c r="B11304" s="4" t="s">
        <v>22110</v>
      </c>
      <c r="C11304" s="4"/>
      <c r="D11304" s="4" t="s">
        <v>20956</v>
      </c>
      <c r="E11304" s="4" t="s">
        <v>20957</v>
      </c>
      <c r="F11304" s="4" t="s">
        <v>10035</v>
      </c>
    </row>
    <row r="11305">
      <c r="A11305" s="4">
        <v>304.0</v>
      </c>
      <c r="B11305" s="4" t="s">
        <v>22110</v>
      </c>
      <c r="C11305" s="4"/>
      <c r="D11305" s="4" t="s">
        <v>20958</v>
      </c>
      <c r="E11305" s="4" t="s">
        <v>20959</v>
      </c>
      <c r="F11305" s="4" t="s">
        <v>20960</v>
      </c>
    </row>
    <row r="11306">
      <c r="A11306" s="4">
        <v>305.0</v>
      </c>
      <c r="B11306" s="4" t="s">
        <v>22110</v>
      </c>
      <c r="C11306" s="4"/>
      <c r="D11306" s="4" t="s">
        <v>20961</v>
      </c>
      <c r="E11306" s="4" t="s">
        <v>20962</v>
      </c>
      <c r="F11306" s="4" t="s">
        <v>20963</v>
      </c>
      <c r="G11306" s="4"/>
      <c r="H11306" s="4" t="s">
        <v>9055</v>
      </c>
      <c r="I11306" s="4" t="s">
        <v>3424</v>
      </c>
      <c r="J11306" s="4" t="s">
        <v>15181</v>
      </c>
      <c r="K11306" s="4" t="s">
        <v>15181</v>
      </c>
      <c r="L11306" s="4" t="s">
        <v>20964</v>
      </c>
      <c r="M11306" s="4" t="s">
        <v>14041</v>
      </c>
      <c r="N11306" s="4" t="s">
        <v>1088</v>
      </c>
      <c r="O11306" s="4" t="s">
        <v>20965</v>
      </c>
      <c r="P11306" s="4" t="s">
        <v>6564</v>
      </c>
      <c r="Q11306" s="4" t="s">
        <v>20966</v>
      </c>
      <c r="R11306" s="4" t="s">
        <v>20967</v>
      </c>
      <c r="S11306" s="4" t="s">
        <v>20968</v>
      </c>
      <c r="T11306" s="4" t="s">
        <v>7212</v>
      </c>
      <c r="U11306" s="4" t="s">
        <v>20969</v>
      </c>
      <c r="V11306" s="4" t="s">
        <v>20970</v>
      </c>
      <c r="W11306" s="4" t="s">
        <v>20971</v>
      </c>
      <c r="X11306" s="4" t="s">
        <v>7115</v>
      </c>
      <c r="Y11306" s="4" t="s">
        <v>14501</v>
      </c>
      <c r="Z11306" s="4" t="s">
        <v>20972</v>
      </c>
      <c r="AA11306" s="4" t="s">
        <v>7115</v>
      </c>
      <c r="AB11306" s="4" t="s">
        <v>7890</v>
      </c>
      <c r="AC11306" s="4" t="s">
        <v>20973</v>
      </c>
      <c r="AD11306" s="4" t="s">
        <v>20970</v>
      </c>
      <c r="AE11306" s="4" t="s">
        <v>15181</v>
      </c>
      <c r="AF11306" s="4" t="s">
        <v>3424</v>
      </c>
      <c r="AG11306" s="4" t="s">
        <v>15181</v>
      </c>
      <c r="AH11306" s="4" t="s">
        <v>15181</v>
      </c>
      <c r="AI11306" s="4" t="s">
        <v>20974</v>
      </c>
      <c r="AJ11306" s="4" t="s">
        <v>20975</v>
      </c>
    </row>
    <row r="11307">
      <c r="A11307" s="4">
        <v>306.0</v>
      </c>
      <c r="B11307" s="4" t="s">
        <v>22110</v>
      </c>
      <c r="C11307" s="4"/>
      <c r="D11307" s="4" t="s">
        <v>20976</v>
      </c>
      <c r="E11307" s="4" t="s">
        <v>20977</v>
      </c>
      <c r="F11307" s="4" t="s">
        <v>20978</v>
      </c>
    </row>
    <row r="11308">
      <c r="A11308" s="4">
        <v>307.0</v>
      </c>
      <c r="B11308" s="4" t="s">
        <v>22110</v>
      </c>
      <c r="C11308" s="4"/>
      <c r="D11308" s="4" t="s">
        <v>20979</v>
      </c>
      <c r="E11308" s="4" t="s">
        <v>20980</v>
      </c>
      <c r="F11308" s="4" t="s">
        <v>6469</v>
      </c>
    </row>
    <row r="11309">
      <c r="A11309" s="4">
        <v>308.0</v>
      </c>
      <c r="B11309" s="4" t="s">
        <v>22110</v>
      </c>
      <c r="C11309" s="4"/>
      <c r="D11309" s="4" t="s">
        <v>20981</v>
      </c>
      <c r="E11309" s="4" t="s">
        <v>20982</v>
      </c>
      <c r="F11309" s="4" t="s">
        <v>20983</v>
      </c>
    </row>
    <row r="11310">
      <c r="A11310" s="4">
        <v>309.0</v>
      </c>
      <c r="B11310" s="4" t="s">
        <v>22110</v>
      </c>
      <c r="C11310" s="4"/>
      <c r="D11310" s="4" t="s">
        <v>1777</v>
      </c>
      <c r="E11310" s="4" t="s">
        <v>509</v>
      </c>
      <c r="F11310" s="4" t="s">
        <v>508</v>
      </c>
    </row>
    <row r="11311">
      <c r="A11311" s="4">
        <v>310.0</v>
      </c>
      <c r="B11311" s="4" t="s">
        <v>22110</v>
      </c>
      <c r="C11311" s="4"/>
      <c r="D11311" s="4" t="s">
        <v>14147</v>
      </c>
      <c r="E11311" s="4" t="s">
        <v>14148</v>
      </c>
      <c r="F11311" s="4" t="s">
        <v>14149</v>
      </c>
    </row>
    <row r="11312">
      <c r="A11312" s="4">
        <v>311.0</v>
      </c>
      <c r="B11312" s="4" t="s">
        <v>22110</v>
      </c>
      <c r="C11312" s="4"/>
      <c r="D11312" s="4" t="s">
        <v>20984</v>
      </c>
      <c r="E11312" s="4" t="s">
        <v>11622</v>
      </c>
      <c r="F11312" s="4" t="s">
        <v>11621</v>
      </c>
      <c r="G11312" s="4"/>
      <c r="H11312" s="4" t="s">
        <v>20985</v>
      </c>
      <c r="I11312" s="4" t="s">
        <v>20986</v>
      </c>
    </row>
    <row r="11313">
      <c r="A11313" s="4">
        <v>312.0</v>
      </c>
      <c r="B11313" s="4" t="s">
        <v>22110</v>
      </c>
      <c r="C11313" s="4"/>
      <c r="D11313" s="4" t="s">
        <v>20987</v>
      </c>
      <c r="E11313" s="4" t="s">
        <v>20988</v>
      </c>
      <c r="F11313" s="4" t="s">
        <v>20989</v>
      </c>
    </row>
    <row r="11314">
      <c r="A11314" s="4">
        <v>313.0</v>
      </c>
      <c r="B11314" s="4" t="s">
        <v>22110</v>
      </c>
      <c r="C11314" s="4"/>
      <c r="D11314" s="4" t="s">
        <v>20990</v>
      </c>
      <c r="E11314" s="4" t="s">
        <v>20991</v>
      </c>
      <c r="F11314" s="4" t="s">
        <v>20992</v>
      </c>
    </row>
    <row r="11315">
      <c r="A11315" s="4">
        <v>314.0</v>
      </c>
      <c r="B11315" s="4" t="s">
        <v>22110</v>
      </c>
      <c r="C11315" s="4"/>
      <c r="D11315" s="4" t="s">
        <v>1786</v>
      </c>
      <c r="E11315" s="4" t="s">
        <v>593</v>
      </c>
      <c r="F11315" s="4" t="s">
        <v>594</v>
      </c>
    </row>
    <row r="11316">
      <c r="A11316" s="4">
        <v>315.0</v>
      </c>
      <c r="B11316" s="4" t="s">
        <v>22110</v>
      </c>
      <c r="C11316" s="4"/>
      <c r="D11316" s="4" t="s">
        <v>20993</v>
      </c>
      <c r="E11316" s="4" t="s">
        <v>20994</v>
      </c>
      <c r="F11316" s="4" t="s">
        <v>20995</v>
      </c>
    </row>
    <row r="11317">
      <c r="A11317" s="4">
        <v>316.0</v>
      </c>
      <c r="B11317" s="4" t="s">
        <v>22110</v>
      </c>
      <c r="C11317" s="4"/>
      <c r="D11317" s="4" t="s">
        <v>20993</v>
      </c>
      <c r="E11317" s="4" t="s">
        <v>20996</v>
      </c>
      <c r="F11317" s="4" t="s">
        <v>20997</v>
      </c>
    </row>
    <row r="11318">
      <c r="A11318" s="4">
        <v>317.0</v>
      </c>
      <c r="B11318" s="4" t="s">
        <v>22110</v>
      </c>
      <c r="C11318" s="4"/>
      <c r="D11318" s="4" t="s">
        <v>20998</v>
      </c>
      <c r="E11318" s="4" t="s">
        <v>20999</v>
      </c>
      <c r="F11318" s="4" t="s">
        <v>21000</v>
      </c>
    </row>
    <row r="11319">
      <c r="A11319" s="4">
        <v>318.0</v>
      </c>
      <c r="B11319" s="4" t="s">
        <v>22110</v>
      </c>
      <c r="C11319" s="4"/>
      <c r="D11319" s="4" t="s">
        <v>21001</v>
      </c>
      <c r="E11319" s="4" t="s">
        <v>21002</v>
      </c>
      <c r="F11319" s="4" t="s">
        <v>21003</v>
      </c>
      <c r="G11319" s="4"/>
      <c r="H11319" s="4" t="s">
        <v>21004</v>
      </c>
    </row>
    <row r="11320">
      <c r="A11320" s="4">
        <v>319.0</v>
      </c>
      <c r="B11320" s="4" t="s">
        <v>22110</v>
      </c>
      <c r="C11320" s="4"/>
      <c r="D11320" s="4" t="s">
        <v>21005</v>
      </c>
      <c r="E11320" s="4" t="s">
        <v>21006</v>
      </c>
      <c r="F11320" s="4" t="s">
        <v>21007</v>
      </c>
    </row>
    <row r="11321">
      <c r="A11321" s="4">
        <v>320.0</v>
      </c>
      <c r="B11321" s="4" t="s">
        <v>22110</v>
      </c>
      <c r="C11321" s="4"/>
      <c r="D11321" s="4" t="s">
        <v>21008</v>
      </c>
      <c r="E11321" s="4" t="s">
        <v>818</v>
      </c>
      <c r="F11321" s="4" t="s">
        <v>817</v>
      </c>
    </row>
    <row r="11322">
      <c r="A11322" s="4">
        <v>321.0</v>
      </c>
      <c r="B11322" s="4" t="s">
        <v>22110</v>
      </c>
      <c r="C11322" s="4"/>
      <c r="D11322" s="4" t="s">
        <v>21009</v>
      </c>
      <c r="E11322" s="4" t="s">
        <v>821</v>
      </c>
      <c r="F11322" s="4" t="s">
        <v>820</v>
      </c>
    </row>
    <row r="11323">
      <c r="A11323" s="4">
        <v>322.0</v>
      </c>
      <c r="B11323" s="4" t="s">
        <v>22110</v>
      </c>
      <c r="C11323" s="4"/>
      <c r="D11323" s="4" t="s">
        <v>21010</v>
      </c>
      <c r="E11323" s="4" t="s">
        <v>20613</v>
      </c>
      <c r="F11323" s="4" t="s">
        <v>20614</v>
      </c>
    </row>
    <row r="11324">
      <c r="A11324" s="4">
        <v>323.0</v>
      </c>
      <c r="B11324" s="4" t="s">
        <v>22110</v>
      </c>
      <c r="C11324" s="4"/>
      <c r="D11324" s="4" t="s">
        <v>1787</v>
      </c>
      <c r="E11324" s="4" t="s">
        <v>294</v>
      </c>
      <c r="F11324" s="4" t="s">
        <v>295</v>
      </c>
    </row>
    <row r="11325">
      <c r="A11325" s="4">
        <v>324.0</v>
      </c>
      <c r="B11325" s="4" t="s">
        <v>22110</v>
      </c>
      <c r="C11325" s="4"/>
      <c r="D11325" s="4" t="s">
        <v>21011</v>
      </c>
      <c r="E11325" s="4" t="s">
        <v>5089</v>
      </c>
      <c r="F11325" s="4" t="s">
        <v>5090</v>
      </c>
      <c r="G11325" s="4"/>
      <c r="H11325" s="4" t="s">
        <v>4701</v>
      </c>
      <c r="I11325" s="4" t="s">
        <v>4702</v>
      </c>
      <c r="J11325" s="4" t="s">
        <v>14809</v>
      </c>
      <c r="K11325" s="4" t="s">
        <v>6861</v>
      </c>
    </row>
    <row r="11326">
      <c r="A11326" s="4">
        <v>325.0</v>
      </c>
      <c r="B11326" s="4" t="s">
        <v>22110</v>
      </c>
      <c r="C11326" s="4"/>
      <c r="D11326" s="4" t="s">
        <v>21012</v>
      </c>
      <c r="E11326" s="4" t="s">
        <v>21013</v>
      </c>
      <c r="F11326" s="4" t="s">
        <v>21014</v>
      </c>
    </row>
    <row r="11327">
      <c r="A11327" s="4">
        <v>326.0</v>
      </c>
      <c r="B11327" s="4" t="s">
        <v>22110</v>
      </c>
      <c r="C11327" s="4"/>
      <c r="D11327" s="4" t="s">
        <v>21015</v>
      </c>
      <c r="E11327" s="4" t="s">
        <v>21016</v>
      </c>
      <c r="F11327" s="4" t="s">
        <v>21017</v>
      </c>
      <c r="G11327" s="4"/>
      <c r="H11327" s="4" t="s">
        <v>8976</v>
      </c>
      <c r="I11327" s="4" t="s">
        <v>20970</v>
      </c>
      <c r="J11327" s="4" t="s">
        <v>7901</v>
      </c>
      <c r="K11327" s="4" t="s">
        <v>7897</v>
      </c>
    </row>
    <row r="11328">
      <c r="A11328" s="4">
        <v>327.0</v>
      </c>
      <c r="B11328" s="4" t="s">
        <v>22110</v>
      </c>
      <c r="C11328" s="4"/>
      <c r="D11328" s="4" t="s">
        <v>21018</v>
      </c>
      <c r="E11328" s="4" t="s">
        <v>21019</v>
      </c>
      <c r="F11328" s="4" t="s">
        <v>21020</v>
      </c>
    </row>
    <row r="11329">
      <c r="A11329" s="4">
        <v>328.0</v>
      </c>
      <c r="B11329" s="4" t="s">
        <v>22110</v>
      </c>
      <c r="C11329" s="4"/>
      <c r="D11329" s="4" t="s">
        <v>6251</v>
      </c>
      <c r="E11329" s="4" t="s">
        <v>21021</v>
      </c>
      <c r="F11329" s="4" t="s">
        <v>15902</v>
      </c>
    </row>
    <row r="11330">
      <c r="A11330" s="4">
        <v>329.0</v>
      </c>
      <c r="B11330" s="4" t="s">
        <v>22110</v>
      </c>
      <c r="C11330" s="4"/>
      <c r="D11330" s="4" t="s">
        <v>1805</v>
      </c>
      <c r="E11330" s="4" t="s">
        <v>1806</v>
      </c>
      <c r="F11330" s="4" t="s">
        <v>1807</v>
      </c>
    </row>
    <row r="11331">
      <c r="A11331" s="4">
        <v>330.0</v>
      </c>
      <c r="B11331" s="4" t="s">
        <v>22110</v>
      </c>
      <c r="C11331" s="4"/>
      <c r="D11331" s="4" t="s">
        <v>20015</v>
      </c>
      <c r="E11331" s="4" t="s">
        <v>1843</v>
      </c>
      <c r="F11331" s="4" t="s">
        <v>1844</v>
      </c>
    </row>
    <row r="11332">
      <c r="A11332" s="4">
        <v>331.0</v>
      </c>
      <c r="B11332" s="4" t="s">
        <v>22110</v>
      </c>
      <c r="C11332" s="4"/>
      <c r="D11332" s="4" t="s">
        <v>1815</v>
      </c>
      <c r="E11332" s="4" t="s">
        <v>1816</v>
      </c>
      <c r="F11332" s="4" t="s">
        <v>1817</v>
      </c>
    </row>
    <row r="11333">
      <c r="A11333" s="4">
        <v>332.0</v>
      </c>
      <c r="B11333" s="4" t="s">
        <v>22110</v>
      </c>
      <c r="C11333" s="4"/>
      <c r="D11333" s="4" t="s">
        <v>21022</v>
      </c>
      <c r="E11333" s="4" t="s">
        <v>21023</v>
      </c>
      <c r="F11333" s="4" t="s">
        <v>21024</v>
      </c>
    </row>
    <row r="11334">
      <c r="A11334" s="4">
        <v>333.0</v>
      </c>
      <c r="B11334" s="4" t="s">
        <v>22110</v>
      </c>
      <c r="C11334" s="4"/>
      <c r="D11334" s="4" t="s">
        <v>21025</v>
      </c>
      <c r="E11334" s="4" t="s">
        <v>21026</v>
      </c>
      <c r="F11334" s="4" t="s">
        <v>21027</v>
      </c>
    </row>
    <row r="11335">
      <c r="A11335" s="4">
        <v>334.0</v>
      </c>
      <c r="B11335" s="4" t="s">
        <v>22110</v>
      </c>
      <c r="C11335" s="4"/>
      <c r="D11335" s="4" t="s">
        <v>21028</v>
      </c>
      <c r="E11335" s="4" t="s">
        <v>21029</v>
      </c>
      <c r="F11335" s="4" t="s">
        <v>21030</v>
      </c>
    </row>
    <row r="11336">
      <c r="A11336" s="4">
        <v>335.0</v>
      </c>
      <c r="B11336" s="4" t="s">
        <v>22110</v>
      </c>
      <c r="C11336" s="4"/>
      <c r="D11336" s="4" t="s">
        <v>1862</v>
      </c>
      <c r="E11336" s="4" t="s">
        <v>1863</v>
      </c>
      <c r="F11336" s="4" t="s">
        <v>1864</v>
      </c>
    </row>
    <row r="11337">
      <c r="A11337" s="4">
        <v>336.0</v>
      </c>
      <c r="B11337" s="4" t="s">
        <v>22110</v>
      </c>
      <c r="C11337" s="4"/>
      <c r="D11337" s="4" t="s">
        <v>21031</v>
      </c>
      <c r="E11337" s="4" t="s">
        <v>21032</v>
      </c>
      <c r="F11337" s="4" t="s">
        <v>21033</v>
      </c>
    </row>
    <row r="11338">
      <c r="A11338" s="4">
        <v>337.0</v>
      </c>
      <c r="B11338" s="4" t="s">
        <v>22110</v>
      </c>
      <c r="C11338" s="4"/>
      <c r="D11338" s="4" t="s">
        <v>21034</v>
      </c>
      <c r="E11338" s="4" t="s">
        <v>21035</v>
      </c>
      <c r="F11338" s="4" t="s">
        <v>21036</v>
      </c>
    </row>
    <row r="11339">
      <c r="A11339" s="4">
        <v>338.0</v>
      </c>
      <c r="B11339" s="4" t="s">
        <v>22110</v>
      </c>
      <c r="C11339" s="4"/>
      <c r="D11339" s="4" t="s">
        <v>21037</v>
      </c>
      <c r="E11339" s="4" t="s">
        <v>21038</v>
      </c>
      <c r="F11339" s="4" t="s">
        <v>21039</v>
      </c>
    </row>
    <row r="11340">
      <c r="A11340" s="4">
        <v>339.0</v>
      </c>
      <c r="B11340" s="4" t="s">
        <v>22110</v>
      </c>
      <c r="C11340" s="4"/>
      <c r="D11340" s="4" t="s">
        <v>21040</v>
      </c>
      <c r="E11340" s="4" t="s">
        <v>21041</v>
      </c>
      <c r="F11340" s="4" t="s">
        <v>21042</v>
      </c>
    </row>
    <row r="11341">
      <c r="A11341" s="4">
        <v>340.0</v>
      </c>
      <c r="B11341" s="4" t="s">
        <v>22110</v>
      </c>
      <c r="C11341" s="4"/>
      <c r="D11341" s="4" t="s">
        <v>21043</v>
      </c>
      <c r="E11341" s="4" t="s">
        <v>21044</v>
      </c>
      <c r="F11341" s="4" t="s">
        <v>21045</v>
      </c>
    </row>
    <row r="11342">
      <c r="A11342" s="4">
        <v>341.0</v>
      </c>
      <c r="B11342" s="4" t="s">
        <v>22110</v>
      </c>
      <c r="C11342" s="4"/>
      <c r="D11342" s="4" t="s">
        <v>21046</v>
      </c>
      <c r="E11342" s="4" t="s">
        <v>21047</v>
      </c>
      <c r="F11342" s="4" t="s">
        <v>19726</v>
      </c>
      <c r="G11342" s="4"/>
      <c r="H11342" s="4" t="s">
        <v>21048</v>
      </c>
    </row>
    <row r="11343">
      <c r="A11343" s="4">
        <v>342.0</v>
      </c>
      <c r="B11343" s="4" t="s">
        <v>22110</v>
      </c>
      <c r="C11343" s="4"/>
      <c r="D11343" s="4" t="s">
        <v>21049</v>
      </c>
      <c r="E11343" s="4" t="s">
        <v>21050</v>
      </c>
      <c r="F11343" s="4" t="s">
        <v>14405</v>
      </c>
    </row>
    <row r="11344">
      <c r="A11344" s="4">
        <v>343.0</v>
      </c>
      <c r="B11344" s="4" t="s">
        <v>22110</v>
      </c>
      <c r="C11344" s="4"/>
      <c r="D11344" s="4" t="s">
        <v>21051</v>
      </c>
      <c r="E11344" s="4" t="s">
        <v>21052</v>
      </c>
      <c r="F11344" s="4" t="s">
        <v>21051</v>
      </c>
    </row>
    <row r="11345">
      <c r="A11345" s="4">
        <v>344.0</v>
      </c>
      <c r="B11345" s="4" t="s">
        <v>22110</v>
      </c>
      <c r="C11345" s="4"/>
      <c r="D11345" s="4" t="s">
        <v>19622</v>
      </c>
      <c r="E11345" s="4" t="s">
        <v>19623</v>
      </c>
      <c r="F11345" s="4" t="s">
        <v>19622</v>
      </c>
      <c r="G11345" s="4"/>
      <c r="H11345" s="4" t="s">
        <v>997</v>
      </c>
      <c r="I11345" s="4" t="s">
        <v>19624</v>
      </c>
      <c r="J11345" s="4" t="s">
        <v>19625</v>
      </c>
      <c r="K11345" s="4" t="s">
        <v>995</v>
      </c>
      <c r="L11345" s="4" t="s">
        <v>19626</v>
      </c>
      <c r="M11345" s="4" t="s">
        <v>21053</v>
      </c>
      <c r="N11345" s="4" t="s">
        <v>21054</v>
      </c>
      <c r="O11345" s="4" t="s">
        <v>4502</v>
      </c>
      <c r="P11345" s="4" t="s">
        <v>997</v>
      </c>
    </row>
    <row r="11346">
      <c r="A11346" s="4">
        <v>345.0</v>
      </c>
      <c r="B11346" s="4" t="s">
        <v>22110</v>
      </c>
      <c r="C11346" s="4"/>
      <c r="D11346" s="4" t="s">
        <v>21055</v>
      </c>
      <c r="E11346" s="4" t="s">
        <v>21056</v>
      </c>
      <c r="F11346" s="4" t="s">
        <v>21057</v>
      </c>
    </row>
    <row r="11347">
      <c r="A11347" s="4">
        <v>346.0</v>
      </c>
      <c r="B11347" s="4" t="s">
        <v>22110</v>
      </c>
      <c r="C11347" s="4"/>
      <c r="D11347" s="4" t="s">
        <v>21058</v>
      </c>
      <c r="E11347" s="4" t="s">
        <v>21059</v>
      </c>
      <c r="F11347" s="4" t="s">
        <v>21060</v>
      </c>
      <c r="G11347" s="4"/>
      <c r="H11347" s="4" t="s">
        <v>21061</v>
      </c>
      <c r="I11347" s="4" t="s">
        <v>21062</v>
      </c>
      <c r="J11347" s="4" t="s">
        <v>21063</v>
      </c>
      <c r="K11347" s="4" t="s">
        <v>21064</v>
      </c>
      <c r="L11347" s="4" t="s">
        <v>6694</v>
      </c>
      <c r="M11347" s="4" t="s">
        <v>15341</v>
      </c>
      <c r="N11347" s="4" t="s">
        <v>21064</v>
      </c>
      <c r="O11347" s="4" t="s">
        <v>21065</v>
      </c>
      <c r="P11347" s="4" t="s">
        <v>21066</v>
      </c>
      <c r="Q11347" s="4" t="s">
        <v>21067</v>
      </c>
      <c r="R11347" s="4" t="s">
        <v>21061</v>
      </c>
    </row>
    <row r="11348">
      <c r="A11348" s="4">
        <v>347.0</v>
      </c>
      <c r="B11348" s="4" t="s">
        <v>22110</v>
      </c>
      <c r="C11348" s="4"/>
      <c r="D11348" s="4" t="s">
        <v>21068</v>
      </c>
      <c r="E11348" s="4" t="s">
        <v>21069</v>
      </c>
      <c r="F11348" s="4" t="s">
        <v>21070</v>
      </c>
    </row>
    <row r="11349">
      <c r="A11349" s="4">
        <v>348.0</v>
      </c>
      <c r="B11349" s="4" t="s">
        <v>22110</v>
      </c>
      <c r="C11349" s="4"/>
      <c r="D11349" s="4" t="s">
        <v>21071</v>
      </c>
      <c r="E11349" s="4" t="s">
        <v>21072</v>
      </c>
      <c r="F11349" s="4" t="s">
        <v>21073</v>
      </c>
    </row>
    <row r="11350">
      <c r="A11350" s="4">
        <v>349.0</v>
      </c>
      <c r="B11350" s="4" t="s">
        <v>22110</v>
      </c>
      <c r="C11350" s="4"/>
      <c r="D11350" s="4" t="s">
        <v>21074</v>
      </c>
      <c r="E11350" s="4" t="s">
        <v>21069</v>
      </c>
      <c r="F11350" s="4" t="s">
        <v>21070</v>
      </c>
    </row>
    <row r="11351">
      <c r="A11351" s="4">
        <v>350.0</v>
      </c>
      <c r="B11351" s="4" t="s">
        <v>22110</v>
      </c>
      <c r="C11351" s="4"/>
      <c r="D11351" s="4" t="s">
        <v>21075</v>
      </c>
      <c r="E11351" s="4" t="s">
        <v>21072</v>
      </c>
      <c r="F11351" s="4" t="s">
        <v>21073</v>
      </c>
    </row>
    <row r="11352">
      <c r="A11352" s="4">
        <v>351.0</v>
      </c>
      <c r="B11352" s="4" t="s">
        <v>22110</v>
      </c>
      <c r="C11352" s="4"/>
      <c r="D11352" s="4" t="s">
        <v>21076</v>
      </c>
      <c r="E11352" s="4" t="s">
        <v>21077</v>
      </c>
      <c r="F11352" s="4" t="s">
        <v>21078</v>
      </c>
    </row>
    <row r="11353">
      <c r="A11353" s="4">
        <v>352.0</v>
      </c>
      <c r="B11353" s="4" t="s">
        <v>22110</v>
      </c>
      <c r="C11353" s="4"/>
      <c r="D11353" s="4" t="s">
        <v>310</v>
      </c>
      <c r="E11353" s="4" t="s">
        <v>309</v>
      </c>
      <c r="F11353" s="4" t="s">
        <v>310</v>
      </c>
    </row>
    <row r="11354">
      <c r="A11354" s="4">
        <v>353.0</v>
      </c>
      <c r="B11354" s="4" t="s">
        <v>22110</v>
      </c>
      <c r="C11354" s="4"/>
      <c r="D11354" s="4" t="s">
        <v>310</v>
      </c>
      <c r="E11354" s="4" t="s">
        <v>1902</v>
      </c>
      <c r="F11354" s="4" t="s">
        <v>1903</v>
      </c>
    </row>
    <row r="11355">
      <c r="A11355" s="4">
        <v>354.0</v>
      </c>
      <c r="B11355" s="4" t="s">
        <v>22110</v>
      </c>
      <c r="C11355" s="4"/>
      <c r="D11355" s="4" t="s">
        <v>21079</v>
      </c>
      <c r="E11355" s="4" t="s">
        <v>21080</v>
      </c>
      <c r="F11355" s="4" t="s">
        <v>21079</v>
      </c>
    </row>
    <row r="11356">
      <c r="A11356" s="4">
        <v>355.0</v>
      </c>
      <c r="B11356" s="4" t="s">
        <v>22110</v>
      </c>
      <c r="C11356" s="4"/>
      <c r="D11356" s="4" t="s">
        <v>1905</v>
      </c>
      <c r="E11356" s="4" t="s">
        <v>1912</v>
      </c>
      <c r="F11356" s="4" t="s">
        <v>1905</v>
      </c>
      <c r="G11356" s="4"/>
      <c r="H11356" s="4" t="s">
        <v>21081</v>
      </c>
      <c r="I11356" s="4" t="s">
        <v>21082</v>
      </c>
      <c r="J11356" s="4" t="s">
        <v>21083</v>
      </c>
      <c r="K11356" s="4" t="s">
        <v>1908</v>
      </c>
      <c r="L11356" s="4" t="s">
        <v>1909</v>
      </c>
      <c r="M11356" s="4" t="s">
        <v>1910</v>
      </c>
      <c r="N11356" s="4" t="s">
        <v>1911</v>
      </c>
      <c r="O11356" s="4" t="s">
        <v>1909</v>
      </c>
      <c r="P11356" s="4" t="s">
        <v>2617</v>
      </c>
    </row>
    <row r="11357">
      <c r="A11357" s="4">
        <v>356.0</v>
      </c>
      <c r="B11357" s="4" t="s">
        <v>22110</v>
      </c>
      <c r="C11357" s="4"/>
      <c r="D11357" s="4" t="s">
        <v>21084</v>
      </c>
      <c r="E11357" s="4" t="s">
        <v>1902</v>
      </c>
      <c r="F11357" s="4" t="s">
        <v>1903</v>
      </c>
      <c r="G11357" s="4"/>
      <c r="H11357" s="4" t="s">
        <v>1904</v>
      </c>
      <c r="I11357" s="4" t="s">
        <v>310</v>
      </c>
      <c r="J11357" s="4" t="s">
        <v>1900</v>
      </c>
    </row>
    <row r="11358">
      <c r="A11358" s="4">
        <v>357.0</v>
      </c>
      <c r="B11358" s="4" t="s">
        <v>22110</v>
      </c>
      <c r="C11358" s="4"/>
      <c r="D11358" s="4" t="s">
        <v>1913</v>
      </c>
      <c r="E11358" s="4" t="s">
        <v>1914</v>
      </c>
      <c r="F11358" s="4" t="s">
        <v>1915</v>
      </c>
      <c r="G11358" s="4"/>
      <c r="H11358" s="4" t="s">
        <v>21085</v>
      </c>
      <c r="I11358" s="4" t="s">
        <v>6270</v>
      </c>
    </row>
    <row r="11359">
      <c r="A11359" s="4">
        <v>358.0</v>
      </c>
      <c r="B11359" s="4" t="s">
        <v>22110</v>
      </c>
      <c r="C11359" s="4"/>
      <c r="D11359" s="4" t="s">
        <v>1916</v>
      </c>
      <c r="E11359" s="4" t="s">
        <v>1917</v>
      </c>
      <c r="F11359" s="4" t="s">
        <v>1918</v>
      </c>
    </row>
    <row r="11360">
      <c r="A11360" s="4">
        <v>359.0</v>
      </c>
      <c r="B11360" s="4" t="s">
        <v>22110</v>
      </c>
      <c r="C11360" s="4"/>
      <c r="D11360" s="4" t="s">
        <v>21086</v>
      </c>
      <c r="E11360" s="4" t="s">
        <v>21087</v>
      </c>
      <c r="F11360" s="4" t="s">
        <v>21088</v>
      </c>
    </row>
    <row r="11361">
      <c r="A11361" s="4">
        <v>360.0</v>
      </c>
      <c r="B11361" s="4" t="s">
        <v>22110</v>
      </c>
      <c r="C11361" s="4"/>
      <c r="D11361" s="4" t="s">
        <v>1919</v>
      </c>
      <c r="E11361" s="4" t="s">
        <v>1922</v>
      </c>
      <c r="F11361" s="4" t="s">
        <v>1923</v>
      </c>
    </row>
    <row r="11362">
      <c r="A11362" s="4">
        <v>361.0</v>
      </c>
      <c r="B11362" s="4" t="s">
        <v>22110</v>
      </c>
      <c r="C11362" s="4"/>
      <c r="D11362" s="4" t="s">
        <v>21089</v>
      </c>
      <c r="E11362" s="4" t="s">
        <v>21090</v>
      </c>
      <c r="F11362" s="4" t="s">
        <v>21091</v>
      </c>
    </row>
    <row r="11363">
      <c r="A11363" s="4">
        <v>362.0</v>
      </c>
      <c r="B11363" s="4" t="s">
        <v>22110</v>
      </c>
      <c r="C11363" s="4"/>
      <c r="D11363" s="4" t="s">
        <v>1940</v>
      </c>
      <c r="E11363" s="4" t="s">
        <v>1941</v>
      </c>
      <c r="F11363" s="4" t="s">
        <v>1940</v>
      </c>
      <c r="G11363" s="4"/>
      <c r="H11363" s="4" t="s">
        <v>1942</v>
      </c>
    </row>
    <row r="11364">
      <c r="A11364" s="4">
        <v>363.0</v>
      </c>
      <c r="B11364" s="4" t="s">
        <v>22110</v>
      </c>
      <c r="C11364" s="4"/>
      <c r="D11364" s="4" t="s">
        <v>1943</v>
      </c>
      <c r="E11364" s="4" t="s">
        <v>1944</v>
      </c>
      <c r="F11364" s="4" t="s">
        <v>1945</v>
      </c>
      <c r="G11364" s="4"/>
      <c r="H11364" s="4" t="s">
        <v>1946</v>
      </c>
      <c r="I11364" s="4" t="s">
        <v>1947</v>
      </c>
      <c r="J11364" s="4" t="s">
        <v>1948</v>
      </c>
      <c r="K11364" s="4" t="s">
        <v>1949</v>
      </c>
      <c r="L11364" s="4" t="s">
        <v>1950</v>
      </c>
      <c r="M11364" s="4" t="s">
        <v>1951</v>
      </c>
      <c r="N11364" s="4" t="s">
        <v>1952</v>
      </c>
      <c r="O11364" s="4" t="s">
        <v>1953</v>
      </c>
      <c r="P11364" s="4" t="s">
        <v>1954</v>
      </c>
      <c r="Q11364" s="4" t="s">
        <v>1955</v>
      </c>
      <c r="R11364" s="4" t="s">
        <v>1956</v>
      </c>
      <c r="S11364" s="4" t="s">
        <v>1957</v>
      </c>
      <c r="T11364" s="4" t="s">
        <v>1958</v>
      </c>
      <c r="U11364" s="4" t="s">
        <v>1959</v>
      </c>
      <c r="V11364" s="4" t="s">
        <v>1960</v>
      </c>
      <c r="W11364" s="4" t="s">
        <v>1961</v>
      </c>
      <c r="X11364" s="4" t="s">
        <v>1962</v>
      </c>
      <c r="Y11364" s="4" t="s">
        <v>1963</v>
      </c>
      <c r="Z11364" s="4" t="s">
        <v>1964</v>
      </c>
      <c r="AA11364" s="4" t="s">
        <v>1965</v>
      </c>
      <c r="AB11364" s="4" t="s">
        <v>1966</v>
      </c>
      <c r="AC11364" s="4" t="s">
        <v>1962</v>
      </c>
      <c r="AD11364" s="4" t="s">
        <v>1950</v>
      </c>
      <c r="AE11364" s="4" t="s">
        <v>1967</v>
      </c>
      <c r="AF11364" s="4" t="s">
        <v>1968</v>
      </c>
      <c r="AG11364" s="4" t="s">
        <v>1967</v>
      </c>
      <c r="AH11364" s="4" t="s">
        <v>1969</v>
      </c>
      <c r="AI11364" s="4" t="s">
        <v>1970</v>
      </c>
      <c r="AJ11364" s="4" t="s">
        <v>1971</v>
      </c>
      <c r="AK11364" s="4" t="s">
        <v>1972</v>
      </c>
      <c r="AL11364" s="4" t="s">
        <v>1973</v>
      </c>
    </row>
    <row r="11365">
      <c r="A11365" s="4">
        <v>364.0</v>
      </c>
      <c r="B11365" s="4" t="s">
        <v>22110</v>
      </c>
      <c r="C11365" s="4"/>
      <c r="D11365" s="4" t="s">
        <v>21092</v>
      </c>
      <c r="E11365" s="4" t="s">
        <v>21093</v>
      </c>
      <c r="F11365" s="4" t="s">
        <v>21092</v>
      </c>
      <c r="G11365" s="4"/>
      <c r="H11365" s="4" t="s">
        <v>636</v>
      </c>
      <c r="I11365" s="4" t="s">
        <v>637</v>
      </c>
      <c r="J11365" s="4" t="s">
        <v>638</v>
      </c>
      <c r="K11365" s="4" t="s">
        <v>637</v>
      </c>
      <c r="L11365" s="4" t="s">
        <v>639</v>
      </c>
      <c r="M11365" s="4" t="s">
        <v>640</v>
      </c>
      <c r="N11365" s="4" t="s">
        <v>642</v>
      </c>
      <c r="O11365" s="4" t="s">
        <v>643</v>
      </c>
      <c r="P11365" s="4" t="s">
        <v>644</v>
      </c>
      <c r="Q11365" s="4" t="s">
        <v>645</v>
      </c>
      <c r="R11365" s="4" t="s">
        <v>637</v>
      </c>
      <c r="S11365" s="4" t="s">
        <v>636</v>
      </c>
      <c r="T11365" s="4" t="s">
        <v>639</v>
      </c>
      <c r="U11365" s="4" t="s">
        <v>6684</v>
      </c>
      <c r="V11365" s="4" t="s">
        <v>21094</v>
      </c>
      <c r="W11365" s="4" t="s">
        <v>20679</v>
      </c>
      <c r="X11365" s="4" t="s">
        <v>15196</v>
      </c>
      <c r="Y11365" s="4" t="s">
        <v>15474</v>
      </c>
      <c r="Z11365" s="4" t="s">
        <v>4146</v>
      </c>
      <c r="AA11365" s="4" t="s">
        <v>21095</v>
      </c>
      <c r="AB11365" s="4" t="s">
        <v>646</v>
      </c>
      <c r="AC11365" s="4" t="s">
        <v>637</v>
      </c>
      <c r="AD11365" s="4" t="s">
        <v>647</v>
      </c>
      <c r="AE11365" s="4" t="s">
        <v>648</v>
      </c>
      <c r="AF11365" s="4" t="s">
        <v>649</v>
      </c>
      <c r="AG11365" s="4" t="s">
        <v>637</v>
      </c>
      <c r="AH11365" s="4" t="s">
        <v>648</v>
      </c>
      <c r="AI11365" s="4" t="s">
        <v>650</v>
      </c>
      <c r="AJ11365" s="4" t="s">
        <v>637</v>
      </c>
      <c r="AK11365" s="4" t="s">
        <v>651</v>
      </c>
      <c r="AL11365" s="4" t="s">
        <v>21096</v>
      </c>
      <c r="AM11365" s="4" t="s">
        <v>11016</v>
      </c>
      <c r="AN11365" s="4" t="s">
        <v>16226</v>
      </c>
      <c r="AO11365" s="4" t="s">
        <v>646</v>
      </c>
      <c r="AP11365" s="4" t="s">
        <v>1266</v>
      </c>
    </row>
    <row r="11366">
      <c r="A11366" s="4">
        <v>365.0</v>
      </c>
      <c r="B11366" s="4" t="s">
        <v>22110</v>
      </c>
      <c r="C11366" s="4"/>
      <c r="D11366" s="4" t="s">
        <v>1983</v>
      </c>
      <c r="E11366" s="4" t="s">
        <v>1984</v>
      </c>
      <c r="F11366" s="4" t="s">
        <v>1983</v>
      </c>
      <c r="G11366" s="4"/>
      <c r="H11366" s="4" t="s">
        <v>1985</v>
      </c>
      <c r="I11366" s="4" t="s">
        <v>1986</v>
      </c>
      <c r="J11366" s="4" t="s">
        <v>1987</v>
      </c>
      <c r="K11366" s="4" t="s">
        <v>1983</v>
      </c>
      <c r="L11366" s="4" t="s">
        <v>1986</v>
      </c>
      <c r="M11366" s="4" t="s">
        <v>1988</v>
      </c>
      <c r="N11366" s="4" t="s">
        <v>1987</v>
      </c>
      <c r="O11366" s="4" t="s">
        <v>1986</v>
      </c>
      <c r="P11366" s="4" t="s">
        <v>1989</v>
      </c>
    </row>
    <row r="11367">
      <c r="A11367" s="4">
        <v>366.0</v>
      </c>
      <c r="B11367" s="4" t="s">
        <v>22110</v>
      </c>
      <c r="C11367" s="4"/>
      <c r="D11367" s="4" t="s">
        <v>1997</v>
      </c>
      <c r="E11367" s="4" t="s">
        <v>1996</v>
      </c>
      <c r="F11367" s="4" t="s">
        <v>1997</v>
      </c>
    </row>
    <row r="11368">
      <c r="A11368" s="4">
        <v>367.0</v>
      </c>
      <c r="B11368" s="4" t="s">
        <v>22110</v>
      </c>
      <c r="C11368" s="4"/>
      <c r="D11368" s="4" t="s">
        <v>21097</v>
      </c>
      <c r="E11368" s="4" t="s">
        <v>21098</v>
      </c>
      <c r="F11368" s="4" t="s">
        <v>21097</v>
      </c>
    </row>
    <row r="11369">
      <c r="A11369" s="4">
        <v>368.0</v>
      </c>
      <c r="B11369" s="4" t="s">
        <v>22110</v>
      </c>
      <c r="C11369" s="4"/>
      <c r="D11369" s="4" t="s">
        <v>21099</v>
      </c>
      <c r="E11369" s="4" t="s">
        <v>21100</v>
      </c>
      <c r="F11369" s="4" t="s">
        <v>21101</v>
      </c>
    </row>
    <row r="11370">
      <c r="A11370" s="4">
        <v>369.0</v>
      </c>
      <c r="B11370" s="4" t="s">
        <v>22110</v>
      </c>
      <c r="C11370" s="4"/>
      <c r="D11370" s="4" t="s">
        <v>21102</v>
      </c>
      <c r="E11370" s="4" t="s">
        <v>21098</v>
      </c>
      <c r="F11370" s="4" t="s">
        <v>21097</v>
      </c>
    </row>
    <row r="11371">
      <c r="A11371" s="4">
        <v>370.0</v>
      </c>
      <c r="B11371" s="4" t="s">
        <v>22110</v>
      </c>
      <c r="C11371" s="4"/>
      <c r="D11371" s="4" t="s">
        <v>21103</v>
      </c>
      <c r="E11371" s="4" t="s">
        <v>21098</v>
      </c>
      <c r="F11371" s="4" t="s">
        <v>21097</v>
      </c>
    </row>
    <row r="11372">
      <c r="A11372" s="4">
        <v>371.0</v>
      </c>
      <c r="B11372" s="4" t="s">
        <v>22110</v>
      </c>
      <c r="C11372" s="4"/>
      <c r="D11372" s="4" t="s">
        <v>21104</v>
      </c>
      <c r="E11372" s="4" t="s">
        <v>21105</v>
      </c>
      <c r="F11372" s="4" t="s">
        <v>21104</v>
      </c>
    </row>
    <row r="11373">
      <c r="A11373" s="4">
        <v>372.0</v>
      </c>
      <c r="B11373" s="4" t="s">
        <v>22110</v>
      </c>
      <c r="C11373" s="4"/>
      <c r="D11373" s="4" t="s">
        <v>2002</v>
      </c>
      <c r="E11373" s="4" t="s">
        <v>2003</v>
      </c>
      <c r="F11373" s="4" t="s">
        <v>2002</v>
      </c>
    </row>
    <row r="11374">
      <c r="A11374" s="4">
        <v>373.0</v>
      </c>
      <c r="B11374" s="4" t="s">
        <v>22110</v>
      </c>
      <c r="C11374" s="4"/>
      <c r="D11374" s="4" t="s">
        <v>19110</v>
      </c>
      <c r="E11374" s="4" t="s">
        <v>1984</v>
      </c>
      <c r="F11374" s="4" t="s">
        <v>1983</v>
      </c>
    </row>
    <row r="11375">
      <c r="A11375" s="4">
        <v>374.0</v>
      </c>
      <c r="B11375" s="4" t="s">
        <v>22110</v>
      </c>
      <c r="C11375" s="4"/>
      <c r="D11375" s="4" t="s">
        <v>21106</v>
      </c>
      <c r="E11375" s="4" t="s">
        <v>1991</v>
      </c>
      <c r="F11375" s="4" t="s">
        <v>1990</v>
      </c>
    </row>
    <row r="11376">
      <c r="A11376" s="4">
        <v>375.0</v>
      </c>
      <c r="B11376" s="4" t="s">
        <v>22110</v>
      </c>
      <c r="C11376" s="4"/>
      <c r="D11376" s="4" t="s">
        <v>1798</v>
      </c>
      <c r="E11376" s="4" t="s">
        <v>1797</v>
      </c>
      <c r="F11376" s="4" t="s">
        <v>1798</v>
      </c>
    </row>
    <row r="11377">
      <c r="A11377" s="4">
        <v>376.0</v>
      </c>
      <c r="B11377" s="4" t="s">
        <v>22110</v>
      </c>
      <c r="C11377" s="4"/>
      <c r="D11377" s="4" t="s">
        <v>21107</v>
      </c>
      <c r="E11377" s="4" t="s">
        <v>21108</v>
      </c>
      <c r="F11377" s="4" t="s">
        <v>21109</v>
      </c>
    </row>
    <row r="11378">
      <c r="A11378" s="4">
        <v>377.0</v>
      </c>
      <c r="B11378" s="4" t="s">
        <v>22110</v>
      </c>
      <c r="C11378" s="4"/>
      <c r="D11378" s="4" t="s">
        <v>5675</v>
      </c>
      <c r="E11378" s="4" t="s">
        <v>5674</v>
      </c>
      <c r="F11378" s="4" t="s">
        <v>5675</v>
      </c>
      <c r="G11378" s="4"/>
      <c r="H11378" s="4" t="s">
        <v>21110</v>
      </c>
    </row>
    <row r="11379">
      <c r="A11379" s="4">
        <v>378.0</v>
      </c>
      <c r="B11379" s="4" t="s">
        <v>22110</v>
      </c>
      <c r="C11379" s="4"/>
      <c r="D11379" s="4" t="s">
        <v>21111</v>
      </c>
      <c r="E11379" s="4" t="s">
        <v>21112</v>
      </c>
      <c r="F11379" s="4" t="s">
        <v>21111</v>
      </c>
    </row>
    <row r="11380">
      <c r="A11380" s="4">
        <v>379.0</v>
      </c>
      <c r="B11380" s="4" t="s">
        <v>22110</v>
      </c>
      <c r="C11380" s="4"/>
      <c r="D11380" s="4" t="s">
        <v>2009</v>
      </c>
      <c r="E11380" s="4" t="s">
        <v>17506</v>
      </c>
      <c r="F11380" s="4" t="s">
        <v>962</v>
      </c>
    </row>
    <row r="11381">
      <c r="A11381" s="4">
        <v>380.0</v>
      </c>
      <c r="B11381" s="4" t="s">
        <v>22110</v>
      </c>
      <c r="C11381" s="4"/>
      <c r="D11381" s="4" t="s">
        <v>21113</v>
      </c>
      <c r="E11381" s="4" t="s">
        <v>9072</v>
      </c>
      <c r="F11381" s="4" t="s">
        <v>9073</v>
      </c>
    </row>
    <row r="11382">
      <c r="A11382" s="4">
        <v>381.0</v>
      </c>
      <c r="B11382" s="4" t="s">
        <v>22110</v>
      </c>
      <c r="C11382" s="4"/>
      <c r="D11382" s="4" t="s">
        <v>21114</v>
      </c>
      <c r="E11382" s="4" t="s">
        <v>21115</v>
      </c>
      <c r="F11382" s="4" t="s">
        <v>21116</v>
      </c>
    </row>
    <row r="11383">
      <c r="A11383" s="4">
        <v>382.0</v>
      </c>
      <c r="B11383" s="4" t="s">
        <v>22110</v>
      </c>
      <c r="C11383" s="4"/>
      <c r="D11383" s="4" t="s">
        <v>21117</v>
      </c>
      <c r="E11383" s="4" t="s">
        <v>21118</v>
      </c>
      <c r="F11383" s="4" t="s">
        <v>21119</v>
      </c>
    </row>
    <row r="11384">
      <c r="A11384" s="4">
        <v>383.0</v>
      </c>
      <c r="B11384" s="4" t="s">
        <v>22110</v>
      </c>
      <c r="C11384" s="4"/>
      <c r="D11384" s="4" t="s">
        <v>17581</v>
      </c>
      <c r="E11384" s="4" t="s">
        <v>21120</v>
      </c>
      <c r="F11384" s="4" t="s">
        <v>9073</v>
      </c>
    </row>
    <row r="11385">
      <c r="A11385" s="4">
        <v>384.0</v>
      </c>
      <c r="B11385" s="4" t="s">
        <v>22110</v>
      </c>
      <c r="C11385" s="4"/>
      <c r="D11385" s="4" t="s">
        <v>21121</v>
      </c>
      <c r="E11385" s="4" t="s">
        <v>21122</v>
      </c>
      <c r="F11385" s="4" t="s">
        <v>21123</v>
      </c>
    </row>
    <row r="11386">
      <c r="A11386" s="4">
        <v>385.0</v>
      </c>
      <c r="B11386" s="4" t="s">
        <v>22110</v>
      </c>
      <c r="C11386" s="4"/>
      <c r="D11386" s="4" t="s">
        <v>21124</v>
      </c>
      <c r="E11386" s="4" t="s">
        <v>21122</v>
      </c>
      <c r="F11386" s="4" t="s">
        <v>21123</v>
      </c>
    </row>
    <row r="11387">
      <c r="A11387" s="4">
        <v>386.0</v>
      </c>
      <c r="B11387" s="4" t="s">
        <v>22110</v>
      </c>
      <c r="C11387" s="4"/>
      <c r="D11387" s="4" t="s">
        <v>21125</v>
      </c>
      <c r="E11387" s="4" t="s">
        <v>21120</v>
      </c>
      <c r="F11387" s="4" t="s">
        <v>9073</v>
      </c>
    </row>
    <row r="11388">
      <c r="A11388" s="4">
        <v>387.0</v>
      </c>
      <c r="B11388" s="4" t="s">
        <v>22110</v>
      </c>
      <c r="C11388" s="4"/>
      <c r="D11388" s="4" t="s">
        <v>21126</v>
      </c>
      <c r="E11388" s="4" t="s">
        <v>21127</v>
      </c>
      <c r="F11388" s="4" t="s">
        <v>21128</v>
      </c>
    </row>
    <row r="11389">
      <c r="A11389" s="4">
        <v>388.0</v>
      </c>
      <c r="B11389" s="4" t="s">
        <v>22110</v>
      </c>
      <c r="C11389" s="4"/>
      <c r="D11389" s="4" t="s">
        <v>21129</v>
      </c>
      <c r="E11389" s="4" t="s">
        <v>21130</v>
      </c>
      <c r="F11389" s="4" t="s">
        <v>992</v>
      </c>
      <c r="G11389" s="4"/>
      <c r="H11389" s="4" t="s">
        <v>7334</v>
      </c>
      <c r="I11389" s="4" t="s">
        <v>6291</v>
      </c>
      <c r="J11389" s="4" t="s">
        <v>21131</v>
      </c>
      <c r="K11389" s="4" t="s">
        <v>21132</v>
      </c>
      <c r="L11389" s="4" t="s">
        <v>21133</v>
      </c>
      <c r="M11389" s="4" t="s">
        <v>4433</v>
      </c>
    </row>
    <row r="11390">
      <c r="A11390" s="4">
        <v>389.0</v>
      </c>
      <c r="B11390" s="4" t="s">
        <v>22110</v>
      </c>
      <c r="C11390" s="4"/>
      <c r="D11390" s="4" t="s">
        <v>21134</v>
      </c>
      <c r="E11390" s="4" t="s">
        <v>17518</v>
      </c>
      <c r="F11390" s="4" t="s">
        <v>978</v>
      </c>
      <c r="G11390" s="4"/>
      <c r="H11390" s="4" t="s">
        <v>12300</v>
      </c>
      <c r="I11390" s="4" t="s">
        <v>12301</v>
      </c>
    </row>
    <row r="11391">
      <c r="A11391" s="4">
        <v>390.0</v>
      </c>
      <c r="B11391" s="4" t="s">
        <v>22110</v>
      </c>
      <c r="C11391" s="4"/>
      <c r="D11391" s="4" t="s">
        <v>21135</v>
      </c>
      <c r="E11391" s="4" t="s">
        <v>21136</v>
      </c>
      <c r="F11391" s="4" t="s">
        <v>21137</v>
      </c>
    </row>
    <row r="11392">
      <c r="A11392" s="4">
        <v>391.0</v>
      </c>
      <c r="B11392" s="4" t="s">
        <v>22110</v>
      </c>
      <c r="C11392" s="4"/>
      <c r="D11392" s="4" t="s">
        <v>9778</v>
      </c>
      <c r="E11392" s="4" t="s">
        <v>21138</v>
      </c>
      <c r="F11392" s="4" t="s">
        <v>1178</v>
      </c>
    </row>
    <row r="11393">
      <c r="A11393" s="4">
        <v>392.0</v>
      </c>
      <c r="B11393" s="4" t="s">
        <v>22110</v>
      </c>
      <c r="C11393" s="4"/>
      <c r="D11393" s="4" t="s">
        <v>21139</v>
      </c>
      <c r="E11393" s="4" t="s">
        <v>5637</v>
      </c>
      <c r="F11393" s="4" t="s">
        <v>5638</v>
      </c>
    </row>
    <row r="11394">
      <c r="A11394" s="4">
        <v>393.0</v>
      </c>
      <c r="B11394" s="4" t="s">
        <v>22110</v>
      </c>
      <c r="C11394" s="4"/>
      <c r="D11394" s="4" t="s">
        <v>21140</v>
      </c>
      <c r="E11394" s="4" t="s">
        <v>21141</v>
      </c>
      <c r="F11394" s="4" t="s">
        <v>21142</v>
      </c>
    </row>
    <row r="11395">
      <c r="A11395" s="4">
        <v>394.0</v>
      </c>
      <c r="B11395" s="4" t="s">
        <v>22110</v>
      </c>
      <c r="C11395" s="4"/>
      <c r="D11395" s="4" t="s">
        <v>21143</v>
      </c>
      <c r="E11395" s="4" t="s">
        <v>21144</v>
      </c>
      <c r="F11395" s="4" t="s">
        <v>20700</v>
      </c>
    </row>
    <row r="11396">
      <c r="A11396" s="4">
        <v>395.0</v>
      </c>
      <c r="B11396" s="4" t="s">
        <v>22110</v>
      </c>
      <c r="C11396" s="4"/>
      <c r="D11396" s="4" t="s">
        <v>21145</v>
      </c>
      <c r="E11396" s="4" t="s">
        <v>21146</v>
      </c>
      <c r="F11396" s="4" t="s">
        <v>1307</v>
      </c>
    </row>
    <row r="11397">
      <c r="A11397" s="4">
        <v>396.0</v>
      </c>
      <c r="B11397" s="4" t="s">
        <v>22110</v>
      </c>
      <c r="C11397" s="4"/>
      <c r="D11397" s="4" t="s">
        <v>21147</v>
      </c>
      <c r="E11397" s="4" t="s">
        <v>21148</v>
      </c>
      <c r="F11397" s="4" t="s">
        <v>21149</v>
      </c>
      <c r="G11397" s="4"/>
      <c r="H11397" s="4" t="s">
        <v>21150</v>
      </c>
      <c r="I11397" s="4" t="s">
        <v>21151</v>
      </c>
      <c r="J11397" s="4" t="s">
        <v>21152</v>
      </c>
      <c r="K11397" s="4" t="s">
        <v>21153</v>
      </c>
    </row>
    <row r="11398">
      <c r="A11398" s="4">
        <v>397.0</v>
      </c>
      <c r="B11398" s="4" t="s">
        <v>22110</v>
      </c>
      <c r="C11398" s="4"/>
      <c r="D11398" s="4" t="s">
        <v>17035</v>
      </c>
      <c r="E11398" s="4" t="s">
        <v>17483</v>
      </c>
      <c r="F11398" s="4" t="s">
        <v>2014</v>
      </c>
    </row>
    <row r="11399">
      <c r="A11399" s="4">
        <v>398.0</v>
      </c>
      <c r="B11399" s="4" t="s">
        <v>22110</v>
      </c>
      <c r="C11399" s="4"/>
      <c r="D11399" s="4" t="s">
        <v>21154</v>
      </c>
      <c r="E11399" s="4" t="s">
        <v>21155</v>
      </c>
      <c r="F11399" s="4" t="s">
        <v>21156</v>
      </c>
    </row>
    <row r="11400">
      <c r="A11400" s="4">
        <v>399.0</v>
      </c>
      <c r="B11400" s="4" t="s">
        <v>22110</v>
      </c>
      <c r="C11400" s="4"/>
      <c r="D11400" s="4" t="s">
        <v>21157</v>
      </c>
      <c r="E11400" s="4" t="s">
        <v>21158</v>
      </c>
      <c r="F11400" s="4" t="s">
        <v>21159</v>
      </c>
    </row>
    <row r="11401">
      <c r="A11401" s="4">
        <v>400.0</v>
      </c>
      <c r="B11401" s="4" t="s">
        <v>22110</v>
      </c>
      <c r="C11401" s="4"/>
      <c r="D11401" s="4" t="s">
        <v>21160</v>
      </c>
      <c r="E11401" s="4" t="s">
        <v>21161</v>
      </c>
      <c r="F11401" s="4" t="s">
        <v>21162</v>
      </c>
    </row>
    <row r="11402">
      <c r="A11402" s="4">
        <v>401.0</v>
      </c>
      <c r="B11402" s="4" t="s">
        <v>22110</v>
      </c>
      <c r="C11402" s="4"/>
      <c r="D11402" s="4" t="s">
        <v>17656</v>
      </c>
      <c r="E11402" s="4" t="s">
        <v>21163</v>
      </c>
      <c r="F11402" s="4" t="s">
        <v>17846</v>
      </c>
    </row>
    <row r="11403">
      <c r="A11403" s="4">
        <v>402.0</v>
      </c>
      <c r="B11403" s="4" t="s">
        <v>22110</v>
      </c>
      <c r="C11403" s="4"/>
      <c r="D11403" s="4" t="s">
        <v>21164</v>
      </c>
      <c r="E11403" s="4" t="s">
        <v>21165</v>
      </c>
      <c r="F11403" s="4" t="s">
        <v>21166</v>
      </c>
    </row>
    <row r="11404">
      <c r="A11404" s="4">
        <v>403.0</v>
      </c>
      <c r="B11404" s="4" t="s">
        <v>22110</v>
      </c>
      <c r="C11404" s="4"/>
      <c r="D11404" s="4" t="s">
        <v>21167</v>
      </c>
      <c r="E11404" s="4" t="s">
        <v>21168</v>
      </c>
      <c r="F11404" s="4" t="s">
        <v>1648</v>
      </c>
    </row>
    <row r="11405">
      <c r="A11405" s="4">
        <v>404.0</v>
      </c>
      <c r="B11405" s="4" t="s">
        <v>22110</v>
      </c>
      <c r="C11405" s="4"/>
      <c r="D11405" s="4" t="s">
        <v>21169</v>
      </c>
      <c r="E11405" s="4" t="s">
        <v>21170</v>
      </c>
      <c r="F11405" s="4" t="s">
        <v>1666</v>
      </c>
      <c r="G11405" s="4"/>
      <c r="H11405" s="4" t="s">
        <v>21171</v>
      </c>
      <c r="I11405" s="4" t="s">
        <v>19172</v>
      </c>
      <c r="J11405" s="4" t="s">
        <v>21172</v>
      </c>
      <c r="K11405" s="4" t="s">
        <v>21173</v>
      </c>
      <c r="L11405" s="4" t="s">
        <v>21174</v>
      </c>
      <c r="M11405" s="4" t="s">
        <v>21175</v>
      </c>
      <c r="N11405" s="4" t="s">
        <v>18957</v>
      </c>
      <c r="O11405" s="4" t="s">
        <v>21176</v>
      </c>
      <c r="P11405" s="4" t="s">
        <v>21173</v>
      </c>
    </row>
    <row r="11406">
      <c r="A11406" s="4">
        <v>405.0</v>
      </c>
      <c r="B11406" s="4" t="s">
        <v>22110</v>
      </c>
      <c r="C11406" s="4"/>
      <c r="D11406" s="4" t="s">
        <v>21177</v>
      </c>
      <c r="E11406" s="4" t="s">
        <v>21178</v>
      </c>
      <c r="F11406" s="4" t="s">
        <v>21179</v>
      </c>
    </row>
    <row r="11407">
      <c r="A11407" s="4">
        <v>406.0</v>
      </c>
      <c r="B11407" s="4" t="s">
        <v>22110</v>
      </c>
      <c r="C11407" s="4"/>
      <c r="D11407" s="4" t="s">
        <v>21180</v>
      </c>
      <c r="E11407" s="4" t="s">
        <v>21181</v>
      </c>
      <c r="F11407" s="4" t="s">
        <v>21182</v>
      </c>
    </row>
    <row r="11408">
      <c r="A11408" s="4">
        <v>407.0</v>
      </c>
      <c r="B11408" s="4" t="s">
        <v>22110</v>
      </c>
      <c r="C11408" s="4"/>
      <c r="D11408" s="4" t="s">
        <v>21183</v>
      </c>
      <c r="E11408" s="4" t="s">
        <v>21184</v>
      </c>
      <c r="F11408" s="4" t="s">
        <v>21185</v>
      </c>
    </row>
    <row r="11409">
      <c r="A11409" s="4">
        <v>408.0</v>
      </c>
      <c r="B11409" s="4" t="s">
        <v>22110</v>
      </c>
      <c r="C11409" s="4"/>
      <c r="D11409" s="4" t="s">
        <v>21186</v>
      </c>
      <c r="E11409" s="4" t="s">
        <v>21187</v>
      </c>
      <c r="F11409" s="4" t="s">
        <v>21188</v>
      </c>
    </row>
    <row r="11410">
      <c r="A11410" s="4">
        <v>409.0</v>
      </c>
      <c r="B11410" s="4" t="s">
        <v>22110</v>
      </c>
      <c r="C11410" s="4"/>
      <c r="D11410" s="4" t="s">
        <v>962</v>
      </c>
      <c r="E11410" s="4" t="s">
        <v>961</v>
      </c>
      <c r="F11410" s="4" t="s">
        <v>962</v>
      </c>
    </row>
    <row r="11411">
      <c r="A11411" s="4">
        <v>410.0</v>
      </c>
      <c r="B11411" s="4" t="s">
        <v>22110</v>
      </c>
      <c r="C11411" s="4"/>
      <c r="D11411" s="4" t="s">
        <v>12448</v>
      </c>
      <c r="E11411" s="4" t="s">
        <v>1232</v>
      </c>
      <c r="F11411" s="4" t="s">
        <v>1233</v>
      </c>
    </row>
    <row r="11412">
      <c r="A11412" s="4">
        <v>411.0</v>
      </c>
      <c r="B11412" s="4" t="s">
        <v>22110</v>
      </c>
      <c r="C11412" s="4"/>
      <c r="D11412" s="4" t="s">
        <v>19097</v>
      </c>
      <c r="E11412" s="4" t="s">
        <v>19096</v>
      </c>
      <c r="F11412" s="4" t="s">
        <v>19097</v>
      </c>
    </row>
    <row r="11413">
      <c r="A11413" s="4">
        <v>412.0</v>
      </c>
      <c r="B11413" s="4" t="s">
        <v>22110</v>
      </c>
      <c r="C11413" s="4"/>
      <c r="D11413" s="4" t="s">
        <v>1336</v>
      </c>
      <c r="E11413" s="4" t="s">
        <v>1335</v>
      </c>
      <c r="F11413" s="4" t="s">
        <v>1336</v>
      </c>
    </row>
    <row r="11414">
      <c r="A11414" s="4">
        <v>413.0</v>
      </c>
      <c r="B11414" s="4" t="s">
        <v>22110</v>
      </c>
      <c r="C11414" s="4"/>
      <c r="D11414" s="4" t="s">
        <v>21189</v>
      </c>
      <c r="E11414" s="4" t="s">
        <v>21190</v>
      </c>
      <c r="F11414" s="4" t="s">
        <v>21189</v>
      </c>
    </row>
    <row r="11415">
      <c r="A11415" s="4">
        <v>414.0</v>
      </c>
      <c r="B11415" s="4" t="s">
        <v>22110</v>
      </c>
      <c r="C11415" s="4"/>
      <c r="D11415" s="4" t="s">
        <v>10135</v>
      </c>
      <c r="E11415" s="4" t="s">
        <v>15066</v>
      </c>
      <c r="F11415" s="4" t="s">
        <v>10135</v>
      </c>
    </row>
    <row r="11416">
      <c r="A11416" s="4">
        <v>415.0</v>
      </c>
      <c r="B11416" s="4" t="s">
        <v>22110</v>
      </c>
      <c r="C11416" s="4"/>
      <c r="D11416" s="4" t="s">
        <v>21191</v>
      </c>
      <c r="E11416" s="4" t="s">
        <v>21192</v>
      </c>
      <c r="F11416" s="4" t="s">
        <v>21191</v>
      </c>
    </row>
    <row r="11417">
      <c r="A11417" s="4">
        <v>416.0</v>
      </c>
      <c r="B11417" s="4" t="s">
        <v>22110</v>
      </c>
      <c r="C11417" s="4"/>
      <c r="D11417" s="4" t="s">
        <v>2015</v>
      </c>
      <c r="E11417" s="4" t="s">
        <v>2016</v>
      </c>
      <c r="F11417" s="4" t="s">
        <v>2015</v>
      </c>
      <c r="G11417" s="4"/>
      <c r="H11417" s="4" t="s">
        <v>2015</v>
      </c>
      <c r="I11417" s="4" t="s">
        <v>2017</v>
      </c>
    </row>
    <row r="11418">
      <c r="A11418" s="4">
        <v>417.0</v>
      </c>
      <c r="B11418" s="4" t="s">
        <v>22110</v>
      </c>
      <c r="C11418" s="4"/>
      <c r="D11418" s="4" t="s">
        <v>21193</v>
      </c>
      <c r="E11418" s="4" t="s">
        <v>21194</v>
      </c>
      <c r="F11418" s="4" t="s">
        <v>14160</v>
      </c>
    </row>
    <row r="11419">
      <c r="A11419" s="4">
        <v>418.0</v>
      </c>
      <c r="B11419" s="4" t="s">
        <v>22110</v>
      </c>
      <c r="C11419" s="4"/>
      <c r="D11419" s="4" t="s">
        <v>21195</v>
      </c>
      <c r="E11419" s="4" t="s">
        <v>21196</v>
      </c>
      <c r="F11419" s="4" t="s">
        <v>17182</v>
      </c>
    </row>
    <row r="11420">
      <c r="A11420" s="4">
        <v>419.0</v>
      </c>
      <c r="B11420" s="4" t="s">
        <v>22110</v>
      </c>
      <c r="C11420" s="4"/>
      <c r="D11420" s="4" t="s">
        <v>21197</v>
      </c>
      <c r="E11420" s="4" t="s">
        <v>21198</v>
      </c>
      <c r="F11420" s="4" t="s">
        <v>21197</v>
      </c>
    </row>
    <row r="11421">
      <c r="A11421" s="4">
        <v>420.0</v>
      </c>
      <c r="B11421" s="4" t="s">
        <v>22110</v>
      </c>
      <c r="C11421" s="4"/>
      <c r="D11421" s="4" t="s">
        <v>2260</v>
      </c>
      <c r="E11421" s="4" t="s">
        <v>2259</v>
      </c>
      <c r="F11421" s="4" t="s">
        <v>2260</v>
      </c>
    </row>
    <row r="11422">
      <c r="A11422" s="4">
        <v>421.0</v>
      </c>
      <c r="B11422" s="4" t="s">
        <v>22110</v>
      </c>
      <c r="C11422" s="4"/>
      <c r="D11422" s="4" t="s">
        <v>2024</v>
      </c>
      <c r="E11422" s="4" t="s">
        <v>2025</v>
      </c>
      <c r="F11422" s="4" t="s">
        <v>2024</v>
      </c>
    </row>
    <row r="11423">
      <c r="A11423" s="4">
        <v>422.0</v>
      </c>
      <c r="B11423" s="4" t="s">
        <v>22110</v>
      </c>
      <c r="C11423" s="4"/>
      <c r="D11423" s="4" t="s">
        <v>21199</v>
      </c>
      <c r="E11423" s="4" t="s">
        <v>21200</v>
      </c>
      <c r="F11423" s="4" t="s">
        <v>21199</v>
      </c>
    </row>
    <row r="11424">
      <c r="A11424" s="4">
        <v>423.0</v>
      </c>
      <c r="B11424" s="4" t="s">
        <v>22110</v>
      </c>
      <c r="C11424" s="4"/>
      <c r="D11424" s="4" t="s">
        <v>21201</v>
      </c>
      <c r="E11424" s="4" t="s">
        <v>21202</v>
      </c>
      <c r="F11424" s="4" t="s">
        <v>21201</v>
      </c>
    </row>
    <row r="11425">
      <c r="A11425" s="4">
        <v>424.0</v>
      </c>
      <c r="B11425" s="4" t="s">
        <v>22110</v>
      </c>
      <c r="C11425" s="4"/>
      <c r="D11425" s="4" t="s">
        <v>21203</v>
      </c>
      <c r="E11425" s="4" t="s">
        <v>21200</v>
      </c>
      <c r="F11425" s="4" t="s">
        <v>21199</v>
      </c>
    </row>
    <row r="11426">
      <c r="A11426" s="4">
        <v>425.0</v>
      </c>
      <c r="B11426" s="4" t="s">
        <v>22110</v>
      </c>
      <c r="C11426" s="4"/>
      <c r="D11426" s="4" t="s">
        <v>21204</v>
      </c>
      <c r="E11426" s="4" t="s">
        <v>21202</v>
      </c>
      <c r="F11426" s="4" t="s">
        <v>21201</v>
      </c>
    </row>
    <row r="11427">
      <c r="A11427" s="4">
        <v>426.0</v>
      </c>
      <c r="B11427" s="4" t="s">
        <v>22110</v>
      </c>
      <c r="C11427" s="4"/>
      <c r="D11427" s="4" t="s">
        <v>21205</v>
      </c>
      <c r="E11427" s="4" t="s">
        <v>21206</v>
      </c>
      <c r="F11427" s="4" t="s">
        <v>21205</v>
      </c>
    </row>
    <row r="11428">
      <c r="A11428" s="4">
        <v>427.0</v>
      </c>
      <c r="B11428" s="4" t="s">
        <v>22110</v>
      </c>
      <c r="C11428" s="4"/>
      <c r="D11428" s="4" t="s">
        <v>10257</v>
      </c>
      <c r="E11428" s="4" t="s">
        <v>12506</v>
      </c>
      <c r="F11428" s="4" t="s">
        <v>10257</v>
      </c>
    </row>
    <row r="11429">
      <c r="A11429" s="4">
        <v>428.0</v>
      </c>
      <c r="B11429" s="4" t="s">
        <v>22110</v>
      </c>
      <c r="C11429" s="4"/>
      <c r="D11429" s="4" t="s">
        <v>21207</v>
      </c>
      <c r="E11429" s="4" t="s">
        <v>21208</v>
      </c>
      <c r="F11429" s="4" t="s">
        <v>21207</v>
      </c>
    </row>
    <row r="11430">
      <c r="A11430" s="4">
        <v>429.0</v>
      </c>
      <c r="B11430" s="4" t="s">
        <v>22110</v>
      </c>
      <c r="C11430" s="4"/>
      <c r="D11430" s="4" t="s">
        <v>21209</v>
      </c>
      <c r="E11430" s="4" t="s">
        <v>21210</v>
      </c>
      <c r="F11430" s="4" t="s">
        <v>21209</v>
      </c>
    </row>
    <row r="11431">
      <c r="A11431" s="4">
        <v>430.0</v>
      </c>
      <c r="B11431" s="4" t="s">
        <v>22110</v>
      </c>
      <c r="C11431" s="4"/>
      <c r="D11431" s="4" t="s">
        <v>6517</v>
      </c>
      <c r="E11431" s="4" t="s">
        <v>12529</v>
      </c>
      <c r="F11431" s="4" t="s">
        <v>6517</v>
      </c>
    </row>
    <row r="11432">
      <c r="A11432" s="4">
        <v>431.0</v>
      </c>
      <c r="B11432" s="4" t="s">
        <v>22110</v>
      </c>
      <c r="C11432" s="4"/>
      <c r="D11432" s="4" t="s">
        <v>21211</v>
      </c>
      <c r="E11432" s="4" t="s">
        <v>21212</v>
      </c>
      <c r="F11432" s="4" t="s">
        <v>21211</v>
      </c>
      <c r="G11432" s="4"/>
      <c r="H11432" s="4" t="s">
        <v>21213</v>
      </c>
      <c r="I11432" s="4" t="s">
        <v>21214</v>
      </c>
    </row>
    <row r="11433">
      <c r="A11433" s="4">
        <v>432.0</v>
      </c>
      <c r="B11433" s="4" t="s">
        <v>22110</v>
      </c>
      <c r="C11433" s="4"/>
      <c r="D11433" s="4" t="s">
        <v>15927</v>
      </c>
      <c r="E11433" s="4" t="s">
        <v>15928</v>
      </c>
      <c r="F11433" s="4" t="s">
        <v>15927</v>
      </c>
      <c r="G11433" s="4"/>
      <c r="H11433" s="4" t="s">
        <v>1120</v>
      </c>
      <c r="I11433" s="4" t="s">
        <v>5944</v>
      </c>
      <c r="J11433" s="4" t="s">
        <v>5945</v>
      </c>
      <c r="K11433" s="4" t="s">
        <v>4438</v>
      </c>
      <c r="L11433" s="4" t="s">
        <v>19642</v>
      </c>
      <c r="M11433" s="4" t="s">
        <v>9618</v>
      </c>
      <c r="N11433" s="4" t="s">
        <v>12767</v>
      </c>
      <c r="O11433" s="4" t="s">
        <v>12768</v>
      </c>
      <c r="P11433" s="4" t="s">
        <v>12769</v>
      </c>
      <c r="Q11433" s="4" t="s">
        <v>21215</v>
      </c>
    </row>
    <row r="11434">
      <c r="A11434" s="4">
        <v>433.0</v>
      </c>
      <c r="B11434" s="4" t="s">
        <v>22110</v>
      </c>
      <c r="C11434" s="4"/>
      <c r="D11434" s="4" t="s">
        <v>17991</v>
      </c>
      <c r="E11434" s="4" t="s">
        <v>17992</v>
      </c>
      <c r="F11434" s="4" t="s">
        <v>17991</v>
      </c>
    </row>
    <row r="11435">
      <c r="A11435" s="4">
        <v>434.0</v>
      </c>
      <c r="B11435" s="4" t="s">
        <v>22110</v>
      </c>
      <c r="C11435" s="4"/>
      <c r="D11435" s="4" t="s">
        <v>10275</v>
      </c>
      <c r="E11435" s="4" t="s">
        <v>16717</v>
      </c>
      <c r="F11435" s="4" t="s">
        <v>10275</v>
      </c>
    </row>
    <row r="11436">
      <c r="A11436" s="4">
        <v>435.0</v>
      </c>
      <c r="B11436" s="4" t="s">
        <v>22110</v>
      </c>
      <c r="C11436" s="4"/>
      <c r="D11436" s="4" t="s">
        <v>21216</v>
      </c>
      <c r="E11436" s="4" t="s">
        <v>21217</v>
      </c>
      <c r="F11436" s="4" t="s">
        <v>21216</v>
      </c>
    </row>
    <row r="11437">
      <c r="A11437" s="4">
        <v>436.0</v>
      </c>
      <c r="B11437" s="4" t="s">
        <v>22110</v>
      </c>
      <c r="C11437" s="4"/>
      <c r="D11437" s="4" t="s">
        <v>21218</v>
      </c>
      <c r="E11437" s="4" t="s">
        <v>21219</v>
      </c>
      <c r="F11437" s="4" t="s">
        <v>21218</v>
      </c>
    </row>
    <row r="11438">
      <c r="A11438" s="4">
        <v>437.0</v>
      </c>
      <c r="B11438" s="4" t="s">
        <v>22110</v>
      </c>
      <c r="C11438" s="4"/>
      <c r="D11438" s="4" t="s">
        <v>21220</v>
      </c>
      <c r="E11438" s="4" t="s">
        <v>21221</v>
      </c>
      <c r="F11438" s="4" t="s">
        <v>21220</v>
      </c>
    </row>
    <row r="11439">
      <c r="A11439" s="4">
        <v>438.0</v>
      </c>
      <c r="B11439" s="4" t="s">
        <v>22110</v>
      </c>
      <c r="C11439" s="4"/>
      <c r="D11439" s="4" t="s">
        <v>21222</v>
      </c>
      <c r="E11439" s="4" t="s">
        <v>21219</v>
      </c>
      <c r="F11439" s="4" t="s">
        <v>21218</v>
      </c>
    </row>
    <row r="11440">
      <c r="A11440" s="4">
        <v>439.0</v>
      </c>
      <c r="B11440" s="4" t="s">
        <v>22110</v>
      </c>
      <c r="C11440" s="4"/>
      <c r="D11440" s="4" t="s">
        <v>21223</v>
      </c>
      <c r="E11440" s="4" t="s">
        <v>21221</v>
      </c>
      <c r="F11440" s="4" t="s">
        <v>21220</v>
      </c>
    </row>
    <row r="11441">
      <c r="A11441" s="4">
        <v>440.0</v>
      </c>
      <c r="B11441" s="4" t="s">
        <v>22110</v>
      </c>
      <c r="C11441" s="4"/>
      <c r="D11441" s="4" t="s">
        <v>21224</v>
      </c>
      <c r="E11441" s="4" t="s">
        <v>21225</v>
      </c>
      <c r="F11441" s="4" t="s">
        <v>21224</v>
      </c>
    </row>
    <row r="11442">
      <c r="A11442" s="4">
        <v>441.0</v>
      </c>
      <c r="B11442" s="4" t="s">
        <v>22110</v>
      </c>
      <c r="C11442" s="4"/>
      <c r="D11442" s="4" t="s">
        <v>14419</v>
      </c>
      <c r="E11442" s="4" t="s">
        <v>14420</v>
      </c>
      <c r="F11442" s="4" t="s">
        <v>14419</v>
      </c>
      <c r="G11442" s="4"/>
      <c r="H11442" s="4" t="s">
        <v>3493</v>
      </c>
      <c r="I11442" s="4" t="s">
        <v>21226</v>
      </c>
      <c r="J11442" s="4" t="s">
        <v>10124</v>
      </c>
      <c r="K11442" s="4" t="s">
        <v>11518</v>
      </c>
      <c r="L11442" s="4" t="s">
        <v>11516</v>
      </c>
      <c r="M11442" s="4" t="s">
        <v>13433</v>
      </c>
      <c r="N11442" s="4" t="s">
        <v>6407</v>
      </c>
      <c r="O11442" s="4" t="s">
        <v>13433</v>
      </c>
    </row>
    <row r="11443">
      <c r="A11443" s="4">
        <v>442.0</v>
      </c>
      <c r="B11443" s="4" t="s">
        <v>22110</v>
      </c>
      <c r="C11443" s="4"/>
      <c r="D11443" s="4" t="s">
        <v>21227</v>
      </c>
      <c r="E11443" s="4" t="s">
        <v>21228</v>
      </c>
      <c r="F11443" s="4" t="s">
        <v>21227</v>
      </c>
    </row>
    <row r="11444">
      <c r="A11444" s="4">
        <v>443.0</v>
      </c>
      <c r="B11444" s="4" t="s">
        <v>22110</v>
      </c>
      <c r="C11444" s="4"/>
      <c r="D11444" s="4" t="s">
        <v>21229</v>
      </c>
      <c r="E11444" s="4" t="s">
        <v>12531</v>
      </c>
      <c r="F11444" s="4" t="s">
        <v>6589</v>
      </c>
      <c r="G11444" s="4"/>
      <c r="H11444" s="4" t="s">
        <v>2141</v>
      </c>
    </row>
    <row r="11445">
      <c r="A11445" s="4">
        <v>444.0</v>
      </c>
      <c r="B11445" s="4" t="s">
        <v>22110</v>
      </c>
      <c r="C11445" s="4"/>
      <c r="D11445" s="4" t="s">
        <v>21230</v>
      </c>
      <c r="E11445" s="4" t="s">
        <v>21231</v>
      </c>
      <c r="F11445" s="4" t="s">
        <v>21232</v>
      </c>
    </row>
    <row r="11446">
      <c r="A11446" s="4">
        <v>445.0</v>
      </c>
      <c r="B11446" s="4" t="s">
        <v>22110</v>
      </c>
      <c r="C11446" s="4"/>
      <c r="D11446" s="4" t="s">
        <v>21233</v>
      </c>
      <c r="E11446" s="4" t="s">
        <v>18007</v>
      </c>
      <c r="F11446" s="4" t="s">
        <v>10297</v>
      </c>
    </row>
    <row r="11447">
      <c r="A11447" s="4">
        <v>446.0</v>
      </c>
      <c r="B11447" s="4" t="s">
        <v>22110</v>
      </c>
      <c r="C11447" s="4"/>
      <c r="D11447" s="4" t="s">
        <v>21234</v>
      </c>
      <c r="E11447" s="4" t="s">
        <v>21235</v>
      </c>
      <c r="F11447" s="4" t="s">
        <v>19641</v>
      </c>
      <c r="G11447" s="4"/>
      <c r="H11447" s="4" t="s">
        <v>21236</v>
      </c>
      <c r="I11447" s="4" t="s">
        <v>4853</v>
      </c>
    </row>
    <row r="11448">
      <c r="A11448" s="4">
        <v>447.0</v>
      </c>
      <c r="B11448" s="4" t="s">
        <v>22110</v>
      </c>
      <c r="C11448" s="4"/>
      <c r="D11448" s="4" t="s">
        <v>2045</v>
      </c>
      <c r="E11448" s="4" t="s">
        <v>2046</v>
      </c>
      <c r="F11448" s="4" t="s">
        <v>2045</v>
      </c>
    </row>
    <row r="11449">
      <c r="A11449" s="4">
        <v>448.0</v>
      </c>
      <c r="B11449" s="4" t="s">
        <v>22110</v>
      </c>
      <c r="C11449" s="4"/>
      <c r="D11449" s="4" t="s">
        <v>10313</v>
      </c>
      <c r="E11449" s="4" t="s">
        <v>12589</v>
      </c>
      <c r="F11449" s="4" t="s">
        <v>10313</v>
      </c>
    </row>
    <row r="11450">
      <c r="A11450" s="4">
        <v>449.0</v>
      </c>
      <c r="B11450" s="4" t="s">
        <v>22110</v>
      </c>
      <c r="C11450" s="4"/>
      <c r="D11450" s="4" t="s">
        <v>21237</v>
      </c>
      <c r="E11450" s="4" t="s">
        <v>21238</v>
      </c>
      <c r="F11450" s="4" t="s">
        <v>21237</v>
      </c>
    </row>
    <row r="11451">
      <c r="A11451" s="4">
        <v>450.0</v>
      </c>
      <c r="B11451" s="4" t="s">
        <v>22110</v>
      </c>
      <c r="C11451" s="4"/>
      <c r="D11451" s="4" t="s">
        <v>21239</v>
      </c>
      <c r="E11451" s="4" t="s">
        <v>21240</v>
      </c>
      <c r="F11451" s="4" t="s">
        <v>21239</v>
      </c>
    </row>
    <row r="11452">
      <c r="A11452" s="4">
        <v>451.0</v>
      </c>
      <c r="B11452" s="4" t="s">
        <v>22110</v>
      </c>
      <c r="C11452" s="4"/>
      <c r="D11452" s="4" t="s">
        <v>2051</v>
      </c>
      <c r="E11452" s="4" t="s">
        <v>2077</v>
      </c>
      <c r="F11452" s="4" t="s">
        <v>2051</v>
      </c>
      <c r="G11452" s="4"/>
      <c r="H11452" s="4" t="s">
        <v>2055</v>
      </c>
      <c r="I11452" s="4" t="s">
        <v>2056</v>
      </c>
      <c r="J11452" s="4" t="s">
        <v>2057</v>
      </c>
      <c r="K11452" s="4" t="s">
        <v>2058</v>
      </c>
      <c r="L11452" s="4" t="s">
        <v>2059</v>
      </c>
      <c r="M11452" s="4" t="s">
        <v>2060</v>
      </c>
      <c r="N11452" s="4" t="s">
        <v>2061</v>
      </c>
      <c r="O11452" s="4" t="s">
        <v>2058</v>
      </c>
      <c r="P11452" s="4" t="s">
        <v>2062</v>
      </c>
      <c r="Q11452" s="4" t="s">
        <v>2060</v>
      </c>
      <c r="R11452" s="4" t="s">
        <v>2055</v>
      </c>
      <c r="S11452" s="4" t="s">
        <v>2059</v>
      </c>
      <c r="T11452" s="4" t="s">
        <v>2065</v>
      </c>
    </row>
    <row r="11453">
      <c r="A11453" s="4">
        <v>452.0</v>
      </c>
      <c r="B11453" s="4" t="s">
        <v>22110</v>
      </c>
      <c r="C11453" s="4"/>
      <c r="D11453" s="4" t="s">
        <v>21241</v>
      </c>
      <c r="E11453" s="4" t="s">
        <v>21242</v>
      </c>
      <c r="F11453" s="4" t="s">
        <v>21241</v>
      </c>
    </row>
    <row r="11454">
      <c r="A11454" s="4">
        <v>453.0</v>
      </c>
      <c r="B11454" s="4" t="s">
        <v>22110</v>
      </c>
      <c r="C11454" s="4"/>
      <c r="D11454" s="4" t="s">
        <v>21243</v>
      </c>
      <c r="E11454" s="4" t="s">
        <v>21244</v>
      </c>
      <c r="F11454" s="4" t="s">
        <v>21243</v>
      </c>
      <c r="G11454" s="4"/>
      <c r="H11454" s="4" t="s">
        <v>21245</v>
      </c>
    </row>
    <row r="11455">
      <c r="A11455" s="4">
        <v>454.0</v>
      </c>
      <c r="B11455" s="4" t="s">
        <v>22110</v>
      </c>
      <c r="C11455" s="4"/>
      <c r="D11455" s="4" t="s">
        <v>21246</v>
      </c>
      <c r="E11455" s="4" t="s">
        <v>18027</v>
      </c>
      <c r="F11455" s="4" t="s">
        <v>18026</v>
      </c>
    </row>
    <row r="11456">
      <c r="A11456" s="4">
        <v>455.0</v>
      </c>
      <c r="B11456" s="4" t="s">
        <v>22110</v>
      </c>
      <c r="C11456" s="4"/>
      <c r="D11456" s="4" t="s">
        <v>2078</v>
      </c>
      <c r="E11456" s="4" t="s">
        <v>2079</v>
      </c>
      <c r="F11456" s="4" t="s">
        <v>2078</v>
      </c>
      <c r="G11456" s="4"/>
      <c r="H11456" s="4" t="s">
        <v>2080</v>
      </c>
      <c r="I11456" s="4" t="s">
        <v>2078</v>
      </c>
      <c r="J11456" s="4" t="s">
        <v>2082</v>
      </c>
    </row>
    <row r="11457">
      <c r="A11457" s="4">
        <v>456.0</v>
      </c>
      <c r="B11457" s="4" t="s">
        <v>22110</v>
      </c>
      <c r="C11457" s="4"/>
      <c r="D11457" s="4" t="s">
        <v>5308</v>
      </c>
      <c r="E11457" s="4" t="s">
        <v>5307</v>
      </c>
      <c r="F11457" s="4" t="s">
        <v>5308</v>
      </c>
      <c r="G11457" s="4"/>
      <c r="H11457" s="4" t="s">
        <v>21247</v>
      </c>
      <c r="I11457" s="4" t="s">
        <v>21248</v>
      </c>
      <c r="J11457" s="4" t="s">
        <v>21249</v>
      </c>
      <c r="K11457" s="4" t="s">
        <v>21250</v>
      </c>
    </row>
    <row r="11458">
      <c r="A11458" s="4">
        <v>457.0</v>
      </c>
      <c r="B11458" s="4" t="s">
        <v>22110</v>
      </c>
      <c r="C11458" s="4"/>
      <c r="D11458" s="4" t="s">
        <v>21251</v>
      </c>
      <c r="E11458" s="4" t="s">
        <v>21252</v>
      </c>
      <c r="F11458" s="4" t="s">
        <v>21251</v>
      </c>
    </row>
    <row r="11459">
      <c r="A11459" s="4">
        <v>458.0</v>
      </c>
      <c r="B11459" s="4" t="s">
        <v>22110</v>
      </c>
      <c r="C11459" s="4"/>
      <c r="D11459" s="4" t="s">
        <v>21253</v>
      </c>
      <c r="E11459" s="4" t="s">
        <v>21254</v>
      </c>
      <c r="F11459" s="4" t="s">
        <v>21253</v>
      </c>
    </row>
    <row r="11460">
      <c r="A11460" s="4">
        <v>459.0</v>
      </c>
      <c r="B11460" s="4" t="s">
        <v>22110</v>
      </c>
      <c r="C11460" s="4"/>
      <c r="D11460" s="4" t="s">
        <v>6669</v>
      </c>
      <c r="E11460" s="4" t="s">
        <v>12633</v>
      </c>
      <c r="F11460" s="4" t="s">
        <v>6671</v>
      </c>
    </row>
    <row r="11461">
      <c r="A11461" s="4">
        <v>460.0</v>
      </c>
      <c r="B11461" s="4" t="s">
        <v>22110</v>
      </c>
      <c r="C11461" s="4"/>
      <c r="D11461" s="4" t="s">
        <v>16732</v>
      </c>
      <c r="E11461" s="4" t="s">
        <v>16733</v>
      </c>
      <c r="F11461" s="4" t="s">
        <v>10387</v>
      </c>
    </row>
    <row r="11462">
      <c r="A11462" s="4">
        <v>461.0</v>
      </c>
      <c r="B11462" s="4" t="s">
        <v>22110</v>
      </c>
      <c r="C11462" s="4"/>
      <c r="D11462" s="4" t="s">
        <v>21255</v>
      </c>
      <c r="E11462" s="4" t="s">
        <v>21256</v>
      </c>
      <c r="F11462" s="4" t="s">
        <v>21257</v>
      </c>
    </row>
    <row r="11463">
      <c r="A11463" s="4">
        <v>462.0</v>
      </c>
      <c r="B11463" s="4" t="s">
        <v>22110</v>
      </c>
      <c r="C11463" s="4"/>
      <c r="D11463" s="4" t="s">
        <v>21258</v>
      </c>
      <c r="E11463" s="4" t="s">
        <v>21259</v>
      </c>
      <c r="F11463" s="4" t="s">
        <v>21258</v>
      </c>
    </row>
    <row r="11464">
      <c r="A11464" s="4">
        <v>463.0</v>
      </c>
      <c r="B11464" s="4" t="s">
        <v>22110</v>
      </c>
      <c r="C11464" s="4"/>
      <c r="D11464" s="4" t="s">
        <v>2249</v>
      </c>
      <c r="E11464" s="4" t="s">
        <v>2248</v>
      </c>
      <c r="F11464" s="4" t="s">
        <v>2249</v>
      </c>
      <c r="G11464" s="4"/>
      <c r="H11464" s="4" t="s">
        <v>2213</v>
      </c>
      <c r="I11464" s="4" t="s">
        <v>2212</v>
      </c>
      <c r="J11464" s="4" t="s">
        <v>2212</v>
      </c>
      <c r="K11464" s="4" t="s">
        <v>21260</v>
      </c>
      <c r="L11464" s="4" t="s">
        <v>2214</v>
      </c>
      <c r="M11464" s="4" t="s">
        <v>2212</v>
      </c>
      <c r="N11464" s="4" t="s">
        <v>2215</v>
      </c>
      <c r="O11464" s="4" t="s">
        <v>2216</v>
      </c>
    </row>
    <row r="11465">
      <c r="A11465" s="4">
        <v>464.0</v>
      </c>
      <c r="B11465" s="4" t="s">
        <v>22110</v>
      </c>
      <c r="C11465" s="4"/>
      <c r="D11465" s="4" t="s">
        <v>2247</v>
      </c>
      <c r="E11465" s="4" t="s">
        <v>2250</v>
      </c>
      <c r="F11465" s="4" t="s">
        <v>2247</v>
      </c>
    </row>
    <row r="11466">
      <c r="A11466" s="4">
        <v>465.0</v>
      </c>
      <c r="B11466" s="4" t="s">
        <v>22110</v>
      </c>
      <c r="C11466" s="4"/>
      <c r="D11466" s="4" t="s">
        <v>21261</v>
      </c>
      <c r="E11466" s="4" t="s">
        <v>21262</v>
      </c>
      <c r="F11466" s="4" t="s">
        <v>21261</v>
      </c>
    </row>
    <row r="11467">
      <c r="A11467" s="4">
        <v>466.0</v>
      </c>
      <c r="B11467" s="4" t="s">
        <v>22110</v>
      </c>
      <c r="C11467" s="4"/>
      <c r="D11467" s="4" t="s">
        <v>2256</v>
      </c>
      <c r="E11467" s="4" t="s">
        <v>2257</v>
      </c>
      <c r="F11467" s="4" t="s">
        <v>2256</v>
      </c>
      <c r="G11467" s="4"/>
      <c r="H11467" s="4" t="s">
        <v>11296</v>
      </c>
    </row>
    <row r="11468">
      <c r="A11468" s="4">
        <v>467.0</v>
      </c>
      <c r="B11468" s="4" t="s">
        <v>22110</v>
      </c>
      <c r="C11468" s="4"/>
      <c r="D11468" s="4" t="s">
        <v>21263</v>
      </c>
      <c r="E11468" s="4" t="s">
        <v>21264</v>
      </c>
      <c r="F11468" s="4" t="s">
        <v>21263</v>
      </c>
    </row>
    <row r="11469">
      <c r="A11469" s="4">
        <v>468.0</v>
      </c>
      <c r="B11469" s="4" t="s">
        <v>22110</v>
      </c>
      <c r="C11469" s="4"/>
      <c r="D11469" s="4" t="s">
        <v>21265</v>
      </c>
      <c r="E11469" s="4" t="s">
        <v>2259</v>
      </c>
      <c r="F11469" s="4" t="s">
        <v>2260</v>
      </c>
      <c r="G11469" s="4"/>
      <c r="H11469" s="4" t="s">
        <v>2261</v>
      </c>
      <c r="I11469" s="4" t="s">
        <v>2262</v>
      </c>
      <c r="J11469" s="4" t="s">
        <v>2263</v>
      </c>
      <c r="K11469" s="4" t="s">
        <v>2264</v>
      </c>
      <c r="L11469" s="4" t="s">
        <v>2265</v>
      </c>
    </row>
    <row r="11470">
      <c r="A11470" s="4">
        <v>469.0</v>
      </c>
      <c r="B11470" s="4" t="s">
        <v>22110</v>
      </c>
      <c r="C11470" s="4"/>
      <c r="D11470" s="4" t="s">
        <v>21266</v>
      </c>
      <c r="E11470" s="4" t="s">
        <v>21208</v>
      </c>
      <c r="F11470" s="4" t="s">
        <v>21207</v>
      </c>
    </row>
    <row r="11471">
      <c r="A11471" s="4">
        <v>470.0</v>
      </c>
      <c r="B11471" s="4" t="s">
        <v>22110</v>
      </c>
      <c r="C11471" s="4"/>
      <c r="D11471" s="4" t="s">
        <v>2269</v>
      </c>
      <c r="E11471" s="4" t="s">
        <v>2270</v>
      </c>
      <c r="F11471" s="4" t="s">
        <v>2271</v>
      </c>
    </row>
    <row r="11472">
      <c r="A11472" s="4">
        <v>471.0</v>
      </c>
      <c r="B11472" s="4" t="s">
        <v>22110</v>
      </c>
      <c r="C11472" s="4"/>
      <c r="D11472" s="4" t="s">
        <v>2275</v>
      </c>
      <c r="E11472" s="4" t="s">
        <v>2276</v>
      </c>
      <c r="F11472" s="4" t="s">
        <v>2277</v>
      </c>
    </row>
    <row r="11473">
      <c r="A11473" s="4">
        <v>472.0</v>
      </c>
      <c r="B11473" s="4" t="s">
        <v>22110</v>
      </c>
      <c r="C11473" s="4"/>
      <c r="D11473" s="4" t="s">
        <v>21267</v>
      </c>
      <c r="E11473" s="4" t="s">
        <v>21268</v>
      </c>
      <c r="F11473" s="4" t="s">
        <v>21269</v>
      </c>
    </row>
    <row r="11474">
      <c r="A11474" s="4">
        <v>473.0</v>
      </c>
      <c r="B11474" s="4" t="s">
        <v>22110</v>
      </c>
      <c r="C11474" s="4"/>
      <c r="D11474" s="4" t="s">
        <v>21270</v>
      </c>
      <c r="E11474" s="4" t="s">
        <v>21271</v>
      </c>
      <c r="F11474" s="4" t="s">
        <v>21272</v>
      </c>
    </row>
    <row r="11475">
      <c r="A11475" s="4">
        <v>474.0</v>
      </c>
      <c r="B11475" s="4" t="s">
        <v>22110</v>
      </c>
      <c r="C11475" s="4"/>
      <c r="D11475" s="4" t="s">
        <v>21273</v>
      </c>
      <c r="E11475" s="4" t="s">
        <v>14643</v>
      </c>
      <c r="F11475" s="4" t="s">
        <v>2601</v>
      </c>
    </row>
    <row r="11476">
      <c r="A11476" s="4">
        <v>475.0</v>
      </c>
      <c r="B11476" s="4" t="s">
        <v>22110</v>
      </c>
      <c r="C11476" s="4"/>
      <c r="D11476" s="4" t="s">
        <v>2280</v>
      </c>
      <c r="E11476" s="4" t="s">
        <v>2281</v>
      </c>
      <c r="F11476" s="4" t="s">
        <v>2282</v>
      </c>
    </row>
    <row r="11477">
      <c r="A11477" s="4">
        <v>476.0</v>
      </c>
      <c r="B11477" s="4" t="s">
        <v>22110</v>
      </c>
      <c r="C11477" s="4"/>
      <c r="D11477" s="4" t="s">
        <v>21274</v>
      </c>
      <c r="E11477" s="4" t="s">
        <v>21275</v>
      </c>
      <c r="F11477" s="4" t="s">
        <v>21276</v>
      </c>
      <c r="G11477" s="4"/>
      <c r="H11477" s="4" t="s">
        <v>18141</v>
      </c>
      <c r="I11477" s="4" t="s">
        <v>18142</v>
      </c>
    </row>
    <row r="11478">
      <c r="A11478" s="4">
        <v>477.0</v>
      </c>
      <c r="B11478" s="4" t="s">
        <v>22110</v>
      </c>
      <c r="C11478" s="4"/>
      <c r="D11478" s="4" t="s">
        <v>21277</v>
      </c>
      <c r="E11478" s="4" t="s">
        <v>21278</v>
      </c>
      <c r="F11478" s="4" t="s">
        <v>21279</v>
      </c>
    </row>
    <row r="11479">
      <c r="A11479" s="4">
        <v>478.0</v>
      </c>
      <c r="B11479" s="4" t="s">
        <v>22110</v>
      </c>
      <c r="C11479" s="4"/>
      <c r="D11479" s="4" t="s">
        <v>21280</v>
      </c>
      <c r="E11479" s="4" t="s">
        <v>21281</v>
      </c>
      <c r="F11479" s="4" t="s">
        <v>18115</v>
      </c>
    </row>
    <row r="11480">
      <c r="A11480" s="4">
        <v>479.0</v>
      </c>
      <c r="B11480" s="4" t="s">
        <v>22110</v>
      </c>
      <c r="C11480" s="4"/>
      <c r="D11480" s="4" t="s">
        <v>21282</v>
      </c>
      <c r="E11480" s="4" t="s">
        <v>21283</v>
      </c>
      <c r="F11480" s="4" t="s">
        <v>21284</v>
      </c>
    </row>
    <row r="11481">
      <c r="A11481" s="4">
        <v>480.0</v>
      </c>
      <c r="B11481" s="4" t="s">
        <v>22110</v>
      </c>
      <c r="C11481" s="4"/>
      <c r="D11481" s="4" t="s">
        <v>21285</v>
      </c>
      <c r="E11481" s="4" t="s">
        <v>21286</v>
      </c>
      <c r="F11481" s="4" t="s">
        <v>21287</v>
      </c>
    </row>
    <row r="11482">
      <c r="A11482" s="4">
        <v>481.0</v>
      </c>
      <c r="B11482" s="4" t="s">
        <v>22110</v>
      </c>
      <c r="C11482" s="4"/>
      <c r="D11482" s="4" t="s">
        <v>2290</v>
      </c>
      <c r="E11482" s="4" t="s">
        <v>2291</v>
      </c>
      <c r="F11482" s="4" t="s">
        <v>2292</v>
      </c>
    </row>
    <row r="11483">
      <c r="A11483" s="4">
        <v>482.0</v>
      </c>
      <c r="B11483" s="4" t="s">
        <v>22110</v>
      </c>
      <c r="C11483" s="4"/>
      <c r="D11483" s="4" t="s">
        <v>21288</v>
      </c>
      <c r="E11483" s="4" t="s">
        <v>2281</v>
      </c>
      <c r="F11483" s="4" t="s">
        <v>2282</v>
      </c>
    </row>
    <row r="11484">
      <c r="A11484" s="4">
        <v>483.0</v>
      </c>
      <c r="B11484" s="4" t="s">
        <v>22110</v>
      </c>
      <c r="C11484" s="4"/>
      <c r="D11484" s="4" t="s">
        <v>10493</v>
      </c>
      <c r="E11484" s="4" t="s">
        <v>18104</v>
      </c>
      <c r="F11484" s="4" t="s">
        <v>2282</v>
      </c>
      <c r="G11484" s="4"/>
      <c r="H11484" s="4" t="s">
        <v>21289</v>
      </c>
      <c r="I11484" s="4" t="s">
        <v>21290</v>
      </c>
      <c r="J11484" s="4" t="s">
        <v>21291</v>
      </c>
      <c r="K11484" s="4" t="s">
        <v>21292</v>
      </c>
    </row>
    <row r="11485">
      <c r="A11485" s="4">
        <v>484.0</v>
      </c>
      <c r="B11485" s="4" t="s">
        <v>22110</v>
      </c>
      <c r="C11485" s="4"/>
      <c r="D11485" s="4" t="s">
        <v>21293</v>
      </c>
      <c r="E11485" s="4" t="s">
        <v>21294</v>
      </c>
      <c r="F11485" s="4" t="s">
        <v>21295</v>
      </c>
      <c r="G11485" s="4"/>
      <c r="H11485" s="4" t="s">
        <v>3481</v>
      </c>
      <c r="I11485" s="4" t="s">
        <v>775</v>
      </c>
      <c r="J11485" s="4" t="s">
        <v>6774</v>
      </c>
    </row>
    <row r="11486">
      <c r="A11486" s="4">
        <v>485.0</v>
      </c>
      <c r="B11486" s="4" t="s">
        <v>22110</v>
      </c>
      <c r="C11486" s="4"/>
      <c r="D11486" s="4" t="s">
        <v>21296</v>
      </c>
      <c r="E11486" s="4" t="s">
        <v>21297</v>
      </c>
      <c r="F11486" s="4" t="s">
        <v>21284</v>
      </c>
    </row>
    <row r="11487">
      <c r="A11487" s="4">
        <v>486.0</v>
      </c>
      <c r="B11487" s="4" t="s">
        <v>22110</v>
      </c>
      <c r="C11487" s="4"/>
      <c r="D11487" s="4" t="s">
        <v>2322</v>
      </c>
      <c r="E11487" s="4" t="s">
        <v>2323</v>
      </c>
      <c r="F11487" s="4" t="s">
        <v>2322</v>
      </c>
      <c r="G11487" s="4"/>
      <c r="H11487" s="4" t="s">
        <v>21298</v>
      </c>
      <c r="I11487" s="4" t="s">
        <v>21299</v>
      </c>
      <c r="J11487" s="4" t="s">
        <v>2345</v>
      </c>
      <c r="K11487" s="4" t="s">
        <v>6344</v>
      </c>
      <c r="L11487" s="4" t="s">
        <v>6344</v>
      </c>
      <c r="M11487" s="4" t="s">
        <v>12749</v>
      </c>
      <c r="N11487" s="4" t="s">
        <v>6344</v>
      </c>
      <c r="O11487" s="4" t="s">
        <v>12755</v>
      </c>
      <c r="P11487" s="4" t="s">
        <v>2324</v>
      </c>
      <c r="Q11487" s="4" t="s">
        <v>2325</v>
      </c>
      <c r="R11487" s="4" t="s">
        <v>2326</v>
      </c>
      <c r="S11487" s="4" t="s">
        <v>2327</v>
      </c>
      <c r="T11487" s="4" t="s">
        <v>2332</v>
      </c>
      <c r="U11487" s="4" t="s">
        <v>10835</v>
      </c>
      <c r="V11487" s="4" t="s">
        <v>2332</v>
      </c>
      <c r="W11487" s="4" t="s">
        <v>2342</v>
      </c>
      <c r="X11487" s="4" t="s">
        <v>2326</v>
      </c>
    </row>
    <row r="11488">
      <c r="A11488" s="4">
        <v>487.0</v>
      </c>
      <c r="B11488" s="4" t="s">
        <v>22110</v>
      </c>
      <c r="C11488" s="4"/>
      <c r="D11488" s="4" t="s">
        <v>2351</v>
      </c>
      <c r="E11488" s="4" t="s">
        <v>2352</v>
      </c>
      <c r="F11488" s="4" t="s">
        <v>2351</v>
      </c>
    </row>
    <row r="11489">
      <c r="A11489" s="4">
        <v>488.0</v>
      </c>
      <c r="B11489" s="4" t="s">
        <v>22110</v>
      </c>
      <c r="C11489" s="4"/>
      <c r="D11489" s="4" t="s">
        <v>21300</v>
      </c>
      <c r="E11489" s="4" t="s">
        <v>21301</v>
      </c>
      <c r="F11489" s="4" t="s">
        <v>21302</v>
      </c>
    </row>
    <row r="11490">
      <c r="A11490" s="4">
        <v>489.0</v>
      </c>
      <c r="B11490" s="4" t="s">
        <v>22110</v>
      </c>
      <c r="C11490" s="4"/>
      <c r="D11490" s="4" t="s">
        <v>2361</v>
      </c>
      <c r="E11490" s="4" t="s">
        <v>2362</v>
      </c>
      <c r="F11490" s="4" t="s">
        <v>2363</v>
      </c>
    </row>
    <row r="11491">
      <c r="A11491" s="4">
        <v>490.0</v>
      </c>
      <c r="B11491" s="4" t="s">
        <v>22110</v>
      </c>
      <c r="C11491" s="4"/>
      <c r="D11491" s="4" t="s">
        <v>21303</v>
      </c>
      <c r="E11491" s="4" t="s">
        <v>21304</v>
      </c>
      <c r="F11491" s="4" t="s">
        <v>21303</v>
      </c>
    </row>
    <row r="11492">
      <c r="A11492" s="4">
        <v>491.0</v>
      </c>
      <c r="B11492" s="4" t="s">
        <v>22110</v>
      </c>
      <c r="C11492" s="4"/>
      <c r="D11492" s="4" t="s">
        <v>21305</v>
      </c>
      <c r="E11492" s="4" t="s">
        <v>5313</v>
      </c>
      <c r="F11492" s="4" t="s">
        <v>5314</v>
      </c>
    </row>
    <row r="11493">
      <c r="A11493" s="4">
        <v>492.0</v>
      </c>
      <c r="B11493" s="4" t="s">
        <v>22110</v>
      </c>
      <c r="C11493" s="4"/>
      <c r="D11493" s="4" t="s">
        <v>2381</v>
      </c>
      <c r="E11493" s="4" t="s">
        <v>2382</v>
      </c>
      <c r="F11493" s="4" t="s">
        <v>2381</v>
      </c>
      <c r="G11493" s="4"/>
      <c r="H11493" s="4" t="s">
        <v>10770</v>
      </c>
      <c r="I11493" s="4" t="s">
        <v>2383</v>
      </c>
      <c r="J11493" s="4" t="s">
        <v>2384</v>
      </c>
      <c r="K11493" s="4" t="s">
        <v>2278</v>
      </c>
      <c r="L11493" s="4" t="s">
        <v>2381</v>
      </c>
      <c r="M11493" s="4" t="s">
        <v>2384</v>
      </c>
      <c r="N11493" s="4" t="s">
        <v>2385</v>
      </c>
      <c r="O11493" s="4" t="s">
        <v>2386</v>
      </c>
      <c r="P11493" s="4" t="s">
        <v>2387</v>
      </c>
      <c r="Q11493" s="4" t="s">
        <v>2388</v>
      </c>
      <c r="R11493" s="4" t="s">
        <v>2389</v>
      </c>
      <c r="S11493" s="4" t="s">
        <v>2390</v>
      </c>
    </row>
    <row r="11494">
      <c r="A11494" s="4">
        <v>493.0</v>
      </c>
      <c r="B11494" s="4" t="s">
        <v>22110</v>
      </c>
      <c r="C11494" s="4"/>
      <c r="D11494" s="4" t="s">
        <v>2391</v>
      </c>
      <c r="E11494" s="4" t="s">
        <v>2392</v>
      </c>
      <c r="F11494" s="4" t="s">
        <v>2391</v>
      </c>
      <c r="G11494" s="4"/>
      <c r="H11494" s="4" t="s">
        <v>21306</v>
      </c>
    </row>
    <row r="11495">
      <c r="A11495" s="4">
        <v>494.0</v>
      </c>
      <c r="B11495" s="4" t="s">
        <v>22110</v>
      </c>
      <c r="C11495" s="4"/>
      <c r="D11495" s="4" t="s">
        <v>21307</v>
      </c>
      <c r="E11495" s="4" t="s">
        <v>21308</v>
      </c>
      <c r="F11495" s="4" t="s">
        <v>21307</v>
      </c>
    </row>
    <row r="11496">
      <c r="A11496" s="4">
        <v>495.0</v>
      </c>
      <c r="B11496" s="4" t="s">
        <v>22110</v>
      </c>
      <c r="C11496" s="4"/>
      <c r="D11496" s="4" t="s">
        <v>12789</v>
      </c>
      <c r="E11496" s="4" t="s">
        <v>12788</v>
      </c>
      <c r="F11496" s="4" t="s">
        <v>12789</v>
      </c>
    </row>
    <row r="11497">
      <c r="A11497" s="4">
        <v>496.0</v>
      </c>
      <c r="B11497" s="4" t="s">
        <v>22110</v>
      </c>
      <c r="C11497" s="4"/>
      <c r="D11497" s="4" t="s">
        <v>21309</v>
      </c>
      <c r="E11497" s="4" t="s">
        <v>21310</v>
      </c>
      <c r="F11497" s="4" t="s">
        <v>21309</v>
      </c>
    </row>
    <row r="11498">
      <c r="A11498" s="4">
        <v>497.0</v>
      </c>
      <c r="B11498" s="4" t="s">
        <v>22110</v>
      </c>
      <c r="C11498" s="4"/>
      <c r="D11498" s="4" t="s">
        <v>21311</v>
      </c>
      <c r="E11498" s="4" t="s">
        <v>21312</v>
      </c>
      <c r="F11498" s="4" t="s">
        <v>21311</v>
      </c>
    </row>
    <row r="11499">
      <c r="A11499" s="4">
        <v>498.0</v>
      </c>
      <c r="B11499" s="4" t="s">
        <v>22110</v>
      </c>
      <c r="C11499" s="4"/>
      <c r="D11499" s="4" t="s">
        <v>14465</v>
      </c>
      <c r="E11499" s="4" t="s">
        <v>2382</v>
      </c>
      <c r="F11499" s="4" t="s">
        <v>2381</v>
      </c>
      <c r="G11499" s="4"/>
      <c r="H11499" s="4" t="s">
        <v>2278</v>
      </c>
      <c r="I11499" s="4" t="s">
        <v>2381</v>
      </c>
      <c r="J11499" s="4" t="s">
        <v>2384</v>
      </c>
      <c r="K11499" s="4" t="s">
        <v>2385</v>
      </c>
      <c r="L11499" s="4" t="s">
        <v>2386</v>
      </c>
      <c r="M11499" s="4" t="s">
        <v>2387</v>
      </c>
      <c r="N11499" s="4" t="s">
        <v>2388</v>
      </c>
      <c r="O11499" s="4" t="s">
        <v>2389</v>
      </c>
      <c r="P11499" s="4" t="s">
        <v>2390</v>
      </c>
    </row>
    <row r="11500">
      <c r="A11500" s="4">
        <v>499.0</v>
      </c>
      <c r="B11500" s="4" t="s">
        <v>22110</v>
      </c>
      <c r="C11500" s="4"/>
      <c r="D11500" s="4" t="s">
        <v>1856</v>
      </c>
      <c r="E11500" s="4" t="s">
        <v>4841</v>
      </c>
      <c r="F11500" s="4" t="s">
        <v>1856</v>
      </c>
      <c r="G11500" s="4"/>
      <c r="H11500" s="4" t="s">
        <v>6747</v>
      </c>
      <c r="I11500" s="4" t="s">
        <v>6748</v>
      </c>
    </row>
    <row r="11501">
      <c r="A11501" s="4">
        <v>500.0</v>
      </c>
      <c r="B11501" s="4" t="s">
        <v>22110</v>
      </c>
      <c r="C11501" s="4"/>
      <c r="D11501" s="4" t="s">
        <v>2401</v>
      </c>
      <c r="E11501" s="4" t="s">
        <v>2402</v>
      </c>
      <c r="F11501" s="4" t="s">
        <v>2401</v>
      </c>
    </row>
    <row r="11502">
      <c r="A11502" s="4">
        <v>501.0</v>
      </c>
      <c r="B11502" s="4" t="s">
        <v>22110</v>
      </c>
      <c r="C11502" s="4"/>
      <c r="D11502" s="4" t="s">
        <v>2403</v>
      </c>
      <c r="E11502" s="4" t="s">
        <v>2404</v>
      </c>
      <c r="F11502" s="4" t="s">
        <v>2403</v>
      </c>
      <c r="G11502" s="4"/>
      <c r="H11502" s="4" t="s">
        <v>11392</v>
      </c>
      <c r="I11502" s="4" t="s">
        <v>8375</v>
      </c>
    </row>
    <row r="11503">
      <c r="A11503" s="4">
        <v>502.0</v>
      </c>
      <c r="B11503" s="4" t="s">
        <v>22110</v>
      </c>
      <c r="C11503" s="4"/>
      <c r="D11503" s="4" t="s">
        <v>21313</v>
      </c>
      <c r="E11503" s="4" t="s">
        <v>21314</v>
      </c>
      <c r="F11503" s="4" t="s">
        <v>21315</v>
      </c>
    </row>
    <row r="11504">
      <c r="A11504" s="4">
        <v>503.0</v>
      </c>
      <c r="B11504" s="4" t="s">
        <v>22110</v>
      </c>
      <c r="C11504" s="4"/>
      <c r="D11504" s="4" t="s">
        <v>2414</v>
      </c>
      <c r="E11504" s="4" t="s">
        <v>2415</v>
      </c>
      <c r="F11504" s="4" t="s">
        <v>2414</v>
      </c>
    </row>
    <row r="11505">
      <c r="A11505" s="4">
        <v>504.0</v>
      </c>
      <c r="B11505" s="4" t="s">
        <v>22110</v>
      </c>
      <c r="C11505" s="4"/>
      <c r="D11505" s="4" t="s">
        <v>12811</v>
      </c>
      <c r="E11505" s="4" t="s">
        <v>20248</v>
      </c>
      <c r="F11505" s="4" t="s">
        <v>12811</v>
      </c>
    </row>
    <row r="11506">
      <c r="A11506" s="4">
        <v>505.0</v>
      </c>
      <c r="B11506" s="4" t="s">
        <v>22110</v>
      </c>
      <c r="C11506" s="4"/>
      <c r="D11506" s="4" t="s">
        <v>2420</v>
      </c>
      <c r="E11506" s="4" t="s">
        <v>2421</v>
      </c>
      <c r="F11506" s="4" t="s">
        <v>2420</v>
      </c>
    </row>
    <row r="11507">
      <c r="A11507" s="4">
        <v>506.0</v>
      </c>
      <c r="B11507" s="4" t="s">
        <v>22110</v>
      </c>
      <c r="C11507" s="4"/>
      <c r="D11507" s="4" t="s">
        <v>2422</v>
      </c>
      <c r="E11507" s="4" t="s">
        <v>2423</v>
      </c>
      <c r="F11507" s="4" t="s">
        <v>2422</v>
      </c>
      <c r="G11507" s="4"/>
      <c r="H11507" s="4" t="s">
        <v>2424</v>
      </c>
      <c r="I11507" s="4" t="s">
        <v>2425</v>
      </c>
      <c r="J11507" s="4" t="s">
        <v>2426</v>
      </c>
      <c r="K11507" s="4" t="s">
        <v>2427</v>
      </c>
      <c r="L11507" s="4" t="s">
        <v>2424</v>
      </c>
      <c r="M11507" s="4" t="s">
        <v>21316</v>
      </c>
      <c r="N11507" s="4" t="s">
        <v>2072</v>
      </c>
      <c r="O11507" s="4" t="s">
        <v>9359</v>
      </c>
      <c r="P11507" s="4" t="s">
        <v>2424</v>
      </c>
      <c r="Q11507" s="4" t="s">
        <v>6084</v>
      </c>
      <c r="R11507" s="4" t="s">
        <v>21317</v>
      </c>
      <c r="S11507" s="4" t="s">
        <v>2427</v>
      </c>
      <c r="T11507" s="4" t="s">
        <v>2424</v>
      </c>
      <c r="U11507" s="4" t="s">
        <v>2428</v>
      </c>
      <c r="V11507" s="4" t="s">
        <v>2429</v>
      </c>
      <c r="W11507" s="4" t="s">
        <v>6081</v>
      </c>
      <c r="X11507" s="4" t="s">
        <v>2424</v>
      </c>
      <c r="Y11507" s="4" t="s">
        <v>6082</v>
      </c>
      <c r="Z11507" s="4" t="s">
        <v>6083</v>
      </c>
      <c r="AA11507" s="4" t="s">
        <v>6072</v>
      </c>
      <c r="AB11507" s="4" t="s">
        <v>6084</v>
      </c>
      <c r="AC11507" s="4" t="s">
        <v>6085</v>
      </c>
    </row>
    <row r="11508">
      <c r="A11508" s="4">
        <v>507.0</v>
      </c>
      <c r="B11508" s="4" t="s">
        <v>22110</v>
      </c>
      <c r="C11508" s="4"/>
      <c r="D11508" s="4" t="s">
        <v>21318</v>
      </c>
      <c r="E11508" s="4" t="s">
        <v>21319</v>
      </c>
      <c r="F11508" s="4" t="s">
        <v>21318</v>
      </c>
    </row>
    <row r="11509">
      <c r="A11509" s="4">
        <v>508.0</v>
      </c>
      <c r="B11509" s="4" t="s">
        <v>22110</v>
      </c>
      <c r="C11509" s="4"/>
      <c r="D11509" s="4" t="s">
        <v>21320</v>
      </c>
      <c r="E11509" s="4" t="s">
        <v>21321</v>
      </c>
      <c r="F11509" s="4" t="s">
        <v>21320</v>
      </c>
    </row>
    <row r="11510">
      <c r="A11510" s="4">
        <v>509.0</v>
      </c>
      <c r="B11510" s="4" t="s">
        <v>22110</v>
      </c>
      <c r="C11510" s="4"/>
      <c r="D11510" s="4" t="s">
        <v>21322</v>
      </c>
      <c r="E11510" s="4" t="s">
        <v>21319</v>
      </c>
      <c r="F11510" s="4" t="s">
        <v>21318</v>
      </c>
    </row>
    <row r="11511">
      <c r="A11511" s="4">
        <v>510.0</v>
      </c>
      <c r="B11511" s="4" t="s">
        <v>22110</v>
      </c>
      <c r="C11511" s="4"/>
      <c r="D11511" s="4" t="s">
        <v>21323</v>
      </c>
      <c r="E11511" s="4" t="s">
        <v>21321</v>
      </c>
      <c r="F11511" s="4" t="s">
        <v>21320</v>
      </c>
    </row>
    <row r="11512">
      <c r="A11512" s="4">
        <v>511.0</v>
      </c>
      <c r="B11512" s="4" t="s">
        <v>22110</v>
      </c>
      <c r="C11512" s="4"/>
      <c r="D11512" s="4" t="s">
        <v>21324</v>
      </c>
      <c r="E11512" s="4" t="s">
        <v>21325</v>
      </c>
      <c r="F11512" s="4" t="s">
        <v>21324</v>
      </c>
    </row>
    <row r="11513">
      <c r="A11513" s="4">
        <v>512.0</v>
      </c>
      <c r="B11513" s="4" t="s">
        <v>22110</v>
      </c>
      <c r="C11513" s="4"/>
      <c r="D11513" s="4" t="s">
        <v>2430</v>
      </c>
      <c r="E11513" s="4" t="s">
        <v>2431</v>
      </c>
      <c r="F11513" s="4" t="s">
        <v>2432</v>
      </c>
    </row>
    <row r="11514">
      <c r="A11514" s="4">
        <v>513.0</v>
      </c>
      <c r="B11514" s="4" t="s">
        <v>22110</v>
      </c>
      <c r="C11514" s="4"/>
      <c r="D11514" s="4" t="s">
        <v>21326</v>
      </c>
      <c r="E11514" s="4" t="s">
        <v>21327</v>
      </c>
      <c r="F11514" s="4" t="s">
        <v>21326</v>
      </c>
    </row>
    <row r="11515">
      <c r="A11515" s="4">
        <v>514.0</v>
      </c>
      <c r="B11515" s="4" t="s">
        <v>22110</v>
      </c>
      <c r="C11515" s="4"/>
      <c r="D11515" s="4" t="s">
        <v>21328</v>
      </c>
      <c r="E11515" s="4" t="s">
        <v>2402</v>
      </c>
      <c r="F11515" s="4" t="s">
        <v>2401</v>
      </c>
      <c r="G11515" s="4"/>
      <c r="H11515" s="4" t="s">
        <v>12820</v>
      </c>
      <c r="I11515" s="4" t="s">
        <v>12821</v>
      </c>
      <c r="J11515" s="4" t="s">
        <v>11310</v>
      </c>
    </row>
    <row r="11516">
      <c r="A11516" s="4">
        <v>515.0</v>
      </c>
      <c r="B11516" s="4" t="s">
        <v>22110</v>
      </c>
      <c r="C11516" s="4"/>
      <c r="D11516" s="4" t="s">
        <v>21329</v>
      </c>
      <c r="E11516" s="4" t="s">
        <v>2415</v>
      </c>
      <c r="F11516" s="4" t="s">
        <v>2414</v>
      </c>
    </row>
    <row r="11517">
      <c r="A11517" s="4">
        <v>516.0</v>
      </c>
      <c r="B11517" s="4" t="s">
        <v>22110</v>
      </c>
      <c r="C11517" s="4"/>
      <c r="D11517" s="4" t="s">
        <v>2458</v>
      </c>
      <c r="E11517" s="4" t="s">
        <v>2459</v>
      </c>
      <c r="F11517" s="4" t="s">
        <v>2458</v>
      </c>
      <c r="G11517" s="4"/>
      <c r="H11517" s="4" t="s">
        <v>2460</v>
      </c>
    </row>
    <row r="11518">
      <c r="A11518" s="4">
        <v>517.0</v>
      </c>
      <c r="B11518" s="4" t="s">
        <v>22110</v>
      </c>
      <c r="C11518" s="4"/>
      <c r="D11518" s="4" t="s">
        <v>21330</v>
      </c>
      <c r="E11518" s="4" t="s">
        <v>21331</v>
      </c>
      <c r="F11518" s="4" t="s">
        <v>10642</v>
      </c>
    </row>
    <row r="11519">
      <c r="A11519" s="4">
        <v>518.0</v>
      </c>
      <c r="B11519" s="4" t="s">
        <v>22110</v>
      </c>
      <c r="C11519" s="4"/>
      <c r="D11519" s="4" t="s">
        <v>21332</v>
      </c>
      <c r="E11519" s="4" t="s">
        <v>21333</v>
      </c>
      <c r="F11519" s="4" t="s">
        <v>21334</v>
      </c>
    </row>
    <row r="11520">
      <c r="A11520" s="4">
        <v>519.0</v>
      </c>
      <c r="B11520" s="4" t="s">
        <v>22110</v>
      </c>
      <c r="C11520" s="4"/>
      <c r="D11520" s="4" t="s">
        <v>21335</v>
      </c>
      <c r="E11520" s="4" t="s">
        <v>21336</v>
      </c>
      <c r="F11520" s="4" t="s">
        <v>21337</v>
      </c>
    </row>
    <row r="11521">
      <c r="A11521" s="4">
        <v>520.0</v>
      </c>
      <c r="B11521" s="4" t="s">
        <v>22110</v>
      </c>
      <c r="C11521" s="4"/>
      <c r="D11521" s="4" t="s">
        <v>21338</v>
      </c>
      <c r="E11521" s="4" t="s">
        <v>21339</v>
      </c>
      <c r="F11521" s="4" t="s">
        <v>21340</v>
      </c>
      <c r="G11521" s="4"/>
      <c r="H11521" s="4" t="s">
        <v>21341</v>
      </c>
      <c r="I11521" s="4" t="s">
        <v>21342</v>
      </c>
    </row>
    <row r="11522">
      <c r="A11522" s="4">
        <v>521.0</v>
      </c>
      <c r="B11522" s="4" t="s">
        <v>22110</v>
      </c>
      <c r="C11522" s="4"/>
      <c r="D11522" s="4" t="s">
        <v>21343</v>
      </c>
      <c r="E11522" s="4" t="s">
        <v>21344</v>
      </c>
      <c r="F11522" s="4" t="s">
        <v>21345</v>
      </c>
    </row>
    <row r="11523">
      <c r="A11523" s="4">
        <v>522.0</v>
      </c>
      <c r="B11523" s="4" t="s">
        <v>22110</v>
      </c>
      <c r="C11523" s="4"/>
      <c r="D11523" s="4" t="s">
        <v>2293</v>
      </c>
      <c r="E11523" s="4" t="s">
        <v>2473</v>
      </c>
      <c r="F11523" s="4" t="s">
        <v>2293</v>
      </c>
      <c r="G11523" s="4"/>
      <c r="H11523" s="4" t="s">
        <v>2474</v>
      </c>
      <c r="I11523" s="4" t="s">
        <v>2475</v>
      </c>
      <c r="J11523" s="4" t="s">
        <v>2474</v>
      </c>
    </row>
    <row r="11524">
      <c r="A11524" s="4">
        <v>523.0</v>
      </c>
      <c r="B11524" s="4" t="s">
        <v>22110</v>
      </c>
      <c r="C11524" s="4"/>
      <c r="D11524" s="4" t="s">
        <v>21346</v>
      </c>
      <c r="E11524" s="4" t="s">
        <v>21347</v>
      </c>
      <c r="F11524" s="4" t="s">
        <v>21346</v>
      </c>
      <c r="G11524" s="4"/>
      <c r="H11524" s="4" t="s">
        <v>21348</v>
      </c>
      <c r="I11524" s="4" t="s">
        <v>15342</v>
      </c>
      <c r="J11524" s="4" t="s">
        <v>21349</v>
      </c>
    </row>
    <row r="11525">
      <c r="A11525" s="4">
        <v>524.0</v>
      </c>
      <c r="B11525" s="4" t="s">
        <v>22110</v>
      </c>
      <c r="C11525" s="4"/>
      <c r="D11525" s="4" t="s">
        <v>21350</v>
      </c>
      <c r="E11525" s="4" t="s">
        <v>21351</v>
      </c>
      <c r="F11525" s="4" t="s">
        <v>21350</v>
      </c>
    </row>
    <row r="11526">
      <c r="A11526" s="4">
        <v>525.0</v>
      </c>
      <c r="B11526" s="4" t="s">
        <v>22110</v>
      </c>
      <c r="C11526" s="4"/>
      <c r="D11526" s="4" t="s">
        <v>2499</v>
      </c>
      <c r="E11526" s="4" t="s">
        <v>2498</v>
      </c>
      <c r="F11526" s="4" t="s">
        <v>2499</v>
      </c>
    </row>
    <row r="11527">
      <c r="A11527" s="4">
        <v>526.0</v>
      </c>
      <c r="B11527" s="4" t="s">
        <v>22110</v>
      </c>
      <c r="C11527" s="4"/>
      <c r="D11527" s="4" t="s">
        <v>2479</v>
      </c>
      <c r="E11527" s="4" t="s">
        <v>2480</v>
      </c>
      <c r="F11527" s="4" t="s">
        <v>2481</v>
      </c>
    </row>
    <row r="11528">
      <c r="A11528" s="4">
        <v>527.0</v>
      </c>
      <c r="B11528" s="4" t="s">
        <v>22110</v>
      </c>
      <c r="C11528" s="4"/>
      <c r="D11528" s="4" t="s">
        <v>21352</v>
      </c>
      <c r="E11528" s="4" t="s">
        <v>21353</v>
      </c>
      <c r="F11528" s="4" t="s">
        <v>21354</v>
      </c>
    </row>
    <row r="11529">
      <c r="A11529" s="4">
        <v>528.0</v>
      </c>
      <c r="B11529" s="4" t="s">
        <v>22110</v>
      </c>
      <c r="C11529" s="4"/>
      <c r="D11529" s="4" t="s">
        <v>2493</v>
      </c>
      <c r="E11529" s="4" t="s">
        <v>2494</v>
      </c>
      <c r="F11529" s="4" t="s">
        <v>2493</v>
      </c>
    </row>
    <row r="11530">
      <c r="A11530" s="4">
        <v>529.0</v>
      </c>
      <c r="B11530" s="4" t="s">
        <v>22110</v>
      </c>
      <c r="C11530" s="4"/>
      <c r="D11530" s="4" t="s">
        <v>21355</v>
      </c>
      <c r="E11530" s="4" t="s">
        <v>21356</v>
      </c>
      <c r="F11530" s="4" t="s">
        <v>21355</v>
      </c>
    </row>
    <row r="11531">
      <c r="A11531" s="4">
        <v>530.0</v>
      </c>
      <c r="B11531" s="4" t="s">
        <v>22110</v>
      </c>
      <c r="C11531" s="4"/>
      <c r="D11531" s="4" t="s">
        <v>21357</v>
      </c>
      <c r="E11531" s="4" t="s">
        <v>21358</v>
      </c>
      <c r="F11531" s="4" t="s">
        <v>21359</v>
      </c>
    </row>
    <row r="11532">
      <c r="A11532" s="4">
        <v>531.0</v>
      </c>
      <c r="B11532" s="4" t="s">
        <v>22110</v>
      </c>
      <c r="C11532" s="4"/>
      <c r="D11532" s="4" t="s">
        <v>21360</v>
      </c>
      <c r="E11532" s="4" t="s">
        <v>21361</v>
      </c>
      <c r="F11532" s="4" t="s">
        <v>21362</v>
      </c>
    </row>
    <row r="11533">
      <c r="A11533" s="4">
        <v>532.0</v>
      </c>
      <c r="B11533" s="4" t="s">
        <v>22110</v>
      </c>
      <c r="C11533" s="4"/>
      <c r="D11533" s="4" t="s">
        <v>339</v>
      </c>
      <c r="E11533" s="4" t="s">
        <v>338</v>
      </c>
      <c r="F11533" s="4" t="s">
        <v>339</v>
      </c>
    </row>
    <row r="11534">
      <c r="A11534" s="4">
        <v>533.0</v>
      </c>
      <c r="B11534" s="4" t="s">
        <v>22110</v>
      </c>
      <c r="C11534" s="4"/>
      <c r="D11534" s="4" t="s">
        <v>2525</v>
      </c>
      <c r="E11534" s="4" t="s">
        <v>2524</v>
      </c>
      <c r="F11534" s="4" t="s">
        <v>2525</v>
      </c>
      <c r="G11534" s="4"/>
      <c r="H11534" s="4" t="s">
        <v>1743</v>
      </c>
      <c r="I11534" s="4" t="s">
        <v>2526</v>
      </c>
      <c r="J11534" s="4" t="s">
        <v>1743</v>
      </c>
      <c r="K11534" s="4" t="s">
        <v>2527</v>
      </c>
      <c r="L11534" s="4" t="s">
        <v>2528</v>
      </c>
      <c r="M11534" s="4" t="s">
        <v>2529</v>
      </c>
      <c r="N11534" s="4" t="s">
        <v>2530</v>
      </c>
      <c r="O11534" s="4" t="s">
        <v>2531</v>
      </c>
      <c r="P11534" s="4" t="s">
        <v>2532</v>
      </c>
      <c r="Q11534" s="4" t="s">
        <v>2533</v>
      </c>
      <c r="R11534" s="4" t="s">
        <v>1743</v>
      </c>
      <c r="S11534" s="4" t="s">
        <v>2534</v>
      </c>
      <c r="T11534" s="4" t="s">
        <v>2535</v>
      </c>
      <c r="U11534" s="4" t="s">
        <v>2536</v>
      </c>
      <c r="V11534" s="4" t="s">
        <v>781</v>
      </c>
      <c r="W11534" s="4" t="s">
        <v>2539</v>
      </c>
      <c r="X11534" s="4" t="s">
        <v>783</v>
      </c>
      <c r="Y11534" s="4" t="s">
        <v>1743</v>
      </c>
      <c r="Z11534" s="4" t="s">
        <v>2540</v>
      </c>
      <c r="AA11534" s="4" t="s">
        <v>2541</v>
      </c>
      <c r="AB11534" s="4" t="s">
        <v>2532</v>
      </c>
      <c r="AC11534" s="4" t="s">
        <v>2542</v>
      </c>
      <c r="AD11534" s="4" t="s">
        <v>2543</v>
      </c>
    </row>
    <row r="11535">
      <c r="A11535" s="4">
        <v>534.0</v>
      </c>
      <c r="B11535" s="4" t="s">
        <v>22110</v>
      </c>
      <c r="C11535" s="4"/>
      <c r="D11535" s="4" t="s">
        <v>21363</v>
      </c>
      <c r="E11535" s="4" t="s">
        <v>21364</v>
      </c>
      <c r="F11535" s="4" t="s">
        <v>21363</v>
      </c>
    </row>
    <row r="11536">
      <c r="A11536" s="4">
        <v>535.0</v>
      </c>
      <c r="B11536" s="4" t="s">
        <v>22110</v>
      </c>
      <c r="C11536" s="4"/>
      <c r="D11536" s="4" t="s">
        <v>21365</v>
      </c>
      <c r="E11536" s="4" t="s">
        <v>21366</v>
      </c>
      <c r="F11536" s="4" t="s">
        <v>21367</v>
      </c>
      <c r="G11536" s="4"/>
      <c r="H11536" s="4" t="s">
        <v>13030</v>
      </c>
    </row>
    <row r="11537">
      <c r="A11537" s="4">
        <v>536.0</v>
      </c>
      <c r="B11537" s="4" t="s">
        <v>22110</v>
      </c>
      <c r="C11537" s="4"/>
      <c r="D11537" s="4" t="s">
        <v>21368</v>
      </c>
      <c r="E11537" s="4" t="s">
        <v>21369</v>
      </c>
      <c r="F11537" s="4" t="s">
        <v>21368</v>
      </c>
    </row>
    <row r="11538">
      <c r="A11538" s="4">
        <v>537.0</v>
      </c>
      <c r="B11538" s="4" t="s">
        <v>22110</v>
      </c>
      <c r="C11538" s="4"/>
      <c r="D11538" s="4" t="s">
        <v>2566</v>
      </c>
      <c r="E11538" s="4" t="s">
        <v>2567</v>
      </c>
      <c r="F11538" s="4" t="s">
        <v>2566</v>
      </c>
      <c r="G11538" s="4"/>
      <c r="H11538" s="4" t="s">
        <v>2569</v>
      </c>
      <c r="I11538" s="4" t="s">
        <v>2570</v>
      </c>
      <c r="J11538" s="4" t="s">
        <v>2570</v>
      </c>
      <c r="K11538" s="4" t="s">
        <v>2570</v>
      </c>
      <c r="L11538" s="4" t="s">
        <v>2570</v>
      </c>
      <c r="M11538" s="4" t="s">
        <v>15148</v>
      </c>
      <c r="N11538" s="4" t="s">
        <v>14028</v>
      </c>
      <c r="O11538" s="4" t="s">
        <v>2570</v>
      </c>
    </row>
    <row r="11539">
      <c r="A11539" s="4">
        <v>538.0</v>
      </c>
      <c r="B11539" s="4" t="s">
        <v>22110</v>
      </c>
      <c r="C11539" s="4"/>
      <c r="D11539" s="4" t="s">
        <v>10680</v>
      </c>
      <c r="E11539" s="4" t="s">
        <v>21370</v>
      </c>
      <c r="F11539" s="4" t="s">
        <v>10680</v>
      </c>
    </row>
    <row r="11540">
      <c r="A11540" s="4">
        <v>539.0</v>
      </c>
      <c r="B11540" s="4" t="s">
        <v>22110</v>
      </c>
      <c r="C11540" s="4"/>
      <c r="D11540" s="4" t="s">
        <v>20249</v>
      </c>
      <c r="E11540" s="4" t="s">
        <v>20250</v>
      </c>
      <c r="F11540" s="4" t="s">
        <v>20249</v>
      </c>
    </row>
    <row r="11541">
      <c r="A11541" s="4">
        <v>540.0</v>
      </c>
      <c r="B11541" s="4" t="s">
        <v>22110</v>
      </c>
      <c r="C11541" s="4"/>
      <c r="D11541" s="4" t="s">
        <v>21371</v>
      </c>
      <c r="E11541" s="4" t="s">
        <v>21372</v>
      </c>
      <c r="F11541" s="4" t="s">
        <v>21371</v>
      </c>
    </row>
    <row r="11542">
      <c r="A11542" s="4">
        <v>541.0</v>
      </c>
      <c r="B11542" s="4" t="s">
        <v>22110</v>
      </c>
      <c r="C11542" s="4"/>
      <c r="D11542" s="4" t="s">
        <v>2445</v>
      </c>
      <c r="E11542" s="4" t="s">
        <v>2444</v>
      </c>
      <c r="F11542" s="4" t="s">
        <v>2445</v>
      </c>
    </row>
    <row r="11543">
      <c r="A11543" s="4">
        <v>542.0</v>
      </c>
      <c r="B11543" s="4" t="s">
        <v>22110</v>
      </c>
      <c r="C11543" s="4"/>
      <c r="D11543" s="4" t="s">
        <v>21373</v>
      </c>
      <c r="E11543" s="4" t="s">
        <v>21374</v>
      </c>
      <c r="F11543" s="4" t="s">
        <v>21373</v>
      </c>
      <c r="G11543" s="4"/>
      <c r="H11543" s="4" t="s">
        <v>21375</v>
      </c>
      <c r="I11543" s="4" t="s">
        <v>2576</v>
      </c>
      <c r="J11543" s="4" t="s">
        <v>2577</v>
      </c>
      <c r="K11543" s="4" t="s">
        <v>2578</v>
      </c>
      <c r="L11543" s="4" t="s">
        <v>2579</v>
      </c>
      <c r="M11543" s="4" t="s">
        <v>21375</v>
      </c>
    </row>
    <row r="11544">
      <c r="A11544" s="4">
        <v>543.0</v>
      </c>
      <c r="B11544" s="4" t="s">
        <v>22110</v>
      </c>
      <c r="C11544" s="4"/>
      <c r="D11544" s="4" t="s">
        <v>21376</v>
      </c>
      <c r="E11544" s="4" t="s">
        <v>21377</v>
      </c>
      <c r="F11544" s="4" t="s">
        <v>21376</v>
      </c>
    </row>
    <row r="11545">
      <c r="A11545" s="4">
        <v>544.0</v>
      </c>
      <c r="B11545" s="4" t="s">
        <v>22110</v>
      </c>
      <c r="C11545" s="4"/>
      <c r="D11545" s="4" t="s">
        <v>16785</v>
      </c>
      <c r="E11545" s="4" t="s">
        <v>16786</v>
      </c>
      <c r="F11545" s="4" t="s">
        <v>16787</v>
      </c>
    </row>
    <row r="11546">
      <c r="A11546" s="4">
        <v>545.0</v>
      </c>
      <c r="B11546" s="4" t="s">
        <v>22110</v>
      </c>
      <c r="C11546" s="4"/>
      <c r="D11546" s="4" t="s">
        <v>342</v>
      </c>
      <c r="E11546" s="4" t="s">
        <v>341</v>
      </c>
      <c r="F11546" s="4" t="s">
        <v>342</v>
      </c>
    </row>
    <row r="11547">
      <c r="A11547" s="4">
        <v>546.0</v>
      </c>
      <c r="B11547" s="4" t="s">
        <v>22110</v>
      </c>
      <c r="C11547" s="4"/>
      <c r="D11547" s="4" t="s">
        <v>12868</v>
      </c>
      <c r="E11547" s="4" t="s">
        <v>12869</v>
      </c>
      <c r="F11547" s="4" t="s">
        <v>12870</v>
      </c>
    </row>
    <row r="11548">
      <c r="A11548" s="4">
        <v>547.0</v>
      </c>
      <c r="B11548" s="4" t="s">
        <v>22110</v>
      </c>
      <c r="C11548" s="4"/>
      <c r="D11548" s="4" t="s">
        <v>2599</v>
      </c>
      <c r="E11548" s="4" t="s">
        <v>2600</v>
      </c>
      <c r="F11548" s="4" t="s">
        <v>2601</v>
      </c>
      <c r="G11548" s="4"/>
      <c r="H11548" s="4" t="s">
        <v>2599</v>
      </c>
      <c r="I11548" s="4" t="s">
        <v>2613</v>
      </c>
    </row>
    <row r="11549">
      <c r="A11549" s="4">
        <v>548.0</v>
      </c>
      <c r="B11549" s="4" t="s">
        <v>22110</v>
      </c>
      <c r="C11549" s="4"/>
      <c r="D11549" s="4" t="s">
        <v>18246</v>
      </c>
      <c r="E11549" s="4" t="s">
        <v>14643</v>
      </c>
      <c r="F11549" s="4" t="s">
        <v>2601</v>
      </c>
    </row>
    <row r="11550">
      <c r="A11550" s="4">
        <v>549.0</v>
      </c>
      <c r="B11550" s="4" t="s">
        <v>22110</v>
      </c>
      <c r="C11550" s="4"/>
      <c r="D11550" s="4" t="s">
        <v>2622</v>
      </c>
      <c r="E11550" s="4" t="s">
        <v>2623</v>
      </c>
      <c r="F11550" s="4" t="s">
        <v>2622</v>
      </c>
      <c r="G11550" s="4"/>
      <c r="H11550" s="4" t="s">
        <v>2622</v>
      </c>
      <c r="I11550" s="4" t="s">
        <v>2624</v>
      </c>
      <c r="J11550" s="4" t="s">
        <v>2625</v>
      </c>
      <c r="K11550" s="4">
        <v>1000.0</v>
      </c>
      <c r="L11550" s="4" t="s">
        <v>2628</v>
      </c>
      <c r="M11550" s="4" t="s">
        <v>2629</v>
      </c>
      <c r="N11550" s="4" t="s">
        <v>2630</v>
      </c>
      <c r="O11550" s="4" t="s">
        <v>2631</v>
      </c>
      <c r="P11550" s="4" t="s">
        <v>2632</v>
      </c>
      <c r="Q11550" s="4" t="s">
        <v>2633</v>
      </c>
      <c r="R11550" s="4" t="s">
        <v>2634</v>
      </c>
    </row>
    <row r="11551">
      <c r="A11551" s="4">
        <v>550.0</v>
      </c>
      <c r="B11551" s="4" t="s">
        <v>22110</v>
      </c>
      <c r="C11551" s="4"/>
      <c r="D11551" s="4" t="s">
        <v>16790</v>
      </c>
      <c r="E11551" s="4" t="s">
        <v>16791</v>
      </c>
      <c r="F11551" s="4" t="s">
        <v>16790</v>
      </c>
    </row>
    <row r="11552">
      <c r="A11552" s="4">
        <v>551.0</v>
      </c>
      <c r="B11552" s="4" t="s">
        <v>22110</v>
      </c>
      <c r="C11552" s="4"/>
      <c r="D11552" s="4" t="s">
        <v>2637</v>
      </c>
      <c r="E11552" s="4" t="s">
        <v>2638</v>
      </c>
      <c r="F11552" s="4" t="s">
        <v>2637</v>
      </c>
    </row>
    <row r="11553">
      <c r="A11553" s="4">
        <v>552.0</v>
      </c>
      <c r="B11553" s="4" t="s">
        <v>22110</v>
      </c>
      <c r="C11553" s="4"/>
      <c r="D11553" s="4" t="s">
        <v>2639</v>
      </c>
      <c r="E11553" s="4" t="s">
        <v>2645</v>
      </c>
      <c r="F11553" s="4" t="s">
        <v>2639</v>
      </c>
      <c r="G11553" s="4"/>
      <c r="H11553" s="4" t="s">
        <v>2641</v>
      </c>
      <c r="I11553" s="4" t="s">
        <v>2641</v>
      </c>
      <c r="J11553" s="4" t="s">
        <v>2641</v>
      </c>
      <c r="K11553" s="4" t="s">
        <v>21378</v>
      </c>
      <c r="L11553" s="4" t="s">
        <v>2642</v>
      </c>
      <c r="M11553" s="4" t="s">
        <v>2643</v>
      </c>
      <c r="N11553" s="4" t="s">
        <v>1856</v>
      </c>
      <c r="O11553" s="4" t="s">
        <v>2644</v>
      </c>
    </row>
    <row r="11554">
      <c r="A11554" s="4">
        <v>553.0</v>
      </c>
      <c r="B11554" s="4" t="s">
        <v>22110</v>
      </c>
      <c r="C11554" s="4"/>
      <c r="D11554" s="4" t="s">
        <v>21379</v>
      </c>
      <c r="E11554" s="4" t="s">
        <v>21380</v>
      </c>
      <c r="F11554" s="4" t="s">
        <v>21379</v>
      </c>
    </row>
    <row r="11555">
      <c r="A11555" s="4">
        <v>554.0</v>
      </c>
      <c r="B11555" s="4" t="s">
        <v>22110</v>
      </c>
      <c r="C11555" s="4"/>
      <c r="D11555" s="4" t="s">
        <v>21381</v>
      </c>
      <c r="E11555" s="4" t="s">
        <v>21382</v>
      </c>
      <c r="F11555" s="4" t="s">
        <v>21381</v>
      </c>
    </row>
    <row r="11556">
      <c r="A11556" s="4">
        <v>555.0</v>
      </c>
      <c r="B11556" s="4" t="s">
        <v>22110</v>
      </c>
      <c r="C11556" s="4"/>
      <c r="D11556" s="4" t="s">
        <v>21383</v>
      </c>
      <c r="E11556" s="4" t="s">
        <v>21380</v>
      </c>
      <c r="F11556" s="4" t="s">
        <v>21379</v>
      </c>
    </row>
    <row r="11557">
      <c r="A11557" s="4">
        <v>556.0</v>
      </c>
      <c r="B11557" s="4" t="s">
        <v>22110</v>
      </c>
      <c r="C11557" s="4"/>
      <c r="D11557" s="4" t="s">
        <v>21384</v>
      </c>
      <c r="E11557" s="4" t="s">
        <v>21382</v>
      </c>
      <c r="F11557" s="4" t="s">
        <v>21381</v>
      </c>
    </row>
    <row r="11558">
      <c r="A11558" s="4">
        <v>557.0</v>
      </c>
      <c r="B11558" s="4" t="s">
        <v>22110</v>
      </c>
      <c r="C11558" s="4"/>
      <c r="D11558" s="4" t="s">
        <v>21385</v>
      </c>
      <c r="E11558" s="4" t="s">
        <v>21386</v>
      </c>
      <c r="F11558" s="4" t="s">
        <v>21385</v>
      </c>
    </row>
    <row r="11559">
      <c r="A11559" s="4">
        <v>558.0</v>
      </c>
      <c r="B11559" s="4" t="s">
        <v>22110</v>
      </c>
      <c r="C11559" s="4"/>
      <c r="D11559" s="4" t="s">
        <v>21387</v>
      </c>
      <c r="E11559" s="4" t="s">
        <v>21388</v>
      </c>
      <c r="F11559" s="4" t="s">
        <v>21387</v>
      </c>
      <c r="G11559" s="4"/>
      <c r="H11559" s="4" t="s">
        <v>21389</v>
      </c>
      <c r="I11559" s="4" t="s">
        <v>21390</v>
      </c>
      <c r="J11559" s="4" t="s">
        <v>8941</v>
      </c>
      <c r="K11559" s="4" t="s">
        <v>9618</v>
      </c>
      <c r="L11559" s="4" t="s">
        <v>21391</v>
      </c>
    </row>
    <row r="11560">
      <c r="A11560" s="4">
        <v>559.0</v>
      </c>
      <c r="B11560" s="4" t="s">
        <v>22110</v>
      </c>
      <c r="C11560" s="4"/>
      <c r="D11560" s="4" t="s">
        <v>2695</v>
      </c>
      <c r="E11560" s="4" t="s">
        <v>2696</v>
      </c>
      <c r="F11560" s="4" t="s">
        <v>2695</v>
      </c>
      <c r="G11560" s="4"/>
      <c r="H11560" s="4" t="s">
        <v>648</v>
      </c>
      <c r="I11560" s="4" t="s">
        <v>2697</v>
      </c>
      <c r="J11560" s="4" t="s">
        <v>2698</v>
      </c>
      <c r="K11560" s="4" t="s">
        <v>2698</v>
      </c>
      <c r="L11560" s="4" t="s">
        <v>21392</v>
      </c>
    </row>
    <row r="11561">
      <c r="A11561" s="4">
        <v>560.0</v>
      </c>
      <c r="B11561" s="4" t="s">
        <v>22110</v>
      </c>
      <c r="C11561" s="4"/>
      <c r="D11561" s="4" t="s">
        <v>2699</v>
      </c>
      <c r="E11561" s="4" t="s">
        <v>2701</v>
      </c>
      <c r="F11561" s="4" t="s">
        <v>2699</v>
      </c>
      <c r="G11561" s="4"/>
      <c r="H11561" s="4" t="s">
        <v>2698</v>
      </c>
      <c r="I11561" s="4" t="s">
        <v>21393</v>
      </c>
      <c r="J11561" s="4" t="s">
        <v>21394</v>
      </c>
    </row>
    <row r="11562">
      <c r="A11562" s="4">
        <v>561.0</v>
      </c>
      <c r="B11562" s="4" t="s">
        <v>22110</v>
      </c>
      <c r="C11562" s="4"/>
      <c r="D11562" s="4" t="s">
        <v>12891</v>
      </c>
      <c r="E11562" s="4" t="s">
        <v>12893</v>
      </c>
      <c r="F11562" s="4" t="s">
        <v>12891</v>
      </c>
    </row>
    <row r="11563">
      <c r="A11563" s="4">
        <v>562.0</v>
      </c>
      <c r="B11563" s="4" t="s">
        <v>22110</v>
      </c>
      <c r="C11563" s="4"/>
      <c r="D11563" s="4" t="s">
        <v>21395</v>
      </c>
      <c r="E11563" s="4" t="s">
        <v>21396</v>
      </c>
      <c r="F11563" s="4" t="s">
        <v>21395</v>
      </c>
    </row>
    <row r="11564">
      <c r="A11564" s="4">
        <v>563.0</v>
      </c>
      <c r="B11564" s="4" t="s">
        <v>22110</v>
      </c>
      <c r="C11564" s="4"/>
      <c r="D11564" s="4" t="s">
        <v>2896</v>
      </c>
      <c r="E11564" s="4" t="s">
        <v>12908</v>
      </c>
      <c r="F11564" s="4" t="s">
        <v>2896</v>
      </c>
    </row>
    <row r="11565">
      <c r="A11565" s="4">
        <v>564.0</v>
      </c>
      <c r="B11565" s="4" t="s">
        <v>22110</v>
      </c>
      <c r="C11565" s="4"/>
      <c r="D11565" s="4" t="s">
        <v>21397</v>
      </c>
      <c r="E11565" s="4" t="s">
        <v>21398</v>
      </c>
      <c r="F11565" s="4" t="s">
        <v>21397</v>
      </c>
    </row>
    <row r="11566">
      <c r="A11566" s="4">
        <v>565.0</v>
      </c>
      <c r="B11566" s="4" t="s">
        <v>22110</v>
      </c>
      <c r="C11566" s="4"/>
      <c r="D11566" s="4" t="s">
        <v>2702</v>
      </c>
      <c r="E11566" s="4" t="s">
        <v>2703</v>
      </c>
      <c r="F11566" s="4" t="s">
        <v>2702</v>
      </c>
    </row>
    <row r="11567">
      <c r="A11567" s="4">
        <v>566.0</v>
      </c>
      <c r="B11567" s="4" t="s">
        <v>22110</v>
      </c>
      <c r="C11567" s="4"/>
      <c r="D11567" s="4" t="s">
        <v>14212</v>
      </c>
      <c r="E11567" s="4" t="s">
        <v>14213</v>
      </c>
      <c r="F11567" s="4" t="s">
        <v>14212</v>
      </c>
      <c r="G11567" s="4"/>
      <c r="H11567" s="4" t="s">
        <v>14214</v>
      </c>
      <c r="I11567" s="4" t="s">
        <v>14215</v>
      </c>
      <c r="J11567" s="4" t="s">
        <v>1063</v>
      </c>
      <c r="K11567" s="4" t="s">
        <v>7918</v>
      </c>
      <c r="L11567" s="4" t="s">
        <v>7919</v>
      </c>
      <c r="M11567" s="4" t="s">
        <v>6669</v>
      </c>
      <c r="N11567" s="4" t="s">
        <v>14216</v>
      </c>
      <c r="O11567" s="4" t="s">
        <v>6686</v>
      </c>
      <c r="P11567" s="4" t="s">
        <v>14214</v>
      </c>
      <c r="Q11567" s="4" t="s">
        <v>14214</v>
      </c>
      <c r="R11567" s="4" t="s">
        <v>6682</v>
      </c>
      <c r="S11567" s="4" t="s">
        <v>6669</v>
      </c>
      <c r="T11567" s="4" t="s">
        <v>4619</v>
      </c>
      <c r="U11567" s="4" t="s">
        <v>19668</v>
      </c>
    </row>
    <row r="11568">
      <c r="A11568" s="4">
        <v>567.0</v>
      </c>
      <c r="B11568" s="4" t="s">
        <v>22110</v>
      </c>
      <c r="C11568" s="4"/>
      <c r="D11568" s="4" t="s">
        <v>2711</v>
      </c>
      <c r="E11568" s="4" t="s">
        <v>2710</v>
      </c>
      <c r="F11568" s="4" t="s">
        <v>2711</v>
      </c>
    </row>
    <row r="11569">
      <c r="A11569" s="4">
        <v>568.0</v>
      </c>
      <c r="B11569" s="4" t="s">
        <v>22110</v>
      </c>
      <c r="C11569" s="4"/>
      <c r="D11569" s="4" t="s">
        <v>2714</v>
      </c>
      <c r="E11569" s="4" t="s">
        <v>2713</v>
      </c>
      <c r="F11569" s="4" t="s">
        <v>2714</v>
      </c>
      <c r="G11569" s="4"/>
      <c r="H11569" s="4" t="s">
        <v>2715</v>
      </c>
      <c r="I11569" s="4" t="s">
        <v>2715</v>
      </c>
    </row>
    <row r="11570">
      <c r="A11570" s="4">
        <v>569.0</v>
      </c>
      <c r="B11570" s="4" t="s">
        <v>22110</v>
      </c>
      <c r="C11570" s="4"/>
      <c r="D11570" s="4" t="s">
        <v>12921</v>
      </c>
      <c r="E11570" s="4" t="s">
        <v>12920</v>
      </c>
      <c r="F11570" s="4" t="s">
        <v>12921</v>
      </c>
    </row>
    <row r="11571">
      <c r="A11571" s="4">
        <v>570.0</v>
      </c>
      <c r="B11571" s="4" t="s">
        <v>22110</v>
      </c>
      <c r="C11571" s="4"/>
      <c r="D11571" s="4" t="s">
        <v>2718</v>
      </c>
      <c r="E11571" s="4" t="s">
        <v>2717</v>
      </c>
      <c r="F11571" s="4" t="s">
        <v>2718</v>
      </c>
    </row>
    <row r="11572">
      <c r="A11572" s="4">
        <v>571.0</v>
      </c>
      <c r="B11572" s="4" t="s">
        <v>22110</v>
      </c>
      <c r="C11572" s="4"/>
      <c r="D11572" s="4" t="s">
        <v>21399</v>
      </c>
      <c r="E11572" s="4" t="s">
        <v>2717</v>
      </c>
      <c r="F11572" s="4" t="s">
        <v>2718</v>
      </c>
    </row>
    <row r="11573">
      <c r="A11573" s="4">
        <v>572.0</v>
      </c>
      <c r="B11573" s="4" t="s">
        <v>22110</v>
      </c>
      <c r="C11573" s="4"/>
      <c r="D11573" s="4" t="s">
        <v>21400</v>
      </c>
      <c r="E11573" s="4" t="s">
        <v>21401</v>
      </c>
      <c r="F11573" s="4" t="s">
        <v>21400</v>
      </c>
    </row>
    <row r="11574">
      <c r="A11574" s="4">
        <v>573.0</v>
      </c>
      <c r="B11574" s="4" t="s">
        <v>22110</v>
      </c>
      <c r="C11574" s="4"/>
      <c r="D11574" s="4" t="s">
        <v>2709</v>
      </c>
      <c r="E11574" s="4" t="s">
        <v>2710</v>
      </c>
      <c r="F11574" s="4" t="s">
        <v>2711</v>
      </c>
    </row>
    <row r="11575">
      <c r="A11575" s="4">
        <v>574.0</v>
      </c>
      <c r="B11575" s="4" t="s">
        <v>22110</v>
      </c>
      <c r="C11575" s="4"/>
      <c r="D11575" s="4" t="s">
        <v>21402</v>
      </c>
      <c r="E11575" s="4" t="s">
        <v>21403</v>
      </c>
      <c r="F11575" s="4" t="s">
        <v>21402</v>
      </c>
    </row>
    <row r="11576">
      <c r="A11576" s="4">
        <v>575.0</v>
      </c>
      <c r="B11576" s="4" t="s">
        <v>22110</v>
      </c>
      <c r="C11576" s="4"/>
      <c r="D11576" s="4" t="s">
        <v>16787</v>
      </c>
      <c r="E11576" s="4" t="s">
        <v>16786</v>
      </c>
      <c r="F11576" s="4" t="s">
        <v>16787</v>
      </c>
    </row>
    <row r="11577">
      <c r="A11577" s="4">
        <v>576.0</v>
      </c>
      <c r="B11577" s="4" t="s">
        <v>22110</v>
      </c>
      <c r="C11577" s="4"/>
      <c r="D11577" s="4" t="s">
        <v>21404</v>
      </c>
      <c r="E11577" s="4" t="s">
        <v>16786</v>
      </c>
      <c r="F11577" s="4" t="s">
        <v>16787</v>
      </c>
    </row>
    <row r="11578">
      <c r="A11578" s="4">
        <v>577.0</v>
      </c>
      <c r="B11578" s="4" t="s">
        <v>22110</v>
      </c>
      <c r="C11578" s="4"/>
      <c r="D11578" s="4" t="s">
        <v>21405</v>
      </c>
      <c r="E11578" s="4" t="s">
        <v>21406</v>
      </c>
      <c r="F11578" s="4" t="s">
        <v>21407</v>
      </c>
    </row>
    <row r="11579">
      <c r="A11579" s="4">
        <v>578.0</v>
      </c>
      <c r="B11579" s="4" t="s">
        <v>22110</v>
      </c>
      <c r="C11579" s="4"/>
      <c r="D11579" s="4" t="s">
        <v>2786</v>
      </c>
      <c r="E11579" s="4" t="s">
        <v>2787</v>
      </c>
      <c r="F11579" s="4" t="s">
        <v>2786</v>
      </c>
      <c r="G11579" s="4"/>
      <c r="H11579" s="4" t="s">
        <v>2785</v>
      </c>
      <c r="I11579" s="4" t="s">
        <v>6237</v>
      </c>
    </row>
    <row r="11580">
      <c r="A11580" s="4">
        <v>579.0</v>
      </c>
      <c r="B11580" s="4" t="s">
        <v>22110</v>
      </c>
      <c r="C11580" s="4"/>
      <c r="D11580" s="4" t="s">
        <v>2788</v>
      </c>
      <c r="E11580" s="4" t="s">
        <v>2789</v>
      </c>
      <c r="F11580" s="4" t="s">
        <v>2788</v>
      </c>
    </row>
    <row r="11581">
      <c r="A11581" s="4">
        <v>580.0</v>
      </c>
      <c r="B11581" s="4" t="s">
        <v>22110</v>
      </c>
      <c r="C11581" s="4"/>
      <c r="D11581" s="4" t="s">
        <v>21408</v>
      </c>
      <c r="E11581" s="4" t="s">
        <v>21409</v>
      </c>
      <c r="F11581" s="4" t="s">
        <v>21408</v>
      </c>
    </row>
    <row r="11582">
      <c r="A11582" s="4">
        <v>581.0</v>
      </c>
      <c r="B11582" s="4" t="s">
        <v>22110</v>
      </c>
      <c r="C11582" s="4"/>
      <c r="D11582" s="4" t="s">
        <v>21410</v>
      </c>
      <c r="E11582" s="4" t="s">
        <v>21411</v>
      </c>
      <c r="F11582" s="4" t="s">
        <v>21410</v>
      </c>
    </row>
    <row r="11583">
      <c r="A11583" s="4">
        <v>582.0</v>
      </c>
      <c r="B11583" s="4" t="s">
        <v>22110</v>
      </c>
      <c r="C11583" s="4"/>
      <c r="D11583" s="4" t="s">
        <v>21412</v>
      </c>
      <c r="E11583" s="4" t="s">
        <v>21413</v>
      </c>
      <c r="F11583" s="4" t="s">
        <v>21412</v>
      </c>
    </row>
    <row r="11584">
      <c r="A11584" s="4">
        <v>583.0</v>
      </c>
      <c r="B11584" s="4" t="s">
        <v>22110</v>
      </c>
      <c r="C11584" s="4"/>
      <c r="D11584" s="4" t="s">
        <v>21414</v>
      </c>
      <c r="E11584" s="4" t="s">
        <v>2787</v>
      </c>
      <c r="F11584" s="4" t="s">
        <v>2786</v>
      </c>
    </row>
    <row r="11585">
      <c r="A11585" s="4">
        <v>584.0</v>
      </c>
      <c r="B11585" s="4" t="s">
        <v>22110</v>
      </c>
      <c r="C11585" s="4"/>
      <c r="D11585" s="4" t="s">
        <v>19237</v>
      </c>
      <c r="E11585" s="4" t="s">
        <v>19238</v>
      </c>
      <c r="F11585" s="4" t="s">
        <v>19237</v>
      </c>
    </row>
    <row r="11586">
      <c r="A11586" s="4">
        <v>585.0</v>
      </c>
      <c r="B11586" s="4" t="s">
        <v>22110</v>
      </c>
      <c r="C11586" s="4"/>
      <c r="D11586" s="4" t="s">
        <v>2833</v>
      </c>
      <c r="E11586" s="4" t="s">
        <v>2834</v>
      </c>
      <c r="F11586" s="4" t="s">
        <v>2833</v>
      </c>
    </row>
    <row r="11587">
      <c r="A11587" s="4">
        <v>586.0</v>
      </c>
      <c r="B11587" s="4" t="s">
        <v>22110</v>
      </c>
      <c r="C11587" s="4"/>
      <c r="D11587" s="4" t="s">
        <v>2743</v>
      </c>
      <c r="E11587" s="4" t="s">
        <v>2742</v>
      </c>
      <c r="F11587" s="4" t="s">
        <v>2743</v>
      </c>
      <c r="G11587" s="4"/>
      <c r="H11587" s="4" t="s">
        <v>2743</v>
      </c>
    </row>
    <row r="11588">
      <c r="A11588" s="4">
        <v>587.0</v>
      </c>
      <c r="B11588" s="4" t="s">
        <v>22110</v>
      </c>
      <c r="C11588" s="4"/>
      <c r="D11588" s="4" t="s">
        <v>2841</v>
      </c>
      <c r="E11588" s="4" t="s">
        <v>2844</v>
      </c>
      <c r="F11588" s="4" t="s">
        <v>2841</v>
      </c>
    </row>
    <row r="11589">
      <c r="A11589" s="4">
        <v>588.0</v>
      </c>
      <c r="B11589" s="4" t="s">
        <v>22110</v>
      </c>
      <c r="C11589" s="4"/>
      <c r="D11589" s="4" t="s">
        <v>13003</v>
      </c>
      <c r="E11589" s="4" t="s">
        <v>13002</v>
      </c>
      <c r="F11589" s="4" t="s">
        <v>13003</v>
      </c>
      <c r="G11589" s="4"/>
      <c r="H11589" s="4" t="s">
        <v>16434</v>
      </c>
    </row>
    <row r="11590">
      <c r="A11590" s="4">
        <v>589.0</v>
      </c>
      <c r="B11590" s="4" t="s">
        <v>22110</v>
      </c>
      <c r="C11590" s="4"/>
      <c r="D11590" s="4" t="s">
        <v>2847</v>
      </c>
      <c r="E11590" s="4" t="s">
        <v>2846</v>
      </c>
      <c r="F11590" s="4" t="s">
        <v>2847</v>
      </c>
      <c r="G11590" s="4"/>
      <c r="H11590" s="4" t="s">
        <v>21415</v>
      </c>
      <c r="I11590" s="4" t="s">
        <v>21416</v>
      </c>
    </row>
    <row r="11591">
      <c r="A11591" s="4">
        <v>590.0</v>
      </c>
      <c r="B11591" s="4" t="s">
        <v>22110</v>
      </c>
      <c r="C11591" s="4"/>
      <c r="D11591" s="4" t="s">
        <v>21417</v>
      </c>
      <c r="E11591" s="4" t="s">
        <v>21418</v>
      </c>
      <c r="F11591" s="4" t="s">
        <v>21417</v>
      </c>
    </row>
    <row r="11592">
      <c r="A11592" s="4">
        <v>591.0</v>
      </c>
      <c r="B11592" s="4" t="s">
        <v>22110</v>
      </c>
      <c r="C11592" s="4"/>
      <c r="D11592" s="4" t="s">
        <v>21419</v>
      </c>
      <c r="E11592" s="4" t="s">
        <v>21420</v>
      </c>
      <c r="F11592" s="4" t="s">
        <v>21421</v>
      </c>
      <c r="G11592" s="4"/>
      <c r="H11592" s="4" t="s">
        <v>21419</v>
      </c>
      <c r="I11592" s="4" t="s">
        <v>21419</v>
      </c>
      <c r="J11592" s="4" t="s">
        <v>11145</v>
      </c>
    </row>
    <row r="11593">
      <c r="A11593" s="4">
        <v>592.0</v>
      </c>
      <c r="B11593" s="4" t="s">
        <v>22110</v>
      </c>
      <c r="C11593" s="4"/>
      <c r="D11593" s="4" t="s">
        <v>2848</v>
      </c>
      <c r="E11593" s="4" t="s">
        <v>2852</v>
      </c>
      <c r="F11593" s="4" t="s">
        <v>2848</v>
      </c>
    </row>
    <row r="11594">
      <c r="A11594" s="4">
        <v>593.0</v>
      </c>
      <c r="B11594" s="4" t="s">
        <v>22110</v>
      </c>
      <c r="C11594" s="4"/>
      <c r="D11594" s="4" t="s">
        <v>21422</v>
      </c>
      <c r="E11594" s="4" t="s">
        <v>21423</v>
      </c>
      <c r="F11594" s="4" t="s">
        <v>21422</v>
      </c>
      <c r="G11594" s="4"/>
      <c r="H11594" s="4" t="s">
        <v>20758</v>
      </c>
      <c r="I11594" s="4" t="s">
        <v>20759</v>
      </c>
      <c r="J11594" s="4" t="s">
        <v>20760</v>
      </c>
      <c r="K11594" s="4" t="s">
        <v>20761</v>
      </c>
      <c r="L11594" s="4" t="s">
        <v>20762</v>
      </c>
      <c r="M11594" s="4" t="s">
        <v>20763</v>
      </c>
      <c r="N11594" s="4" t="s">
        <v>6078</v>
      </c>
      <c r="O11594" s="4" t="s">
        <v>11747</v>
      </c>
      <c r="P11594" s="4" t="s">
        <v>11748</v>
      </c>
      <c r="Q11594" s="4" t="s">
        <v>854</v>
      </c>
    </row>
    <row r="11595">
      <c r="A11595" s="4">
        <v>594.0</v>
      </c>
      <c r="B11595" s="4" t="s">
        <v>22110</v>
      </c>
      <c r="C11595" s="4"/>
      <c r="D11595" s="4" t="s">
        <v>21424</v>
      </c>
      <c r="E11595" s="4" t="s">
        <v>21425</v>
      </c>
      <c r="F11595" s="4" t="s">
        <v>21424</v>
      </c>
    </row>
    <row r="11596">
      <c r="A11596" s="4">
        <v>595.0</v>
      </c>
      <c r="B11596" s="4" t="s">
        <v>22110</v>
      </c>
      <c r="C11596" s="4"/>
      <c r="D11596" s="4" t="s">
        <v>21426</v>
      </c>
      <c r="E11596" s="4" t="s">
        <v>21427</v>
      </c>
      <c r="F11596" s="4" t="s">
        <v>21426</v>
      </c>
    </row>
    <row r="11597">
      <c r="A11597" s="4">
        <v>596.0</v>
      </c>
      <c r="B11597" s="4" t="s">
        <v>22110</v>
      </c>
      <c r="C11597" s="4"/>
      <c r="D11597" s="4" t="s">
        <v>21428</v>
      </c>
      <c r="E11597" s="4" t="s">
        <v>2863</v>
      </c>
      <c r="F11597" s="4" t="s">
        <v>2864</v>
      </c>
    </row>
    <row r="11598">
      <c r="A11598" s="4">
        <v>597.0</v>
      </c>
      <c r="B11598" s="4" t="s">
        <v>22110</v>
      </c>
      <c r="C11598" s="4"/>
      <c r="D11598" s="4" t="s">
        <v>21429</v>
      </c>
      <c r="E11598" s="4" t="s">
        <v>21430</v>
      </c>
      <c r="F11598" s="4" t="s">
        <v>21431</v>
      </c>
    </row>
    <row r="11599">
      <c r="A11599" s="4">
        <v>598.0</v>
      </c>
      <c r="B11599" s="4" t="s">
        <v>22110</v>
      </c>
      <c r="C11599" s="4"/>
      <c r="D11599" s="4" t="s">
        <v>19243</v>
      </c>
      <c r="E11599" s="4" t="s">
        <v>2872</v>
      </c>
      <c r="F11599" s="4" t="s">
        <v>2873</v>
      </c>
      <c r="G11599" s="4"/>
      <c r="H11599" s="4" t="s">
        <v>1301</v>
      </c>
      <c r="I11599" s="4" t="s">
        <v>19244</v>
      </c>
      <c r="J11599" s="4" t="s">
        <v>19245</v>
      </c>
      <c r="K11599" s="4" t="s">
        <v>2874</v>
      </c>
      <c r="L11599" s="4" t="s">
        <v>19246</v>
      </c>
      <c r="M11599" s="4" t="s">
        <v>2874</v>
      </c>
      <c r="N11599" s="4" t="s">
        <v>2874</v>
      </c>
      <c r="O11599" s="4" t="s">
        <v>2875</v>
      </c>
      <c r="P11599" s="4" t="s">
        <v>2874</v>
      </c>
    </row>
    <row r="11600">
      <c r="A11600" s="4">
        <v>599.0</v>
      </c>
      <c r="B11600" s="4" t="s">
        <v>22110</v>
      </c>
      <c r="C11600" s="4"/>
      <c r="D11600" s="4" t="s">
        <v>21432</v>
      </c>
      <c r="E11600" s="4" t="s">
        <v>338</v>
      </c>
      <c r="F11600" s="4" t="s">
        <v>339</v>
      </c>
    </row>
    <row r="11601">
      <c r="A11601" s="4">
        <v>600.0</v>
      </c>
      <c r="B11601" s="4" t="s">
        <v>22110</v>
      </c>
      <c r="C11601" s="4"/>
      <c r="D11601" s="4" t="s">
        <v>21433</v>
      </c>
      <c r="E11601" s="4" t="s">
        <v>341</v>
      </c>
      <c r="F11601" s="4" t="s">
        <v>342</v>
      </c>
    </row>
    <row r="11602">
      <c r="A11602" s="4">
        <v>601.0</v>
      </c>
      <c r="B11602" s="4" t="s">
        <v>22110</v>
      </c>
      <c r="C11602" s="4"/>
      <c r="D11602" s="4" t="s">
        <v>2879</v>
      </c>
      <c r="E11602" s="4" t="s">
        <v>2880</v>
      </c>
      <c r="F11602" s="4" t="s">
        <v>2881</v>
      </c>
      <c r="G11602" s="4"/>
      <c r="H11602" s="4" t="s">
        <v>2886</v>
      </c>
      <c r="I11602" s="4" t="s">
        <v>2887</v>
      </c>
    </row>
    <row r="11603">
      <c r="A11603" s="4">
        <v>602.0</v>
      </c>
      <c r="B11603" s="4" t="s">
        <v>22110</v>
      </c>
      <c r="C11603" s="4"/>
      <c r="D11603" s="4" t="s">
        <v>21434</v>
      </c>
      <c r="E11603" s="4" t="s">
        <v>21435</v>
      </c>
      <c r="F11603" s="4" t="s">
        <v>21436</v>
      </c>
    </row>
    <row r="11604">
      <c r="A11604" s="4">
        <v>603.0</v>
      </c>
      <c r="B11604" s="4" t="s">
        <v>22110</v>
      </c>
      <c r="C11604" s="4"/>
      <c r="D11604" s="4" t="s">
        <v>2902</v>
      </c>
      <c r="E11604" s="4" t="s">
        <v>2903</v>
      </c>
      <c r="F11604" s="4" t="s">
        <v>2904</v>
      </c>
    </row>
    <row r="11605">
      <c r="A11605" s="4">
        <v>604.0</v>
      </c>
      <c r="B11605" s="4" t="s">
        <v>22110</v>
      </c>
      <c r="C11605" s="4"/>
      <c r="D11605" s="4" t="s">
        <v>21437</v>
      </c>
      <c r="E11605" s="4" t="s">
        <v>21438</v>
      </c>
      <c r="F11605" s="4" t="s">
        <v>21439</v>
      </c>
    </row>
    <row r="11606">
      <c r="A11606" s="4">
        <v>605.0</v>
      </c>
      <c r="B11606" s="4" t="s">
        <v>22110</v>
      </c>
      <c r="C11606" s="4"/>
      <c r="D11606" s="4" t="s">
        <v>21440</v>
      </c>
      <c r="E11606" s="4" t="s">
        <v>21441</v>
      </c>
      <c r="F11606" s="4" t="s">
        <v>2897</v>
      </c>
    </row>
    <row r="11607">
      <c r="A11607" s="4">
        <v>606.0</v>
      </c>
      <c r="B11607" s="4" t="s">
        <v>22110</v>
      </c>
      <c r="C11607" s="4"/>
      <c r="D11607" s="4" t="s">
        <v>21442</v>
      </c>
      <c r="E11607" s="4" t="s">
        <v>2812</v>
      </c>
      <c r="F11607" s="4" t="s">
        <v>2813</v>
      </c>
    </row>
    <row r="11608">
      <c r="A11608" s="4">
        <v>607.0</v>
      </c>
      <c r="B11608" s="4" t="s">
        <v>22110</v>
      </c>
      <c r="C11608" s="4"/>
      <c r="D11608" s="4" t="s">
        <v>21443</v>
      </c>
      <c r="E11608" s="4" t="s">
        <v>21444</v>
      </c>
      <c r="F11608" s="4" t="s">
        <v>21445</v>
      </c>
      <c r="G11608" s="4"/>
      <c r="H11608" s="4" t="s">
        <v>4849</v>
      </c>
      <c r="I11608" s="4" t="s">
        <v>4849</v>
      </c>
      <c r="J11608" s="4" t="s">
        <v>21446</v>
      </c>
      <c r="K11608" s="4" t="s">
        <v>4849</v>
      </c>
    </row>
    <row r="11609">
      <c r="A11609" s="4">
        <v>608.0</v>
      </c>
      <c r="B11609" s="4" t="s">
        <v>22110</v>
      </c>
      <c r="C11609" s="4"/>
      <c r="D11609" s="4" t="s">
        <v>16802</v>
      </c>
      <c r="E11609" s="4" t="s">
        <v>16803</v>
      </c>
      <c r="F11609" s="4" t="s">
        <v>16804</v>
      </c>
    </row>
    <row r="11610">
      <c r="A11610" s="4">
        <v>609.0</v>
      </c>
      <c r="B11610" s="4" t="s">
        <v>22110</v>
      </c>
      <c r="C11610" s="4"/>
      <c r="D11610" s="4" t="s">
        <v>21447</v>
      </c>
      <c r="E11610" s="4" t="s">
        <v>18340</v>
      </c>
      <c r="F11610" s="4" t="s">
        <v>18341</v>
      </c>
    </row>
    <row r="11611">
      <c r="A11611" s="4">
        <v>610.0</v>
      </c>
      <c r="B11611" s="4" t="s">
        <v>22110</v>
      </c>
      <c r="C11611" s="4"/>
      <c r="D11611" s="4" t="s">
        <v>21448</v>
      </c>
      <c r="E11611" s="4" t="s">
        <v>21449</v>
      </c>
      <c r="F11611" s="4" t="s">
        <v>21450</v>
      </c>
    </row>
    <row r="11612">
      <c r="A11612" s="4">
        <v>611.0</v>
      </c>
      <c r="B11612" s="4" t="s">
        <v>22110</v>
      </c>
      <c r="C11612" s="4"/>
      <c r="D11612" s="4" t="s">
        <v>21451</v>
      </c>
      <c r="E11612" s="4" t="s">
        <v>21452</v>
      </c>
      <c r="F11612" s="4" t="s">
        <v>21453</v>
      </c>
    </row>
    <row r="11613">
      <c r="A11613" s="4">
        <v>612.0</v>
      </c>
      <c r="B11613" s="4" t="s">
        <v>22110</v>
      </c>
      <c r="C11613" s="4"/>
      <c r="D11613" s="4" t="s">
        <v>2923</v>
      </c>
      <c r="E11613" s="4" t="s">
        <v>2924</v>
      </c>
      <c r="F11613" s="4" t="s">
        <v>2923</v>
      </c>
      <c r="G11613" s="4"/>
      <c r="H11613" s="4" t="s">
        <v>1878</v>
      </c>
      <c r="I11613" s="4" t="s">
        <v>1879</v>
      </c>
      <c r="J11613" s="4" t="s">
        <v>1880</v>
      </c>
      <c r="K11613" s="4" t="s">
        <v>1881</v>
      </c>
      <c r="L11613" s="4" t="s">
        <v>1882</v>
      </c>
      <c r="N11613" s="4" t="s">
        <v>1883</v>
      </c>
    </row>
    <row r="11614">
      <c r="A11614" s="4">
        <v>613.0</v>
      </c>
      <c r="B11614" s="4" t="s">
        <v>22110</v>
      </c>
      <c r="C11614" s="4"/>
      <c r="D11614" s="4" t="s">
        <v>13051</v>
      </c>
      <c r="E11614" s="4" t="s">
        <v>15274</v>
      </c>
      <c r="F11614" s="4" t="s">
        <v>13051</v>
      </c>
    </row>
    <row r="11615">
      <c r="A11615" s="4">
        <v>614.0</v>
      </c>
      <c r="B11615" s="4" t="s">
        <v>22110</v>
      </c>
      <c r="C11615" s="4"/>
      <c r="D11615" s="4" t="s">
        <v>19266</v>
      </c>
      <c r="E11615" s="4" t="s">
        <v>19267</v>
      </c>
      <c r="F11615" s="4" t="s">
        <v>19266</v>
      </c>
      <c r="G11615" s="4"/>
      <c r="H11615" s="4" t="s">
        <v>19268</v>
      </c>
      <c r="I11615" s="4" t="s">
        <v>19269</v>
      </c>
    </row>
    <row r="11616">
      <c r="A11616" s="4">
        <v>615.0</v>
      </c>
      <c r="B11616" s="4" t="s">
        <v>22110</v>
      </c>
      <c r="C11616" s="4"/>
      <c r="D11616" s="4" t="s">
        <v>21454</v>
      </c>
      <c r="E11616" s="4" t="s">
        <v>21455</v>
      </c>
      <c r="F11616" s="4" t="s">
        <v>21454</v>
      </c>
    </row>
    <row r="11617">
      <c r="A11617" s="4">
        <v>616.0</v>
      </c>
      <c r="B11617" s="4" t="s">
        <v>22110</v>
      </c>
      <c r="C11617" s="4"/>
      <c r="D11617" s="4" t="s">
        <v>21456</v>
      </c>
      <c r="E11617" s="4" t="s">
        <v>21457</v>
      </c>
      <c r="F11617" s="4" t="s">
        <v>21456</v>
      </c>
      <c r="G11617" s="4"/>
      <c r="H11617" s="4" t="s">
        <v>21458</v>
      </c>
      <c r="I11617" s="4" t="s">
        <v>21456</v>
      </c>
      <c r="J11617" s="4" t="s">
        <v>21459</v>
      </c>
    </row>
    <row r="11618">
      <c r="A11618" s="4">
        <v>617.0</v>
      </c>
      <c r="B11618" s="4" t="s">
        <v>22110</v>
      </c>
      <c r="C11618" s="4"/>
      <c r="D11618" s="4" t="s">
        <v>2935</v>
      </c>
      <c r="E11618" s="4" t="s">
        <v>2936</v>
      </c>
      <c r="F11618" s="4" t="s">
        <v>2935</v>
      </c>
    </row>
    <row r="11619">
      <c r="A11619" s="4">
        <v>618.0</v>
      </c>
      <c r="B11619" s="4" t="s">
        <v>22110</v>
      </c>
      <c r="C11619" s="4"/>
      <c r="D11619" s="4" t="s">
        <v>2938</v>
      </c>
      <c r="E11619" s="4" t="s">
        <v>2939</v>
      </c>
      <c r="F11619" s="4" t="s">
        <v>2938</v>
      </c>
      <c r="G11619" s="4"/>
      <c r="H11619" s="4" t="s">
        <v>2940</v>
      </c>
      <c r="I11619" s="4" t="s">
        <v>2941</v>
      </c>
    </row>
    <row r="11620">
      <c r="A11620" s="4">
        <v>619.0</v>
      </c>
      <c r="B11620" s="4" t="s">
        <v>22110</v>
      </c>
      <c r="C11620" s="4"/>
      <c r="D11620" s="4" t="s">
        <v>21460</v>
      </c>
      <c r="E11620" s="4" t="s">
        <v>21461</v>
      </c>
      <c r="F11620" s="4" t="s">
        <v>21460</v>
      </c>
    </row>
    <row r="11621">
      <c r="A11621" s="4">
        <v>620.0</v>
      </c>
      <c r="B11621" s="4" t="s">
        <v>22110</v>
      </c>
      <c r="C11621" s="4"/>
      <c r="D11621" s="4" t="s">
        <v>2947</v>
      </c>
      <c r="E11621" s="4" t="s">
        <v>2948</v>
      </c>
      <c r="F11621" s="4" t="s">
        <v>2947</v>
      </c>
    </row>
    <row r="11622">
      <c r="A11622" s="4">
        <v>621.0</v>
      </c>
      <c r="B11622" s="4" t="s">
        <v>22110</v>
      </c>
      <c r="C11622" s="4"/>
      <c r="D11622" s="4" t="s">
        <v>2959</v>
      </c>
      <c r="E11622" s="4" t="s">
        <v>2960</v>
      </c>
      <c r="F11622" s="4" t="s">
        <v>2959</v>
      </c>
      <c r="G11622" s="4"/>
      <c r="H11622" s="4" t="s">
        <v>2961</v>
      </c>
      <c r="I11622" s="4" t="s">
        <v>2962</v>
      </c>
      <c r="J11622" s="4" t="s">
        <v>2959</v>
      </c>
      <c r="K11622" s="4" t="s">
        <v>2963</v>
      </c>
      <c r="L11622" s="4" t="s">
        <v>2964</v>
      </c>
      <c r="M11622" s="4" t="s">
        <v>2965</v>
      </c>
      <c r="N11622" s="4" t="s">
        <v>2966</v>
      </c>
      <c r="O11622" s="4" t="s">
        <v>2967</v>
      </c>
      <c r="P11622" s="4" t="s">
        <v>2968</v>
      </c>
      <c r="Q11622" s="4" t="s">
        <v>2969</v>
      </c>
      <c r="R11622" s="4" t="s">
        <v>2959</v>
      </c>
      <c r="S11622" s="4" t="s">
        <v>2959</v>
      </c>
      <c r="T11622" s="4" t="s">
        <v>2959</v>
      </c>
      <c r="U11622" s="4" t="s">
        <v>2959</v>
      </c>
      <c r="V11622" s="4" t="s">
        <v>2959</v>
      </c>
      <c r="W11622" s="4" t="s">
        <v>2959</v>
      </c>
      <c r="X11622" s="4" t="s">
        <v>2959</v>
      </c>
      <c r="Y11622" s="4" t="s">
        <v>2963</v>
      </c>
      <c r="Z11622" s="4" t="s">
        <v>2970</v>
      </c>
      <c r="AA11622" s="4" t="s">
        <v>15591</v>
      </c>
    </row>
    <row r="11623">
      <c r="A11623" s="4">
        <v>622.0</v>
      </c>
      <c r="B11623" s="4" t="s">
        <v>22110</v>
      </c>
      <c r="C11623" s="4"/>
      <c r="D11623" s="4" t="s">
        <v>21462</v>
      </c>
      <c r="E11623" s="4" t="s">
        <v>21461</v>
      </c>
      <c r="F11623" s="4" t="s">
        <v>21460</v>
      </c>
    </row>
    <row r="11624">
      <c r="A11624" s="4">
        <v>623.0</v>
      </c>
      <c r="B11624" s="4" t="s">
        <v>22110</v>
      </c>
      <c r="C11624" s="4"/>
      <c r="D11624" s="4" t="s">
        <v>389</v>
      </c>
      <c r="E11624" s="4" t="s">
        <v>388</v>
      </c>
      <c r="F11624" s="4" t="s">
        <v>389</v>
      </c>
    </row>
    <row r="11625">
      <c r="A11625" s="4">
        <v>624.0</v>
      </c>
      <c r="B11625" s="4" t="s">
        <v>22110</v>
      </c>
      <c r="C11625" s="4"/>
      <c r="D11625" s="4" t="s">
        <v>6994</v>
      </c>
      <c r="E11625" s="4" t="s">
        <v>13093</v>
      </c>
      <c r="F11625" s="4" t="s">
        <v>6994</v>
      </c>
    </row>
    <row r="11626">
      <c r="A11626" s="4">
        <v>625.0</v>
      </c>
      <c r="B11626" s="4" t="s">
        <v>22110</v>
      </c>
      <c r="C11626" s="4"/>
      <c r="D11626" s="4" t="s">
        <v>21463</v>
      </c>
      <c r="E11626" s="4" t="s">
        <v>21464</v>
      </c>
      <c r="F11626" s="4" t="s">
        <v>21463</v>
      </c>
      <c r="G11626" s="4"/>
      <c r="H11626" s="4" t="s">
        <v>4701</v>
      </c>
      <c r="I11626" s="4" t="s">
        <v>2283</v>
      </c>
      <c r="J11626" s="4" t="s">
        <v>21465</v>
      </c>
      <c r="K11626" s="4" t="s">
        <v>6861</v>
      </c>
      <c r="L11626" s="4" t="s">
        <v>21466</v>
      </c>
      <c r="M11626" s="4" t="s">
        <v>6861</v>
      </c>
      <c r="N11626" s="4" t="s">
        <v>2709</v>
      </c>
      <c r="O11626" s="4" t="s">
        <v>6862</v>
      </c>
      <c r="P11626" s="4" t="s">
        <v>6863</v>
      </c>
      <c r="Q11626" s="4" t="s">
        <v>6864</v>
      </c>
      <c r="R11626" s="4" t="s">
        <v>6865</v>
      </c>
      <c r="S11626" s="4" t="s">
        <v>6581</v>
      </c>
      <c r="T11626" s="4" t="s">
        <v>6582</v>
      </c>
      <c r="U11626" s="4" t="s">
        <v>6583</v>
      </c>
      <c r="V11626" s="4" t="s">
        <v>6584</v>
      </c>
    </row>
    <row r="11627">
      <c r="A11627" s="4">
        <v>626.0</v>
      </c>
      <c r="B11627" s="4" t="s">
        <v>22110</v>
      </c>
      <c r="C11627" s="4"/>
      <c r="D11627" s="4" t="s">
        <v>3037</v>
      </c>
      <c r="E11627" s="4" t="s">
        <v>3038</v>
      </c>
      <c r="F11627" s="4" t="s">
        <v>3039</v>
      </c>
      <c r="G11627" s="4"/>
      <c r="H11627" s="4" t="s">
        <v>3040</v>
      </c>
      <c r="I11627" s="4" t="s">
        <v>3041</v>
      </c>
      <c r="J11627" s="4" t="s">
        <v>3042</v>
      </c>
    </row>
    <row r="11628">
      <c r="A11628" s="4">
        <v>627.0</v>
      </c>
      <c r="B11628" s="4" t="s">
        <v>22110</v>
      </c>
      <c r="C11628" s="4"/>
      <c r="D11628" s="4" t="s">
        <v>21467</v>
      </c>
      <c r="E11628" s="4" t="s">
        <v>388</v>
      </c>
      <c r="F11628" s="4" t="s">
        <v>389</v>
      </c>
      <c r="G11628" s="4"/>
      <c r="H11628" s="4" t="s">
        <v>21468</v>
      </c>
      <c r="I11628" s="4" t="s">
        <v>21469</v>
      </c>
      <c r="J11628" s="4" t="s">
        <v>21470</v>
      </c>
      <c r="K11628" s="4" t="s">
        <v>21471</v>
      </c>
    </row>
    <row r="11629">
      <c r="A11629" s="4">
        <v>628.0</v>
      </c>
      <c r="B11629" s="4" t="s">
        <v>22110</v>
      </c>
      <c r="C11629" s="4"/>
      <c r="D11629" s="4" t="s">
        <v>21472</v>
      </c>
      <c r="E11629" s="4" t="s">
        <v>373</v>
      </c>
      <c r="F11629" s="4" t="s">
        <v>374</v>
      </c>
    </row>
    <row r="11630">
      <c r="A11630" s="4">
        <v>629.0</v>
      </c>
      <c r="B11630" s="4" t="s">
        <v>22110</v>
      </c>
      <c r="C11630" s="4"/>
      <c r="D11630" s="4" t="s">
        <v>21473</v>
      </c>
      <c r="E11630" s="4" t="s">
        <v>21474</v>
      </c>
      <c r="F11630" s="4" t="s">
        <v>21475</v>
      </c>
      <c r="G11630" s="4"/>
      <c r="H11630" s="4" t="s">
        <v>21476</v>
      </c>
      <c r="I11630" s="4" t="s">
        <v>21477</v>
      </c>
    </row>
    <row r="11631">
      <c r="A11631" s="4">
        <v>630.0</v>
      </c>
      <c r="B11631" s="4" t="s">
        <v>22110</v>
      </c>
      <c r="C11631" s="4"/>
      <c r="D11631" s="4" t="s">
        <v>21478</v>
      </c>
      <c r="E11631" s="4" t="s">
        <v>21479</v>
      </c>
      <c r="F11631" s="4" t="s">
        <v>21480</v>
      </c>
    </row>
    <row r="11632">
      <c r="A11632" s="4">
        <v>631.0</v>
      </c>
      <c r="B11632" s="4" t="s">
        <v>22110</v>
      </c>
      <c r="C11632" s="4"/>
      <c r="D11632" s="4" t="s">
        <v>21481</v>
      </c>
      <c r="E11632" s="4" t="s">
        <v>21482</v>
      </c>
      <c r="F11632" s="4" t="s">
        <v>21483</v>
      </c>
    </row>
    <row r="11633">
      <c r="A11633" s="4">
        <v>632.0</v>
      </c>
      <c r="B11633" s="4" t="s">
        <v>22110</v>
      </c>
      <c r="C11633" s="4"/>
      <c r="D11633" s="4" t="s">
        <v>3147</v>
      </c>
      <c r="E11633" s="4" t="s">
        <v>3148</v>
      </c>
      <c r="F11633" s="4" t="s">
        <v>3147</v>
      </c>
      <c r="G11633" s="4"/>
      <c r="H11633" s="4" t="s">
        <v>21484</v>
      </c>
      <c r="I11633" s="4" t="s">
        <v>21485</v>
      </c>
      <c r="J11633" s="4" t="s">
        <v>21486</v>
      </c>
    </row>
    <row r="11634">
      <c r="A11634" s="4">
        <v>633.0</v>
      </c>
      <c r="B11634" s="4" t="s">
        <v>22110</v>
      </c>
      <c r="C11634" s="4"/>
      <c r="D11634" s="4" t="s">
        <v>21487</v>
      </c>
      <c r="E11634" s="4" t="s">
        <v>3162</v>
      </c>
      <c r="F11634" s="4" t="s">
        <v>3161</v>
      </c>
    </row>
    <row r="11635">
      <c r="A11635" s="4">
        <v>634.0</v>
      </c>
      <c r="B11635" s="4" t="s">
        <v>22110</v>
      </c>
      <c r="C11635" s="4"/>
      <c r="D11635" s="4" t="s">
        <v>13144</v>
      </c>
      <c r="E11635" s="4" t="s">
        <v>13145</v>
      </c>
      <c r="F11635" s="4" t="s">
        <v>11055</v>
      </c>
    </row>
    <row r="11636">
      <c r="A11636" s="4">
        <v>635.0</v>
      </c>
      <c r="B11636" s="4" t="s">
        <v>22110</v>
      </c>
      <c r="C11636" s="4"/>
      <c r="D11636" s="4" t="s">
        <v>2543</v>
      </c>
      <c r="E11636" s="4" t="s">
        <v>391</v>
      </c>
      <c r="F11636" s="4" t="s">
        <v>392</v>
      </c>
    </row>
    <row r="11637">
      <c r="A11637" s="4">
        <v>636.0</v>
      </c>
      <c r="B11637" s="4" t="s">
        <v>22110</v>
      </c>
      <c r="C11637" s="4"/>
      <c r="D11637" s="4" t="s">
        <v>21488</v>
      </c>
      <c r="E11637" s="4" t="s">
        <v>21489</v>
      </c>
      <c r="F11637" s="4" t="s">
        <v>10884</v>
      </c>
    </row>
    <row r="11638">
      <c r="A11638" s="4">
        <v>637.0</v>
      </c>
      <c r="B11638" s="4" t="s">
        <v>22110</v>
      </c>
      <c r="C11638" s="4"/>
      <c r="D11638" s="4" t="s">
        <v>10843</v>
      </c>
      <c r="E11638" s="4" t="s">
        <v>18440</v>
      </c>
      <c r="F11638" s="4" t="s">
        <v>11055</v>
      </c>
      <c r="G11638" s="4"/>
      <c r="H11638" s="4" t="s">
        <v>21490</v>
      </c>
      <c r="I11638" s="4" t="s">
        <v>21491</v>
      </c>
      <c r="J11638" s="4" t="s">
        <v>21492</v>
      </c>
      <c r="K11638" s="4" t="s">
        <v>21493</v>
      </c>
      <c r="L11638" s="4" t="s">
        <v>3188</v>
      </c>
      <c r="M11638" s="4" t="s">
        <v>3189</v>
      </c>
      <c r="N11638" s="4" t="s">
        <v>3190</v>
      </c>
      <c r="O11638" s="4" t="s">
        <v>3191</v>
      </c>
      <c r="P11638" s="4" t="s">
        <v>3192</v>
      </c>
      <c r="Q11638" s="4" t="s">
        <v>3193</v>
      </c>
      <c r="R11638" s="4" t="s">
        <v>3194</v>
      </c>
      <c r="S11638" s="4" t="s">
        <v>3195</v>
      </c>
      <c r="T11638" s="4" t="s">
        <v>13166</v>
      </c>
      <c r="U11638" s="4" t="s">
        <v>13167</v>
      </c>
      <c r="V11638" s="4" t="s">
        <v>13168</v>
      </c>
      <c r="W11638" s="4" t="s">
        <v>1190</v>
      </c>
      <c r="X11638" s="4" t="s">
        <v>3196</v>
      </c>
      <c r="Y11638" s="4" t="s">
        <v>13169</v>
      </c>
      <c r="Z11638" s="4" t="s">
        <v>3196</v>
      </c>
      <c r="AA11638" s="4" t="s">
        <v>3197</v>
      </c>
    </row>
    <row r="11639">
      <c r="A11639" s="4">
        <v>638.0</v>
      </c>
      <c r="B11639" s="4" t="s">
        <v>22110</v>
      </c>
      <c r="C11639" s="4"/>
      <c r="D11639" s="4" t="s">
        <v>21494</v>
      </c>
      <c r="E11639" s="4" t="s">
        <v>21495</v>
      </c>
      <c r="F11639" s="4" t="s">
        <v>21496</v>
      </c>
    </row>
    <row r="11640">
      <c r="A11640" s="4">
        <v>639.0</v>
      </c>
      <c r="B11640" s="4" t="s">
        <v>22110</v>
      </c>
      <c r="C11640" s="4"/>
      <c r="D11640" s="4" t="s">
        <v>3173</v>
      </c>
      <c r="E11640" s="4" t="s">
        <v>3174</v>
      </c>
      <c r="F11640" s="4" t="s">
        <v>3173</v>
      </c>
      <c r="G11640" s="4"/>
      <c r="H11640" s="4" t="s">
        <v>13178</v>
      </c>
      <c r="I11640" s="4" t="s">
        <v>21497</v>
      </c>
    </row>
    <row r="11641">
      <c r="A11641" s="4">
        <v>640.0</v>
      </c>
      <c r="B11641" s="4" t="s">
        <v>22110</v>
      </c>
      <c r="C11641" s="4"/>
      <c r="D11641" s="4" t="s">
        <v>3177</v>
      </c>
      <c r="E11641" s="4" t="s">
        <v>3178</v>
      </c>
      <c r="F11641" s="4" t="s">
        <v>3177</v>
      </c>
      <c r="G11641" s="4"/>
      <c r="H11641" s="4" t="s">
        <v>3177</v>
      </c>
      <c r="I11641" s="4" t="s">
        <v>13173</v>
      </c>
      <c r="J11641" s="4" t="s">
        <v>13174</v>
      </c>
      <c r="K11641" s="4" t="s">
        <v>3177</v>
      </c>
      <c r="L11641" s="4" t="s">
        <v>13175</v>
      </c>
    </row>
    <row r="11642">
      <c r="A11642" s="4">
        <v>641.0</v>
      </c>
      <c r="B11642" s="4" t="s">
        <v>22110</v>
      </c>
      <c r="C11642" s="4"/>
      <c r="D11642" s="4" t="s">
        <v>3179</v>
      </c>
      <c r="E11642" s="4" t="s">
        <v>3180</v>
      </c>
      <c r="F11642" s="4" t="s">
        <v>3179</v>
      </c>
    </row>
    <row r="11643">
      <c r="A11643" s="4">
        <v>642.0</v>
      </c>
      <c r="B11643" s="4" t="s">
        <v>22110</v>
      </c>
      <c r="C11643" s="4"/>
      <c r="D11643" s="4" t="s">
        <v>21498</v>
      </c>
      <c r="E11643" s="4" t="s">
        <v>21499</v>
      </c>
      <c r="F11643" s="4" t="s">
        <v>21500</v>
      </c>
    </row>
    <row r="11644">
      <c r="A11644" s="4">
        <v>643.0</v>
      </c>
      <c r="B11644" s="4" t="s">
        <v>22110</v>
      </c>
      <c r="C11644" s="4"/>
      <c r="D11644" s="4" t="s">
        <v>21501</v>
      </c>
      <c r="E11644" s="4" t="s">
        <v>21502</v>
      </c>
      <c r="F11644" s="4" t="s">
        <v>21501</v>
      </c>
    </row>
    <row r="11645">
      <c r="A11645" s="4">
        <v>644.0</v>
      </c>
      <c r="B11645" s="4" t="s">
        <v>22110</v>
      </c>
      <c r="C11645" s="4"/>
      <c r="D11645" s="4" t="s">
        <v>7069</v>
      </c>
      <c r="E11645" s="4" t="s">
        <v>13195</v>
      </c>
      <c r="F11645" s="4" t="s">
        <v>7069</v>
      </c>
      <c r="G11645" s="4"/>
      <c r="H11645" s="4" t="s">
        <v>7072</v>
      </c>
      <c r="I11645" s="4" t="s">
        <v>7074</v>
      </c>
      <c r="J11645" s="4" t="s">
        <v>21503</v>
      </c>
      <c r="K11645" s="4" t="s">
        <v>21504</v>
      </c>
      <c r="L11645" s="4" t="s">
        <v>21505</v>
      </c>
      <c r="M11645" s="4" t="s">
        <v>3149</v>
      </c>
      <c r="N11645" s="4" t="s">
        <v>3150</v>
      </c>
      <c r="O11645" s="4" t="s">
        <v>3151</v>
      </c>
    </row>
    <row r="11646">
      <c r="A11646" s="4">
        <v>645.0</v>
      </c>
      <c r="B11646" s="4" t="s">
        <v>22110</v>
      </c>
      <c r="C11646" s="4"/>
      <c r="D11646" s="4" t="s">
        <v>13193</v>
      </c>
      <c r="E11646" s="4" t="s">
        <v>3264</v>
      </c>
      <c r="F11646" s="4" t="s">
        <v>3265</v>
      </c>
      <c r="G11646" s="4"/>
      <c r="H11646" s="4" t="s">
        <v>3268</v>
      </c>
      <c r="I11646" s="4" t="s">
        <v>3272</v>
      </c>
      <c r="J11646" s="4" t="s">
        <v>3273</v>
      </c>
      <c r="K11646" s="4" t="s">
        <v>3274</v>
      </c>
      <c r="L11646" s="4" t="s">
        <v>3275</v>
      </c>
    </row>
    <row r="11647">
      <c r="A11647" s="4">
        <v>646.0</v>
      </c>
      <c r="B11647" s="4" t="s">
        <v>22110</v>
      </c>
      <c r="C11647" s="4"/>
      <c r="D11647" s="4" t="s">
        <v>21506</v>
      </c>
      <c r="E11647" s="4" t="s">
        <v>21507</v>
      </c>
      <c r="F11647" s="4" t="s">
        <v>21508</v>
      </c>
    </row>
    <row r="11648">
      <c r="A11648" s="4">
        <v>647.0</v>
      </c>
      <c r="B11648" s="4" t="s">
        <v>22110</v>
      </c>
      <c r="C11648" s="4"/>
      <c r="D11648" s="4" t="s">
        <v>21509</v>
      </c>
      <c r="E11648" s="4" t="s">
        <v>21510</v>
      </c>
      <c r="F11648" s="4" t="s">
        <v>21511</v>
      </c>
      <c r="G11648" s="4"/>
      <c r="H11648" s="4" t="s">
        <v>21512</v>
      </c>
    </row>
    <row r="11649">
      <c r="A11649" s="4">
        <v>648.0</v>
      </c>
      <c r="B11649" s="4" t="s">
        <v>22110</v>
      </c>
      <c r="C11649" s="4"/>
      <c r="D11649" s="4" t="s">
        <v>3292</v>
      </c>
      <c r="E11649" s="4" t="s">
        <v>3293</v>
      </c>
      <c r="F11649" s="4" t="s">
        <v>3292</v>
      </c>
      <c r="G11649" s="4"/>
      <c r="H11649" s="4" t="s">
        <v>3294</v>
      </c>
      <c r="I11649" s="4" t="s">
        <v>3295</v>
      </c>
      <c r="J11649" s="4" t="s">
        <v>3296</v>
      </c>
      <c r="K11649" s="4" t="s">
        <v>3147</v>
      </c>
      <c r="L11649" s="4" t="s">
        <v>3292</v>
      </c>
      <c r="M11649" s="4" t="s">
        <v>3297</v>
      </c>
      <c r="N11649" s="4" t="s">
        <v>3298</v>
      </c>
      <c r="O11649" s="4" t="s">
        <v>3299</v>
      </c>
      <c r="P11649" s="4" t="s">
        <v>3300</v>
      </c>
      <c r="Q11649" s="4" t="s">
        <v>3301</v>
      </c>
      <c r="R11649" s="4" t="s">
        <v>3302</v>
      </c>
      <c r="S11649" s="4" t="s">
        <v>3303</v>
      </c>
      <c r="T11649" s="4" t="s">
        <v>3304</v>
      </c>
      <c r="U11649" s="4" t="s">
        <v>3305</v>
      </c>
      <c r="V11649" s="4" t="s">
        <v>3306</v>
      </c>
      <c r="W11649" s="4" t="s">
        <v>3307</v>
      </c>
      <c r="X11649" s="4" t="s">
        <v>3308</v>
      </c>
    </row>
    <row r="11650">
      <c r="A11650" s="4">
        <v>649.0</v>
      </c>
      <c r="B11650" s="4" t="s">
        <v>22110</v>
      </c>
      <c r="C11650" s="4"/>
      <c r="D11650" s="4" t="s">
        <v>16839</v>
      </c>
      <c r="E11650" s="4" t="s">
        <v>16840</v>
      </c>
      <c r="F11650" s="4" t="s">
        <v>16839</v>
      </c>
    </row>
    <row r="11651">
      <c r="A11651" s="4">
        <v>650.0</v>
      </c>
      <c r="B11651" s="4" t="s">
        <v>22110</v>
      </c>
      <c r="C11651" s="4"/>
      <c r="D11651" s="4" t="s">
        <v>21513</v>
      </c>
      <c r="E11651" s="4" t="s">
        <v>21514</v>
      </c>
      <c r="F11651" s="4" t="s">
        <v>21513</v>
      </c>
    </row>
    <row r="11652">
      <c r="A11652" s="4">
        <v>651.0</v>
      </c>
      <c r="B11652" s="4" t="s">
        <v>22110</v>
      </c>
      <c r="C11652" s="4"/>
      <c r="D11652" s="4" t="s">
        <v>21515</v>
      </c>
      <c r="E11652" s="4" t="s">
        <v>21516</v>
      </c>
      <c r="F11652" s="4" t="s">
        <v>21515</v>
      </c>
    </row>
    <row r="11653">
      <c r="A11653" s="4">
        <v>652.0</v>
      </c>
      <c r="B11653" s="4" t="s">
        <v>22110</v>
      </c>
      <c r="C11653" s="4"/>
      <c r="D11653" s="4" t="s">
        <v>7100</v>
      </c>
      <c r="E11653" s="4" t="s">
        <v>13216</v>
      </c>
      <c r="F11653" s="4" t="s">
        <v>7100</v>
      </c>
    </row>
    <row r="11654">
      <c r="A11654" s="4">
        <v>653.0</v>
      </c>
      <c r="B11654" s="4" t="s">
        <v>22110</v>
      </c>
      <c r="C11654" s="4"/>
      <c r="D11654" s="4" t="s">
        <v>21517</v>
      </c>
      <c r="E11654" s="4" t="s">
        <v>21518</v>
      </c>
      <c r="F11654" s="4" t="s">
        <v>21517</v>
      </c>
    </row>
    <row r="11655">
      <c r="A11655" s="4">
        <v>654.0</v>
      </c>
      <c r="B11655" s="4" t="s">
        <v>22110</v>
      </c>
      <c r="C11655" s="4"/>
      <c r="D11655" s="4" t="s">
        <v>21519</v>
      </c>
      <c r="E11655" s="4" t="s">
        <v>21520</v>
      </c>
      <c r="F11655" s="4" t="s">
        <v>21519</v>
      </c>
      <c r="G11655" s="4"/>
      <c r="H11655" s="4" t="s">
        <v>21521</v>
      </c>
      <c r="I11655" s="4" t="s">
        <v>21522</v>
      </c>
    </row>
    <row r="11656">
      <c r="A11656" s="4">
        <v>655.0</v>
      </c>
      <c r="B11656" s="4" t="s">
        <v>22110</v>
      </c>
      <c r="C11656" s="4"/>
      <c r="D11656" s="4" t="s">
        <v>21523</v>
      </c>
      <c r="E11656" s="4" t="s">
        <v>21524</v>
      </c>
      <c r="F11656" s="4" t="s">
        <v>21523</v>
      </c>
    </row>
    <row r="11657">
      <c r="A11657" s="4">
        <v>656.0</v>
      </c>
      <c r="B11657" s="4" t="s">
        <v>22110</v>
      </c>
      <c r="C11657" s="4"/>
      <c r="D11657" s="4" t="s">
        <v>5474</v>
      </c>
      <c r="E11657" s="4" t="s">
        <v>5473</v>
      </c>
      <c r="F11657" s="4" t="s">
        <v>5474</v>
      </c>
    </row>
    <row r="11658">
      <c r="A11658" s="4">
        <v>657.0</v>
      </c>
      <c r="B11658" s="4" t="s">
        <v>22110</v>
      </c>
      <c r="C11658" s="4"/>
      <c r="D11658" s="4" t="s">
        <v>21525</v>
      </c>
      <c r="E11658" s="4" t="s">
        <v>3293</v>
      </c>
      <c r="F11658" s="4" t="s">
        <v>3292</v>
      </c>
      <c r="G11658" s="4"/>
      <c r="H11658" s="4" t="s">
        <v>3294</v>
      </c>
      <c r="I11658" s="4" t="s">
        <v>3295</v>
      </c>
      <c r="J11658" s="4" t="s">
        <v>3296</v>
      </c>
      <c r="K11658" s="4" t="s">
        <v>3147</v>
      </c>
      <c r="L11658" s="4" t="s">
        <v>3292</v>
      </c>
      <c r="M11658" s="4" t="s">
        <v>3297</v>
      </c>
      <c r="N11658" s="4" t="s">
        <v>3298</v>
      </c>
      <c r="O11658" s="4" t="s">
        <v>3299</v>
      </c>
      <c r="P11658" s="4" t="s">
        <v>3300</v>
      </c>
      <c r="Q11658" s="4" t="s">
        <v>3301</v>
      </c>
    </row>
    <row r="11659">
      <c r="A11659" s="4">
        <v>658.0</v>
      </c>
      <c r="B11659" s="4" t="s">
        <v>22110</v>
      </c>
      <c r="C11659" s="4"/>
      <c r="D11659" s="4" t="s">
        <v>13491</v>
      </c>
      <c r="E11659" s="4" t="s">
        <v>21526</v>
      </c>
      <c r="F11659" s="4" t="s">
        <v>13491</v>
      </c>
      <c r="G11659" s="4"/>
      <c r="H11659" s="4" t="s">
        <v>15218</v>
      </c>
      <c r="I11659" s="4" t="s">
        <v>7722</v>
      </c>
      <c r="J11659" s="4" t="s">
        <v>12852</v>
      </c>
      <c r="K11659" s="4" t="s">
        <v>20817</v>
      </c>
      <c r="L11659" s="4" t="s">
        <v>11456</v>
      </c>
      <c r="M11659" s="4" t="s">
        <v>15396</v>
      </c>
      <c r="N11659" s="4" t="s">
        <v>1256</v>
      </c>
      <c r="O11659" s="4" t="s">
        <v>7722</v>
      </c>
      <c r="P11659" s="4" t="s">
        <v>15397</v>
      </c>
      <c r="Q11659" s="4" t="s">
        <v>15396</v>
      </c>
      <c r="R11659" s="4" t="s">
        <v>13491</v>
      </c>
      <c r="S11659" s="4" t="s">
        <v>20816</v>
      </c>
      <c r="T11659" s="4" t="s">
        <v>20817</v>
      </c>
      <c r="U11659" s="4" t="s">
        <v>21527</v>
      </c>
      <c r="V11659" s="4" t="s">
        <v>21528</v>
      </c>
      <c r="W11659" s="4" t="s">
        <v>11456</v>
      </c>
      <c r="X11659" s="4" t="s">
        <v>21529</v>
      </c>
      <c r="Y11659" s="4" t="s">
        <v>14579</v>
      </c>
      <c r="Z11659" s="4" t="s">
        <v>21530</v>
      </c>
      <c r="AA11659" s="4" t="s">
        <v>21531</v>
      </c>
      <c r="AB11659" s="4" t="s">
        <v>21532</v>
      </c>
      <c r="AC11659" s="4" t="s">
        <v>21533</v>
      </c>
      <c r="AD11659" s="4" t="s">
        <v>21534</v>
      </c>
      <c r="AE11659" s="4" t="s">
        <v>21535</v>
      </c>
      <c r="AF11659" s="4" t="s">
        <v>20816</v>
      </c>
    </row>
    <row r="11660">
      <c r="A11660" s="4">
        <v>659.0</v>
      </c>
      <c r="B11660" s="4" t="s">
        <v>22110</v>
      </c>
      <c r="C11660" s="4"/>
      <c r="D11660" s="4" t="s">
        <v>21536</v>
      </c>
      <c r="E11660" s="4" t="s">
        <v>21537</v>
      </c>
      <c r="F11660" s="4" t="s">
        <v>21536</v>
      </c>
    </row>
    <row r="11661">
      <c r="A11661" s="4">
        <v>660.0</v>
      </c>
      <c r="B11661" s="4" t="s">
        <v>22110</v>
      </c>
      <c r="C11661" s="4"/>
      <c r="D11661" s="4" t="s">
        <v>3328</v>
      </c>
      <c r="E11661" s="4" t="s">
        <v>3329</v>
      </c>
      <c r="F11661" s="4" t="s">
        <v>3330</v>
      </c>
    </row>
    <row r="11662">
      <c r="A11662" s="4">
        <v>661.0</v>
      </c>
      <c r="B11662" s="4" t="s">
        <v>22110</v>
      </c>
      <c r="C11662" s="4"/>
      <c r="D11662" s="4" t="s">
        <v>21538</v>
      </c>
      <c r="E11662" s="4" t="s">
        <v>21539</v>
      </c>
      <c r="F11662" s="4" t="s">
        <v>21540</v>
      </c>
    </row>
    <row r="11663">
      <c r="A11663" s="4">
        <v>662.0</v>
      </c>
      <c r="B11663" s="4" t="s">
        <v>22110</v>
      </c>
      <c r="C11663" s="4"/>
      <c r="D11663" s="4" t="s">
        <v>21541</v>
      </c>
      <c r="E11663" s="4" t="s">
        <v>21542</v>
      </c>
      <c r="F11663" s="4" t="s">
        <v>21541</v>
      </c>
    </row>
    <row r="11664">
      <c r="A11664" s="4">
        <v>663.0</v>
      </c>
      <c r="B11664" s="4" t="s">
        <v>22110</v>
      </c>
      <c r="C11664" s="4"/>
      <c r="D11664" s="4" t="s">
        <v>21543</v>
      </c>
      <c r="E11664" s="4" t="s">
        <v>21544</v>
      </c>
      <c r="F11664" s="4" t="s">
        <v>21543</v>
      </c>
      <c r="G11664" s="4"/>
      <c r="H11664" s="4" t="s">
        <v>21545</v>
      </c>
      <c r="I11664" s="4" t="s">
        <v>21546</v>
      </c>
      <c r="J11664" s="4" t="s">
        <v>21547</v>
      </c>
      <c r="K11664" s="4" t="s">
        <v>21548</v>
      </c>
      <c r="L11664" s="4" t="s">
        <v>21549</v>
      </c>
    </row>
    <row r="11665">
      <c r="A11665" s="4">
        <v>664.0</v>
      </c>
      <c r="B11665" s="4" t="s">
        <v>22110</v>
      </c>
      <c r="C11665" s="4"/>
      <c r="D11665" s="4" t="s">
        <v>21550</v>
      </c>
      <c r="E11665" s="4" t="s">
        <v>21551</v>
      </c>
      <c r="F11665" s="4" t="s">
        <v>21550</v>
      </c>
    </row>
    <row r="11666">
      <c r="A11666" s="4">
        <v>665.0</v>
      </c>
      <c r="B11666" s="4" t="s">
        <v>22110</v>
      </c>
      <c r="C11666" s="4"/>
      <c r="D11666" s="4" t="s">
        <v>21552</v>
      </c>
      <c r="E11666" s="4" t="s">
        <v>21553</v>
      </c>
      <c r="F11666" s="4" t="s">
        <v>21554</v>
      </c>
      <c r="G11666" s="4"/>
      <c r="H11666" s="4" t="s">
        <v>21555</v>
      </c>
      <c r="I11666" s="4" t="s">
        <v>21556</v>
      </c>
    </row>
    <row r="11667">
      <c r="A11667" s="4">
        <v>666.0</v>
      </c>
      <c r="B11667" s="4" t="s">
        <v>22110</v>
      </c>
      <c r="C11667" s="4"/>
      <c r="D11667" s="4" t="s">
        <v>3344</v>
      </c>
      <c r="E11667" s="4" t="s">
        <v>3345</v>
      </c>
      <c r="F11667" s="4" t="s">
        <v>3344</v>
      </c>
      <c r="G11667" s="4"/>
      <c r="H11667" s="4" t="s">
        <v>4305</v>
      </c>
      <c r="I11667" s="4" t="s">
        <v>6487</v>
      </c>
      <c r="J11667" s="4" t="s">
        <v>3346</v>
      </c>
      <c r="K11667" s="4" t="s">
        <v>945</v>
      </c>
      <c r="L11667" s="4" t="s">
        <v>941</v>
      </c>
      <c r="M11667" s="4" t="s">
        <v>942</v>
      </c>
      <c r="N11667" s="4" t="s">
        <v>943</v>
      </c>
      <c r="O11667" s="4" t="s">
        <v>944</v>
      </c>
      <c r="P11667" s="4" t="s">
        <v>21557</v>
      </c>
      <c r="Q11667" s="4" t="s">
        <v>326</v>
      </c>
      <c r="R11667" s="4" t="s">
        <v>20649</v>
      </c>
      <c r="S11667" s="4" t="s">
        <v>945</v>
      </c>
      <c r="T11667" s="4" t="s">
        <v>945</v>
      </c>
      <c r="U11667" s="4" t="s">
        <v>948</v>
      </c>
      <c r="V11667" s="4" t="s">
        <v>945</v>
      </c>
      <c r="W11667" s="4" t="s">
        <v>946</v>
      </c>
      <c r="X11667" s="4" t="s">
        <v>947</v>
      </c>
      <c r="Y11667" s="4" t="s">
        <v>945</v>
      </c>
      <c r="Z11667" s="4" t="s">
        <v>948</v>
      </c>
      <c r="AA11667" s="4" t="s">
        <v>326</v>
      </c>
      <c r="AB11667" s="4" t="s">
        <v>949</v>
      </c>
      <c r="AC11667" s="4" t="s">
        <v>950</v>
      </c>
      <c r="AD11667" s="4" t="s">
        <v>945</v>
      </c>
      <c r="AE11667" s="4" t="s">
        <v>951</v>
      </c>
      <c r="AF11667" s="4" t="s">
        <v>952</v>
      </c>
      <c r="AG11667" s="4" t="s">
        <v>953</v>
      </c>
      <c r="AH11667" s="4" t="s">
        <v>3346</v>
      </c>
      <c r="AI11667" s="4" t="s">
        <v>945</v>
      </c>
      <c r="AJ11667" s="4" t="s">
        <v>953</v>
      </c>
      <c r="AK11667" s="4" t="s">
        <v>3347</v>
      </c>
      <c r="AL11667" s="4" t="s">
        <v>3348</v>
      </c>
      <c r="AM11667" s="4" t="s">
        <v>3349</v>
      </c>
    </row>
    <row r="11668">
      <c r="A11668" s="4">
        <v>667.0</v>
      </c>
      <c r="B11668" s="4" t="s">
        <v>22110</v>
      </c>
      <c r="C11668" s="4"/>
      <c r="D11668" s="4" t="s">
        <v>21558</v>
      </c>
      <c r="E11668" s="4" t="s">
        <v>21559</v>
      </c>
      <c r="F11668" s="4" t="s">
        <v>21558</v>
      </c>
    </row>
    <row r="11669">
      <c r="A11669" s="4">
        <v>668.0</v>
      </c>
      <c r="B11669" s="4" t="s">
        <v>22110</v>
      </c>
      <c r="C11669" s="4"/>
      <c r="D11669" s="4" t="s">
        <v>21560</v>
      </c>
      <c r="E11669" s="4" t="s">
        <v>21561</v>
      </c>
      <c r="F11669" s="4" t="s">
        <v>21560</v>
      </c>
    </row>
    <row r="11670">
      <c r="A11670" s="4">
        <v>669.0</v>
      </c>
      <c r="B11670" s="4" t="s">
        <v>22110</v>
      </c>
      <c r="C11670" s="4"/>
      <c r="D11670" s="4" t="s">
        <v>21562</v>
      </c>
      <c r="E11670" s="4" t="s">
        <v>21559</v>
      </c>
      <c r="F11670" s="4" t="s">
        <v>21558</v>
      </c>
    </row>
    <row r="11671">
      <c r="A11671" s="4">
        <v>670.0</v>
      </c>
      <c r="B11671" s="4" t="s">
        <v>22110</v>
      </c>
      <c r="C11671" s="4"/>
      <c r="D11671" s="4" t="s">
        <v>21563</v>
      </c>
      <c r="E11671" s="4" t="s">
        <v>21561</v>
      </c>
      <c r="F11671" s="4" t="s">
        <v>21560</v>
      </c>
    </row>
    <row r="11672">
      <c r="A11672" s="4">
        <v>671.0</v>
      </c>
      <c r="B11672" s="4" t="s">
        <v>22110</v>
      </c>
      <c r="C11672" s="4"/>
      <c r="D11672" s="4" t="s">
        <v>21564</v>
      </c>
      <c r="E11672" s="4" t="s">
        <v>21565</v>
      </c>
      <c r="F11672" s="4" t="s">
        <v>21564</v>
      </c>
    </row>
    <row r="11673">
      <c r="A11673" s="4">
        <v>672.0</v>
      </c>
      <c r="B11673" s="4" t="s">
        <v>22110</v>
      </c>
      <c r="C11673" s="4"/>
      <c r="D11673" s="4" t="s">
        <v>21566</v>
      </c>
      <c r="E11673" s="4" t="s">
        <v>21567</v>
      </c>
      <c r="F11673" s="4" t="s">
        <v>21566</v>
      </c>
    </row>
    <row r="11674">
      <c r="A11674" s="4">
        <v>673.0</v>
      </c>
      <c r="B11674" s="4" t="s">
        <v>22110</v>
      </c>
      <c r="C11674" s="4"/>
      <c r="D11674" s="4" t="s">
        <v>21568</v>
      </c>
      <c r="E11674" s="4" t="s">
        <v>21569</v>
      </c>
      <c r="F11674" s="4" t="s">
        <v>21568</v>
      </c>
    </row>
    <row r="11675">
      <c r="A11675" s="4">
        <v>674.0</v>
      </c>
      <c r="B11675" s="4" t="s">
        <v>22110</v>
      </c>
      <c r="C11675" s="4"/>
      <c r="D11675" s="4" t="s">
        <v>21570</v>
      </c>
      <c r="E11675" s="4" t="s">
        <v>21569</v>
      </c>
      <c r="F11675" s="4" t="s">
        <v>21568</v>
      </c>
    </row>
    <row r="11676">
      <c r="A11676" s="4">
        <v>675.0</v>
      </c>
      <c r="B11676" s="4" t="s">
        <v>22110</v>
      </c>
      <c r="C11676" s="4"/>
      <c r="D11676" s="4" t="s">
        <v>3350</v>
      </c>
      <c r="E11676" s="4" t="s">
        <v>3351</v>
      </c>
      <c r="F11676" s="4" t="s">
        <v>3350</v>
      </c>
    </row>
    <row r="11677">
      <c r="A11677" s="4">
        <v>676.0</v>
      </c>
      <c r="B11677" s="4" t="s">
        <v>22110</v>
      </c>
      <c r="C11677" s="4"/>
      <c r="D11677" s="4" t="s">
        <v>21571</v>
      </c>
      <c r="E11677" s="4" t="s">
        <v>21565</v>
      </c>
      <c r="F11677" s="4" t="s">
        <v>21564</v>
      </c>
    </row>
    <row r="11678">
      <c r="A11678" s="4">
        <v>677.0</v>
      </c>
      <c r="B11678" s="4" t="s">
        <v>22110</v>
      </c>
      <c r="C11678" s="4"/>
      <c r="D11678" s="4" t="s">
        <v>21572</v>
      </c>
      <c r="E11678" s="4" t="s">
        <v>21569</v>
      </c>
      <c r="F11678" s="4" t="s">
        <v>21568</v>
      </c>
    </row>
    <row r="11679">
      <c r="A11679" s="4">
        <v>678.0</v>
      </c>
      <c r="B11679" s="4" t="s">
        <v>22110</v>
      </c>
      <c r="C11679" s="4"/>
      <c r="D11679" s="4" t="s">
        <v>3357</v>
      </c>
      <c r="E11679" s="4" t="s">
        <v>3351</v>
      </c>
      <c r="F11679" s="4" t="s">
        <v>3350</v>
      </c>
      <c r="G11679" s="4"/>
      <c r="H11679" s="4" t="s">
        <v>3352</v>
      </c>
    </row>
    <row r="11680">
      <c r="A11680" s="4">
        <v>679.0</v>
      </c>
      <c r="B11680" s="4" t="s">
        <v>22110</v>
      </c>
      <c r="C11680" s="4"/>
      <c r="D11680" s="4" t="s">
        <v>3387</v>
      </c>
      <c r="E11680" s="4" t="s">
        <v>3386</v>
      </c>
      <c r="F11680" s="4" t="s">
        <v>3387</v>
      </c>
    </row>
    <row r="11681">
      <c r="A11681" s="4">
        <v>680.0</v>
      </c>
      <c r="B11681" s="4" t="s">
        <v>22110</v>
      </c>
      <c r="C11681" s="4"/>
      <c r="D11681" s="4" t="s">
        <v>21573</v>
      </c>
      <c r="E11681" s="4" t="s">
        <v>21574</v>
      </c>
      <c r="F11681" s="4" t="s">
        <v>21573</v>
      </c>
    </row>
    <row r="11682">
      <c r="A11682" s="4">
        <v>681.0</v>
      </c>
      <c r="B11682" s="4" t="s">
        <v>22110</v>
      </c>
      <c r="C11682" s="4"/>
      <c r="D11682" s="4" t="s">
        <v>3396</v>
      </c>
      <c r="E11682" s="4" t="s">
        <v>3395</v>
      </c>
      <c r="F11682" s="4" t="s">
        <v>3396</v>
      </c>
      <c r="G11682" s="4"/>
      <c r="H11682" s="4" t="s">
        <v>4305</v>
      </c>
      <c r="I11682" s="4" t="s">
        <v>21575</v>
      </c>
      <c r="J11682" s="4" t="s">
        <v>15263</v>
      </c>
      <c r="K11682" s="4" t="s">
        <v>3398</v>
      </c>
      <c r="L11682" s="4" t="s">
        <v>3399</v>
      </c>
      <c r="M11682" s="4" t="s">
        <v>3400</v>
      </c>
      <c r="N11682" s="4" t="s">
        <v>3401</v>
      </c>
      <c r="O11682" s="4" t="s">
        <v>3402</v>
      </c>
      <c r="P11682" s="4" t="s">
        <v>647</v>
      </c>
      <c r="Q11682" s="4" t="s">
        <v>3403</v>
      </c>
      <c r="R11682" s="4" t="s">
        <v>3404</v>
      </c>
      <c r="S11682" s="4" t="s">
        <v>3405</v>
      </c>
      <c r="T11682" s="4" t="s">
        <v>3406</v>
      </c>
      <c r="U11682" s="4" t="s">
        <v>7129</v>
      </c>
      <c r="V11682" s="4" t="s">
        <v>7130</v>
      </c>
      <c r="W11682" s="4" t="s">
        <v>7131</v>
      </c>
      <c r="X11682" s="4" t="s">
        <v>3401</v>
      </c>
      <c r="Y11682" s="4" t="s">
        <v>7132</v>
      </c>
      <c r="Z11682" s="4" t="s">
        <v>647</v>
      </c>
      <c r="AA11682" s="4" t="s">
        <v>3401</v>
      </c>
      <c r="AB11682" s="4" t="s">
        <v>2075</v>
      </c>
      <c r="AC11682" s="4" t="s">
        <v>1056</v>
      </c>
      <c r="AD11682" s="4" t="s">
        <v>3413</v>
      </c>
      <c r="AE11682" s="4" t="s">
        <v>646</v>
      </c>
      <c r="AF11682" s="4" t="s">
        <v>3414</v>
      </c>
      <c r="AG11682" s="4" t="s">
        <v>647</v>
      </c>
      <c r="AH11682" s="4" t="s">
        <v>8975</v>
      </c>
      <c r="AI11682" s="4" t="s">
        <v>3415</v>
      </c>
      <c r="AJ11682" s="4" t="s">
        <v>647</v>
      </c>
      <c r="AK11682" s="4" t="s">
        <v>3416</v>
      </c>
      <c r="AL11682" s="4" t="s">
        <v>647</v>
      </c>
      <c r="AM11682" s="4" t="s">
        <v>7127</v>
      </c>
      <c r="AN11682" s="4" t="s">
        <v>7128</v>
      </c>
      <c r="AO11682" s="4" t="s">
        <v>16387</v>
      </c>
      <c r="AP11682" s="4" t="s">
        <v>647</v>
      </c>
      <c r="AQ11682" s="4" t="s">
        <v>7118</v>
      </c>
      <c r="AR11682" s="4" t="s">
        <v>7119</v>
      </c>
      <c r="AS11682" s="4" t="s">
        <v>3417</v>
      </c>
      <c r="AT11682" s="4" t="s">
        <v>3418</v>
      </c>
      <c r="AU11682" s="4" t="s">
        <v>3419</v>
      </c>
      <c r="AV11682" s="4" t="s">
        <v>3420</v>
      </c>
      <c r="AW11682" s="4" t="s">
        <v>3421</v>
      </c>
      <c r="AX11682" s="4" t="s">
        <v>647</v>
      </c>
      <c r="AY11682" s="4" t="s">
        <v>647</v>
      </c>
      <c r="AZ11682" s="4" t="s">
        <v>3422</v>
      </c>
      <c r="BA11682" s="4" t="s">
        <v>7121</v>
      </c>
      <c r="BB11682" s="4" t="s">
        <v>3416</v>
      </c>
      <c r="BC11682" s="4" t="s">
        <v>647</v>
      </c>
      <c r="BD11682" s="4" t="s">
        <v>7122</v>
      </c>
      <c r="BE11682" s="4" t="s">
        <v>7123</v>
      </c>
      <c r="BF11682" s="4" t="s">
        <v>7124</v>
      </c>
      <c r="BG11682" s="4" t="s">
        <v>3421</v>
      </c>
      <c r="BH11682" s="4" t="s">
        <v>7125</v>
      </c>
      <c r="BI11682" s="4" t="s">
        <v>7126</v>
      </c>
      <c r="BJ11682" s="4" t="s">
        <v>21576</v>
      </c>
      <c r="BK11682" s="4" t="s">
        <v>21577</v>
      </c>
      <c r="BL11682" s="4" t="s">
        <v>21578</v>
      </c>
      <c r="BM11682" s="4" t="s">
        <v>21579</v>
      </c>
      <c r="BN11682" s="4" t="s">
        <v>647</v>
      </c>
      <c r="BO11682" s="4" t="s">
        <v>1496</v>
      </c>
      <c r="BP11682" s="4" t="s">
        <v>647</v>
      </c>
      <c r="BQ11682" s="4" t="s">
        <v>2858</v>
      </c>
      <c r="BR11682" s="4" t="s">
        <v>3423</v>
      </c>
      <c r="BS11682" s="4" t="s">
        <v>1496</v>
      </c>
      <c r="BT11682" s="4" t="s">
        <v>3424</v>
      </c>
      <c r="BU11682" s="4" t="s">
        <v>1503</v>
      </c>
      <c r="BV11682" s="4" t="s">
        <v>647</v>
      </c>
      <c r="BW11682" s="4" t="s">
        <v>7120</v>
      </c>
      <c r="BX11682" s="4" t="s">
        <v>647</v>
      </c>
      <c r="BY11682" s="4" t="s">
        <v>21580</v>
      </c>
      <c r="BZ11682" s="4" t="s">
        <v>21581</v>
      </c>
      <c r="CA11682" s="4" t="s">
        <v>21582</v>
      </c>
      <c r="CB11682" s="4" t="s">
        <v>647</v>
      </c>
      <c r="CC11682" s="4" t="s">
        <v>2682</v>
      </c>
      <c r="CD11682" s="4" t="s">
        <v>647</v>
      </c>
      <c r="CE11682" s="4" t="s">
        <v>3398</v>
      </c>
      <c r="CF11682" s="4" t="s">
        <v>646</v>
      </c>
      <c r="CG11682" s="4" t="s">
        <v>637</v>
      </c>
      <c r="CH11682" s="4" t="s">
        <v>647</v>
      </c>
      <c r="CI11682" s="4" t="s">
        <v>648</v>
      </c>
      <c r="CJ11682" s="4" t="s">
        <v>649</v>
      </c>
      <c r="CK11682" s="4" t="s">
        <v>3425</v>
      </c>
      <c r="CL11682" s="4" t="s">
        <v>647</v>
      </c>
      <c r="CM11682" s="4" t="s">
        <v>3426</v>
      </c>
    </row>
    <row r="11683">
      <c r="A11683" s="4">
        <v>682.0</v>
      </c>
      <c r="B11683" s="4" t="s">
        <v>22110</v>
      </c>
      <c r="C11683" s="4"/>
      <c r="D11683" s="4" t="s">
        <v>21583</v>
      </c>
      <c r="E11683" s="4" t="s">
        <v>21584</v>
      </c>
      <c r="F11683" s="4" t="s">
        <v>21583</v>
      </c>
    </row>
    <row r="11684">
      <c r="A11684" s="4">
        <v>683.0</v>
      </c>
      <c r="B11684" s="4" t="s">
        <v>22110</v>
      </c>
      <c r="C11684" s="4"/>
      <c r="D11684" s="4" t="s">
        <v>10941</v>
      </c>
      <c r="E11684" s="4" t="s">
        <v>16845</v>
      </c>
      <c r="F11684" s="4" t="s">
        <v>10941</v>
      </c>
      <c r="G11684" s="4"/>
      <c r="H11684" s="4" t="s">
        <v>10181</v>
      </c>
      <c r="I11684" s="4" t="s">
        <v>7188</v>
      </c>
      <c r="J11684" s="4" t="s">
        <v>21585</v>
      </c>
      <c r="K11684" s="4" t="s">
        <v>1043</v>
      </c>
    </row>
    <row r="11685">
      <c r="A11685" s="4">
        <v>684.0</v>
      </c>
      <c r="B11685" s="4" t="s">
        <v>22110</v>
      </c>
      <c r="C11685" s="4"/>
      <c r="D11685" s="4" t="s">
        <v>21586</v>
      </c>
      <c r="E11685" s="4" t="s">
        <v>21587</v>
      </c>
      <c r="F11685" s="4" t="s">
        <v>21586</v>
      </c>
    </row>
    <row r="11686">
      <c r="A11686" s="4">
        <v>685.0</v>
      </c>
      <c r="B11686" s="4" t="s">
        <v>22110</v>
      </c>
      <c r="C11686" s="4"/>
      <c r="D11686" s="4" t="s">
        <v>3430</v>
      </c>
      <c r="E11686" s="4" t="s">
        <v>3431</v>
      </c>
      <c r="F11686" s="4" t="s">
        <v>3430</v>
      </c>
      <c r="G11686" s="4"/>
      <c r="H11686" s="4" t="s">
        <v>3432</v>
      </c>
      <c r="I11686" s="4" t="s">
        <v>2724</v>
      </c>
      <c r="J11686" s="4" t="s">
        <v>2725</v>
      </c>
      <c r="K11686" s="4" t="s">
        <v>3433</v>
      </c>
      <c r="L11686" s="4" t="s">
        <v>3434</v>
      </c>
      <c r="M11686" s="4" t="s">
        <v>3435</v>
      </c>
      <c r="N11686" s="4" t="s">
        <v>3436</v>
      </c>
      <c r="O11686" s="4" t="s">
        <v>3437</v>
      </c>
      <c r="P11686" s="4" t="s">
        <v>3438</v>
      </c>
      <c r="Q11686" s="4" t="s">
        <v>3439</v>
      </c>
      <c r="R11686" s="4" t="s">
        <v>3440</v>
      </c>
      <c r="S11686" s="4" t="s">
        <v>3441</v>
      </c>
    </row>
    <row r="11687">
      <c r="A11687" s="4">
        <v>686.0</v>
      </c>
      <c r="B11687" s="4" t="s">
        <v>22110</v>
      </c>
      <c r="C11687" s="4"/>
      <c r="D11687" s="4" t="s">
        <v>21588</v>
      </c>
      <c r="E11687" s="4" t="s">
        <v>21589</v>
      </c>
      <c r="F11687" s="4" t="s">
        <v>21590</v>
      </c>
    </row>
    <row r="11688">
      <c r="A11688" s="4">
        <v>687.0</v>
      </c>
      <c r="B11688" s="4" t="s">
        <v>22110</v>
      </c>
      <c r="C11688" s="4"/>
      <c r="D11688" s="4" t="s">
        <v>21591</v>
      </c>
      <c r="E11688" s="4" t="s">
        <v>21592</v>
      </c>
      <c r="F11688" s="4" t="s">
        <v>21591</v>
      </c>
      <c r="G11688" s="4"/>
      <c r="H11688" s="4" t="s">
        <v>19400</v>
      </c>
    </row>
    <row r="11689">
      <c r="A11689" s="4">
        <v>688.0</v>
      </c>
      <c r="B11689" s="4" t="s">
        <v>22110</v>
      </c>
      <c r="C11689" s="4"/>
      <c r="D11689" s="4" t="s">
        <v>21593</v>
      </c>
      <c r="E11689" s="4" t="s">
        <v>3443</v>
      </c>
      <c r="F11689" s="4" t="s">
        <v>3442</v>
      </c>
    </row>
    <row r="11690">
      <c r="A11690" s="4">
        <v>689.0</v>
      </c>
      <c r="B11690" s="4" t="s">
        <v>22110</v>
      </c>
      <c r="C11690" s="4"/>
      <c r="D11690" s="4" t="s">
        <v>21594</v>
      </c>
      <c r="E11690" s="4" t="s">
        <v>13258</v>
      </c>
      <c r="F11690" s="4" t="s">
        <v>13259</v>
      </c>
    </row>
    <row r="11691">
      <c r="A11691" s="4">
        <v>690.0</v>
      </c>
      <c r="B11691" s="4" t="s">
        <v>22110</v>
      </c>
      <c r="C11691" s="4"/>
      <c r="D11691" s="4" t="s">
        <v>21595</v>
      </c>
      <c r="E11691" s="4" t="s">
        <v>21596</v>
      </c>
      <c r="F11691" s="4" t="s">
        <v>21595</v>
      </c>
    </row>
    <row r="11692">
      <c r="A11692" s="4">
        <v>691.0</v>
      </c>
      <c r="B11692" s="4" t="s">
        <v>22110</v>
      </c>
      <c r="C11692" s="4"/>
      <c r="D11692" s="4" t="s">
        <v>21597</v>
      </c>
      <c r="E11692" s="4" t="s">
        <v>21598</v>
      </c>
      <c r="F11692" s="4" t="s">
        <v>21597</v>
      </c>
    </row>
    <row r="11693">
      <c r="A11693" s="4">
        <v>692.0</v>
      </c>
      <c r="B11693" s="4" t="s">
        <v>22110</v>
      </c>
      <c r="C11693" s="4"/>
      <c r="D11693" s="4" t="s">
        <v>21599</v>
      </c>
      <c r="E11693" s="4" t="s">
        <v>18490</v>
      </c>
      <c r="F11693" s="4" t="s">
        <v>18491</v>
      </c>
    </row>
    <row r="11694">
      <c r="A11694" s="4">
        <v>693.0</v>
      </c>
      <c r="B11694" s="4" t="s">
        <v>22110</v>
      </c>
      <c r="C11694" s="4"/>
      <c r="D11694" s="4" t="s">
        <v>230</v>
      </c>
      <c r="E11694" s="4" t="s">
        <v>229</v>
      </c>
      <c r="F11694" s="4" t="s">
        <v>230</v>
      </c>
      <c r="G11694" s="4"/>
      <c r="H11694" s="4" t="s">
        <v>230</v>
      </c>
    </row>
    <row r="11695">
      <c r="A11695" s="4">
        <v>694.0</v>
      </c>
      <c r="B11695" s="4" t="s">
        <v>22110</v>
      </c>
      <c r="C11695" s="4"/>
      <c r="D11695" s="4" t="s">
        <v>3464</v>
      </c>
      <c r="E11695" s="4" t="s">
        <v>235</v>
      </c>
      <c r="F11695" s="4" t="s">
        <v>236</v>
      </c>
      <c r="G11695" s="4"/>
      <c r="H11695" s="4" t="s">
        <v>13316</v>
      </c>
      <c r="I11695" s="4" t="s">
        <v>13317</v>
      </c>
    </row>
    <row r="11696">
      <c r="A11696" s="4">
        <v>695.0</v>
      </c>
      <c r="B11696" s="4" t="s">
        <v>22110</v>
      </c>
      <c r="C11696" s="4"/>
      <c r="D11696" s="4" t="s">
        <v>3480</v>
      </c>
      <c r="E11696" s="4" t="s">
        <v>3506</v>
      </c>
      <c r="F11696" s="4" t="s">
        <v>3507</v>
      </c>
      <c r="G11696" s="4"/>
      <c r="H11696" s="4" t="s">
        <v>6785</v>
      </c>
      <c r="I11696" s="4" t="s">
        <v>6771</v>
      </c>
      <c r="J11696" s="4" t="s">
        <v>6786</v>
      </c>
      <c r="K11696" s="4" t="s">
        <v>6787</v>
      </c>
      <c r="L11696" s="4" t="s">
        <v>6788</v>
      </c>
      <c r="M11696" s="4" t="s">
        <v>3481</v>
      </c>
      <c r="N11696" s="4" t="s">
        <v>3169</v>
      </c>
      <c r="O11696" s="4" t="s">
        <v>3482</v>
      </c>
      <c r="P11696" s="4" t="s">
        <v>21600</v>
      </c>
      <c r="Q11696" s="4" t="s">
        <v>21601</v>
      </c>
      <c r="R11696" s="4" t="s">
        <v>21602</v>
      </c>
      <c r="S11696" s="4" t="s">
        <v>3485</v>
      </c>
      <c r="T11696" s="4" t="s">
        <v>3459</v>
      </c>
      <c r="U11696" s="4" t="s">
        <v>3486</v>
      </c>
      <c r="V11696" s="4" t="s">
        <v>8763</v>
      </c>
      <c r="W11696" s="4" t="s">
        <v>20602</v>
      </c>
      <c r="X11696" s="4" t="s">
        <v>3487</v>
      </c>
      <c r="Y11696" s="4" t="s">
        <v>3487</v>
      </c>
      <c r="Z11696" s="4" t="s">
        <v>789</v>
      </c>
      <c r="AA11696" s="4" t="s">
        <v>3488</v>
      </c>
      <c r="AB11696" s="4" t="s">
        <v>788</v>
      </c>
      <c r="AC11696" s="4" t="s">
        <v>3489</v>
      </c>
      <c r="AD11696" s="4" t="s">
        <v>3490</v>
      </c>
      <c r="AE11696" s="4" t="s">
        <v>789</v>
      </c>
      <c r="AF11696" s="4" t="s">
        <v>3491</v>
      </c>
      <c r="AG11696" s="4" t="s">
        <v>3492</v>
      </c>
      <c r="AH11696" s="4" t="s">
        <v>6172</v>
      </c>
      <c r="AI11696" s="4" t="s">
        <v>2603</v>
      </c>
      <c r="AJ11696" s="4" t="s">
        <v>21603</v>
      </c>
      <c r="AK11696" s="4" t="s">
        <v>536</v>
      </c>
      <c r="AL11696" s="4" t="s">
        <v>4306</v>
      </c>
      <c r="AM11696" s="4" t="s">
        <v>6487</v>
      </c>
      <c r="AN11696" s="4" t="s">
        <v>3496</v>
      </c>
      <c r="AO11696" s="4" t="s">
        <v>3497</v>
      </c>
      <c r="AP11696" s="4" t="s">
        <v>3500</v>
      </c>
      <c r="AQ11696" s="4" t="s">
        <v>3169</v>
      </c>
      <c r="AR11696" s="4" t="s">
        <v>3169</v>
      </c>
      <c r="AS11696" s="4" t="s">
        <v>3459</v>
      </c>
      <c r="AT11696" s="4" t="s">
        <v>943</v>
      </c>
      <c r="AU11696" s="4" t="s">
        <v>3482</v>
      </c>
      <c r="AV11696" s="4" t="s">
        <v>3500</v>
      </c>
      <c r="AW11696" s="4" t="s">
        <v>3497</v>
      </c>
      <c r="AX11696" s="4" t="s">
        <v>21604</v>
      </c>
      <c r="AY11696" s="4" t="s">
        <v>21605</v>
      </c>
      <c r="AZ11696" s="4" t="s">
        <v>919</v>
      </c>
      <c r="BA11696" s="4" t="s">
        <v>920</v>
      </c>
      <c r="BB11696" s="4" t="s">
        <v>6407</v>
      </c>
      <c r="BC11696" s="4" t="s">
        <v>21606</v>
      </c>
      <c r="BD11696" s="4" t="s">
        <v>21607</v>
      </c>
      <c r="BE11696" s="4" t="s">
        <v>3630</v>
      </c>
      <c r="BF11696" s="4" t="s">
        <v>3634</v>
      </c>
      <c r="BG11696" s="4" t="s">
        <v>3501</v>
      </c>
      <c r="BH11696" s="4" t="s">
        <v>3501</v>
      </c>
      <c r="BI11696" s="4" t="s">
        <v>3501</v>
      </c>
      <c r="BJ11696" s="4" t="s">
        <v>3497</v>
      </c>
      <c r="BK11696" s="4" t="s">
        <v>3482</v>
      </c>
      <c r="BL11696" s="4" t="s">
        <v>3503</v>
      </c>
      <c r="BM11696" s="4" t="s">
        <v>3493</v>
      </c>
    </row>
    <row r="11697">
      <c r="A11697" s="4">
        <v>696.0</v>
      </c>
      <c r="B11697" s="4" t="s">
        <v>22110</v>
      </c>
      <c r="C11697" s="4"/>
      <c r="D11697" s="4" t="s">
        <v>21608</v>
      </c>
      <c r="E11697" s="4" t="s">
        <v>21609</v>
      </c>
      <c r="F11697" s="4" t="s">
        <v>21610</v>
      </c>
    </row>
    <row r="11698">
      <c r="A11698" s="4">
        <v>697.0</v>
      </c>
      <c r="B11698" s="4" t="s">
        <v>22110</v>
      </c>
      <c r="C11698" s="4"/>
      <c r="D11698" s="4" t="s">
        <v>21611</v>
      </c>
      <c r="E11698" s="4" t="s">
        <v>21612</v>
      </c>
      <c r="F11698" s="4" t="s">
        <v>21613</v>
      </c>
    </row>
    <row r="11699">
      <c r="A11699" s="4">
        <v>698.0</v>
      </c>
      <c r="B11699" s="4" t="s">
        <v>22110</v>
      </c>
      <c r="C11699" s="4"/>
      <c r="D11699" s="4" t="s">
        <v>21614</v>
      </c>
      <c r="E11699" s="4" t="s">
        <v>21609</v>
      </c>
      <c r="F11699" s="4" t="s">
        <v>21610</v>
      </c>
    </row>
    <row r="11700">
      <c r="A11700" s="4">
        <v>699.0</v>
      </c>
      <c r="B11700" s="4" t="s">
        <v>22110</v>
      </c>
      <c r="C11700" s="4"/>
      <c r="D11700" s="4" t="s">
        <v>21615</v>
      </c>
      <c r="E11700" s="4" t="s">
        <v>21612</v>
      </c>
      <c r="F11700" s="4" t="s">
        <v>21613</v>
      </c>
    </row>
    <row r="11701">
      <c r="A11701" s="4">
        <v>700.0</v>
      </c>
      <c r="B11701" s="4" t="s">
        <v>22110</v>
      </c>
      <c r="C11701" s="4"/>
      <c r="D11701" s="4" t="s">
        <v>21616</v>
      </c>
      <c r="E11701" s="4" t="s">
        <v>21617</v>
      </c>
      <c r="F11701" s="4" t="s">
        <v>21618</v>
      </c>
    </row>
    <row r="11702">
      <c r="A11702" s="4">
        <v>701.0</v>
      </c>
      <c r="B11702" s="4" t="s">
        <v>22110</v>
      </c>
      <c r="C11702" s="4"/>
      <c r="D11702" s="4" t="s">
        <v>18527</v>
      </c>
      <c r="E11702" s="4" t="s">
        <v>21619</v>
      </c>
      <c r="F11702" s="4" t="s">
        <v>236</v>
      </c>
    </row>
    <row r="11703">
      <c r="A11703" s="4">
        <v>702.0</v>
      </c>
      <c r="B11703" s="4" t="s">
        <v>22110</v>
      </c>
      <c r="C11703" s="4"/>
      <c r="D11703" s="4" t="s">
        <v>21620</v>
      </c>
      <c r="E11703" s="4" t="s">
        <v>21621</v>
      </c>
      <c r="F11703" s="4" t="s">
        <v>21622</v>
      </c>
    </row>
    <row r="11704">
      <c r="A11704" s="4">
        <v>703.0</v>
      </c>
      <c r="B11704" s="4" t="s">
        <v>22110</v>
      </c>
      <c r="C11704" s="4"/>
      <c r="D11704" s="4" t="s">
        <v>3519</v>
      </c>
      <c r="E11704" s="4" t="s">
        <v>3520</v>
      </c>
      <c r="F11704" s="4" t="s">
        <v>3519</v>
      </c>
      <c r="G11704" s="4"/>
      <c r="H11704" s="4" t="s">
        <v>3521</v>
      </c>
      <c r="I11704" s="4" t="s">
        <v>3522</v>
      </c>
      <c r="J11704" s="4" t="s">
        <v>3526</v>
      </c>
      <c r="K11704" s="4" t="s">
        <v>3415</v>
      </c>
      <c r="L11704" s="4" t="s">
        <v>483</v>
      </c>
      <c r="M11704" s="4" t="s">
        <v>484</v>
      </c>
      <c r="N11704" s="4" t="s">
        <v>2824</v>
      </c>
      <c r="O11704" s="4" t="s">
        <v>2825</v>
      </c>
      <c r="P11704" s="4" t="s">
        <v>2826</v>
      </c>
      <c r="Q11704" s="4" t="s">
        <v>1734</v>
      </c>
      <c r="R11704" s="4" t="s">
        <v>482</v>
      </c>
      <c r="S11704" s="4" t="s">
        <v>1736</v>
      </c>
      <c r="T11704" s="4" t="s">
        <v>1737</v>
      </c>
      <c r="U11704" s="4" t="s">
        <v>1738</v>
      </c>
      <c r="V11704" s="4" t="s">
        <v>1739</v>
      </c>
      <c r="W11704" s="4" t="s">
        <v>1740</v>
      </c>
      <c r="X11704" s="4" t="s">
        <v>1741</v>
      </c>
      <c r="Y11704" s="4" t="s">
        <v>484</v>
      </c>
      <c r="Z11704" s="4" t="s">
        <v>1742</v>
      </c>
      <c r="AA11704" s="4" t="s">
        <v>1743</v>
      </c>
      <c r="AB11704" s="4" t="s">
        <v>1744</v>
      </c>
      <c r="AC11704" s="4" t="s">
        <v>1745</v>
      </c>
      <c r="AD11704" s="4" t="s">
        <v>1746</v>
      </c>
      <c r="AE11704" s="4" t="s">
        <v>1747</v>
      </c>
      <c r="AF11704" s="4" t="s">
        <v>1748</v>
      </c>
      <c r="AG11704" s="4" t="s">
        <v>1749</v>
      </c>
      <c r="AH11704" s="4" t="s">
        <v>1750</v>
      </c>
      <c r="AI11704" s="4" t="s">
        <v>483</v>
      </c>
      <c r="AJ11704" s="4" t="s">
        <v>1751</v>
      </c>
      <c r="AK11704" s="4" t="s">
        <v>1752</v>
      </c>
      <c r="AL11704" s="4" t="s">
        <v>1753</v>
      </c>
      <c r="AM11704" s="4" t="s">
        <v>1754</v>
      </c>
      <c r="AN11704" s="4" t="s">
        <v>1755</v>
      </c>
      <c r="AO11704" s="4" t="s">
        <v>1756</v>
      </c>
      <c r="AP11704" s="4" t="s">
        <v>1757</v>
      </c>
      <c r="AQ11704" s="4" t="s">
        <v>482</v>
      </c>
      <c r="AR11704" s="4" t="s">
        <v>1758</v>
      </c>
      <c r="AS11704" s="4" t="s">
        <v>780</v>
      </c>
      <c r="AT11704" s="4" t="s">
        <v>1759</v>
      </c>
      <c r="AU11704" s="4" t="s">
        <v>1760</v>
      </c>
      <c r="AV11704" s="4" t="s">
        <v>1761</v>
      </c>
      <c r="AW11704" s="4" t="s">
        <v>1762</v>
      </c>
      <c r="AX11704" s="4" t="s">
        <v>1763</v>
      </c>
      <c r="AY11704" s="4" t="s">
        <v>1764</v>
      </c>
      <c r="AZ11704" s="4" t="s">
        <v>1765</v>
      </c>
      <c r="BA11704" s="4" t="s">
        <v>1766</v>
      </c>
      <c r="BB11704" s="4" t="s">
        <v>1767</v>
      </c>
      <c r="BC11704" s="4" t="s">
        <v>1768</v>
      </c>
      <c r="BD11704" s="4" t="s">
        <v>1769</v>
      </c>
      <c r="BE11704" s="4" t="s">
        <v>1770</v>
      </c>
      <c r="BF11704" s="4" t="s">
        <v>1771</v>
      </c>
      <c r="BG11704" s="4" t="s">
        <v>1772</v>
      </c>
      <c r="BH11704" s="4" t="s">
        <v>1773</v>
      </c>
    </row>
    <row r="11705">
      <c r="A11705" s="4">
        <v>704.0</v>
      </c>
      <c r="B11705" s="4" t="s">
        <v>22110</v>
      </c>
      <c r="C11705" s="4"/>
      <c r="D11705" s="4" t="s">
        <v>3523</v>
      </c>
      <c r="E11705" s="4" t="s">
        <v>3528</v>
      </c>
      <c r="F11705" s="4" t="s">
        <v>3523</v>
      </c>
      <c r="G11705" s="4"/>
      <c r="H11705" s="4" t="s">
        <v>3525</v>
      </c>
      <c r="I11705" s="4" t="s">
        <v>3527</v>
      </c>
    </row>
    <row r="11706">
      <c r="A11706" s="4">
        <v>705.0</v>
      </c>
      <c r="B11706" s="4" t="s">
        <v>22110</v>
      </c>
      <c r="C11706" s="4"/>
      <c r="D11706" s="4" t="s">
        <v>21623</v>
      </c>
      <c r="E11706" s="4" t="s">
        <v>21624</v>
      </c>
      <c r="F11706" s="4" t="s">
        <v>21623</v>
      </c>
      <c r="G11706" s="4"/>
      <c r="H11706" s="4" t="s">
        <v>3596</v>
      </c>
      <c r="I11706" s="4" t="s">
        <v>3497</v>
      </c>
      <c r="J11706" s="4" t="s">
        <v>3597</v>
      </c>
      <c r="K11706" s="4" t="s">
        <v>3598</v>
      </c>
      <c r="L11706" s="4" t="s">
        <v>3599</v>
      </c>
      <c r="M11706" s="4" t="s">
        <v>3600</v>
      </c>
      <c r="N11706" s="4" t="s">
        <v>3601</v>
      </c>
      <c r="O11706" s="4" t="s">
        <v>3602</v>
      </c>
    </row>
    <row r="11707">
      <c r="A11707" s="4">
        <v>706.0</v>
      </c>
      <c r="B11707" s="4" t="s">
        <v>22110</v>
      </c>
      <c r="C11707" s="4"/>
      <c r="D11707" s="4" t="s">
        <v>21625</v>
      </c>
      <c r="E11707" s="4" t="s">
        <v>21626</v>
      </c>
      <c r="F11707" s="4" t="s">
        <v>21625</v>
      </c>
    </row>
    <row r="11708">
      <c r="A11708" s="4">
        <v>707.0</v>
      </c>
      <c r="B11708" s="4" t="s">
        <v>22110</v>
      </c>
      <c r="C11708" s="4"/>
      <c r="D11708" s="4" t="s">
        <v>3170</v>
      </c>
      <c r="E11708" s="4" t="s">
        <v>3539</v>
      </c>
      <c r="F11708" s="4" t="s">
        <v>3170</v>
      </c>
    </row>
    <row r="11709">
      <c r="A11709" s="4">
        <v>708.0</v>
      </c>
      <c r="B11709" s="4" t="s">
        <v>22110</v>
      </c>
      <c r="C11709" s="4"/>
      <c r="D11709" s="4" t="s">
        <v>3553</v>
      </c>
      <c r="E11709" s="4" t="s">
        <v>3554</v>
      </c>
      <c r="F11709" s="4" t="s">
        <v>3553</v>
      </c>
      <c r="G11709" s="4"/>
      <c r="H11709" s="4" t="s">
        <v>16228</v>
      </c>
      <c r="I11709" s="4" t="s">
        <v>16229</v>
      </c>
      <c r="J11709" s="4" t="s">
        <v>3555</v>
      </c>
      <c r="K11709" s="4" t="s">
        <v>3556</v>
      </c>
    </row>
    <row r="11710">
      <c r="A11710" s="4">
        <v>709.0</v>
      </c>
      <c r="B11710" s="4" t="s">
        <v>22110</v>
      </c>
      <c r="C11710" s="4"/>
      <c r="D11710" s="4" t="s">
        <v>3557</v>
      </c>
      <c r="E11710" s="4" t="s">
        <v>3558</v>
      </c>
      <c r="F11710" s="4" t="s">
        <v>3557</v>
      </c>
    </row>
    <row r="11711">
      <c r="A11711" s="4">
        <v>710.0</v>
      </c>
      <c r="B11711" s="4" t="s">
        <v>22110</v>
      </c>
      <c r="C11711" s="4"/>
      <c r="D11711" s="4" t="s">
        <v>21627</v>
      </c>
      <c r="E11711" s="4" t="s">
        <v>21628</v>
      </c>
      <c r="F11711" s="4" t="s">
        <v>21627</v>
      </c>
    </row>
    <row r="11712">
      <c r="A11712" s="4">
        <v>711.0</v>
      </c>
      <c r="B11712" s="4" t="s">
        <v>22110</v>
      </c>
      <c r="C11712" s="4"/>
      <c r="D11712" s="4" t="s">
        <v>21629</v>
      </c>
      <c r="E11712" s="4" t="s">
        <v>5503</v>
      </c>
      <c r="F11712" s="4" t="s">
        <v>5504</v>
      </c>
      <c r="G11712" s="4"/>
      <c r="H11712" s="4" t="s">
        <v>7241</v>
      </c>
      <c r="I11712" s="4" t="s">
        <v>7239</v>
      </c>
      <c r="J11712" s="4" t="s">
        <v>7242</v>
      </c>
      <c r="K11712" s="4" t="s">
        <v>7243</v>
      </c>
      <c r="L11712" s="4" t="s">
        <v>7244</v>
      </c>
      <c r="M11712" s="4" t="s">
        <v>7245</v>
      </c>
    </row>
    <row r="11713">
      <c r="A11713" s="4">
        <v>712.0</v>
      </c>
      <c r="B11713" s="4" t="s">
        <v>22110</v>
      </c>
      <c r="C11713" s="4"/>
      <c r="D11713" s="4" t="s">
        <v>3559</v>
      </c>
      <c r="E11713" s="4" t="s">
        <v>3560</v>
      </c>
      <c r="F11713" s="4" t="s">
        <v>3559</v>
      </c>
      <c r="G11713" s="4"/>
      <c r="H11713" s="4" t="s">
        <v>21630</v>
      </c>
      <c r="I11713" s="4" t="s">
        <v>21631</v>
      </c>
      <c r="J11713" s="4" t="s">
        <v>3561</v>
      </c>
    </row>
    <row r="11714">
      <c r="A11714" s="4">
        <v>713.0</v>
      </c>
      <c r="B11714" s="4" t="s">
        <v>22110</v>
      </c>
      <c r="C11714" s="4"/>
      <c r="D11714" s="4" t="s">
        <v>21632</v>
      </c>
      <c r="E11714" s="4" t="s">
        <v>21633</v>
      </c>
      <c r="F11714" s="4" t="s">
        <v>21632</v>
      </c>
    </row>
    <row r="11715">
      <c r="A11715" s="4">
        <v>714.0</v>
      </c>
      <c r="B11715" s="4" t="s">
        <v>22110</v>
      </c>
      <c r="C11715" s="4"/>
      <c r="D11715" s="4" t="s">
        <v>9171</v>
      </c>
      <c r="E11715" s="4" t="s">
        <v>9172</v>
      </c>
      <c r="F11715" s="4" t="s">
        <v>9171</v>
      </c>
    </row>
    <row r="11716">
      <c r="A11716" s="4">
        <v>715.0</v>
      </c>
      <c r="B11716" s="4" t="s">
        <v>22110</v>
      </c>
      <c r="C11716" s="4"/>
      <c r="D11716" s="4" t="s">
        <v>21634</v>
      </c>
      <c r="E11716" s="4" t="s">
        <v>21635</v>
      </c>
      <c r="F11716" s="4" t="s">
        <v>21634</v>
      </c>
    </row>
    <row r="11717">
      <c r="A11717" s="4">
        <v>716.0</v>
      </c>
      <c r="B11717" s="4" t="s">
        <v>22110</v>
      </c>
      <c r="C11717" s="4"/>
      <c r="D11717" s="4" t="s">
        <v>21636</v>
      </c>
      <c r="E11717" s="4" t="s">
        <v>21637</v>
      </c>
      <c r="F11717" s="4" t="s">
        <v>21636</v>
      </c>
    </row>
    <row r="11718">
      <c r="A11718" s="4">
        <v>717.0</v>
      </c>
      <c r="B11718" s="4" t="s">
        <v>22110</v>
      </c>
      <c r="C11718" s="4"/>
      <c r="D11718" s="4" t="s">
        <v>21638</v>
      </c>
      <c r="E11718" s="4" t="s">
        <v>21639</v>
      </c>
      <c r="F11718" s="4" t="s">
        <v>21640</v>
      </c>
    </row>
    <row r="11719">
      <c r="A11719" s="4">
        <v>718.0</v>
      </c>
      <c r="B11719" s="4" t="s">
        <v>22110</v>
      </c>
      <c r="C11719" s="4"/>
      <c r="D11719" s="4" t="s">
        <v>21641</v>
      </c>
      <c r="E11719" s="4" t="s">
        <v>21642</v>
      </c>
      <c r="F11719" s="4" t="s">
        <v>21643</v>
      </c>
      <c r="G11719" s="4"/>
      <c r="H11719" s="4" t="s">
        <v>8475</v>
      </c>
      <c r="I11719" s="4" t="s">
        <v>3234</v>
      </c>
      <c r="J11719" s="4" t="s">
        <v>8481</v>
      </c>
    </row>
    <row r="11720">
      <c r="A11720" s="4">
        <v>719.0</v>
      </c>
      <c r="B11720" s="4" t="s">
        <v>22110</v>
      </c>
      <c r="C11720" s="4"/>
      <c r="D11720" s="4" t="s">
        <v>3570</v>
      </c>
      <c r="E11720" s="4" t="s">
        <v>3571</v>
      </c>
      <c r="F11720" s="4" t="s">
        <v>3570</v>
      </c>
      <c r="G11720" s="4"/>
      <c r="H11720" s="4" t="s">
        <v>7241</v>
      </c>
      <c r="I11720" s="4" t="s">
        <v>7239</v>
      </c>
      <c r="J11720" s="4" t="s">
        <v>7242</v>
      </c>
      <c r="K11720" s="4" t="s">
        <v>7243</v>
      </c>
      <c r="L11720" s="4" t="s">
        <v>7244</v>
      </c>
      <c r="M11720" s="4" t="s">
        <v>7245</v>
      </c>
    </row>
    <row r="11721">
      <c r="A11721" s="4">
        <v>720.0</v>
      </c>
      <c r="B11721" s="4" t="s">
        <v>22110</v>
      </c>
      <c r="C11721" s="4"/>
      <c r="D11721" s="4" t="s">
        <v>14243</v>
      </c>
      <c r="E11721" s="4" t="s">
        <v>14244</v>
      </c>
      <c r="F11721" s="4" t="s">
        <v>14243</v>
      </c>
      <c r="G11721" s="4"/>
      <c r="H11721" s="4" t="s">
        <v>21644</v>
      </c>
      <c r="I11721" s="4" t="s">
        <v>3368</v>
      </c>
      <c r="J11721" s="4" t="s">
        <v>21645</v>
      </c>
      <c r="K11721" s="4" t="s">
        <v>21644</v>
      </c>
      <c r="L11721" s="4" t="s">
        <v>21646</v>
      </c>
      <c r="M11721" s="4" t="s">
        <v>3365</v>
      </c>
      <c r="N11721" s="4" t="s">
        <v>3368</v>
      </c>
    </row>
    <row r="11722">
      <c r="A11722" s="4">
        <v>721.0</v>
      </c>
      <c r="B11722" s="4" t="s">
        <v>22110</v>
      </c>
      <c r="C11722" s="4"/>
      <c r="D11722" s="4" t="s">
        <v>21647</v>
      </c>
      <c r="E11722" s="4" t="s">
        <v>21648</v>
      </c>
      <c r="F11722" s="4" t="s">
        <v>21647</v>
      </c>
    </row>
    <row r="11723">
      <c r="A11723" s="4">
        <v>722.0</v>
      </c>
      <c r="B11723" s="4" t="s">
        <v>22110</v>
      </c>
      <c r="C11723" s="4"/>
      <c r="D11723" s="4" t="s">
        <v>21649</v>
      </c>
      <c r="E11723" s="4" t="s">
        <v>21650</v>
      </c>
      <c r="F11723" s="4" t="s">
        <v>21649</v>
      </c>
    </row>
    <row r="11724">
      <c r="A11724" s="4">
        <v>723.0</v>
      </c>
      <c r="B11724" s="4" t="s">
        <v>22110</v>
      </c>
      <c r="C11724" s="4"/>
      <c r="D11724" s="4" t="s">
        <v>21651</v>
      </c>
      <c r="E11724" s="4" t="s">
        <v>21648</v>
      </c>
      <c r="F11724" s="4" t="s">
        <v>21647</v>
      </c>
    </row>
    <row r="11725">
      <c r="A11725" s="4">
        <v>724.0</v>
      </c>
      <c r="B11725" s="4" t="s">
        <v>22110</v>
      </c>
      <c r="C11725" s="4"/>
      <c r="D11725" s="4" t="s">
        <v>21652</v>
      </c>
      <c r="E11725" s="4" t="s">
        <v>21650</v>
      </c>
      <c r="F11725" s="4" t="s">
        <v>21649</v>
      </c>
    </row>
    <row r="11726">
      <c r="A11726" s="4">
        <v>725.0</v>
      </c>
      <c r="B11726" s="4" t="s">
        <v>22110</v>
      </c>
      <c r="C11726" s="4"/>
      <c r="D11726" s="4" t="s">
        <v>21653</v>
      </c>
      <c r="E11726" s="4" t="s">
        <v>21654</v>
      </c>
      <c r="F11726" s="4" t="s">
        <v>21653</v>
      </c>
    </row>
    <row r="11727">
      <c r="A11727" s="4">
        <v>726.0</v>
      </c>
      <c r="B11727" s="4" t="s">
        <v>22110</v>
      </c>
      <c r="C11727" s="4"/>
      <c r="D11727" s="4" t="s">
        <v>3595</v>
      </c>
      <c r="E11727" s="4" t="s">
        <v>3594</v>
      </c>
      <c r="F11727" s="4" t="s">
        <v>3595</v>
      </c>
    </row>
    <row r="11728">
      <c r="A11728" s="4">
        <v>727.0</v>
      </c>
      <c r="B11728" s="4" t="s">
        <v>22110</v>
      </c>
      <c r="C11728" s="4"/>
      <c r="D11728" s="4" t="s">
        <v>395</v>
      </c>
      <c r="E11728" s="4" t="s">
        <v>394</v>
      </c>
      <c r="F11728" s="4" t="s">
        <v>395</v>
      </c>
      <c r="G11728" s="4"/>
      <c r="H11728" s="4" t="s">
        <v>395</v>
      </c>
      <c r="I11728" s="4" t="s">
        <v>3587</v>
      </c>
    </row>
    <row r="11729">
      <c r="A11729" s="4">
        <v>728.0</v>
      </c>
      <c r="B11729" s="4" t="s">
        <v>22110</v>
      </c>
      <c r="C11729" s="4"/>
      <c r="D11729" s="4" t="s">
        <v>14245</v>
      </c>
      <c r="E11729" s="4" t="s">
        <v>14246</v>
      </c>
      <c r="F11729" s="4" t="s">
        <v>14245</v>
      </c>
    </row>
    <row r="11730">
      <c r="A11730" s="4">
        <v>729.0</v>
      </c>
      <c r="B11730" s="4" t="s">
        <v>22110</v>
      </c>
      <c r="C11730" s="4"/>
      <c r="D11730" s="4" t="s">
        <v>5458</v>
      </c>
      <c r="E11730" s="4" t="s">
        <v>5457</v>
      </c>
      <c r="F11730" s="4" t="s">
        <v>5458</v>
      </c>
    </row>
    <row r="11731">
      <c r="A11731" s="4">
        <v>730.0</v>
      </c>
      <c r="B11731" s="4" t="s">
        <v>22110</v>
      </c>
      <c r="C11731" s="4"/>
      <c r="D11731" s="4" t="s">
        <v>3545</v>
      </c>
      <c r="E11731" s="4" t="s">
        <v>3544</v>
      </c>
      <c r="F11731" s="4" t="s">
        <v>3545</v>
      </c>
    </row>
    <row r="11732">
      <c r="A11732" s="4">
        <v>731.0</v>
      </c>
      <c r="B11732" s="4" t="s">
        <v>22110</v>
      </c>
      <c r="C11732" s="4"/>
      <c r="D11732" s="4" t="s">
        <v>3551</v>
      </c>
      <c r="E11732" s="4" t="s">
        <v>3550</v>
      </c>
      <c r="F11732" s="4" t="s">
        <v>3551</v>
      </c>
    </row>
    <row r="11733">
      <c r="A11733" s="4">
        <v>732.0</v>
      </c>
      <c r="B11733" s="4" t="s">
        <v>22110</v>
      </c>
      <c r="C11733" s="4"/>
      <c r="D11733" s="4" t="s">
        <v>21655</v>
      </c>
      <c r="E11733" s="4" t="s">
        <v>400</v>
      </c>
      <c r="F11733" s="4" t="s">
        <v>401</v>
      </c>
    </row>
    <row r="11734">
      <c r="A11734" s="4">
        <v>733.0</v>
      </c>
      <c r="B11734" s="4" t="s">
        <v>22110</v>
      </c>
      <c r="C11734" s="4"/>
      <c r="D11734" s="4" t="s">
        <v>21656</v>
      </c>
      <c r="E11734" s="4" t="s">
        <v>21657</v>
      </c>
      <c r="F11734" s="4" t="s">
        <v>21658</v>
      </c>
    </row>
    <row r="11735">
      <c r="A11735" s="4">
        <v>734.0</v>
      </c>
      <c r="B11735" s="4" t="s">
        <v>22110</v>
      </c>
      <c r="C11735" s="4"/>
      <c r="D11735" s="4" t="s">
        <v>21659</v>
      </c>
      <c r="E11735" s="4" t="s">
        <v>21660</v>
      </c>
      <c r="F11735" s="4" t="s">
        <v>21661</v>
      </c>
      <c r="G11735" s="4"/>
      <c r="H11735" s="4" t="s">
        <v>918</v>
      </c>
      <c r="I11735" s="4" t="s">
        <v>21662</v>
      </c>
      <c r="J11735" s="4" t="s">
        <v>8089</v>
      </c>
      <c r="K11735" s="4" t="s">
        <v>7116</v>
      </c>
      <c r="L11735" s="4" t="s">
        <v>8089</v>
      </c>
      <c r="M11735" s="4" t="s">
        <v>7224</v>
      </c>
    </row>
    <row r="11736">
      <c r="A11736" s="4">
        <v>735.0</v>
      </c>
      <c r="B11736" s="4" t="s">
        <v>22110</v>
      </c>
      <c r="C11736" s="4"/>
      <c r="D11736" s="4" t="s">
        <v>21663</v>
      </c>
      <c r="E11736" s="4" t="s">
        <v>21664</v>
      </c>
      <c r="F11736" s="4" t="s">
        <v>21663</v>
      </c>
    </row>
    <row r="11737">
      <c r="A11737" s="4">
        <v>736.0</v>
      </c>
      <c r="B11737" s="4" t="s">
        <v>22110</v>
      </c>
      <c r="C11737" s="4"/>
      <c r="D11737" s="4" t="s">
        <v>3678</v>
      </c>
      <c r="E11737" s="4" t="s">
        <v>3679</v>
      </c>
      <c r="F11737" s="4" t="s">
        <v>3678</v>
      </c>
    </row>
    <row r="11738">
      <c r="A11738" s="4">
        <v>737.0</v>
      </c>
      <c r="B11738" s="4" t="s">
        <v>22110</v>
      </c>
      <c r="C11738" s="4"/>
      <c r="D11738" s="4" t="s">
        <v>11028</v>
      </c>
      <c r="E11738" s="4" t="s">
        <v>21665</v>
      </c>
      <c r="F11738" s="4" t="s">
        <v>11028</v>
      </c>
    </row>
    <row r="11739">
      <c r="A11739" s="4">
        <v>738.0</v>
      </c>
      <c r="B11739" s="4" t="s">
        <v>22110</v>
      </c>
      <c r="C11739" s="4"/>
      <c r="D11739" s="4" t="s">
        <v>16232</v>
      </c>
      <c r="E11739" s="4" t="s">
        <v>16233</v>
      </c>
      <c r="F11739" s="4" t="s">
        <v>16232</v>
      </c>
    </row>
    <row r="11740">
      <c r="A11740" s="4">
        <v>739.0</v>
      </c>
      <c r="B11740" s="4" t="s">
        <v>22110</v>
      </c>
      <c r="C11740" s="4"/>
      <c r="D11740" s="4" t="s">
        <v>21666</v>
      </c>
      <c r="E11740" s="4" t="s">
        <v>21667</v>
      </c>
      <c r="F11740" s="4" t="s">
        <v>21666</v>
      </c>
    </row>
    <row r="11741">
      <c r="A11741" s="4">
        <v>740.0</v>
      </c>
      <c r="B11741" s="4" t="s">
        <v>22110</v>
      </c>
      <c r="C11741" s="4"/>
      <c r="D11741" s="4" t="s">
        <v>21668</v>
      </c>
      <c r="E11741" s="4" t="s">
        <v>21669</v>
      </c>
      <c r="F11741" s="4" t="s">
        <v>21668</v>
      </c>
    </row>
    <row r="11742">
      <c r="A11742" s="4">
        <v>741.0</v>
      </c>
      <c r="B11742" s="4" t="s">
        <v>22110</v>
      </c>
      <c r="C11742" s="4"/>
      <c r="D11742" s="4" t="s">
        <v>21670</v>
      </c>
      <c r="E11742" s="4" t="s">
        <v>21671</v>
      </c>
      <c r="F11742" s="4" t="s">
        <v>21670</v>
      </c>
    </row>
    <row r="11743">
      <c r="A11743" s="4">
        <v>742.0</v>
      </c>
      <c r="B11743" s="4" t="s">
        <v>22110</v>
      </c>
      <c r="C11743" s="4"/>
      <c r="D11743" s="4" t="s">
        <v>3748</v>
      </c>
      <c r="E11743" s="4" t="s">
        <v>3749</v>
      </c>
      <c r="F11743" s="4" t="s">
        <v>3748</v>
      </c>
    </row>
    <row r="11744">
      <c r="A11744" s="4">
        <v>743.0</v>
      </c>
      <c r="B11744" s="4" t="s">
        <v>22110</v>
      </c>
      <c r="C11744" s="4"/>
      <c r="D11744" s="4" t="s">
        <v>21672</v>
      </c>
      <c r="E11744" s="4" t="s">
        <v>21673</v>
      </c>
      <c r="F11744" s="4" t="s">
        <v>21672</v>
      </c>
    </row>
    <row r="11745">
      <c r="A11745" s="4">
        <v>744.0</v>
      </c>
      <c r="B11745" s="4" t="s">
        <v>22110</v>
      </c>
      <c r="C11745" s="4"/>
      <c r="D11745" s="4" t="s">
        <v>3773</v>
      </c>
      <c r="E11745" s="4" t="s">
        <v>3774</v>
      </c>
      <c r="F11745" s="4" t="s">
        <v>3773</v>
      </c>
      <c r="G11745" s="4"/>
      <c r="H11745" s="4" t="s">
        <v>3775</v>
      </c>
      <c r="I11745" s="4" t="s">
        <v>3776</v>
      </c>
      <c r="J11745" s="4" t="s">
        <v>3777</v>
      </c>
      <c r="K11745" s="4" t="s">
        <v>3778</v>
      </c>
      <c r="L11745" s="4" t="s">
        <v>3779</v>
      </c>
      <c r="M11745" s="4" t="s">
        <v>3780</v>
      </c>
      <c r="N11745" s="4" t="s">
        <v>3781</v>
      </c>
    </row>
    <row r="11746">
      <c r="A11746" s="4">
        <v>745.0</v>
      </c>
      <c r="B11746" s="4" t="s">
        <v>22110</v>
      </c>
      <c r="C11746" s="4"/>
      <c r="D11746" s="4" t="s">
        <v>21674</v>
      </c>
      <c r="E11746" s="4" t="s">
        <v>21675</v>
      </c>
      <c r="F11746" s="4" t="s">
        <v>21676</v>
      </c>
    </row>
    <row r="11747">
      <c r="A11747" s="4">
        <v>746.0</v>
      </c>
      <c r="B11747" s="4" t="s">
        <v>22110</v>
      </c>
      <c r="C11747" s="4"/>
      <c r="D11747" s="4" t="s">
        <v>3726</v>
      </c>
      <c r="E11747" s="4" t="s">
        <v>3725</v>
      </c>
      <c r="F11747" s="4" t="s">
        <v>3726</v>
      </c>
      <c r="G11747" s="4"/>
      <c r="H11747" s="4" t="s">
        <v>21677</v>
      </c>
      <c r="I11747" s="4" t="s">
        <v>21678</v>
      </c>
      <c r="J11747" s="4" t="s">
        <v>21679</v>
      </c>
      <c r="K11747" s="4" t="s">
        <v>3727</v>
      </c>
      <c r="L11747" s="4" t="s">
        <v>3728</v>
      </c>
    </row>
    <row r="11748">
      <c r="A11748" s="4">
        <v>747.0</v>
      </c>
      <c r="B11748" s="4" t="s">
        <v>22110</v>
      </c>
      <c r="C11748" s="4"/>
      <c r="D11748" s="4" t="s">
        <v>14250</v>
      </c>
      <c r="E11748" s="4" t="s">
        <v>14251</v>
      </c>
      <c r="F11748" s="4" t="s">
        <v>14250</v>
      </c>
    </row>
    <row r="11749">
      <c r="A11749" s="4">
        <v>748.0</v>
      </c>
      <c r="B11749" s="4" t="s">
        <v>22110</v>
      </c>
      <c r="C11749" s="4"/>
      <c r="D11749" s="4" t="s">
        <v>21680</v>
      </c>
      <c r="E11749" s="4" t="s">
        <v>21489</v>
      </c>
      <c r="F11749" s="4" t="s">
        <v>10884</v>
      </c>
      <c r="G11749" s="4"/>
      <c r="H11749" s="4" t="s">
        <v>14886</v>
      </c>
    </row>
    <row r="11750">
      <c r="A11750" s="4">
        <v>749.0</v>
      </c>
      <c r="B11750" s="4" t="s">
        <v>22110</v>
      </c>
      <c r="C11750" s="4"/>
      <c r="D11750" s="4" t="s">
        <v>21681</v>
      </c>
      <c r="E11750" s="4" t="s">
        <v>21682</v>
      </c>
      <c r="F11750" s="4" t="s">
        <v>21683</v>
      </c>
    </row>
    <row r="11751">
      <c r="A11751" s="4">
        <v>750.0</v>
      </c>
      <c r="B11751" s="4" t="s">
        <v>22110</v>
      </c>
      <c r="C11751" s="4"/>
      <c r="D11751" s="4" t="s">
        <v>21684</v>
      </c>
      <c r="E11751" s="4" t="s">
        <v>16855</v>
      </c>
      <c r="F11751" s="4" t="s">
        <v>13260</v>
      </c>
    </row>
    <row r="11752">
      <c r="A11752" s="4">
        <v>751.0</v>
      </c>
      <c r="B11752" s="4" t="s">
        <v>22110</v>
      </c>
      <c r="C11752" s="4"/>
      <c r="D11752" s="4" t="s">
        <v>21685</v>
      </c>
      <c r="E11752" s="4" t="s">
        <v>21686</v>
      </c>
      <c r="F11752" s="4" t="s">
        <v>21687</v>
      </c>
    </row>
    <row r="11753">
      <c r="A11753" s="4">
        <v>752.0</v>
      </c>
      <c r="B11753" s="4" t="s">
        <v>22110</v>
      </c>
      <c r="C11753" s="4"/>
      <c r="D11753" s="4" t="s">
        <v>21688</v>
      </c>
      <c r="E11753" s="4" t="s">
        <v>21689</v>
      </c>
      <c r="F11753" s="4" t="s">
        <v>21690</v>
      </c>
    </row>
    <row r="11754">
      <c r="A11754" s="4">
        <v>753.0</v>
      </c>
      <c r="B11754" s="4" t="s">
        <v>22110</v>
      </c>
      <c r="C11754" s="4"/>
      <c r="D11754" s="4" t="s">
        <v>21691</v>
      </c>
      <c r="E11754" s="4" t="s">
        <v>17767</v>
      </c>
      <c r="F11754" s="4" t="s">
        <v>17768</v>
      </c>
    </row>
    <row r="11755">
      <c r="A11755" s="4">
        <v>754.0</v>
      </c>
      <c r="B11755" s="4" t="s">
        <v>22110</v>
      </c>
      <c r="C11755" s="4"/>
      <c r="D11755" s="4" t="s">
        <v>21692</v>
      </c>
      <c r="E11755" s="4" t="s">
        <v>21693</v>
      </c>
      <c r="F11755" s="4" t="s">
        <v>21694</v>
      </c>
    </row>
    <row r="11756">
      <c r="A11756" s="4">
        <v>755.0</v>
      </c>
      <c r="B11756" s="4" t="s">
        <v>22110</v>
      </c>
      <c r="C11756" s="4"/>
      <c r="D11756" s="4" t="s">
        <v>3818</v>
      </c>
      <c r="E11756" s="4" t="s">
        <v>3819</v>
      </c>
      <c r="F11756" s="4" t="s">
        <v>3820</v>
      </c>
    </row>
    <row r="11757">
      <c r="A11757" s="4">
        <v>756.0</v>
      </c>
      <c r="B11757" s="4" t="s">
        <v>22110</v>
      </c>
      <c r="C11757" s="4"/>
      <c r="D11757" s="4" t="s">
        <v>21695</v>
      </c>
      <c r="E11757" s="4" t="s">
        <v>21190</v>
      </c>
      <c r="F11757" s="4" t="s">
        <v>21189</v>
      </c>
      <c r="G11757" s="4"/>
      <c r="H11757" s="4" t="s">
        <v>21696</v>
      </c>
    </row>
    <row r="11758">
      <c r="A11758" s="4">
        <v>757.0</v>
      </c>
      <c r="B11758" s="4" t="s">
        <v>22110</v>
      </c>
      <c r="C11758" s="4"/>
      <c r="D11758" s="4" t="s">
        <v>21697</v>
      </c>
      <c r="E11758" s="4" t="s">
        <v>21698</v>
      </c>
      <c r="F11758" s="4" t="s">
        <v>21699</v>
      </c>
    </row>
    <row r="11759">
      <c r="A11759" s="4">
        <v>758.0</v>
      </c>
      <c r="B11759" s="4" t="s">
        <v>22110</v>
      </c>
      <c r="C11759" s="4"/>
      <c r="D11759" s="4" t="s">
        <v>7357</v>
      </c>
      <c r="E11759" s="4" t="s">
        <v>7358</v>
      </c>
      <c r="F11759" s="4" t="s">
        <v>7359</v>
      </c>
      <c r="G11759" s="4"/>
      <c r="H11759" s="4" t="s">
        <v>7357</v>
      </c>
    </row>
    <row r="11760">
      <c r="A11760" s="4">
        <v>759.0</v>
      </c>
      <c r="B11760" s="4" t="s">
        <v>22110</v>
      </c>
      <c r="C11760" s="4"/>
      <c r="D11760" s="4" t="s">
        <v>21700</v>
      </c>
      <c r="E11760" s="4" t="s">
        <v>21701</v>
      </c>
      <c r="F11760" s="4" t="s">
        <v>21702</v>
      </c>
    </row>
    <row r="11761">
      <c r="A11761" s="4">
        <v>760.0</v>
      </c>
      <c r="B11761" s="4" t="s">
        <v>22110</v>
      </c>
      <c r="C11761" s="4"/>
      <c r="D11761" s="4" t="s">
        <v>21703</v>
      </c>
      <c r="E11761" s="4" t="s">
        <v>21704</v>
      </c>
      <c r="F11761" s="4" t="s">
        <v>21705</v>
      </c>
    </row>
    <row r="11762">
      <c r="A11762" s="4">
        <v>761.0</v>
      </c>
      <c r="B11762" s="4" t="s">
        <v>22110</v>
      </c>
      <c r="C11762" s="4"/>
      <c r="D11762" s="4" t="s">
        <v>3833</v>
      </c>
      <c r="E11762" s="4" t="s">
        <v>3834</v>
      </c>
      <c r="F11762" s="4" t="s">
        <v>3835</v>
      </c>
    </row>
    <row r="11763">
      <c r="A11763" s="4">
        <v>762.0</v>
      </c>
      <c r="B11763" s="4" t="s">
        <v>22110</v>
      </c>
      <c r="C11763" s="4"/>
      <c r="D11763" s="4" t="s">
        <v>3836</v>
      </c>
      <c r="E11763" s="4" t="s">
        <v>3837</v>
      </c>
      <c r="F11763" s="4" t="s">
        <v>3838</v>
      </c>
      <c r="G11763" s="4"/>
      <c r="H11763" s="4" t="s">
        <v>538</v>
      </c>
      <c r="I11763" s="4" t="s">
        <v>887</v>
      </c>
      <c r="J11763" s="4" t="s">
        <v>7928</v>
      </c>
      <c r="K11763" s="4" t="s">
        <v>7929</v>
      </c>
      <c r="L11763" s="4" t="s">
        <v>7928</v>
      </c>
      <c r="M11763" s="4" t="s">
        <v>21706</v>
      </c>
      <c r="N11763" s="4" t="s">
        <v>538</v>
      </c>
      <c r="O11763" s="4" t="s">
        <v>7928</v>
      </c>
      <c r="P11763" s="4" t="s">
        <v>21707</v>
      </c>
      <c r="Q11763" s="4" t="s">
        <v>4433</v>
      </c>
      <c r="R11763" s="4" t="s">
        <v>21708</v>
      </c>
      <c r="S11763" s="4" t="s">
        <v>21709</v>
      </c>
      <c r="T11763" s="4" t="s">
        <v>21710</v>
      </c>
      <c r="U11763" s="4" t="s">
        <v>21711</v>
      </c>
      <c r="V11763" s="4" t="s">
        <v>21712</v>
      </c>
      <c r="W11763" s="4" t="s">
        <v>21713</v>
      </c>
      <c r="X11763" s="4" t="s">
        <v>7187</v>
      </c>
      <c r="Y11763" s="4" t="s">
        <v>7187</v>
      </c>
      <c r="Z11763" s="4" t="s">
        <v>4423</v>
      </c>
      <c r="AA11763" s="4" t="s">
        <v>887</v>
      </c>
      <c r="AB11763" s="4" t="s">
        <v>887</v>
      </c>
      <c r="AC11763" s="4" t="s">
        <v>14259</v>
      </c>
      <c r="AD11763" s="4" t="s">
        <v>538</v>
      </c>
      <c r="AE11763" s="4" t="s">
        <v>6299</v>
      </c>
      <c r="AF11763" s="4" t="s">
        <v>6300</v>
      </c>
      <c r="AG11763" s="4" t="s">
        <v>6301</v>
      </c>
      <c r="AH11763" s="4" t="s">
        <v>6302</v>
      </c>
      <c r="AI11763" s="4" t="s">
        <v>6303</v>
      </c>
      <c r="AJ11763" s="4" t="s">
        <v>6304</v>
      </c>
      <c r="AK11763" s="4" t="s">
        <v>6305</v>
      </c>
      <c r="AL11763" s="4" t="s">
        <v>6278</v>
      </c>
      <c r="AM11763" s="4" t="s">
        <v>6306</v>
      </c>
      <c r="AN11763" s="4" t="s">
        <v>6307</v>
      </c>
      <c r="AO11763" s="4" t="s">
        <v>6308</v>
      </c>
      <c r="AP11763" s="4" t="s">
        <v>1800</v>
      </c>
      <c r="AQ11763" s="4" t="s">
        <v>7929</v>
      </c>
      <c r="AR11763" s="4" t="s">
        <v>3414</v>
      </c>
      <c r="AS11763" s="4" t="s">
        <v>7308</v>
      </c>
      <c r="AT11763" s="4" t="s">
        <v>21714</v>
      </c>
      <c r="AU11763" s="4" t="s">
        <v>19735</v>
      </c>
      <c r="AV11763" s="4" t="s">
        <v>11591</v>
      </c>
      <c r="AW11763" s="4" t="s">
        <v>538</v>
      </c>
      <c r="AX11763" s="4" t="s">
        <v>7308</v>
      </c>
      <c r="AY11763" s="4" t="s">
        <v>14260</v>
      </c>
      <c r="AZ11763" s="4" t="s">
        <v>538</v>
      </c>
    </row>
    <row r="11764">
      <c r="A11764" s="4">
        <v>763.0</v>
      </c>
      <c r="B11764" s="4" t="s">
        <v>22110</v>
      </c>
      <c r="C11764" s="4"/>
      <c r="D11764" s="4" t="s">
        <v>3839</v>
      </c>
      <c r="E11764" s="4" t="s">
        <v>3840</v>
      </c>
      <c r="F11764" s="4" t="s">
        <v>3841</v>
      </c>
      <c r="G11764" s="4"/>
      <c r="H11764" s="4" t="s">
        <v>3842</v>
      </c>
    </row>
    <row r="11765">
      <c r="A11765" s="4">
        <v>764.0</v>
      </c>
      <c r="B11765" s="4" t="s">
        <v>22110</v>
      </c>
      <c r="C11765" s="4"/>
      <c r="D11765" s="4" t="s">
        <v>3854</v>
      </c>
      <c r="E11765" s="4" t="s">
        <v>3855</v>
      </c>
      <c r="F11765" s="4" t="s">
        <v>3856</v>
      </c>
      <c r="G11765" s="4"/>
      <c r="H11765" s="4" t="s">
        <v>3857</v>
      </c>
      <c r="I11765" s="4" t="s">
        <v>3858</v>
      </c>
      <c r="J11765" s="4" t="s">
        <v>3857</v>
      </c>
      <c r="K11765" s="4" t="s">
        <v>3859</v>
      </c>
      <c r="L11765" s="4" t="s">
        <v>3860</v>
      </c>
    </row>
    <row r="11766">
      <c r="A11766" s="4">
        <v>765.0</v>
      </c>
      <c r="B11766" s="4" t="s">
        <v>22110</v>
      </c>
      <c r="C11766" s="4"/>
      <c r="D11766" s="4" t="s">
        <v>21715</v>
      </c>
      <c r="E11766" s="4" t="s">
        <v>3880</v>
      </c>
      <c r="F11766" s="4" t="s">
        <v>3881</v>
      </c>
    </row>
    <row r="11767">
      <c r="A11767" s="4">
        <v>766.0</v>
      </c>
      <c r="B11767" s="4" t="s">
        <v>22110</v>
      </c>
      <c r="C11767" s="4"/>
      <c r="D11767" s="4" t="s">
        <v>14253</v>
      </c>
      <c r="E11767" s="4" t="s">
        <v>14254</v>
      </c>
      <c r="F11767" s="4" t="s">
        <v>14255</v>
      </c>
      <c r="G11767" s="4"/>
      <c r="H11767" s="4" t="s">
        <v>538</v>
      </c>
      <c r="I11767" s="4" t="s">
        <v>887</v>
      </c>
      <c r="J11767" s="4" t="s">
        <v>7928</v>
      </c>
      <c r="K11767" s="4" t="s">
        <v>7929</v>
      </c>
      <c r="L11767" s="4" t="s">
        <v>3414</v>
      </c>
      <c r="M11767" s="4" t="s">
        <v>21716</v>
      </c>
      <c r="N11767" s="4" t="s">
        <v>21717</v>
      </c>
      <c r="O11767" s="4" t="s">
        <v>21718</v>
      </c>
      <c r="P11767" s="4" t="s">
        <v>16209</v>
      </c>
      <c r="Q11767" s="4" t="s">
        <v>7316</v>
      </c>
      <c r="R11767" s="4" t="s">
        <v>7308</v>
      </c>
      <c r="S11767" s="4" t="s">
        <v>14993</v>
      </c>
      <c r="T11767" s="4" t="s">
        <v>14258</v>
      </c>
      <c r="U11767" s="4" t="s">
        <v>14994</v>
      </c>
      <c r="V11767" s="4" t="s">
        <v>8878</v>
      </c>
      <c r="W11767" s="4" t="s">
        <v>3379</v>
      </c>
      <c r="X11767" s="4" t="s">
        <v>16894</v>
      </c>
      <c r="Y11767" s="4" t="s">
        <v>1437</v>
      </c>
      <c r="Z11767" s="4" t="s">
        <v>16026</v>
      </c>
      <c r="AA11767" s="4" t="s">
        <v>14258</v>
      </c>
      <c r="AB11767" s="4" t="s">
        <v>21719</v>
      </c>
      <c r="AC11767" s="4" t="s">
        <v>3414</v>
      </c>
      <c r="AD11767" s="4" t="s">
        <v>5158</v>
      </c>
      <c r="AE11767" s="4" t="s">
        <v>21720</v>
      </c>
      <c r="AF11767" s="4" t="s">
        <v>21721</v>
      </c>
      <c r="AG11767" s="4" t="s">
        <v>21722</v>
      </c>
      <c r="AH11767" s="4" t="s">
        <v>14258</v>
      </c>
      <c r="AI11767" s="4" t="s">
        <v>7307</v>
      </c>
      <c r="AJ11767" s="4" t="s">
        <v>4276</v>
      </c>
      <c r="AK11767" s="4" t="s">
        <v>5964</v>
      </c>
      <c r="AL11767" s="4" t="s">
        <v>21723</v>
      </c>
      <c r="AM11767" s="4" t="s">
        <v>1800</v>
      </c>
      <c r="AN11767" s="4" t="s">
        <v>21724</v>
      </c>
      <c r="AO11767" s="4" t="s">
        <v>14258</v>
      </c>
      <c r="AP11767" s="4" t="s">
        <v>21725</v>
      </c>
      <c r="AQ11767" s="4" t="s">
        <v>21726</v>
      </c>
      <c r="AR11767" s="4" t="s">
        <v>8416</v>
      </c>
      <c r="AS11767" s="4" t="s">
        <v>21727</v>
      </c>
      <c r="AT11767" s="4" t="s">
        <v>21728</v>
      </c>
      <c r="AU11767" s="4" t="s">
        <v>21729</v>
      </c>
      <c r="AV11767" s="4" t="s">
        <v>21730</v>
      </c>
      <c r="AW11767" s="4" t="s">
        <v>6291</v>
      </c>
      <c r="AX11767" s="4" t="s">
        <v>21131</v>
      </c>
      <c r="AY11767" s="4" t="s">
        <v>21132</v>
      </c>
      <c r="AZ11767" s="4" t="s">
        <v>21133</v>
      </c>
      <c r="BA11767" s="4" t="s">
        <v>21731</v>
      </c>
      <c r="BB11767" s="4" t="s">
        <v>20370</v>
      </c>
      <c r="BC11767" s="4" t="s">
        <v>21732</v>
      </c>
      <c r="BD11767" s="4" t="s">
        <v>7316</v>
      </c>
      <c r="BE11767" s="4" t="s">
        <v>7318</v>
      </c>
      <c r="BF11767" s="4" t="s">
        <v>21733</v>
      </c>
      <c r="BG11767" s="4" t="s">
        <v>21734</v>
      </c>
      <c r="BH11767" s="4" t="s">
        <v>21735</v>
      </c>
      <c r="BI11767" s="4" t="s">
        <v>21736</v>
      </c>
      <c r="BJ11767" s="4" t="s">
        <v>21737</v>
      </c>
      <c r="BK11767" s="4" t="s">
        <v>21738</v>
      </c>
      <c r="BL11767" s="4" t="s">
        <v>21739</v>
      </c>
      <c r="BM11767" s="4" t="s">
        <v>21740</v>
      </c>
      <c r="BN11767" s="4" t="s">
        <v>21741</v>
      </c>
      <c r="BO11767" s="4" t="s">
        <v>3414</v>
      </c>
      <c r="BP11767" s="4" t="s">
        <v>4433</v>
      </c>
      <c r="BQ11767" s="4" t="s">
        <v>7306</v>
      </c>
      <c r="BR11767" s="4" t="s">
        <v>7307</v>
      </c>
      <c r="BS11767" s="4" t="s">
        <v>7308</v>
      </c>
      <c r="BT11767" s="4" t="s">
        <v>14256</v>
      </c>
      <c r="BU11767" s="4" t="s">
        <v>14257</v>
      </c>
      <c r="BV11767" s="4" t="s">
        <v>14258</v>
      </c>
      <c r="BW11767" s="4" t="s">
        <v>7946</v>
      </c>
      <c r="BX11767" s="4" t="s">
        <v>884</v>
      </c>
      <c r="BY11767" s="4" t="s">
        <v>21742</v>
      </c>
      <c r="BZ11767" s="4" t="s">
        <v>10345</v>
      </c>
      <c r="CA11767" s="4" t="s">
        <v>7929</v>
      </c>
      <c r="CB11767" s="4" t="s">
        <v>3414</v>
      </c>
      <c r="CC11767" s="4" t="s">
        <v>7308</v>
      </c>
      <c r="CD11767" s="4" t="s">
        <v>21714</v>
      </c>
      <c r="CE11767" s="4" t="s">
        <v>538</v>
      </c>
      <c r="CF11767" s="4" t="s">
        <v>7308</v>
      </c>
      <c r="CG11767" s="4" t="s">
        <v>14260</v>
      </c>
      <c r="CH11767" s="4" t="s">
        <v>538</v>
      </c>
    </row>
    <row r="11768">
      <c r="A11768" s="4">
        <v>767.0</v>
      </c>
      <c r="B11768" s="4" t="s">
        <v>22110</v>
      </c>
      <c r="C11768" s="4"/>
      <c r="D11768" s="4" t="s">
        <v>3872</v>
      </c>
      <c r="E11768" s="4" t="s">
        <v>3873</v>
      </c>
      <c r="F11768" s="4" t="s">
        <v>3874</v>
      </c>
    </row>
    <row r="11769">
      <c r="A11769" s="4">
        <v>768.0</v>
      </c>
      <c r="B11769" s="4" t="s">
        <v>22110</v>
      </c>
      <c r="C11769" s="4"/>
      <c r="D11769" s="4" t="s">
        <v>21743</v>
      </c>
      <c r="E11769" s="4" t="s">
        <v>21744</v>
      </c>
      <c r="F11769" s="4" t="s">
        <v>21745</v>
      </c>
    </row>
    <row r="11770">
      <c r="A11770" s="4">
        <v>769.0</v>
      </c>
      <c r="B11770" s="4" t="s">
        <v>22110</v>
      </c>
      <c r="C11770" s="4"/>
      <c r="D11770" s="4" t="s">
        <v>21746</v>
      </c>
      <c r="E11770" s="4" t="s">
        <v>18638</v>
      </c>
      <c r="F11770" s="4" t="s">
        <v>3881</v>
      </c>
    </row>
    <row r="11771">
      <c r="A11771" s="4">
        <v>770.0</v>
      </c>
      <c r="B11771" s="4" t="s">
        <v>22110</v>
      </c>
      <c r="C11771" s="4"/>
      <c r="D11771" s="4" t="s">
        <v>21747</v>
      </c>
      <c r="E11771" s="4" t="s">
        <v>21748</v>
      </c>
      <c r="F11771" s="4" t="s">
        <v>14255</v>
      </c>
      <c r="G11771" s="4"/>
      <c r="H11771" s="4" t="s">
        <v>21749</v>
      </c>
    </row>
    <row r="11772">
      <c r="A11772" s="4">
        <v>771.0</v>
      </c>
      <c r="B11772" s="4" t="s">
        <v>22110</v>
      </c>
      <c r="C11772" s="4"/>
      <c r="D11772" s="4" t="s">
        <v>3882</v>
      </c>
      <c r="E11772" s="4" t="s">
        <v>3883</v>
      </c>
      <c r="F11772" s="4" t="s">
        <v>3882</v>
      </c>
      <c r="G11772" s="4"/>
      <c r="H11772" s="4" t="s">
        <v>3887</v>
      </c>
      <c r="I11772" s="4" t="s">
        <v>3888</v>
      </c>
      <c r="J11772" s="4" t="s">
        <v>3889</v>
      </c>
      <c r="K11772" s="4" t="s">
        <v>3887</v>
      </c>
    </row>
    <row r="11773">
      <c r="A11773" s="4">
        <v>772.0</v>
      </c>
      <c r="B11773" s="4" t="s">
        <v>22110</v>
      </c>
      <c r="C11773" s="4"/>
      <c r="D11773" s="4" t="s">
        <v>3890</v>
      </c>
      <c r="E11773" s="4" t="s">
        <v>3891</v>
      </c>
      <c r="F11773" s="4" t="s">
        <v>3890</v>
      </c>
      <c r="G11773" s="4"/>
      <c r="H11773" s="4" t="s">
        <v>3892</v>
      </c>
      <c r="I11773" s="4" t="s">
        <v>3897</v>
      </c>
      <c r="J11773" s="4" t="s">
        <v>3898</v>
      </c>
      <c r="K11773" s="4" t="s">
        <v>11404</v>
      </c>
      <c r="L11773" s="4" t="s">
        <v>3736</v>
      </c>
      <c r="M11773" s="4" t="s">
        <v>3899</v>
      </c>
    </row>
    <row r="11774">
      <c r="A11774" s="4">
        <v>773.0</v>
      </c>
      <c r="B11774" s="4" t="s">
        <v>22110</v>
      </c>
      <c r="C11774" s="4"/>
      <c r="D11774" s="4" t="s">
        <v>3902</v>
      </c>
      <c r="E11774" s="4" t="s">
        <v>3903</v>
      </c>
      <c r="F11774" s="4" t="s">
        <v>3902</v>
      </c>
    </row>
    <row r="11775">
      <c r="A11775" s="4">
        <v>774.0</v>
      </c>
      <c r="B11775" s="4" t="s">
        <v>22110</v>
      </c>
      <c r="C11775" s="4"/>
      <c r="D11775" s="4" t="s">
        <v>13564</v>
      </c>
      <c r="E11775" s="4" t="s">
        <v>21750</v>
      </c>
      <c r="F11775" s="4" t="s">
        <v>13564</v>
      </c>
    </row>
    <row r="11776">
      <c r="A11776" s="4">
        <v>775.0</v>
      </c>
      <c r="B11776" s="4" t="s">
        <v>22110</v>
      </c>
      <c r="C11776" s="4"/>
      <c r="D11776" s="4" t="s">
        <v>21751</v>
      </c>
      <c r="E11776" s="4" t="s">
        <v>21752</v>
      </c>
      <c r="F11776" s="4" t="s">
        <v>21751</v>
      </c>
      <c r="G11776" s="4"/>
      <c r="H11776" s="4" t="s">
        <v>21753</v>
      </c>
      <c r="I11776" s="4" t="s">
        <v>536</v>
      </c>
      <c r="J11776" s="4" t="s">
        <v>21754</v>
      </c>
      <c r="K11776" s="4" t="s">
        <v>21755</v>
      </c>
      <c r="L11776" s="4" t="s">
        <v>21756</v>
      </c>
      <c r="M11776" s="4" t="s">
        <v>8688</v>
      </c>
      <c r="N11776" s="4" t="s">
        <v>21757</v>
      </c>
      <c r="O11776" s="4" t="s">
        <v>15252</v>
      </c>
      <c r="P11776" s="4" t="s">
        <v>21758</v>
      </c>
      <c r="Q11776" s="4" t="s">
        <v>6680</v>
      </c>
      <c r="R11776" s="4" t="s">
        <v>8688</v>
      </c>
      <c r="S11776" s="4" t="s">
        <v>21759</v>
      </c>
      <c r="T11776" s="4" t="s">
        <v>8878</v>
      </c>
      <c r="U11776" s="4" t="s">
        <v>21759</v>
      </c>
      <c r="V11776" s="4" t="s">
        <v>8688</v>
      </c>
      <c r="W11776" s="4" t="s">
        <v>21760</v>
      </c>
      <c r="X11776" s="4" t="s">
        <v>644</v>
      </c>
      <c r="Y11776" s="4" t="s">
        <v>21761</v>
      </c>
      <c r="Z11776" s="4" t="s">
        <v>4502</v>
      </c>
      <c r="AA11776" s="4" t="s">
        <v>16145</v>
      </c>
      <c r="AB11776" s="4" t="s">
        <v>8688</v>
      </c>
      <c r="AC11776" s="4" t="s">
        <v>21762</v>
      </c>
      <c r="AD11776" s="4" t="s">
        <v>21763</v>
      </c>
      <c r="AE11776" s="4" t="s">
        <v>21764</v>
      </c>
      <c r="AF11776" s="4" t="s">
        <v>8688</v>
      </c>
      <c r="AG11776" s="4" t="s">
        <v>7641</v>
      </c>
      <c r="AH11776" s="4" t="s">
        <v>21765</v>
      </c>
      <c r="AI11776" s="4" t="s">
        <v>16012</v>
      </c>
      <c r="AJ11776" s="4" t="s">
        <v>21766</v>
      </c>
      <c r="AK11776" s="4" t="s">
        <v>16885</v>
      </c>
      <c r="AL11776" s="4" t="s">
        <v>21767</v>
      </c>
      <c r="AM11776" s="4" t="s">
        <v>21768</v>
      </c>
      <c r="AN11776" s="4" t="s">
        <v>21769</v>
      </c>
      <c r="AO11776" s="4" t="s">
        <v>643</v>
      </c>
      <c r="AP11776" s="4" t="s">
        <v>644</v>
      </c>
      <c r="AQ11776" s="4" t="s">
        <v>645</v>
      </c>
      <c r="AR11776" s="4" t="s">
        <v>21766</v>
      </c>
      <c r="AS11776" s="4" t="s">
        <v>2764</v>
      </c>
      <c r="AT11776" s="4" t="s">
        <v>21766</v>
      </c>
      <c r="AU11776" s="4" t="s">
        <v>7307</v>
      </c>
      <c r="AV11776" s="4" t="s">
        <v>643</v>
      </c>
      <c r="AW11776" s="4" t="s">
        <v>21770</v>
      </c>
      <c r="AX11776" s="4" t="s">
        <v>21771</v>
      </c>
      <c r="AY11776" s="4" t="s">
        <v>21772</v>
      </c>
      <c r="AZ11776" s="4" t="s">
        <v>21773</v>
      </c>
      <c r="BA11776" s="4" t="s">
        <v>21774</v>
      </c>
      <c r="BB11776" s="4" t="s">
        <v>21775</v>
      </c>
      <c r="BC11776" s="4" t="s">
        <v>1431</v>
      </c>
      <c r="BD11776" s="4" t="s">
        <v>21776</v>
      </c>
      <c r="BE11776" s="4" t="s">
        <v>21766</v>
      </c>
      <c r="BF11776" s="4" t="s">
        <v>1431</v>
      </c>
      <c r="BG11776" s="4" t="s">
        <v>6686</v>
      </c>
      <c r="BH11776" s="4" t="s">
        <v>4305</v>
      </c>
      <c r="BI11776" s="4" t="s">
        <v>20679</v>
      </c>
      <c r="BJ11776" s="4" t="s">
        <v>15196</v>
      </c>
      <c r="BK11776" s="4" t="s">
        <v>15474</v>
      </c>
      <c r="BL11776" s="4" t="s">
        <v>4146</v>
      </c>
      <c r="BM11776" s="4" t="s">
        <v>21095</v>
      </c>
      <c r="BN11776" s="4" t="s">
        <v>4445</v>
      </c>
      <c r="BO11776" s="4" t="s">
        <v>21767</v>
      </c>
    </row>
    <row r="11777">
      <c r="A11777" s="4">
        <v>776.0</v>
      </c>
      <c r="B11777" s="4" t="s">
        <v>22110</v>
      </c>
      <c r="C11777" s="4"/>
      <c r="D11777" s="4" t="s">
        <v>18602</v>
      </c>
      <c r="E11777" s="4" t="s">
        <v>21777</v>
      </c>
      <c r="F11777" s="4" t="s">
        <v>21778</v>
      </c>
    </row>
    <row r="11778">
      <c r="A11778" s="4">
        <v>777.0</v>
      </c>
      <c r="B11778" s="4" t="s">
        <v>22110</v>
      </c>
      <c r="C11778" s="4"/>
      <c r="D11778" s="4" t="s">
        <v>21779</v>
      </c>
      <c r="E11778" s="4" t="s">
        <v>3920</v>
      </c>
      <c r="F11778" s="4" t="s">
        <v>3921</v>
      </c>
    </row>
    <row r="11779">
      <c r="A11779" s="4">
        <v>778.0</v>
      </c>
      <c r="B11779" s="4" t="s">
        <v>22110</v>
      </c>
      <c r="C11779" s="4"/>
      <c r="D11779" s="4" t="s">
        <v>21780</v>
      </c>
      <c r="E11779" s="4" t="s">
        <v>21781</v>
      </c>
      <c r="F11779" s="4" t="s">
        <v>21782</v>
      </c>
    </row>
    <row r="11780">
      <c r="A11780" s="4">
        <v>779.0</v>
      </c>
      <c r="B11780" s="4" t="s">
        <v>22110</v>
      </c>
      <c r="C11780" s="4"/>
      <c r="D11780" s="4" t="s">
        <v>3937</v>
      </c>
      <c r="E11780" s="4" t="s">
        <v>3938</v>
      </c>
      <c r="F11780" s="4" t="s">
        <v>3937</v>
      </c>
    </row>
    <row r="11781">
      <c r="A11781" s="4">
        <v>780.0</v>
      </c>
      <c r="B11781" s="4" t="s">
        <v>22110</v>
      </c>
      <c r="C11781" s="4"/>
      <c r="D11781" s="4" t="s">
        <v>3939</v>
      </c>
      <c r="E11781" s="4" t="s">
        <v>3940</v>
      </c>
      <c r="F11781" s="4" t="s">
        <v>3939</v>
      </c>
    </row>
    <row r="11782">
      <c r="A11782" s="4">
        <v>781.0</v>
      </c>
      <c r="B11782" s="4" t="s">
        <v>22110</v>
      </c>
      <c r="C11782" s="4"/>
      <c r="D11782" s="4" t="s">
        <v>21783</v>
      </c>
      <c r="E11782" s="4" t="s">
        <v>21784</v>
      </c>
      <c r="F11782" s="4" t="s">
        <v>21783</v>
      </c>
    </row>
    <row r="11783">
      <c r="A11783" s="4">
        <v>782.0</v>
      </c>
      <c r="B11783" s="4" t="s">
        <v>22110</v>
      </c>
      <c r="C11783" s="4"/>
      <c r="D11783" s="4" t="s">
        <v>11123</v>
      </c>
      <c r="E11783" s="4" t="s">
        <v>13599</v>
      </c>
      <c r="F11783" s="4" t="s">
        <v>11123</v>
      </c>
    </row>
    <row r="11784">
      <c r="A11784" s="4">
        <v>783.0</v>
      </c>
      <c r="B11784" s="4" t="s">
        <v>22110</v>
      </c>
      <c r="C11784" s="4"/>
      <c r="D11784" s="4" t="s">
        <v>21785</v>
      </c>
      <c r="E11784" s="4" t="s">
        <v>21786</v>
      </c>
      <c r="F11784" s="4" t="s">
        <v>21785</v>
      </c>
      <c r="G11784" s="4"/>
      <c r="H11784" s="4" t="s">
        <v>21787</v>
      </c>
    </row>
    <row r="11785">
      <c r="A11785" s="4">
        <v>784.0</v>
      </c>
      <c r="B11785" s="4" t="s">
        <v>22110</v>
      </c>
      <c r="C11785" s="4"/>
      <c r="D11785" s="4" t="s">
        <v>21788</v>
      </c>
      <c r="E11785" s="4" t="s">
        <v>21789</v>
      </c>
      <c r="F11785" s="4" t="s">
        <v>21788</v>
      </c>
    </row>
    <row r="11786">
      <c r="A11786" s="4">
        <v>785.0</v>
      </c>
      <c r="B11786" s="4" t="s">
        <v>22110</v>
      </c>
      <c r="C11786" s="4"/>
      <c r="D11786" s="4" t="s">
        <v>21790</v>
      </c>
      <c r="E11786" s="4" t="s">
        <v>5755</v>
      </c>
      <c r="F11786" s="4" t="s">
        <v>5756</v>
      </c>
    </row>
    <row r="11787">
      <c r="A11787" s="4">
        <v>786.0</v>
      </c>
      <c r="B11787" s="4" t="s">
        <v>22110</v>
      </c>
      <c r="C11787" s="4"/>
      <c r="D11787" s="4" t="s">
        <v>3956</v>
      </c>
      <c r="E11787" s="4" t="s">
        <v>3957</v>
      </c>
      <c r="F11787" s="4" t="s">
        <v>3956</v>
      </c>
    </row>
    <row r="11788">
      <c r="A11788" s="4">
        <v>787.0</v>
      </c>
      <c r="B11788" s="4" t="s">
        <v>22110</v>
      </c>
      <c r="C11788" s="4"/>
      <c r="D11788" s="4" t="s">
        <v>3958</v>
      </c>
      <c r="E11788" s="4" t="s">
        <v>3959</v>
      </c>
      <c r="F11788" s="4" t="s">
        <v>3958</v>
      </c>
    </row>
    <row r="11789">
      <c r="A11789" s="4">
        <v>788.0</v>
      </c>
      <c r="B11789" s="4" t="s">
        <v>22110</v>
      </c>
      <c r="C11789" s="4"/>
      <c r="D11789" s="4" t="s">
        <v>21791</v>
      </c>
      <c r="E11789" s="4" t="s">
        <v>21792</v>
      </c>
      <c r="F11789" s="4" t="s">
        <v>21791</v>
      </c>
    </row>
    <row r="11790">
      <c r="A11790" s="4">
        <v>789.0</v>
      </c>
      <c r="B11790" s="4" t="s">
        <v>22110</v>
      </c>
      <c r="C11790" s="4"/>
      <c r="D11790" s="4" t="s">
        <v>21793</v>
      </c>
      <c r="E11790" s="4" t="s">
        <v>21794</v>
      </c>
      <c r="F11790" s="4" t="s">
        <v>21793</v>
      </c>
    </row>
    <row r="11791">
      <c r="A11791" s="4">
        <v>790.0</v>
      </c>
      <c r="B11791" s="4" t="s">
        <v>22110</v>
      </c>
      <c r="C11791" s="4"/>
      <c r="D11791" s="4" t="s">
        <v>21795</v>
      </c>
      <c r="E11791" s="4" t="s">
        <v>21792</v>
      </c>
      <c r="F11791" s="4" t="s">
        <v>21791</v>
      </c>
    </row>
    <row r="11792">
      <c r="A11792" s="4">
        <v>791.0</v>
      </c>
      <c r="B11792" s="4" t="s">
        <v>22110</v>
      </c>
      <c r="C11792" s="4"/>
      <c r="D11792" s="4" t="s">
        <v>21796</v>
      </c>
      <c r="E11792" s="4" t="s">
        <v>21794</v>
      </c>
      <c r="F11792" s="4" t="s">
        <v>21793</v>
      </c>
    </row>
    <row r="11793">
      <c r="A11793" s="4">
        <v>792.0</v>
      </c>
      <c r="B11793" s="4" t="s">
        <v>22110</v>
      </c>
      <c r="C11793" s="4"/>
      <c r="D11793" s="4" t="s">
        <v>21797</v>
      </c>
      <c r="E11793" s="4" t="s">
        <v>21798</v>
      </c>
      <c r="F11793" s="4" t="s">
        <v>21797</v>
      </c>
    </row>
    <row r="11794">
      <c r="A11794" s="4">
        <v>793.0</v>
      </c>
      <c r="B11794" s="4" t="s">
        <v>22110</v>
      </c>
      <c r="C11794" s="4"/>
      <c r="D11794" s="4" t="s">
        <v>21799</v>
      </c>
      <c r="E11794" s="4" t="s">
        <v>20265</v>
      </c>
      <c r="F11794" s="4" t="s">
        <v>20264</v>
      </c>
    </row>
    <row r="11795">
      <c r="A11795" s="4">
        <v>794.0</v>
      </c>
      <c r="B11795" s="4" t="s">
        <v>22110</v>
      </c>
      <c r="C11795" s="4"/>
      <c r="D11795" s="4" t="s">
        <v>21800</v>
      </c>
      <c r="E11795" s="4" t="s">
        <v>21801</v>
      </c>
      <c r="F11795" s="4" t="s">
        <v>21800</v>
      </c>
    </row>
    <row r="11796">
      <c r="A11796" s="4">
        <v>795.0</v>
      </c>
      <c r="B11796" s="4" t="s">
        <v>22110</v>
      </c>
      <c r="C11796" s="4"/>
      <c r="D11796" s="4" t="s">
        <v>21802</v>
      </c>
      <c r="E11796" s="4" t="s">
        <v>14710</v>
      </c>
      <c r="F11796" s="4" t="s">
        <v>14711</v>
      </c>
    </row>
    <row r="11797">
      <c r="A11797" s="4">
        <v>796.0</v>
      </c>
      <c r="B11797" s="4" t="s">
        <v>22110</v>
      </c>
      <c r="C11797" s="4"/>
      <c r="D11797" s="4" t="s">
        <v>401</v>
      </c>
      <c r="E11797" s="4" t="s">
        <v>400</v>
      </c>
      <c r="F11797" s="4" t="s">
        <v>401</v>
      </c>
      <c r="G11797" s="4"/>
      <c r="H11797" s="4" t="s">
        <v>422</v>
      </c>
      <c r="I11797" s="4" t="s">
        <v>3975</v>
      </c>
      <c r="J11797" s="4" t="s">
        <v>401</v>
      </c>
    </row>
    <row r="11798">
      <c r="A11798" s="4">
        <v>797.0</v>
      </c>
      <c r="B11798" s="4" t="s">
        <v>22110</v>
      </c>
      <c r="C11798" s="4"/>
      <c r="D11798" s="4" t="s">
        <v>21803</v>
      </c>
      <c r="E11798" s="4" t="s">
        <v>21804</v>
      </c>
      <c r="F11798" s="4" t="s">
        <v>21805</v>
      </c>
    </row>
    <row r="11799">
      <c r="A11799" s="4">
        <v>798.0</v>
      </c>
      <c r="B11799" s="4" t="s">
        <v>22110</v>
      </c>
      <c r="C11799" s="4"/>
      <c r="D11799" s="4" t="s">
        <v>21806</v>
      </c>
      <c r="E11799" s="4" t="s">
        <v>20267</v>
      </c>
      <c r="F11799" s="4" t="s">
        <v>7538</v>
      </c>
      <c r="G11799" s="4"/>
      <c r="H11799" s="4" t="s">
        <v>7576</v>
      </c>
      <c r="I11799" s="4" t="s">
        <v>7576</v>
      </c>
    </row>
    <row r="11800">
      <c r="A11800" s="4">
        <v>799.0</v>
      </c>
      <c r="B11800" s="4" t="s">
        <v>22110</v>
      </c>
      <c r="C11800" s="4"/>
      <c r="D11800" s="4" t="s">
        <v>1417</v>
      </c>
      <c r="E11800" s="4" t="s">
        <v>1416</v>
      </c>
      <c r="F11800" s="4" t="s">
        <v>1417</v>
      </c>
    </row>
    <row r="11801">
      <c r="A11801" s="4">
        <v>800.0</v>
      </c>
      <c r="B11801" s="4" t="s">
        <v>22110</v>
      </c>
      <c r="C11801" s="4"/>
      <c r="D11801" s="4" t="s">
        <v>21807</v>
      </c>
      <c r="E11801" s="4" t="s">
        <v>21808</v>
      </c>
      <c r="F11801" s="4" t="s">
        <v>21807</v>
      </c>
    </row>
    <row r="11802">
      <c r="A11802" s="4">
        <v>801.0</v>
      </c>
      <c r="B11802" s="4" t="s">
        <v>22110</v>
      </c>
      <c r="C11802" s="4"/>
      <c r="D11802" s="4" t="s">
        <v>3983</v>
      </c>
      <c r="E11802" s="4" t="s">
        <v>3989</v>
      </c>
      <c r="F11802" s="4" t="s">
        <v>3983</v>
      </c>
      <c r="G11802" s="4"/>
      <c r="H11802" s="4" t="s">
        <v>3988</v>
      </c>
      <c r="I11802" s="4" t="s">
        <v>3983</v>
      </c>
      <c r="J11802" s="4" t="s">
        <v>3986</v>
      </c>
      <c r="K11802" s="4" t="s">
        <v>3987</v>
      </c>
      <c r="L11802" s="4" t="s">
        <v>3983</v>
      </c>
      <c r="M11802" s="4" t="s">
        <v>3988</v>
      </c>
      <c r="N11802" s="4" t="s">
        <v>3983</v>
      </c>
      <c r="O11802" s="4" t="s">
        <v>3983</v>
      </c>
    </row>
    <row r="11803">
      <c r="A11803" s="4">
        <v>802.0</v>
      </c>
      <c r="B11803" s="4" t="s">
        <v>22110</v>
      </c>
      <c r="C11803" s="4"/>
      <c r="D11803" s="4" t="s">
        <v>3990</v>
      </c>
      <c r="E11803" s="4" t="s">
        <v>4001</v>
      </c>
      <c r="F11803" s="4" t="s">
        <v>3990</v>
      </c>
      <c r="G11803" s="4"/>
      <c r="H11803" s="4" t="s">
        <v>3993</v>
      </c>
      <c r="I11803" s="4" t="s">
        <v>3994</v>
      </c>
      <c r="J11803" s="4" t="s">
        <v>3995</v>
      </c>
      <c r="K11803" s="4" t="s">
        <v>3996</v>
      </c>
      <c r="L11803" s="4" t="s">
        <v>3997</v>
      </c>
      <c r="M11803" s="4" t="s">
        <v>3998</v>
      </c>
      <c r="N11803" s="4" t="s">
        <v>3999</v>
      </c>
      <c r="O11803" s="4" t="s">
        <v>4000</v>
      </c>
      <c r="P11803" s="4" t="s">
        <v>1911</v>
      </c>
      <c r="Q11803" s="4" t="s">
        <v>883</v>
      </c>
      <c r="R11803" s="4" t="s">
        <v>3997</v>
      </c>
      <c r="S11803" s="4" t="s">
        <v>3996</v>
      </c>
      <c r="T11803" s="4" t="s">
        <v>21809</v>
      </c>
    </row>
    <row r="11804">
      <c r="A11804" s="4">
        <v>803.0</v>
      </c>
      <c r="B11804" s="4" t="s">
        <v>22110</v>
      </c>
      <c r="C11804" s="4"/>
      <c r="D11804" s="4" t="s">
        <v>21810</v>
      </c>
      <c r="E11804" s="4" t="s">
        <v>13669</v>
      </c>
      <c r="F11804" s="4" t="s">
        <v>13670</v>
      </c>
      <c r="G11804" s="4"/>
      <c r="H11804" s="4" t="s">
        <v>13671</v>
      </c>
      <c r="I11804" s="4" t="s">
        <v>13672</v>
      </c>
      <c r="J11804" s="4" t="s">
        <v>13673</v>
      </c>
    </row>
    <row r="11805">
      <c r="A11805" s="4">
        <v>804.0</v>
      </c>
      <c r="B11805" s="4" t="s">
        <v>22110</v>
      </c>
      <c r="C11805" s="4"/>
      <c r="D11805" s="4" t="s">
        <v>404</v>
      </c>
      <c r="E11805" s="4" t="s">
        <v>403</v>
      </c>
      <c r="F11805" s="4" t="s">
        <v>404</v>
      </c>
    </row>
    <row r="11806">
      <c r="A11806" s="4">
        <v>805.0</v>
      </c>
      <c r="B11806" s="4" t="s">
        <v>22110</v>
      </c>
      <c r="C11806" s="4"/>
      <c r="D11806" s="4" t="s">
        <v>21811</v>
      </c>
      <c r="E11806" s="4" t="s">
        <v>21812</v>
      </c>
      <c r="F11806" s="4" t="s">
        <v>21811</v>
      </c>
      <c r="G11806" s="4"/>
      <c r="H11806" s="4" t="s">
        <v>21811</v>
      </c>
    </row>
    <row r="11807">
      <c r="A11807" s="4">
        <v>806.0</v>
      </c>
      <c r="B11807" s="4" t="s">
        <v>22110</v>
      </c>
      <c r="C11807" s="4"/>
      <c r="D11807" s="4" t="s">
        <v>7626</v>
      </c>
      <c r="E11807" s="4" t="s">
        <v>12179</v>
      </c>
      <c r="F11807" s="4" t="s">
        <v>7626</v>
      </c>
    </row>
    <row r="11808">
      <c r="A11808" s="4">
        <v>807.0</v>
      </c>
      <c r="B11808" s="4" t="s">
        <v>22110</v>
      </c>
      <c r="C11808" s="4"/>
      <c r="D11808" s="4" t="s">
        <v>21813</v>
      </c>
      <c r="E11808" s="4" t="s">
        <v>21814</v>
      </c>
      <c r="F11808" s="4" t="s">
        <v>21813</v>
      </c>
    </row>
    <row r="11809">
      <c r="A11809" s="4">
        <v>808.0</v>
      </c>
      <c r="B11809" s="4" t="s">
        <v>22110</v>
      </c>
      <c r="C11809" s="4"/>
      <c r="D11809" s="4" t="s">
        <v>21815</v>
      </c>
      <c r="E11809" s="4" t="s">
        <v>21816</v>
      </c>
      <c r="F11809" s="4" t="s">
        <v>21815</v>
      </c>
    </row>
    <row r="11810">
      <c r="A11810" s="4">
        <v>809.0</v>
      </c>
      <c r="B11810" s="4" t="s">
        <v>22110</v>
      </c>
      <c r="C11810" s="4"/>
      <c r="D11810" s="4" t="s">
        <v>16283</v>
      </c>
      <c r="E11810" s="4" t="s">
        <v>16284</v>
      </c>
      <c r="F11810" s="4" t="s">
        <v>16283</v>
      </c>
    </row>
    <row r="11811">
      <c r="A11811" s="4">
        <v>810.0</v>
      </c>
      <c r="B11811" s="4" t="s">
        <v>22110</v>
      </c>
      <c r="C11811" s="4"/>
      <c r="D11811" s="4" t="s">
        <v>21817</v>
      </c>
      <c r="E11811" s="4" t="s">
        <v>21818</v>
      </c>
      <c r="F11811" s="4" t="s">
        <v>21817</v>
      </c>
    </row>
    <row r="11812">
      <c r="A11812" s="4">
        <v>811.0</v>
      </c>
      <c r="B11812" s="4" t="s">
        <v>22110</v>
      </c>
      <c r="C11812" s="4"/>
      <c r="D11812" s="4" t="s">
        <v>8717</v>
      </c>
      <c r="E11812" s="4" t="s">
        <v>8716</v>
      </c>
      <c r="F11812" s="4" t="s">
        <v>8717</v>
      </c>
    </row>
    <row r="11813">
      <c r="A11813" s="4">
        <v>812.0</v>
      </c>
      <c r="B11813" s="4" t="s">
        <v>22110</v>
      </c>
      <c r="C11813" s="4"/>
      <c r="D11813" s="4" t="s">
        <v>4118</v>
      </c>
      <c r="E11813" s="4" t="s">
        <v>4119</v>
      </c>
      <c r="F11813" s="4" t="s">
        <v>4118</v>
      </c>
      <c r="G11813" s="4"/>
      <c r="H11813" s="4" t="s">
        <v>4120</v>
      </c>
      <c r="I11813" s="4" t="s">
        <v>4121</v>
      </c>
      <c r="J11813" s="4" t="s">
        <v>4122</v>
      </c>
      <c r="K11813" s="4" t="s">
        <v>4123</v>
      </c>
      <c r="L11813" s="4" t="s">
        <v>4125</v>
      </c>
      <c r="M11813" s="4" t="s">
        <v>4553</v>
      </c>
      <c r="N11813" s="4" t="s">
        <v>4554</v>
      </c>
      <c r="O11813" s="4" t="s">
        <v>4123</v>
      </c>
      <c r="P11813" s="4" t="s">
        <v>4124</v>
      </c>
      <c r="Q11813" s="4" t="s">
        <v>4125</v>
      </c>
      <c r="R11813" s="4" t="s">
        <v>4123</v>
      </c>
      <c r="S11813" s="4" t="s">
        <v>4120</v>
      </c>
      <c r="T11813" s="4" t="s">
        <v>4126</v>
      </c>
      <c r="U11813" s="4" t="s">
        <v>4123</v>
      </c>
      <c r="V11813" s="4" t="s">
        <v>4127</v>
      </c>
      <c r="W11813" s="4" t="s">
        <v>4124</v>
      </c>
      <c r="X11813" s="4" t="s">
        <v>4128</v>
      </c>
    </row>
    <row r="11814">
      <c r="A11814" s="4">
        <v>813.0</v>
      </c>
      <c r="B11814" s="4" t="s">
        <v>22110</v>
      </c>
      <c r="C11814" s="4"/>
      <c r="D11814" s="4" t="s">
        <v>21819</v>
      </c>
      <c r="E11814" s="4" t="s">
        <v>21820</v>
      </c>
      <c r="F11814" s="4" t="s">
        <v>21819</v>
      </c>
    </row>
    <row r="11815">
      <c r="A11815" s="4">
        <v>814.0</v>
      </c>
      <c r="B11815" s="4" t="s">
        <v>22110</v>
      </c>
      <c r="C11815" s="4"/>
      <c r="D11815" s="4" t="s">
        <v>21821</v>
      </c>
      <c r="E11815" s="4" t="s">
        <v>21822</v>
      </c>
      <c r="F11815" s="4" t="s">
        <v>21821</v>
      </c>
    </row>
    <row r="11816">
      <c r="A11816" s="4">
        <v>815.0</v>
      </c>
      <c r="B11816" s="4" t="s">
        <v>22110</v>
      </c>
      <c r="C11816" s="4"/>
      <c r="D11816" s="4" t="s">
        <v>21823</v>
      </c>
      <c r="E11816" s="4" t="s">
        <v>21824</v>
      </c>
      <c r="F11816" s="4" t="s">
        <v>21823</v>
      </c>
    </row>
    <row r="11817">
      <c r="A11817" s="4">
        <v>816.0</v>
      </c>
      <c r="B11817" s="4" t="s">
        <v>22110</v>
      </c>
      <c r="C11817" s="4"/>
      <c r="D11817" s="4" t="s">
        <v>21825</v>
      </c>
      <c r="E11817" s="4" t="s">
        <v>7656</v>
      </c>
      <c r="F11817" s="4" t="s">
        <v>7650</v>
      </c>
    </row>
    <row r="11818">
      <c r="A11818" s="4">
        <v>817.0</v>
      </c>
      <c r="B11818" s="4" t="s">
        <v>22110</v>
      </c>
      <c r="C11818" s="4"/>
      <c r="D11818" s="4" t="s">
        <v>4152</v>
      </c>
      <c r="E11818" s="4" t="s">
        <v>4153</v>
      </c>
      <c r="F11818" s="4" t="s">
        <v>4152</v>
      </c>
    </row>
    <row r="11819">
      <c r="A11819" s="4">
        <v>818.0</v>
      </c>
      <c r="B11819" s="4" t="s">
        <v>22110</v>
      </c>
      <c r="C11819" s="4"/>
      <c r="D11819" s="4" t="s">
        <v>21826</v>
      </c>
      <c r="E11819" s="4" t="s">
        <v>21827</v>
      </c>
      <c r="F11819" s="4" t="s">
        <v>21826</v>
      </c>
      <c r="G11819" s="4"/>
      <c r="H11819" s="4" t="s">
        <v>21828</v>
      </c>
      <c r="I11819" s="4" t="s">
        <v>21829</v>
      </c>
      <c r="J11819" s="4" t="s">
        <v>21830</v>
      </c>
      <c r="K11819" s="4" t="s">
        <v>21831</v>
      </c>
      <c r="L11819" s="4" t="s">
        <v>3632</v>
      </c>
      <c r="M11819" s="4" t="s">
        <v>21832</v>
      </c>
      <c r="N11819" s="4" t="s">
        <v>20604</v>
      </c>
    </row>
    <row r="11820">
      <c r="A11820" s="4">
        <v>819.0</v>
      </c>
      <c r="B11820" s="4" t="s">
        <v>22110</v>
      </c>
      <c r="C11820" s="4"/>
      <c r="D11820" s="4" t="s">
        <v>21833</v>
      </c>
      <c r="E11820" s="4" t="s">
        <v>21834</v>
      </c>
      <c r="F11820" s="4" t="s">
        <v>21833</v>
      </c>
      <c r="G11820" s="4"/>
      <c r="H11820" s="4" t="s">
        <v>21835</v>
      </c>
      <c r="I11820" s="4" t="s">
        <v>20165</v>
      </c>
      <c r="J11820" s="4" t="s">
        <v>21836</v>
      </c>
      <c r="K11820" s="4" t="s">
        <v>21837</v>
      </c>
      <c r="L11820" s="4" t="s">
        <v>21838</v>
      </c>
    </row>
    <row r="11821">
      <c r="A11821" s="4">
        <v>820.0</v>
      </c>
      <c r="B11821" s="4" t="s">
        <v>22110</v>
      </c>
      <c r="C11821" s="4"/>
      <c r="D11821" s="4" t="s">
        <v>21839</v>
      </c>
      <c r="E11821" s="4" t="s">
        <v>21840</v>
      </c>
      <c r="F11821" s="4" t="s">
        <v>21839</v>
      </c>
    </row>
    <row r="11822">
      <c r="A11822" s="4">
        <v>821.0</v>
      </c>
      <c r="B11822" s="4" t="s">
        <v>22110</v>
      </c>
      <c r="C11822" s="4"/>
      <c r="D11822" s="4" t="s">
        <v>4172</v>
      </c>
      <c r="E11822" s="4" t="s">
        <v>4173</v>
      </c>
      <c r="F11822" s="4" t="s">
        <v>4172</v>
      </c>
      <c r="G11822" s="4"/>
      <c r="H11822" s="4" t="s">
        <v>5560</v>
      </c>
      <c r="I11822" s="4" t="s">
        <v>5561</v>
      </c>
      <c r="J11822" s="4" t="s">
        <v>5562</v>
      </c>
      <c r="K11822" s="4" t="s">
        <v>5563</v>
      </c>
      <c r="L11822" s="4" t="s">
        <v>5564</v>
      </c>
    </row>
    <row r="11823">
      <c r="A11823" s="4">
        <v>822.0</v>
      </c>
      <c r="B11823" s="4" t="s">
        <v>22110</v>
      </c>
      <c r="C11823" s="4"/>
      <c r="D11823" s="4" t="s">
        <v>11292</v>
      </c>
      <c r="E11823" s="4" t="s">
        <v>11293</v>
      </c>
      <c r="F11823" s="4" t="s">
        <v>11292</v>
      </c>
      <c r="G11823" s="4"/>
      <c r="H11823" s="4" t="s">
        <v>21841</v>
      </c>
      <c r="I11823" s="4" t="s">
        <v>21842</v>
      </c>
      <c r="J11823" s="4" t="s">
        <v>5083</v>
      </c>
      <c r="K11823" s="4" t="s">
        <v>5084</v>
      </c>
      <c r="L11823" s="4" t="s">
        <v>5085</v>
      </c>
      <c r="M11823" s="4" t="s">
        <v>5086</v>
      </c>
      <c r="N11823" s="4" t="s">
        <v>5087</v>
      </c>
    </row>
    <row r="11824">
      <c r="A11824" s="4">
        <v>823.0</v>
      </c>
      <c r="B11824" s="4" t="s">
        <v>22110</v>
      </c>
      <c r="C11824" s="4"/>
      <c r="D11824" s="4" t="s">
        <v>21843</v>
      </c>
      <c r="E11824" s="4" t="s">
        <v>21844</v>
      </c>
      <c r="F11824" s="4" t="s">
        <v>21843</v>
      </c>
    </row>
    <row r="11825">
      <c r="A11825" s="4">
        <v>824.0</v>
      </c>
      <c r="B11825" s="4" t="s">
        <v>22110</v>
      </c>
      <c r="C11825" s="4"/>
      <c r="D11825" s="4" t="s">
        <v>7657</v>
      </c>
      <c r="E11825" s="4" t="s">
        <v>8795</v>
      </c>
      <c r="F11825" s="4" t="s">
        <v>7657</v>
      </c>
    </row>
    <row r="11826">
      <c r="A11826" s="4">
        <v>825.0</v>
      </c>
      <c r="B11826" s="4" t="s">
        <v>22110</v>
      </c>
      <c r="C11826" s="4"/>
      <c r="D11826" s="4" t="s">
        <v>14557</v>
      </c>
      <c r="E11826" s="4" t="s">
        <v>14558</v>
      </c>
      <c r="F11826" s="4" t="s">
        <v>14557</v>
      </c>
      <c r="G11826" s="4"/>
      <c r="H11826" s="4" t="s">
        <v>21845</v>
      </c>
      <c r="I11826" s="4" t="s">
        <v>21846</v>
      </c>
      <c r="J11826" s="4" t="s">
        <v>21847</v>
      </c>
      <c r="K11826" s="4" t="s">
        <v>21848</v>
      </c>
      <c r="L11826" s="4" t="s">
        <v>21847</v>
      </c>
      <c r="M11826" s="4" t="s">
        <v>21847</v>
      </c>
      <c r="N11826" s="4" t="s">
        <v>16450</v>
      </c>
    </row>
    <row r="11827">
      <c r="A11827" s="4">
        <v>826.0</v>
      </c>
      <c r="B11827" s="4" t="s">
        <v>22110</v>
      </c>
      <c r="C11827" s="4"/>
      <c r="D11827" s="4" t="s">
        <v>4186</v>
      </c>
      <c r="E11827" s="4" t="s">
        <v>4187</v>
      </c>
      <c r="F11827" s="4" t="s">
        <v>4186</v>
      </c>
    </row>
    <row r="11828">
      <c r="A11828" s="4">
        <v>827.0</v>
      </c>
      <c r="B11828" s="4" t="s">
        <v>22110</v>
      </c>
      <c r="C11828" s="4"/>
      <c r="D11828" s="4" t="s">
        <v>21849</v>
      </c>
      <c r="E11828" s="4" t="s">
        <v>21850</v>
      </c>
      <c r="F11828" s="4" t="s">
        <v>21849</v>
      </c>
    </row>
    <row r="11829">
      <c r="A11829" s="4">
        <v>828.0</v>
      </c>
      <c r="B11829" s="4" t="s">
        <v>22110</v>
      </c>
      <c r="C11829" s="4"/>
      <c r="D11829" s="4" t="s">
        <v>4192</v>
      </c>
      <c r="E11829" s="4" t="s">
        <v>4193</v>
      </c>
      <c r="F11829" s="4" t="s">
        <v>4192</v>
      </c>
      <c r="G11829" s="4"/>
      <c r="H11829" s="4" t="s">
        <v>4189</v>
      </c>
    </row>
    <row r="11830">
      <c r="A11830" s="4">
        <v>829.0</v>
      </c>
      <c r="B11830" s="4" t="s">
        <v>22110</v>
      </c>
      <c r="C11830" s="4"/>
      <c r="D11830" s="4" t="s">
        <v>21851</v>
      </c>
      <c r="E11830" s="4" t="s">
        <v>21852</v>
      </c>
      <c r="F11830" s="4" t="s">
        <v>21851</v>
      </c>
    </row>
    <row r="11831">
      <c r="A11831" s="4">
        <v>830.0</v>
      </c>
      <c r="B11831" s="4" t="s">
        <v>22110</v>
      </c>
      <c r="C11831" s="4"/>
      <c r="D11831" s="4" t="s">
        <v>4214</v>
      </c>
      <c r="E11831" s="4" t="s">
        <v>400</v>
      </c>
      <c r="F11831" s="4" t="s">
        <v>401</v>
      </c>
    </row>
    <row r="11832">
      <c r="A11832" s="4">
        <v>831.0</v>
      </c>
      <c r="B11832" s="4" t="s">
        <v>22110</v>
      </c>
      <c r="C11832" s="4"/>
      <c r="D11832" s="4" t="s">
        <v>21853</v>
      </c>
      <c r="E11832" s="4" t="s">
        <v>12179</v>
      </c>
      <c r="F11832" s="4" t="s">
        <v>7626</v>
      </c>
    </row>
    <row r="11833">
      <c r="A11833" s="4">
        <v>832.0</v>
      </c>
      <c r="B11833" s="4" t="s">
        <v>22110</v>
      </c>
      <c r="C11833" s="4"/>
      <c r="D11833" s="4" t="s">
        <v>4238</v>
      </c>
      <c r="E11833" s="4" t="s">
        <v>4239</v>
      </c>
      <c r="F11833" s="4" t="s">
        <v>4240</v>
      </c>
    </row>
    <row r="11834">
      <c r="A11834" s="4">
        <v>833.0</v>
      </c>
      <c r="B11834" s="4" t="s">
        <v>22110</v>
      </c>
      <c r="C11834" s="4"/>
      <c r="D11834" s="4" t="s">
        <v>21854</v>
      </c>
      <c r="E11834" s="4" t="s">
        <v>21855</v>
      </c>
      <c r="F11834" s="4" t="s">
        <v>21856</v>
      </c>
    </row>
    <row r="11835">
      <c r="A11835" s="4">
        <v>834.0</v>
      </c>
      <c r="B11835" s="4" t="s">
        <v>22110</v>
      </c>
      <c r="C11835" s="4"/>
      <c r="D11835" s="4" t="s">
        <v>21857</v>
      </c>
      <c r="E11835" s="4" t="s">
        <v>21858</v>
      </c>
      <c r="F11835" s="4" t="s">
        <v>4240</v>
      </c>
      <c r="G11835" s="4"/>
      <c r="H11835" s="4" t="s">
        <v>3492</v>
      </c>
      <c r="I11835" s="4" t="s">
        <v>4288</v>
      </c>
      <c r="J11835" s="4" t="s">
        <v>3491</v>
      </c>
    </row>
    <row r="11836">
      <c r="A11836" s="4">
        <v>835.0</v>
      </c>
      <c r="B11836" s="4" t="s">
        <v>22110</v>
      </c>
      <c r="C11836" s="4"/>
      <c r="D11836" s="4" t="s">
        <v>21859</v>
      </c>
      <c r="E11836" s="4" t="s">
        <v>21860</v>
      </c>
      <c r="F11836" s="4" t="s">
        <v>21861</v>
      </c>
    </row>
    <row r="11837">
      <c r="A11837" s="4">
        <v>836.0</v>
      </c>
      <c r="B11837" s="4" t="s">
        <v>22110</v>
      </c>
      <c r="C11837" s="4"/>
      <c r="D11837" s="4" t="s">
        <v>21862</v>
      </c>
      <c r="E11837" s="4" t="s">
        <v>21863</v>
      </c>
      <c r="F11837" s="4" t="s">
        <v>13763</v>
      </c>
    </row>
    <row r="11838">
      <c r="A11838" s="4">
        <v>837.0</v>
      </c>
      <c r="B11838" s="4" t="s">
        <v>22110</v>
      </c>
      <c r="C11838" s="4"/>
      <c r="D11838" s="4" t="s">
        <v>4251</v>
      </c>
      <c r="E11838" s="4" t="s">
        <v>4252</v>
      </c>
      <c r="F11838" s="4" t="s">
        <v>4251</v>
      </c>
    </row>
    <row r="11839">
      <c r="A11839" s="4">
        <v>838.0</v>
      </c>
      <c r="B11839" s="4" t="s">
        <v>22110</v>
      </c>
      <c r="C11839" s="4"/>
      <c r="D11839" s="4" t="s">
        <v>4254</v>
      </c>
      <c r="E11839" s="4" t="s">
        <v>4255</v>
      </c>
      <c r="F11839" s="4" t="s">
        <v>4254</v>
      </c>
    </row>
    <row r="11840">
      <c r="A11840" s="4">
        <v>839.0</v>
      </c>
      <c r="B11840" s="4" t="s">
        <v>22110</v>
      </c>
      <c r="C11840" s="4"/>
      <c r="D11840" s="4" t="s">
        <v>21864</v>
      </c>
      <c r="E11840" s="4" t="s">
        <v>21865</v>
      </c>
      <c r="F11840" s="4" t="s">
        <v>21866</v>
      </c>
    </row>
    <row r="11841">
      <c r="A11841" s="4">
        <v>840.0</v>
      </c>
      <c r="B11841" s="4" t="s">
        <v>22110</v>
      </c>
      <c r="C11841" s="4"/>
      <c r="D11841" s="4" t="s">
        <v>4264</v>
      </c>
      <c r="E11841" s="4" t="s">
        <v>4265</v>
      </c>
      <c r="F11841" s="4" t="s">
        <v>4264</v>
      </c>
      <c r="G11841" s="4"/>
      <c r="H11841" s="4" t="s">
        <v>21867</v>
      </c>
    </row>
    <row r="11842">
      <c r="A11842" s="4">
        <v>841.0</v>
      </c>
      <c r="B11842" s="4" t="s">
        <v>22110</v>
      </c>
      <c r="C11842" s="4"/>
      <c r="D11842" s="4" t="s">
        <v>11338</v>
      </c>
      <c r="E11842" s="4" t="s">
        <v>16394</v>
      </c>
      <c r="F11842" s="4" t="s">
        <v>11338</v>
      </c>
    </row>
    <row r="11843">
      <c r="A11843" s="4">
        <v>842.0</v>
      </c>
      <c r="B11843" s="4" t="s">
        <v>22110</v>
      </c>
      <c r="C11843" s="4"/>
      <c r="D11843" s="4" t="s">
        <v>21868</v>
      </c>
      <c r="E11843" s="4" t="s">
        <v>21869</v>
      </c>
      <c r="F11843" s="4" t="s">
        <v>21870</v>
      </c>
    </row>
    <row r="11844">
      <c r="A11844" s="4">
        <v>843.0</v>
      </c>
      <c r="B11844" s="4" t="s">
        <v>22110</v>
      </c>
      <c r="C11844" s="4"/>
      <c r="D11844" s="4" t="s">
        <v>21871</v>
      </c>
      <c r="E11844" s="4" t="s">
        <v>21872</v>
      </c>
      <c r="F11844" s="4" t="s">
        <v>21873</v>
      </c>
    </row>
    <row r="11845">
      <c r="A11845" s="4">
        <v>844.0</v>
      </c>
      <c r="B11845" s="4" t="s">
        <v>22110</v>
      </c>
      <c r="C11845" s="4"/>
      <c r="D11845" s="4" t="s">
        <v>21874</v>
      </c>
      <c r="E11845" s="4" t="s">
        <v>21875</v>
      </c>
      <c r="F11845" s="4" t="s">
        <v>21874</v>
      </c>
    </row>
    <row r="11846">
      <c r="A11846" s="4">
        <v>845.0</v>
      </c>
      <c r="B11846" s="4" t="s">
        <v>22110</v>
      </c>
      <c r="C11846" s="4"/>
      <c r="D11846" s="4" t="s">
        <v>7729</v>
      </c>
      <c r="E11846" s="4" t="s">
        <v>21876</v>
      </c>
      <c r="F11846" s="4" t="s">
        <v>7729</v>
      </c>
    </row>
    <row r="11847">
      <c r="A11847" s="4">
        <v>846.0</v>
      </c>
      <c r="B11847" s="4" t="s">
        <v>22110</v>
      </c>
      <c r="C11847" s="4"/>
      <c r="D11847" s="4" t="s">
        <v>4310</v>
      </c>
      <c r="E11847" s="4" t="s">
        <v>4311</v>
      </c>
      <c r="F11847" s="4" t="s">
        <v>4310</v>
      </c>
      <c r="G11847" s="4"/>
      <c r="H11847" s="4" t="s">
        <v>8791</v>
      </c>
    </row>
    <row r="11848">
      <c r="A11848" s="4">
        <v>847.0</v>
      </c>
      <c r="B11848" s="4" t="s">
        <v>22110</v>
      </c>
      <c r="C11848" s="4"/>
      <c r="D11848" s="4" t="s">
        <v>21877</v>
      </c>
      <c r="E11848" s="4" t="s">
        <v>21878</v>
      </c>
      <c r="F11848" s="4" t="s">
        <v>7746</v>
      </c>
    </row>
    <row r="11849">
      <c r="A11849" s="4">
        <v>848.0</v>
      </c>
      <c r="B11849" s="4" t="s">
        <v>22110</v>
      </c>
      <c r="C11849" s="4"/>
      <c r="D11849" s="4" t="s">
        <v>4330</v>
      </c>
      <c r="E11849" s="4" t="s">
        <v>4331</v>
      </c>
      <c r="F11849" s="4" t="s">
        <v>4330</v>
      </c>
    </row>
    <row r="11850">
      <c r="A11850" s="4">
        <v>849.0</v>
      </c>
      <c r="B11850" s="4" t="s">
        <v>22110</v>
      </c>
      <c r="C11850" s="4"/>
      <c r="D11850" s="4" t="s">
        <v>4339</v>
      </c>
      <c r="E11850" s="4" t="s">
        <v>4340</v>
      </c>
      <c r="F11850" s="4" t="s">
        <v>4339</v>
      </c>
      <c r="G11850" s="4"/>
      <c r="H11850" s="4" t="s">
        <v>21879</v>
      </c>
      <c r="I11850" s="4" t="s">
        <v>21880</v>
      </c>
      <c r="J11850" s="4" t="s">
        <v>4323</v>
      </c>
      <c r="K11850" s="4" t="s">
        <v>4341</v>
      </c>
      <c r="L11850" s="4" t="s">
        <v>4342</v>
      </c>
      <c r="M11850" s="4" t="s">
        <v>9932</v>
      </c>
      <c r="N11850" s="4" t="s">
        <v>21881</v>
      </c>
      <c r="O11850" s="4" t="s">
        <v>21882</v>
      </c>
      <c r="P11850" s="4" t="s">
        <v>326</v>
      </c>
      <c r="Q11850" s="4" t="s">
        <v>4343</v>
      </c>
      <c r="R11850" s="4" t="s">
        <v>4344</v>
      </c>
      <c r="S11850" s="4" t="s">
        <v>4343</v>
      </c>
      <c r="T11850" s="4" t="s">
        <v>4345</v>
      </c>
      <c r="U11850" s="4" t="s">
        <v>4344</v>
      </c>
      <c r="V11850" s="4" t="s">
        <v>4346</v>
      </c>
      <c r="W11850" s="4" t="s">
        <v>2073</v>
      </c>
      <c r="X11850" s="4" t="s">
        <v>21883</v>
      </c>
      <c r="Y11850" s="4" t="s">
        <v>21884</v>
      </c>
      <c r="Z11850" s="4" t="s">
        <v>21885</v>
      </c>
      <c r="AA11850" s="4" t="s">
        <v>6320</v>
      </c>
    </row>
    <row r="11851">
      <c r="A11851" s="4">
        <v>850.0</v>
      </c>
      <c r="B11851" s="4" t="s">
        <v>22110</v>
      </c>
      <c r="C11851" s="4"/>
      <c r="D11851" s="4" t="s">
        <v>7766</v>
      </c>
      <c r="E11851" s="4" t="s">
        <v>15521</v>
      </c>
      <c r="F11851" s="4" t="s">
        <v>7766</v>
      </c>
    </row>
    <row r="11852">
      <c r="A11852" s="4">
        <v>851.0</v>
      </c>
      <c r="B11852" s="4" t="s">
        <v>22110</v>
      </c>
      <c r="C11852" s="4"/>
      <c r="D11852" s="4" t="s">
        <v>21886</v>
      </c>
      <c r="E11852" s="4" t="s">
        <v>21887</v>
      </c>
      <c r="F11852" s="4" t="s">
        <v>21886</v>
      </c>
    </row>
    <row r="11853">
      <c r="A11853" s="4">
        <v>852.0</v>
      </c>
      <c r="B11853" s="4" t="s">
        <v>22110</v>
      </c>
      <c r="C11853" s="4"/>
      <c r="D11853" s="4" t="s">
        <v>4361</v>
      </c>
      <c r="E11853" s="4" t="s">
        <v>4362</v>
      </c>
      <c r="F11853" s="4" t="s">
        <v>4361</v>
      </c>
      <c r="G11853" s="4"/>
      <c r="H11853" s="4" t="s">
        <v>2869</v>
      </c>
      <c r="I11853" s="4" t="s">
        <v>2870</v>
      </c>
      <c r="J11853" s="4" t="s">
        <v>2293</v>
      </c>
      <c r="K11853" s="4" t="s">
        <v>21888</v>
      </c>
    </row>
    <row r="11854">
      <c r="A11854" s="4">
        <v>853.0</v>
      </c>
      <c r="B11854" s="4" t="s">
        <v>22110</v>
      </c>
      <c r="C11854" s="4"/>
      <c r="D11854" s="4" t="s">
        <v>21889</v>
      </c>
      <c r="E11854" s="4" t="s">
        <v>21890</v>
      </c>
      <c r="F11854" s="4" t="s">
        <v>21889</v>
      </c>
    </row>
    <row r="11855">
      <c r="A11855" s="4">
        <v>854.0</v>
      </c>
      <c r="B11855" s="4" t="s">
        <v>22110</v>
      </c>
      <c r="C11855" s="4"/>
      <c r="D11855" s="4" t="s">
        <v>21891</v>
      </c>
      <c r="E11855" s="4" t="s">
        <v>21892</v>
      </c>
      <c r="F11855" s="4" t="s">
        <v>21891</v>
      </c>
    </row>
    <row r="11856">
      <c r="A11856" s="4">
        <v>855.0</v>
      </c>
      <c r="B11856" s="4" t="s">
        <v>22110</v>
      </c>
      <c r="C11856" s="4"/>
      <c r="D11856" s="4" t="s">
        <v>21893</v>
      </c>
      <c r="E11856" s="4" t="s">
        <v>21894</v>
      </c>
      <c r="F11856" s="4" t="s">
        <v>21893</v>
      </c>
    </row>
    <row r="11857">
      <c r="A11857" s="4">
        <v>856.0</v>
      </c>
      <c r="B11857" s="4" t="s">
        <v>22110</v>
      </c>
      <c r="C11857" s="4"/>
      <c r="D11857" s="4" t="s">
        <v>4365</v>
      </c>
      <c r="E11857" s="4" t="s">
        <v>4366</v>
      </c>
      <c r="F11857" s="4" t="s">
        <v>4365</v>
      </c>
      <c r="G11857" s="4"/>
      <c r="H11857" s="4" t="s">
        <v>21895</v>
      </c>
      <c r="I11857" s="4" t="s">
        <v>21896</v>
      </c>
      <c r="J11857" s="4" t="s">
        <v>14755</v>
      </c>
      <c r="K11857" s="4" t="s">
        <v>4374</v>
      </c>
    </row>
    <row r="11858">
      <c r="A11858" s="4">
        <v>857.0</v>
      </c>
      <c r="B11858" s="4" t="s">
        <v>22110</v>
      </c>
      <c r="C11858" s="4"/>
      <c r="D11858" s="4" t="s">
        <v>4377</v>
      </c>
      <c r="E11858" s="4" t="s">
        <v>4376</v>
      </c>
      <c r="F11858" s="4" t="s">
        <v>4377</v>
      </c>
      <c r="G11858" s="4"/>
      <c r="H11858" s="4" t="s">
        <v>21897</v>
      </c>
      <c r="I11858" s="4" t="s">
        <v>21898</v>
      </c>
      <c r="J11858" s="4" t="s">
        <v>21899</v>
      </c>
      <c r="K11858" s="4" t="s">
        <v>21900</v>
      </c>
      <c r="L11858" s="4" t="s">
        <v>15338</v>
      </c>
      <c r="M11858" s="4" t="s">
        <v>21901</v>
      </c>
      <c r="N11858" s="4" t="s">
        <v>1707</v>
      </c>
      <c r="O11858" s="4" t="s">
        <v>1708</v>
      </c>
      <c r="P11858" s="4" t="s">
        <v>1709</v>
      </c>
    </row>
    <row r="11859">
      <c r="A11859" s="4">
        <v>858.0</v>
      </c>
      <c r="B11859" s="4" t="s">
        <v>22110</v>
      </c>
      <c r="C11859" s="4"/>
      <c r="D11859" s="4" t="s">
        <v>21902</v>
      </c>
      <c r="E11859" s="4" t="s">
        <v>21903</v>
      </c>
      <c r="F11859" s="4" t="s">
        <v>21902</v>
      </c>
      <c r="G11859" s="4"/>
      <c r="H11859" s="4" t="s">
        <v>19840</v>
      </c>
      <c r="I11859" s="4" t="s">
        <v>3128</v>
      </c>
      <c r="J11859" s="4" t="s">
        <v>21904</v>
      </c>
      <c r="K11859" s="4" t="s">
        <v>21905</v>
      </c>
      <c r="L11859" s="4" t="s">
        <v>21906</v>
      </c>
      <c r="M11859" s="4" t="s">
        <v>21907</v>
      </c>
      <c r="N11859" s="4" t="s">
        <v>21908</v>
      </c>
    </row>
    <row r="11860">
      <c r="A11860" s="4">
        <v>859.0</v>
      </c>
      <c r="B11860" s="4" t="s">
        <v>22110</v>
      </c>
      <c r="C11860" s="4"/>
      <c r="D11860" s="4" t="s">
        <v>13820</v>
      </c>
      <c r="E11860" s="4" t="s">
        <v>13821</v>
      </c>
      <c r="F11860" s="4" t="s">
        <v>13820</v>
      </c>
      <c r="G11860" s="4"/>
      <c r="H11860" s="4" t="s">
        <v>1878</v>
      </c>
      <c r="I11860" s="4" t="s">
        <v>1879</v>
      </c>
      <c r="J11860" s="4" t="s">
        <v>1880</v>
      </c>
      <c r="K11860" s="4" t="s">
        <v>1881</v>
      </c>
      <c r="L11860" s="4" t="s">
        <v>1882</v>
      </c>
      <c r="N11860" s="4" t="s">
        <v>1883</v>
      </c>
    </row>
    <row r="11861">
      <c r="A11861" s="4">
        <v>860.0</v>
      </c>
      <c r="B11861" s="4" t="s">
        <v>22110</v>
      </c>
      <c r="C11861" s="4"/>
      <c r="D11861" s="4" t="s">
        <v>9179</v>
      </c>
      <c r="E11861" s="4" t="s">
        <v>9180</v>
      </c>
      <c r="F11861" s="4" t="s">
        <v>9179</v>
      </c>
    </row>
    <row r="11862">
      <c r="A11862" s="4">
        <v>861.0</v>
      </c>
      <c r="B11862" s="4" t="s">
        <v>22110</v>
      </c>
      <c r="C11862" s="4"/>
      <c r="D11862" s="4" t="s">
        <v>21909</v>
      </c>
      <c r="E11862" s="4" t="s">
        <v>4464</v>
      </c>
      <c r="F11862" s="4" t="s">
        <v>4463</v>
      </c>
    </row>
    <row r="11863">
      <c r="A11863" s="4">
        <v>862.0</v>
      </c>
      <c r="B11863" s="4" t="s">
        <v>22110</v>
      </c>
      <c r="C11863" s="4"/>
      <c r="D11863" s="4" t="s">
        <v>422</v>
      </c>
      <c r="E11863" s="4" t="s">
        <v>421</v>
      </c>
      <c r="F11863" s="4" t="s">
        <v>422</v>
      </c>
    </row>
    <row r="11864">
      <c r="A11864" s="4">
        <v>863.0</v>
      </c>
      <c r="B11864" s="4" t="s">
        <v>22110</v>
      </c>
      <c r="C11864" s="4"/>
      <c r="D11864" s="4" t="s">
        <v>4379</v>
      </c>
      <c r="E11864" s="4" t="s">
        <v>4380</v>
      </c>
      <c r="F11864" s="4" t="s">
        <v>438</v>
      </c>
    </row>
    <row r="11865">
      <c r="A11865" s="4">
        <v>864.0</v>
      </c>
      <c r="B11865" s="4" t="s">
        <v>22110</v>
      </c>
      <c r="C11865" s="4"/>
      <c r="D11865" s="4" t="s">
        <v>21910</v>
      </c>
      <c r="E11865" s="4" t="s">
        <v>21911</v>
      </c>
      <c r="F11865" s="4" t="s">
        <v>21912</v>
      </c>
    </row>
    <row r="11866">
      <c r="A11866" s="4">
        <v>865.0</v>
      </c>
      <c r="B11866" s="4" t="s">
        <v>22110</v>
      </c>
      <c r="C11866" s="4"/>
      <c r="D11866" s="4" t="s">
        <v>21913</v>
      </c>
      <c r="E11866" s="4" t="s">
        <v>21914</v>
      </c>
      <c r="F11866" s="4" t="s">
        <v>21913</v>
      </c>
      <c r="G11866" s="4"/>
      <c r="H11866" s="4" t="s">
        <v>3231</v>
      </c>
      <c r="I11866" s="4" t="s">
        <v>21915</v>
      </c>
      <c r="J11866" s="4" t="s">
        <v>21916</v>
      </c>
      <c r="K11866" s="4" t="s">
        <v>21917</v>
      </c>
      <c r="L11866" s="4" t="s">
        <v>21918</v>
      </c>
      <c r="M11866" s="4" t="s">
        <v>3230</v>
      </c>
      <c r="N11866" s="4" t="s">
        <v>7476</v>
      </c>
      <c r="O11866" s="4" t="s">
        <v>486</v>
      </c>
      <c r="P11866" s="4" t="s">
        <v>21919</v>
      </c>
      <c r="Q11866" s="4" t="s">
        <v>21920</v>
      </c>
      <c r="R11866" s="4" t="s">
        <v>8200</v>
      </c>
      <c r="S11866" s="4" t="s">
        <v>8201</v>
      </c>
      <c r="T11866" s="4" t="s">
        <v>8202</v>
      </c>
      <c r="U11866" s="4" t="s">
        <v>1977</v>
      </c>
      <c r="V11866" s="4" t="s">
        <v>6308</v>
      </c>
      <c r="W11866" s="4" t="s">
        <v>8203</v>
      </c>
      <c r="X11866" s="4" t="s">
        <v>8190</v>
      </c>
      <c r="Y11866" s="4" t="s">
        <v>8204</v>
      </c>
      <c r="Z11866" s="4" t="s">
        <v>8205</v>
      </c>
      <c r="AA11866" s="4" t="s">
        <v>8206</v>
      </c>
      <c r="AB11866" s="4" t="s">
        <v>8197</v>
      </c>
      <c r="AC11866" s="4" t="s">
        <v>8207</v>
      </c>
      <c r="AD11866" s="4" t="s">
        <v>8208</v>
      </c>
      <c r="AE11866" s="4" t="s">
        <v>8209</v>
      </c>
      <c r="AF11866" s="4" t="s">
        <v>8185</v>
      </c>
    </row>
    <row r="11867">
      <c r="A11867" s="4">
        <v>866.0</v>
      </c>
      <c r="B11867" s="4" t="s">
        <v>22110</v>
      </c>
      <c r="C11867" s="4"/>
      <c r="D11867" s="4" t="s">
        <v>21921</v>
      </c>
      <c r="E11867" s="4" t="s">
        <v>21922</v>
      </c>
      <c r="F11867" s="4" t="s">
        <v>21921</v>
      </c>
      <c r="G11867" s="4"/>
      <c r="H11867" s="4" t="s">
        <v>21923</v>
      </c>
      <c r="I11867" s="4" t="s">
        <v>21924</v>
      </c>
    </row>
    <row r="11868">
      <c r="A11868" s="4">
        <v>867.0</v>
      </c>
      <c r="B11868" s="4" t="s">
        <v>22110</v>
      </c>
      <c r="C11868" s="4"/>
      <c r="D11868" s="4" t="s">
        <v>21925</v>
      </c>
      <c r="E11868" s="4" t="s">
        <v>21926</v>
      </c>
      <c r="F11868" s="4" t="s">
        <v>21927</v>
      </c>
    </row>
    <row r="11869">
      <c r="A11869" s="4">
        <v>868.0</v>
      </c>
      <c r="B11869" s="4" t="s">
        <v>22110</v>
      </c>
      <c r="C11869" s="4"/>
      <c r="D11869" s="4" t="s">
        <v>425</v>
      </c>
      <c r="E11869" s="4" t="s">
        <v>424</v>
      </c>
      <c r="F11869" s="4" t="s">
        <v>425</v>
      </c>
    </row>
    <row r="11870">
      <c r="A11870" s="4">
        <v>869.0</v>
      </c>
      <c r="B11870" s="4" t="s">
        <v>22110</v>
      </c>
      <c r="C11870" s="4"/>
      <c r="D11870" s="4" t="s">
        <v>19862</v>
      </c>
      <c r="E11870" s="4" t="s">
        <v>19863</v>
      </c>
      <c r="F11870" s="4" t="s">
        <v>19862</v>
      </c>
    </row>
    <row r="11871">
      <c r="A11871" s="4">
        <v>870.0</v>
      </c>
      <c r="B11871" s="4" t="s">
        <v>22110</v>
      </c>
      <c r="C11871" s="4"/>
      <c r="D11871" s="4" t="s">
        <v>21928</v>
      </c>
      <c r="E11871" s="4" t="s">
        <v>21929</v>
      </c>
      <c r="F11871" s="4" t="s">
        <v>21928</v>
      </c>
    </row>
    <row r="11872">
      <c r="A11872" s="4">
        <v>871.0</v>
      </c>
      <c r="B11872" s="4" t="s">
        <v>22110</v>
      </c>
      <c r="C11872" s="4"/>
      <c r="D11872" s="4" t="s">
        <v>4418</v>
      </c>
      <c r="E11872" s="4" t="s">
        <v>4419</v>
      </c>
      <c r="F11872" s="4" t="s">
        <v>4418</v>
      </c>
      <c r="G11872" s="4"/>
      <c r="H11872" s="4" t="s">
        <v>897</v>
      </c>
      <c r="I11872" s="4" t="s">
        <v>10974</v>
      </c>
      <c r="J11872" s="4" t="s">
        <v>13234</v>
      </c>
    </row>
    <row r="11873">
      <c r="A11873" s="4">
        <v>872.0</v>
      </c>
      <c r="B11873" s="4" t="s">
        <v>22110</v>
      </c>
      <c r="C11873" s="4"/>
      <c r="D11873" s="4" t="s">
        <v>21930</v>
      </c>
      <c r="E11873" s="4" t="s">
        <v>21931</v>
      </c>
      <c r="F11873" s="4" t="s">
        <v>21930</v>
      </c>
    </row>
    <row r="11874">
      <c r="A11874" s="4">
        <v>873.0</v>
      </c>
      <c r="B11874" s="4" t="s">
        <v>22110</v>
      </c>
      <c r="C11874" s="4"/>
      <c r="D11874" s="4" t="s">
        <v>21932</v>
      </c>
      <c r="E11874" s="4" t="s">
        <v>21933</v>
      </c>
      <c r="F11874" s="4" t="s">
        <v>21934</v>
      </c>
      <c r="G11874" s="4"/>
      <c r="H11874" s="4" t="s">
        <v>21934</v>
      </c>
    </row>
    <row r="11875">
      <c r="A11875" s="4">
        <v>874.0</v>
      </c>
      <c r="B11875" s="4" t="s">
        <v>22110</v>
      </c>
      <c r="C11875" s="4"/>
      <c r="D11875" s="4" t="s">
        <v>21935</v>
      </c>
      <c r="E11875" s="4" t="s">
        <v>21936</v>
      </c>
      <c r="F11875" s="4" t="s">
        <v>21935</v>
      </c>
    </row>
    <row r="11876">
      <c r="A11876" s="4">
        <v>875.0</v>
      </c>
      <c r="B11876" s="4" t="s">
        <v>22110</v>
      </c>
      <c r="C11876" s="4"/>
      <c r="D11876" s="4" t="s">
        <v>21937</v>
      </c>
      <c r="E11876" s="4" t="s">
        <v>21938</v>
      </c>
      <c r="F11876" s="4" t="s">
        <v>21937</v>
      </c>
    </row>
    <row r="11877">
      <c r="A11877" s="4">
        <v>876.0</v>
      </c>
      <c r="B11877" s="4" t="s">
        <v>22110</v>
      </c>
      <c r="C11877" s="4"/>
      <c r="D11877" s="4" t="s">
        <v>4427</v>
      </c>
      <c r="E11877" s="4" t="s">
        <v>4450</v>
      </c>
      <c r="F11877" s="4" t="s">
        <v>4427</v>
      </c>
      <c r="G11877" s="4"/>
      <c r="H11877" s="4" t="s">
        <v>4433</v>
      </c>
      <c r="I11877" s="4" t="s">
        <v>7309</v>
      </c>
      <c r="J11877" s="4" t="s">
        <v>910</v>
      </c>
      <c r="K11877" s="4" t="s">
        <v>4430</v>
      </c>
      <c r="L11877" s="4" t="s">
        <v>21939</v>
      </c>
      <c r="M11877" s="4" t="s">
        <v>3414</v>
      </c>
      <c r="N11877" s="4" t="s">
        <v>21940</v>
      </c>
      <c r="O11877" s="4" t="s">
        <v>21941</v>
      </c>
      <c r="P11877" s="4" t="s">
        <v>21942</v>
      </c>
      <c r="Q11877" s="4" t="s">
        <v>4433</v>
      </c>
      <c r="R11877" s="4" t="s">
        <v>3414</v>
      </c>
      <c r="S11877" s="4" t="s">
        <v>4434</v>
      </c>
      <c r="T11877" s="4" t="s">
        <v>4435</v>
      </c>
      <c r="U11877" s="4" t="s">
        <v>4438</v>
      </c>
      <c r="V11877" s="4" t="s">
        <v>21943</v>
      </c>
      <c r="W11877" s="4" t="s">
        <v>4446</v>
      </c>
      <c r="X11877" s="4" t="s">
        <v>7114</v>
      </c>
      <c r="Y11877" s="4" t="s">
        <v>21944</v>
      </c>
      <c r="Z11877" s="4" t="s">
        <v>5158</v>
      </c>
      <c r="AA11877" s="4" t="s">
        <v>21945</v>
      </c>
      <c r="AB11877" s="4" t="s">
        <v>7521</v>
      </c>
      <c r="AC11877" s="4" t="s">
        <v>12253</v>
      </c>
      <c r="AD11877" s="4" t="s">
        <v>7522</v>
      </c>
      <c r="AE11877" s="4" t="s">
        <v>21946</v>
      </c>
      <c r="AF11877" s="4" t="s">
        <v>6872</v>
      </c>
      <c r="AG11877" s="4" t="s">
        <v>7550</v>
      </c>
      <c r="AH11877" s="4" t="s">
        <v>4447</v>
      </c>
      <c r="AI11877" s="4" t="s">
        <v>4430</v>
      </c>
      <c r="AJ11877" s="4" t="s">
        <v>3483</v>
      </c>
      <c r="AK11877" s="4" t="s">
        <v>21947</v>
      </c>
      <c r="AL11877" s="4" t="s">
        <v>21948</v>
      </c>
      <c r="AM11877" s="4" t="s">
        <v>4431</v>
      </c>
      <c r="AN11877" s="4" t="s">
        <v>4447</v>
      </c>
      <c r="AO11877" s="4" t="s">
        <v>4431</v>
      </c>
      <c r="AP11877" s="4" t="s">
        <v>4448</v>
      </c>
      <c r="AQ11877" s="4" t="s">
        <v>15451</v>
      </c>
      <c r="AR11877" s="4" t="s">
        <v>2700</v>
      </c>
      <c r="AS11877" s="4" t="s">
        <v>7521</v>
      </c>
      <c r="AT11877" s="4" t="s">
        <v>7522</v>
      </c>
      <c r="AU11877" s="4" t="s">
        <v>7523</v>
      </c>
      <c r="AV11877" s="4" t="s">
        <v>21949</v>
      </c>
      <c r="AW11877" s="4" t="s">
        <v>7114</v>
      </c>
      <c r="AX11877" s="4" t="s">
        <v>4447</v>
      </c>
      <c r="AY11877" s="4" t="s">
        <v>21950</v>
      </c>
      <c r="AZ11877" s="4" t="s">
        <v>21951</v>
      </c>
      <c r="BA11877" s="4" t="s">
        <v>4441</v>
      </c>
      <c r="BB11877" s="4" t="s">
        <v>21952</v>
      </c>
      <c r="BC11877" s="4" t="s">
        <v>21953</v>
      </c>
      <c r="BD11877" s="4" t="s">
        <v>21954</v>
      </c>
      <c r="BE11877" s="4" t="s">
        <v>21955</v>
      </c>
      <c r="BF11877" s="4" t="s">
        <v>21946</v>
      </c>
      <c r="BG11877" s="4" t="s">
        <v>21956</v>
      </c>
      <c r="BH11877" s="4" t="s">
        <v>8453</v>
      </c>
      <c r="BI11877" s="4" t="s">
        <v>21957</v>
      </c>
      <c r="BJ11877" s="4" t="s">
        <v>21958</v>
      </c>
      <c r="BK11877" s="4" t="s">
        <v>8987</v>
      </c>
      <c r="BL11877" s="4" t="s">
        <v>3414</v>
      </c>
    </row>
    <row r="11878">
      <c r="A11878" s="4">
        <v>877.0</v>
      </c>
      <c r="B11878" s="4" t="s">
        <v>22110</v>
      </c>
      <c r="C11878" s="4"/>
      <c r="D11878" s="4" t="s">
        <v>21959</v>
      </c>
      <c r="E11878" s="4" t="s">
        <v>21960</v>
      </c>
      <c r="F11878" s="4" t="s">
        <v>21959</v>
      </c>
    </row>
    <row r="11879">
      <c r="A11879" s="4">
        <v>878.0</v>
      </c>
      <c r="B11879" s="4" t="s">
        <v>22110</v>
      </c>
      <c r="C11879" s="4"/>
      <c r="D11879" s="4" t="s">
        <v>21961</v>
      </c>
      <c r="E11879" s="4" t="s">
        <v>21962</v>
      </c>
      <c r="F11879" s="4" t="s">
        <v>21961</v>
      </c>
    </row>
    <row r="11880">
      <c r="A11880" s="4">
        <v>879.0</v>
      </c>
      <c r="B11880" s="4" t="s">
        <v>22110</v>
      </c>
      <c r="C11880" s="4"/>
      <c r="D11880" s="4" t="s">
        <v>21963</v>
      </c>
      <c r="E11880" s="4" t="s">
        <v>21960</v>
      </c>
      <c r="F11880" s="4" t="s">
        <v>21959</v>
      </c>
    </row>
    <row r="11881">
      <c r="A11881" s="4">
        <v>880.0</v>
      </c>
      <c r="B11881" s="4" t="s">
        <v>22110</v>
      </c>
      <c r="C11881" s="4"/>
      <c r="D11881" s="4" t="s">
        <v>21964</v>
      </c>
      <c r="E11881" s="4" t="s">
        <v>21962</v>
      </c>
      <c r="F11881" s="4" t="s">
        <v>21961</v>
      </c>
    </row>
    <row r="11882">
      <c r="A11882" s="4">
        <v>881.0</v>
      </c>
      <c r="B11882" s="4" t="s">
        <v>22110</v>
      </c>
      <c r="C11882" s="4"/>
      <c r="D11882" s="4" t="s">
        <v>21965</v>
      </c>
      <c r="E11882" s="4" t="s">
        <v>21966</v>
      </c>
      <c r="F11882" s="4" t="s">
        <v>21965</v>
      </c>
    </row>
    <row r="11883">
      <c r="A11883" s="4">
        <v>882.0</v>
      </c>
      <c r="B11883" s="4" t="s">
        <v>22110</v>
      </c>
      <c r="C11883" s="4"/>
      <c r="D11883" s="4" t="s">
        <v>21967</v>
      </c>
      <c r="E11883" s="4" t="s">
        <v>21968</v>
      </c>
      <c r="F11883" s="4" t="s">
        <v>21967</v>
      </c>
    </row>
    <row r="11884">
      <c r="A11884" s="4">
        <v>883.0</v>
      </c>
      <c r="B11884" s="4" t="s">
        <v>22110</v>
      </c>
      <c r="C11884" s="4"/>
      <c r="D11884" s="4" t="s">
        <v>21969</v>
      </c>
      <c r="E11884" s="4" t="s">
        <v>21970</v>
      </c>
      <c r="F11884" s="4" t="s">
        <v>21969</v>
      </c>
    </row>
    <row r="11885">
      <c r="A11885" s="4">
        <v>884.0</v>
      </c>
      <c r="B11885" s="4" t="s">
        <v>22110</v>
      </c>
      <c r="C11885" s="4"/>
      <c r="D11885" s="4" t="s">
        <v>21971</v>
      </c>
      <c r="E11885" s="4" t="s">
        <v>16452</v>
      </c>
      <c r="F11885" s="4" t="s">
        <v>16451</v>
      </c>
    </row>
    <row r="11886">
      <c r="A11886" s="4">
        <v>885.0</v>
      </c>
      <c r="B11886" s="4" t="s">
        <v>22110</v>
      </c>
      <c r="C11886" s="4"/>
      <c r="D11886" s="4" t="s">
        <v>4463</v>
      </c>
      <c r="E11886" s="4" t="s">
        <v>4464</v>
      </c>
      <c r="F11886" s="4" t="s">
        <v>4463</v>
      </c>
      <c r="G11886" s="4"/>
      <c r="H11886" s="4" t="s">
        <v>11528</v>
      </c>
      <c r="I11886" s="4" t="s">
        <v>11529</v>
      </c>
      <c r="J11886" s="4" t="s">
        <v>11530</v>
      </c>
    </row>
    <row r="11887">
      <c r="A11887" s="4">
        <v>886.0</v>
      </c>
      <c r="B11887" s="4" t="s">
        <v>22110</v>
      </c>
      <c r="C11887" s="4"/>
      <c r="D11887" s="4" t="s">
        <v>4490</v>
      </c>
      <c r="E11887" s="4" t="s">
        <v>4489</v>
      </c>
      <c r="F11887" s="4" t="s">
        <v>4490</v>
      </c>
    </row>
    <row r="11888">
      <c r="A11888" s="4">
        <v>887.0</v>
      </c>
      <c r="B11888" s="4" t="s">
        <v>22110</v>
      </c>
      <c r="C11888" s="4"/>
      <c r="D11888" s="4" t="s">
        <v>21972</v>
      </c>
      <c r="E11888" s="4" t="s">
        <v>21973</v>
      </c>
      <c r="F11888" s="4" t="s">
        <v>21972</v>
      </c>
      <c r="G11888" s="4"/>
      <c r="H11888" s="4" t="s">
        <v>347</v>
      </c>
      <c r="I11888" s="4" t="s">
        <v>21974</v>
      </c>
      <c r="J11888" s="4" t="s">
        <v>354</v>
      </c>
      <c r="K11888" s="4" t="s">
        <v>21975</v>
      </c>
      <c r="L11888" s="4" t="s">
        <v>21976</v>
      </c>
      <c r="M11888" s="4" t="s">
        <v>10073</v>
      </c>
      <c r="N11888" s="4" t="s">
        <v>4448</v>
      </c>
      <c r="O11888" s="4" t="s">
        <v>10073</v>
      </c>
      <c r="P11888" s="4" t="s">
        <v>4448</v>
      </c>
    </row>
    <row r="11889">
      <c r="A11889" s="4">
        <v>888.0</v>
      </c>
      <c r="B11889" s="4" t="s">
        <v>22110</v>
      </c>
      <c r="C11889" s="4"/>
      <c r="D11889" s="4" t="s">
        <v>21977</v>
      </c>
      <c r="E11889" s="4" t="s">
        <v>21978</v>
      </c>
      <c r="F11889" s="4" t="s">
        <v>21977</v>
      </c>
    </row>
    <row r="11890">
      <c r="A11890" s="4">
        <v>889.0</v>
      </c>
      <c r="B11890" s="4" t="s">
        <v>22110</v>
      </c>
      <c r="C11890" s="4"/>
      <c r="D11890" s="4" t="s">
        <v>4470</v>
      </c>
      <c r="E11890" s="4" t="s">
        <v>4471</v>
      </c>
      <c r="F11890" s="4" t="s">
        <v>4470</v>
      </c>
    </row>
    <row r="11891">
      <c r="A11891" s="4">
        <v>890.0</v>
      </c>
      <c r="B11891" s="4" t="s">
        <v>22110</v>
      </c>
      <c r="C11891" s="4"/>
      <c r="D11891" s="4" t="s">
        <v>21979</v>
      </c>
      <c r="E11891" s="4" t="s">
        <v>21980</v>
      </c>
      <c r="F11891" s="4" t="s">
        <v>21979</v>
      </c>
    </row>
    <row r="11892">
      <c r="A11892" s="4">
        <v>891.0</v>
      </c>
      <c r="B11892" s="4" t="s">
        <v>22110</v>
      </c>
      <c r="C11892" s="4"/>
      <c r="D11892" s="4" t="s">
        <v>21981</v>
      </c>
      <c r="E11892" s="4" t="s">
        <v>21982</v>
      </c>
      <c r="F11892" s="4" t="s">
        <v>21981</v>
      </c>
    </row>
    <row r="11893">
      <c r="A11893" s="4">
        <v>892.0</v>
      </c>
      <c r="B11893" s="4" t="s">
        <v>22110</v>
      </c>
      <c r="C11893" s="4"/>
      <c r="D11893" s="4" t="s">
        <v>21983</v>
      </c>
      <c r="E11893" s="4" t="s">
        <v>21980</v>
      </c>
      <c r="F11893" s="4" t="s">
        <v>21979</v>
      </c>
    </row>
    <row r="11894">
      <c r="A11894" s="4">
        <v>893.0</v>
      </c>
      <c r="B11894" s="4" t="s">
        <v>22110</v>
      </c>
      <c r="C11894" s="4"/>
      <c r="D11894" s="4" t="s">
        <v>21984</v>
      </c>
      <c r="E11894" s="4" t="s">
        <v>21982</v>
      </c>
      <c r="F11894" s="4" t="s">
        <v>21981</v>
      </c>
    </row>
    <row r="11895">
      <c r="A11895" s="4">
        <v>894.0</v>
      </c>
      <c r="B11895" s="4" t="s">
        <v>22110</v>
      </c>
      <c r="C11895" s="4"/>
      <c r="D11895" s="4" t="s">
        <v>21985</v>
      </c>
      <c r="E11895" s="4" t="s">
        <v>21986</v>
      </c>
      <c r="F11895" s="4" t="s">
        <v>21985</v>
      </c>
    </row>
    <row r="11896">
      <c r="A11896" s="4">
        <v>895.0</v>
      </c>
      <c r="B11896" s="4" t="s">
        <v>22110</v>
      </c>
      <c r="C11896" s="4"/>
      <c r="D11896" s="4" t="s">
        <v>21987</v>
      </c>
      <c r="E11896" s="4" t="s">
        <v>21988</v>
      </c>
      <c r="F11896" s="4" t="s">
        <v>21987</v>
      </c>
    </row>
    <row r="11897">
      <c r="A11897" s="4">
        <v>896.0</v>
      </c>
      <c r="B11897" s="4" t="s">
        <v>22110</v>
      </c>
      <c r="C11897" s="4"/>
      <c r="D11897" s="4" t="s">
        <v>21989</v>
      </c>
      <c r="E11897" s="4" t="s">
        <v>430</v>
      </c>
      <c r="F11897" s="4" t="s">
        <v>431</v>
      </c>
    </row>
    <row r="11898">
      <c r="A11898" s="4">
        <v>897.0</v>
      </c>
      <c r="B11898" s="4" t="s">
        <v>22110</v>
      </c>
      <c r="C11898" s="4"/>
      <c r="D11898" s="4" t="s">
        <v>4394</v>
      </c>
      <c r="E11898" s="4" t="s">
        <v>4393</v>
      </c>
      <c r="F11898" s="4" t="s">
        <v>4394</v>
      </c>
    </row>
    <row r="11899">
      <c r="A11899" s="4">
        <v>898.0</v>
      </c>
      <c r="B11899" s="4" t="s">
        <v>22110</v>
      </c>
      <c r="C11899" s="4"/>
      <c r="D11899" s="4" t="s">
        <v>21990</v>
      </c>
      <c r="E11899" s="4" t="s">
        <v>21991</v>
      </c>
      <c r="F11899" s="4" t="s">
        <v>21992</v>
      </c>
    </row>
    <row r="11900">
      <c r="A11900" s="4">
        <v>899.0</v>
      </c>
      <c r="B11900" s="4" t="s">
        <v>22110</v>
      </c>
      <c r="C11900" s="4"/>
      <c r="D11900" s="4" t="s">
        <v>21993</v>
      </c>
      <c r="E11900" s="4" t="s">
        <v>21994</v>
      </c>
      <c r="F11900" s="4" t="s">
        <v>21995</v>
      </c>
      <c r="G11900" s="4"/>
      <c r="H11900" s="4" t="s">
        <v>21993</v>
      </c>
      <c r="I11900" s="4" t="s">
        <v>6565</v>
      </c>
    </row>
    <row r="11901">
      <c r="A11901" s="4">
        <v>900.0</v>
      </c>
      <c r="B11901" s="4" t="s">
        <v>22110</v>
      </c>
      <c r="C11901" s="4"/>
      <c r="D11901" s="4" t="s">
        <v>8880</v>
      </c>
      <c r="E11901" s="4" t="s">
        <v>15552</v>
      </c>
      <c r="F11901" s="4" t="s">
        <v>8882</v>
      </c>
      <c r="G11901" s="4"/>
      <c r="H11901" s="4" t="s">
        <v>8880</v>
      </c>
    </row>
    <row r="11902">
      <c r="A11902" s="4">
        <v>901.0</v>
      </c>
      <c r="B11902" s="4" t="s">
        <v>22110</v>
      </c>
      <c r="C11902" s="4"/>
      <c r="D11902" s="4" t="s">
        <v>4555</v>
      </c>
      <c r="E11902" s="4" t="s">
        <v>4556</v>
      </c>
      <c r="F11902" s="4" t="s">
        <v>4555</v>
      </c>
    </row>
    <row r="11903">
      <c r="A11903" s="4">
        <v>902.0</v>
      </c>
      <c r="B11903" s="4" t="s">
        <v>22110</v>
      </c>
      <c r="C11903" s="4"/>
      <c r="D11903" s="4" t="s">
        <v>21996</v>
      </c>
      <c r="E11903" s="4" t="s">
        <v>21997</v>
      </c>
      <c r="F11903" s="4" t="s">
        <v>21998</v>
      </c>
    </row>
    <row r="11904">
      <c r="A11904" s="4">
        <v>903.0</v>
      </c>
      <c r="B11904" s="4" t="s">
        <v>22110</v>
      </c>
      <c r="C11904" s="4"/>
      <c r="D11904" s="4" t="s">
        <v>21999</v>
      </c>
      <c r="E11904" s="4" t="s">
        <v>458</v>
      </c>
      <c r="F11904" s="4" t="s">
        <v>459</v>
      </c>
    </row>
    <row r="11905">
      <c r="A11905" s="4">
        <v>904.0</v>
      </c>
      <c r="B11905" s="4" t="s">
        <v>22110</v>
      </c>
      <c r="C11905" s="4"/>
      <c r="D11905" s="4" t="s">
        <v>22000</v>
      </c>
      <c r="E11905" s="4" t="s">
        <v>22001</v>
      </c>
      <c r="F11905" s="4" t="s">
        <v>22000</v>
      </c>
    </row>
    <row r="11906">
      <c r="A11906" s="4">
        <v>905.0</v>
      </c>
      <c r="B11906" s="4" t="s">
        <v>22110</v>
      </c>
      <c r="C11906" s="4"/>
      <c r="D11906" s="4" t="s">
        <v>22002</v>
      </c>
      <c r="E11906" s="4" t="s">
        <v>18808</v>
      </c>
      <c r="F11906" s="4" t="s">
        <v>18807</v>
      </c>
      <c r="G11906" s="4"/>
      <c r="H11906" s="4" t="s">
        <v>8883</v>
      </c>
    </row>
    <row r="11907">
      <c r="A11907" s="4">
        <v>906.0</v>
      </c>
      <c r="B11907" s="4" t="s">
        <v>22110</v>
      </c>
      <c r="C11907" s="4"/>
      <c r="D11907" s="4" t="s">
        <v>16473</v>
      </c>
      <c r="E11907" s="4" t="s">
        <v>16474</v>
      </c>
      <c r="F11907" s="4" t="s">
        <v>16473</v>
      </c>
      <c r="G11907" s="4"/>
      <c r="H11907" s="4" t="s">
        <v>16473</v>
      </c>
      <c r="I11907" s="4" t="s">
        <v>22003</v>
      </c>
    </row>
    <row r="11908">
      <c r="A11908" s="4">
        <v>907.0</v>
      </c>
      <c r="B11908" s="4" t="s">
        <v>22110</v>
      </c>
      <c r="C11908" s="4"/>
      <c r="D11908" s="4" t="s">
        <v>22004</v>
      </c>
      <c r="E11908" s="4" t="s">
        <v>22005</v>
      </c>
      <c r="F11908" s="4" t="s">
        <v>22004</v>
      </c>
    </row>
    <row r="11909">
      <c r="A11909" s="4">
        <v>908.0</v>
      </c>
      <c r="B11909" s="4" t="s">
        <v>22110</v>
      </c>
      <c r="C11909" s="4"/>
      <c r="D11909" s="4" t="s">
        <v>22006</v>
      </c>
      <c r="E11909" s="4" t="s">
        <v>22007</v>
      </c>
      <c r="F11909" s="4" t="s">
        <v>22006</v>
      </c>
    </row>
    <row r="11910">
      <c r="A11910" s="4">
        <v>909.0</v>
      </c>
      <c r="B11910" s="4" t="s">
        <v>22110</v>
      </c>
      <c r="C11910" s="4"/>
      <c r="D11910" s="4" t="s">
        <v>22008</v>
      </c>
      <c r="E11910" s="4" t="s">
        <v>22009</v>
      </c>
      <c r="F11910" s="4" t="s">
        <v>22010</v>
      </c>
    </row>
    <row r="11911">
      <c r="A11911" s="4">
        <v>910.0</v>
      </c>
      <c r="B11911" s="4" t="s">
        <v>22110</v>
      </c>
      <c r="C11911" s="4"/>
      <c r="D11911" s="4" t="s">
        <v>22011</v>
      </c>
      <c r="E11911" s="4" t="s">
        <v>22012</v>
      </c>
      <c r="F11911" s="4" t="s">
        <v>22011</v>
      </c>
    </row>
    <row r="11912">
      <c r="A11912" s="4">
        <v>911.0</v>
      </c>
      <c r="B11912" s="4" t="s">
        <v>22110</v>
      </c>
      <c r="C11912" s="4"/>
      <c r="D11912" s="4" t="s">
        <v>22013</v>
      </c>
      <c r="E11912" s="4" t="s">
        <v>22014</v>
      </c>
      <c r="F11912" s="4" t="s">
        <v>22015</v>
      </c>
    </row>
    <row r="11913">
      <c r="A11913" s="4">
        <v>912.0</v>
      </c>
      <c r="B11913" s="4" t="s">
        <v>22110</v>
      </c>
      <c r="C11913" s="4"/>
      <c r="D11913" s="4" t="s">
        <v>13881</v>
      </c>
      <c r="E11913" s="4" t="s">
        <v>13880</v>
      </c>
      <c r="F11913" s="4" t="s">
        <v>13881</v>
      </c>
    </row>
    <row r="11914">
      <c r="A11914" s="4">
        <v>913.0</v>
      </c>
      <c r="B11914" s="4" t="s">
        <v>22110</v>
      </c>
      <c r="C11914" s="4"/>
      <c r="D11914" s="4" t="s">
        <v>4577</v>
      </c>
      <c r="E11914" s="4" t="s">
        <v>4578</v>
      </c>
      <c r="F11914" s="4" t="s">
        <v>4579</v>
      </c>
    </row>
    <row r="11915">
      <c r="A11915" s="4">
        <v>914.0</v>
      </c>
      <c r="B11915" s="4" t="s">
        <v>22110</v>
      </c>
      <c r="C11915" s="4"/>
      <c r="D11915" s="4" t="s">
        <v>4593</v>
      </c>
      <c r="E11915" s="4" t="s">
        <v>4594</v>
      </c>
      <c r="F11915" s="4" t="s">
        <v>4595</v>
      </c>
    </row>
    <row r="11916">
      <c r="A11916" s="4">
        <v>915.0</v>
      </c>
      <c r="B11916" s="4" t="s">
        <v>22110</v>
      </c>
      <c r="C11916" s="4"/>
      <c r="D11916" s="4" t="s">
        <v>22016</v>
      </c>
      <c r="E11916" s="4" t="s">
        <v>22017</v>
      </c>
      <c r="F11916" s="4" t="s">
        <v>22018</v>
      </c>
    </row>
    <row r="11917">
      <c r="A11917" s="4">
        <v>916.0</v>
      </c>
      <c r="B11917" s="4" t="s">
        <v>22110</v>
      </c>
      <c r="C11917" s="4"/>
      <c r="D11917" s="4" t="s">
        <v>22019</v>
      </c>
      <c r="E11917" s="4" t="s">
        <v>22020</v>
      </c>
      <c r="F11917" s="4" t="s">
        <v>22021</v>
      </c>
    </row>
    <row r="11918">
      <c r="A11918" s="4">
        <v>917.0</v>
      </c>
      <c r="B11918" s="4" t="s">
        <v>22110</v>
      </c>
      <c r="C11918" s="4"/>
      <c r="D11918" s="4" t="s">
        <v>22022</v>
      </c>
      <c r="E11918" s="4" t="s">
        <v>4556</v>
      </c>
      <c r="F11918" s="4" t="s">
        <v>4555</v>
      </c>
    </row>
    <row r="11919">
      <c r="A11919" s="4">
        <v>918.0</v>
      </c>
      <c r="B11919" s="4" t="s">
        <v>22110</v>
      </c>
      <c r="C11919" s="4"/>
      <c r="D11919" s="4" t="s">
        <v>4607</v>
      </c>
      <c r="E11919" s="4" t="s">
        <v>4608</v>
      </c>
      <c r="F11919" s="4" t="s">
        <v>4609</v>
      </c>
      <c r="G11919" s="4"/>
      <c r="H11919" s="4" t="s">
        <v>4610</v>
      </c>
      <c r="I11919" s="4" t="s">
        <v>4610</v>
      </c>
      <c r="J11919" s="4" t="s">
        <v>4611</v>
      </c>
      <c r="K11919" s="4" t="s">
        <v>4612</v>
      </c>
    </row>
    <row r="11920">
      <c r="A11920" s="4">
        <v>919.0</v>
      </c>
      <c r="B11920" s="4" t="s">
        <v>22110</v>
      </c>
      <c r="C11920" s="4"/>
      <c r="D11920" s="4" t="s">
        <v>1860</v>
      </c>
      <c r="E11920" s="4" t="s">
        <v>1859</v>
      </c>
      <c r="F11920" s="4" t="s">
        <v>1860</v>
      </c>
    </row>
    <row r="11921">
      <c r="A11921" s="4">
        <v>920.0</v>
      </c>
      <c r="B11921" s="4" t="s">
        <v>22110</v>
      </c>
      <c r="C11921" s="4"/>
      <c r="D11921" s="4" t="s">
        <v>1864</v>
      </c>
      <c r="E11921" s="4" t="s">
        <v>1863</v>
      </c>
      <c r="F11921" s="4" t="s">
        <v>1864</v>
      </c>
    </row>
    <row r="11922">
      <c r="A11922" s="4">
        <v>921.0</v>
      </c>
      <c r="B11922" s="4" t="s">
        <v>22110</v>
      </c>
      <c r="C11922" s="4"/>
      <c r="D11922" s="4" t="s">
        <v>21033</v>
      </c>
      <c r="E11922" s="4" t="s">
        <v>21032</v>
      </c>
      <c r="F11922" s="4" t="s">
        <v>21033</v>
      </c>
    </row>
    <row r="11923">
      <c r="A11923" s="4">
        <v>922.0</v>
      </c>
      <c r="B11923" s="4" t="s">
        <v>22110</v>
      </c>
      <c r="C11923" s="4"/>
      <c r="D11923" s="4" t="s">
        <v>4640</v>
      </c>
      <c r="E11923" s="4" t="s">
        <v>4639</v>
      </c>
      <c r="F11923" s="4" t="s">
        <v>4640</v>
      </c>
    </row>
    <row r="11924">
      <c r="A11924" s="4">
        <v>923.0</v>
      </c>
      <c r="B11924" s="4" t="s">
        <v>22110</v>
      </c>
      <c r="C11924" s="4"/>
      <c r="D11924" s="4" t="s">
        <v>4638</v>
      </c>
      <c r="E11924" s="4" t="s">
        <v>4656</v>
      </c>
      <c r="F11924" s="4" t="s">
        <v>4638</v>
      </c>
      <c r="G11924" s="4"/>
      <c r="H11924" s="4" t="s">
        <v>4641</v>
      </c>
      <c r="I11924" s="4" t="s">
        <v>4642</v>
      </c>
      <c r="J11924" s="4" t="s">
        <v>4643</v>
      </c>
      <c r="K11924" s="4" t="s">
        <v>4644</v>
      </c>
      <c r="L11924" s="4" t="s">
        <v>4645</v>
      </c>
      <c r="M11924" s="4" t="s">
        <v>4646</v>
      </c>
      <c r="N11924" s="4" t="s">
        <v>4645</v>
      </c>
      <c r="O11924" s="4" t="s">
        <v>4644</v>
      </c>
      <c r="P11924" s="4" t="s">
        <v>4646</v>
      </c>
      <c r="Q11924" s="4" t="s">
        <v>4647</v>
      </c>
      <c r="R11924" s="4" t="s">
        <v>4648</v>
      </c>
      <c r="S11924" s="4" t="s">
        <v>22023</v>
      </c>
      <c r="T11924" s="4" t="s">
        <v>22024</v>
      </c>
      <c r="U11924" s="4" t="s">
        <v>22025</v>
      </c>
      <c r="V11924" s="4" t="s">
        <v>3048</v>
      </c>
      <c r="W11924" s="4" t="s">
        <v>22026</v>
      </c>
      <c r="X11924" s="4" t="s">
        <v>4653</v>
      </c>
      <c r="Y11924" s="4" t="s">
        <v>4652</v>
      </c>
      <c r="Z11924" s="4" t="s">
        <v>4649</v>
      </c>
      <c r="AA11924" s="4" t="s">
        <v>4650</v>
      </c>
      <c r="AB11924" s="4" t="s">
        <v>4649</v>
      </c>
      <c r="AC11924" s="4" t="s">
        <v>4651</v>
      </c>
      <c r="AD11924" s="4" t="s">
        <v>4496</v>
      </c>
      <c r="AE11924" s="4" t="s">
        <v>4652</v>
      </c>
      <c r="AF11924" s="4" t="s">
        <v>3048</v>
      </c>
      <c r="AG11924" s="4" t="s">
        <v>3050</v>
      </c>
      <c r="AH11924" s="4" t="s">
        <v>4653</v>
      </c>
      <c r="AI11924" s="4" t="s">
        <v>22027</v>
      </c>
      <c r="AJ11924" s="4" t="s">
        <v>22028</v>
      </c>
      <c r="AK11924" s="4" t="s">
        <v>22029</v>
      </c>
      <c r="AL11924" s="4" t="s">
        <v>21767</v>
      </c>
      <c r="AM11924" s="4" t="s">
        <v>22030</v>
      </c>
      <c r="AN11924" s="4" t="s">
        <v>4642</v>
      </c>
      <c r="AO11924" s="4" t="s">
        <v>4652</v>
      </c>
      <c r="AP11924" s="4" t="s">
        <v>3048</v>
      </c>
      <c r="AQ11924" s="4" t="s">
        <v>4653</v>
      </c>
      <c r="AR11924" s="4" t="s">
        <v>4649</v>
      </c>
      <c r="AS11924" s="4" t="s">
        <v>4644</v>
      </c>
      <c r="AT11924" s="4" t="s">
        <v>4644</v>
      </c>
      <c r="AU11924" s="4" t="s">
        <v>4642</v>
      </c>
    </row>
    <row r="11925">
      <c r="A11925" s="4">
        <v>924.0</v>
      </c>
      <c r="B11925" s="4" t="s">
        <v>22110</v>
      </c>
      <c r="C11925" s="4"/>
      <c r="D11925" s="4" t="s">
        <v>22031</v>
      </c>
      <c r="E11925" s="4" t="s">
        <v>22032</v>
      </c>
      <c r="F11925" s="4" t="s">
        <v>22033</v>
      </c>
    </row>
    <row r="11926">
      <c r="A11926" s="4">
        <v>925.0</v>
      </c>
      <c r="B11926" s="4" t="s">
        <v>22110</v>
      </c>
      <c r="C11926" s="4"/>
      <c r="D11926" s="4" t="s">
        <v>22034</v>
      </c>
      <c r="E11926" s="4" t="s">
        <v>22035</v>
      </c>
      <c r="F11926" s="4" t="s">
        <v>22036</v>
      </c>
    </row>
    <row r="11927">
      <c r="A11927" s="4">
        <v>926.0</v>
      </c>
      <c r="B11927" s="4" t="s">
        <v>22110</v>
      </c>
      <c r="C11927" s="4"/>
      <c r="D11927" s="4" t="s">
        <v>4659</v>
      </c>
      <c r="E11927" s="4" t="s">
        <v>4639</v>
      </c>
      <c r="F11927" s="4" t="s">
        <v>4640</v>
      </c>
    </row>
    <row r="11928">
      <c r="A11928" s="4">
        <v>927.0</v>
      </c>
      <c r="B11928" s="4" t="s">
        <v>22110</v>
      </c>
      <c r="C11928" s="4"/>
      <c r="D11928" s="4" t="s">
        <v>22037</v>
      </c>
      <c r="E11928" s="4" t="s">
        <v>22038</v>
      </c>
      <c r="F11928" s="4" t="s">
        <v>22037</v>
      </c>
    </row>
    <row r="11929">
      <c r="A11929" s="4">
        <v>928.0</v>
      </c>
      <c r="B11929" s="4" t="s">
        <v>22110</v>
      </c>
      <c r="C11929" s="4"/>
      <c r="D11929" s="4" t="s">
        <v>22039</v>
      </c>
      <c r="E11929" s="4" t="s">
        <v>22040</v>
      </c>
      <c r="F11929" s="4" t="s">
        <v>22039</v>
      </c>
    </row>
    <row r="11930">
      <c r="A11930" s="4">
        <v>929.0</v>
      </c>
      <c r="B11930" s="4" t="s">
        <v>22110</v>
      </c>
      <c r="C11930" s="4"/>
      <c r="D11930" s="4" t="s">
        <v>22041</v>
      </c>
      <c r="E11930" s="4" t="s">
        <v>22042</v>
      </c>
      <c r="F11930" s="4" t="s">
        <v>22043</v>
      </c>
    </row>
    <row r="11931">
      <c r="A11931" s="4">
        <v>930.0</v>
      </c>
      <c r="B11931" s="4" t="s">
        <v>22110</v>
      </c>
      <c r="C11931" s="4"/>
      <c r="D11931" s="4" t="s">
        <v>22044</v>
      </c>
      <c r="E11931" s="4" t="s">
        <v>22045</v>
      </c>
      <c r="F11931" s="4" t="s">
        <v>22046</v>
      </c>
    </row>
    <row r="11932">
      <c r="A11932" s="4">
        <v>931.0</v>
      </c>
      <c r="B11932" s="4" t="s">
        <v>22110</v>
      </c>
      <c r="C11932" s="4"/>
      <c r="D11932" s="4" t="s">
        <v>22047</v>
      </c>
      <c r="E11932" s="4" t="s">
        <v>22048</v>
      </c>
      <c r="F11932" s="4" t="s">
        <v>22047</v>
      </c>
    </row>
    <row r="11933">
      <c r="A11933" s="4">
        <v>932.0</v>
      </c>
      <c r="B11933" s="4" t="s">
        <v>22110</v>
      </c>
      <c r="C11933" s="4"/>
      <c r="D11933" s="4" t="s">
        <v>19726</v>
      </c>
      <c r="E11933" s="4" t="s">
        <v>21047</v>
      </c>
      <c r="F11933" s="4" t="s">
        <v>19726</v>
      </c>
      <c r="G11933" s="4"/>
      <c r="H11933" s="4" t="s">
        <v>4799</v>
      </c>
      <c r="I11933" s="4" t="s">
        <v>22049</v>
      </c>
      <c r="J11933" s="4" t="s">
        <v>4799</v>
      </c>
      <c r="K11933" s="4" t="s">
        <v>22050</v>
      </c>
      <c r="L11933" s="4" t="s">
        <v>22051</v>
      </c>
      <c r="M11933" s="4" t="s">
        <v>22052</v>
      </c>
      <c r="N11933" s="4" t="s">
        <v>3085</v>
      </c>
      <c r="O11933" s="4" t="s">
        <v>4799</v>
      </c>
      <c r="P11933" s="4" t="s">
        <v>22053</v>
      </c>
      <c r="Q11933" s="4" t="s">
        <v>11348</v>
      </c>
      <c r="R11933" s="4" t="s">
        <v>22052</v>
      </c>
      <c r="S11933" s="4" t="s">
        <v>4799</v>
      </c>
      <c r="T11933" s="4" t="s">
        <v>4799</v>
      </c>
    </row>
    <row r="11934">
      <c r="A11934" s="4">
        <v>933.0</v>
      </c>
      <c r="B11934" s="4" t="s">
        <v>22110</v>
      </c>
      <c r="C11934" s="4"/>
      <c r="D11934" s="4" t="s">
        <v>22054</v>
      </c>
      <c r="E11934" s="4" t="s">
        <v>22055</v>
      </c>
      <c r="F11934" s="4" t="s">
        <v>22054</v>
      </c>
    </row>
    <row r="11935">
      <c r="A11935" s="4">
        <v>934.0</v>
      </c>
      <c r="B11935" s="4" t="s">
        <v>22110</v>
      </c>
      <c r="C11935" s="4"/>
      <c r="D11935" s="4" t="s">
        <v>22056</v>
      </c>
      <c r="E11935" s="4" t="s">
        <v>22057</v>
      </c>
      <c r="F11935" s="4" t="s">
        <v>22056</v>
      </c>
    </row>
    <row r="11936">
      <c r="A11936" s="4">
        <v>935.0</v>
      </c>
      <c r="B11936" s="4" t="s">
        <v>22110</v>
      </c>
      <c r="C11936" s="4"/>
      <c r="D11936" s="4" t="s">
        <v>22058</v>
      </c>
      <c r="E11936" s="4" t="s">
        <v>22055</v>
      </c>
      <c r="F11936" s="4" t="s">
        <v>22054</v>
      </c>
    </row>
    <row r="11937">
      <c r="A11937" s="4">
        <v>936.0</v>
      </c>
      <c r="B11937" s="4" t="s">
        <v>22110</v>
      </c>
      <c r="C11937" s="4"/>
      <c r="D11937" s="4" t="s">
        <v>22059</v>
      </c>
      <c r="E11937" s="4" t="s">
        <v>22057</v>
      </c>
      <c r="F11937" s="4" t="s">
        <v>22056</v>
      </c>
    </row>
    <row r="11938">
      <c r="A11938" s="4">
        <v>937.0</v>
      </c>
      <c r="B11938" s="4" t="s">
        <v>22110</v>
      </c>
      <c r="C11938" s="4"/>
      <c r="D11938" s="4" t="s">
        <v>22060</v>
      </c>
      <c r="E11938" s="4" t="s">
        <v>22061</v>
      </c>
      <c r="F11938" s="4" t="s">
        <v>22060</v>
      </c>
    </row>
    <row r="11939">
      <c r="A11939" s="4">
        <v>938.0</v>
      </c>
      <c r="B11939" s="4" t="s">
        <v>22110</v>
      </c>
      <c r="C11939" s="4"/>
      <c r="D11939" s="4" t="s">
        <v>22062</v>
      </c>
      <c r="E11939" s="4" t="s">
        <v>22063</v>
      </c>
      <c r="F11939" s="4" t="s">
        <v>22064</v>
      </c>
    </row>
    <row r="11940">
      <c r="A11940" s="4">
        <v>939.0</v>
      </c>
      <c r="B11940" s="4" t="s">
        <v>22110</v>
      </c>
      <c r="C11940" s="4"/>
      <c r="D11940" s="4" t="s">
        <v>22065</v>
      </c>
      <c r="E11940" s="4" t="s">
        <v>22066</v>
      </c>
      <c r="F11940" s="4" t="s">
        <v>22067</v>
      </c>
    </row>
    <row r="11941">
      <c r="A11941" s="4">
        <v>940.0</v>
      </c>
      <c r="B11941" s="4" t="s">
        <v>22110</v>
      </c>
      <c r="C11941" s="4"/>
      <c r="D11941" s="4" t="s">
        <v>22068</v>
      </c>
      <c r="E11941" s="4" t="s">
        <v>22069</v>
      </c>
      <c r="F11941" s="4" t="s">
        <v>22068</v>
      </c>
      <c r="G11941" s="4"/>
      <c r="H11941" s="4" t="s">
        <v>22070</v>
      </c>
      <c r="I11941" s="4" t="s">
        <v>22070</v>
      </c>
      <c r="J11941" s="4" t="s">
        <v>22071</v>
      </c>
    </row>
    <row r="11942">
      <c r="A11942" s="4">
        <v>941.0</v>
      </c>
      <c r="B11942" s="4" t="s">
        <v>22110</v>
      </c>
      <c r="C11942" s="4"/>
      <c r="D11942" s="4" t="s">
        <v>22072</v>
      </c>
      <c r="E11942" s="4" t="s">
        <v>22073</v>
      </c>
      <c r="F11942" s="4" t="s">
        <v>22072</v>
      </c>
      <c r="G11942" s="4"/>
      <c r="H11942" s="4" t="s">
        <v>15061</v>
      </c>
      <c r="I11942" s="4" t="s">
        <v>22074</v>
      </c>
      <c r="J11942" s="4" t="s">
        <v>8236</v>
      </c>
    </row>
    <row r="11943">
      <c r="A11943" s="4">
        <v>942.0</v>
      </c>
      <c r="B11943" s="4" t="s">
        <v>22110</v>
      </c>
      <c r="C11943" s="4"/>
      <c r="D11943" s="4" t="s">
        <v>22075</v>
      </c>
      <c r="E11943" s="4" t="s">
        <v>21127</v>
      </c>
      <c r="F11943" s="4" t="s">
        <v>21128</v>
      </c>
    </row>
    <row r="11944">
      <c r="A11944" s="4">
        <v>943.0</v>
      </c>
      <c r="B11944" s="4" t="s">
        <v>22110</v>
      </c>
      <c r="C11944" s="4"/>
      <c r="D11944" s="4" t="s">
        <v>22076</v>
      </c>
      <c r="E11944" s="4" t="s">
        <v>22077</v>
      </c>
      <c r="F11944" s="4" t="s">
        <v>22078</v>
      </c>
    </row>
    <row r="11945">
      <c r="A11945" s="4">
        <v>944.0</v>
      </c>
      <c r="B11945" s="4" t="s">
        <v>22110</v>
      </c>
      <c r="C11945" s="4"/>
      <c r="D11945" s="4" t="s">
        <v>22076</v>
      </c>
      <c r="E11945" s="4" t="s">
        <v>22079</v>
      </c>
      <c r="F11945" s="4" t="s">
        <v>22080</v>
      </c>
    </row>
    <row r="11946">
      <c r="A11946" s="4">
        <v>945.0</v>
      </c>
      <c r="B11946" s="4" t="s">
        <v>22110</v>
      </c>
      <c r="C11946" s="4"/>
      <c r="D11946" s="4" t="s">
        <v>22081</v>
      </c>
      <c r="E11946" s="4" t="s">
        <v>400</v>
      </c>
      <c r="F11946" s="4" t="s">
        <v>401</v>
      </c>
    </row>
    <row r="11947">
      <c r="A11947" s="4">
        <v>946.0</v>
      </c>
      <c r="B11947" s="4" t="s">
        <v>22110</v>
      </c>
      <c r="C11947" s="4"/>
      <c r="D11947" s="4" t="s">
        <v>22082</v>
      </c>
      <c r="E11947" s="4" t="s">
        <v>22083</v>
      </c>
      <c r="F11947" s="4" t="s">
        <v>9207</v>
      </c>
    </row>
    <row r="11948">
      <c r="A11948" s="4">
        <v>947.0</v>
      </c>
      <c r="B11948" s="4" t="s">
        <v>22110</v>
      </c>
      <c r="C11948" s="4"/>
      <c r="D11948" s="4" t="s">
        <v>22084</v>
      </c>
      <c r="E11948" s="4" t="s">
        <v>22085</v>
      </c>
      <c r="F11948" s="4" t="s">
        <v>14748</v>
      </c>
      <c r="G11948" s="4"/>
      <c r="H11948" s="4" t="s">
        <v>22086</v>
      </c>
      <c r="I11948" s="4" t="s">
        <v>22087</v>
      </c>
      <c r="J11948" s="4" t="s">
        <v>22088</v>
      </c>
      <c r="K11948" s="4" t="s">
        <v>22089</v>
      </c>
      <c r="L11948" s="4" t="s">
        <v>22090</v>
      </c>
      <c r="M11948" s="4" t="s">
        <v>22091</v>
      </c>
      <c r="N11948" s="4" t="s">
        <v>997</v>
      </c>
      <c r="O11948" s="4" t="s">
        <v>22092</v>
      </c>
      <c r="P11948" s="4" t="s">
        <v>19816</v>
      </c>
      <c r="Q11948" s="4" t="s">
        <v>22086</v>
      </c>
      <c r="R11948" s="4" t="s">
        <v>22087</v>
      </c>
      <c r="S11948" s="4" t="s">
        <v>22093</v>
      </c>
      <c r="T11948" s="4" t="s">
        <v>6967</v>
      </c>
      <c r="U11948" s="4" t="s">
        <v>3216</v>
      </c>
    </row>
    <row r="11949">
      <c r="A11949" s="4">
        <v>948.0</v>
      </c>
      <c r="B11949" s="4" t="s">
        <v>22110</v>
      </c>
      <c r="C11949" s="4"/>
      <c r="D11949" s="4" t="s">
        <v>22094</v>
      </c>
      <c r="E11949" s="4" t="s">
        <v>653</v>
      </c>
      <c r="F11949" s="4" t="s">
        <v>652</v>
      </c>
    </row>
    <row r="11950">
      <c r="A11950" s="4">
        <v>949.0</v>
      </c>
      <c r="B11950" s="4" t="s">
        <v>22110</v>
      </c>
      <c r="C11950" s="4"/>
      <c r="D11950" s="4" t="s">
        <v>22095</v>
      </c>
      <c r="E11950" s="4" t="s">
        <v>4775</v>
      </c>
      <c r="F11950" s="4" t="s">
        <v>4776</v>
      </c>
    </row>
    <row r="11951">
      <c r="A11951" s="4">
        <v>950.0</v>
      </c>
      <c r="B11951" s="4" t="s">
        <v>22110</v>
      </c>
      <c r="C11951" s="4"/>
      <c r="D11951" s="4" t="s">
        <v>16664</v>
      </c>
      <c r="E11951" s="4" t="s">
        <v>16663</v>
      </c>
      <c r="F11951" s="4" t="s">
        <v>16664</v>
      </c>
    </row>
    <row r="11952">
      <c r="A11952" s="4">
        <v>951.0</v>
      </c>
      <c r="B11952" s="4" t="s">
        <v>22110</v>
      </c>
      <c r="C11952" s="4"/>
      <c r="D11952" s="4" t="s">
        <v>3055</v>
      </c>
      <c r="E11952" s="4" t="s">
        <v>3054</v>
      </c>
      <c r="F11952" s="4" t="s">
        <v>3055</v>
      </c>
    </row>
    <row r="11953">
      <c r="A11953" s="4">
        <v>952.0</v>
      </c>
      <c r="B11953" s="4" t="s">
        <v>22110</v>
      </c>
      <c r="C11953" s="4"/>
      <c r="D11953" s="4" t="s">
        <v>22096</v>
      </c>
      <c r="E11953" s="4" t="s">
        <v>22097</v>
      </c>
      <c r="F11953" s="4" t="s">
        <v>22096</v>
      </c>
    </row>
    <row r="11954">
      <c r="A11954" s="4">
        <v>953.0</v>
      </c>
      <c r="B11954" s="4" t="s">
        <v>22110</v>
      </c>
      <c r="C11954" s="4"/>
      <c r="D11954" s="4" t="s">
        <v>18379</v>
      </c>
      <c r="E11954" s="4" t="s">
        <v>18378</v>
      </c>
      <c r="F11954" s="4" t="s">
        <v>18379</v>
      </c>
    </row>
    <row r="11955">
      <c r="A11955" s="4">
        <v>954.0</v>
      </c>
      <c r="B11955" s="4" t="s">
        <v>22110</v>
      </c>
      <c r="C11955" s="4"/>
      <c r="D11955" s="4" t="s">
        <v>22098</v>
      </c>
      <c r="E11955" s="4" t="s">
        <v>22099</v>
      </c>
      <c r="F11955" s="4" t="s">
        <v>22098</v>
      </c>
    </row>
    <row r="11956">
      <c r="A11956" s="4">
        <v>955.0</v>
      </c>
      <c r="B11956" s="4" t="s">
        <v>22110</v>
      </c>
      <c r="C11956" s="4"/>
      <c r="D11956" s="4" t="s">
        <v>22100</v>
      </c>
      <c r="E11956" s="4" t="s">
        <v>22101</v>
      </c>
      <c r="F11956" s="4" t="s">
        <v>22100</v>
      </c>
    </row>
    <row r="11957">
      <c r="A11957" s="4">
        <v>956.0</v>
      </c>
      <c r="B11957" s="4" t="s">
        <v>22110</v>
      </c>
      <c r="C11957" s="4"/>
      <c r="D11957" s="4" t="s">
        <v>3066</v>
      </c>
      <c r="E11957" s="4" t="s">
        <v>3065</v>
      </c>
      <c r="F11957" s="4" t="s">
        <v>3066</v>
      </c>
    </row>
    <row r="11958">
      <c r="A11958" s="4">
        <v>957.0</v>
      </c>
      <c r="B11958" s="4" t="s">
        <v>22110</v>
      </c>
      <c r="C11958" s="4"/>
      <c r="D11958" s="4" t="s">
        <v>22102</v>
      </c>
      <c r="E11958" s="4" t="s">
        <v>22103</v>
      </c>
      <c r="F11958" s="4" t="s">
        <v>22104</v>
      </c>
    </row>
    <row r="11959">
      <c r="A11959" s="4">
        <v>958.0</v>
      </c>
      <c r="B11959" s="4" t="s">
        <v>22110</v>
      </c>
      <c r="C11959" s="4"/>
      <c r="D11959" s="4" t="s">
        <v>22105</v>
      </c>
      <c r="E11959" s="4" t="s">
        <v>19878</v>
      </c>
      <c r="F11959" s="4" t="s">
        <v>19877</v>
      </c>
      <c r="G11959" s="4"/>
      <c r="H11959" s="4" t="s">
        <v>22106</v>
      </c>
      <c r="I11959" s="4" t="s">
        <v>22107</v>
      </c>
      <c r="J11959" s="4" t="s">
        <v>22108</v>
      </c>
      <c r="K11959" s="4" t="s">
        <v>19882</v>
      </c>
      <c r="L11959" s="4" t="s">
        <v>22109</v>
      </c>
      <c r="M11959" s="4" t="s">
        <v>16185</v>
      </c>
      <c r="N11959" s="4" t="s">
        <v>19882</v>
      </c>
      <c r="O11959" s="4" t="s">
        <v>19883</v>
      </c>
      <c r="P11959" s="4" t="s">
        <v>17013</v>
      </c>
      <c r="Q11959" s="4" t="s">
        <v>17014</v>
      </c>
    </row>
    <row r="11960">
      <c r="A11960" s="4">
        <v>1.0</v>
      </c>
      <c r="B11960" s="4" t="s">
        <v>22111</v>
      </c>
      <c r="C11960" s="4"/>
      <c r="D11960" s="4" t="s">
        <v>20305</v>
      </c>
      <c r="E11960" s="4" t="s">
        <v>20306</v>
      </c>
      <c r="F11960" s="4" t="s">
        <v>20307</v>
      </c>
    </row>
    <row r="11961">
      <c r="A11961" s="4">
        <v>2.0</v>
      </c>
      <c r="B11961" s="4" t="s">
        <v>22111</v>
      </c>
      <c r="C11961" s="4"/>
      <c r="D11961" s="4" t="s">
        <v>20308</v>
      </c>
      <c r="E11961" s="4" t="s">
        <v>20309</v>
      </c>
      <c r="F11961" s="4" t="s">
        <v>20310</v>
      </c>
      <c r="G11961" s="4"/>
      <c r="H11961" s="4" t="s">
        <v>20311</v>
      </c>
    </row>
    <row r="11962">
      <c r="A11962" s="4">
        <v>3.0</v>
      </c>
      <c r="B11962" s="4" t="s">
        <v>22111</v>
      </c>
      <c r="C11962" s="4"/>
      <c r="D11962" s="4" t="s">
        <v>20312</v>
      </c>
      <c r="E11962" s="4" t="s">
        <v>20313</v>
      </c>
      <c r="F11962" s="4" t="s">
        <v>20314</v>
      </c>
    </row>
    <row r="11963">
      <c r="A11963" s="4">
        <v>4.0</v>
      </c>
      <c r="B11963" s="4" t="s">
        <v>22111</v>
      </c>
      <c r="C11963" s="4"/>
      <c r="D11963" s="4" t="s">
        <v>20318</v>
      </c>
      <c r="E11963" s="4" t="s">
        <v>20319</v>
      </c>
      <c r="F11963" s="4" t="s">
        <v>20320</v>
      </c>
    </row>
    <row r="11964">
      <c r="A11964" s="4">
        <v>5.0</v>
      </c>
      <c r="B11964" s="4" t="s">
        <v>22111</v>
      </c>
      <c r="C11964" s="4"/>
      <c r="D11964" s="4" t="s">
        <v>479</v>
      </c>
      <c r="E11964" s="4" t="s">
        <v>480</v>
      </c>
      <c r="F11964" s="4" t="s">
        <v>481</v>
      </c>
      <c r="G11964" s="4"/>
      <c r="H11964" s="4" t="s">
        <v>482</v>
      </c>
      <c r="I11964" s="4" t="s">
        <v>483</v>
      </c>
      <c r="J11964" s="4" t="s">
        <v>484</v>
      </c>
      <c r="K11964" s="4" t="s">
        <v>485</v>
      </c>
      <c r="L11964" s="4" t="s">
        <v>486</v>
      </c>
      <c r="M11964" s="4" t="s">
        <v>487</v>
      </c>
      <c r="N11964" s="4" t="s">
        <v>488</v>
      </c>
      <c r="O11964" s="4" t="s">
        <v>489</v>
      </c>
      <c r="P11964" s="4" t="s">
        <v>490</v>
      </c>
      <c r="Q11964" s="4" t="s">
        <v>491</v>
      </c>
      <c r="R11964" s="4" t="s">
        <v>492</v>
      </c>
      <c r="S11964" s="4" t="s">
        <v>493</v>
      </c>
      <c r="T11964" s="4" t="s">
        <v>20321</v>
      </c>
      <c r="U11964" s="4" t="s">
        <v>485</v>
      </c>
      <c r="V11964" s="4" t="s">
        <v>20322</v>
      </c>
      <c r="W11964" s="4" t="s">
        <v>20323</v>
      </c>
      <c r="X11964" s="4" t="s">
        <v>20324</v>
      </c>
      <c r="Y11964" s="4" t="s">
        <v>20325</v>
      </c>
      <c r="Z11964" s="4" t="s">
        <v>494</v>
      </c>
      <c r="AA11964" s="4" t="s">
        <v>494</v>
      </c>
      <c r="AB11964" s="4" t="s">
        <v>495</v>
      </c>
      <c r="AC11964" s="4" t="s">
        <v>496</v>
      </c>
      <c r="AD11964" s="4" t="s">
        <v>497</v>
      </c>
      <c r="AE11964" s="4" t="s">
        <v>498</v>
      </c>
      <c r="AF11964" s="4" t="s">
        <v>499</v>
      </c>
    </row>
    <row r="11965">
      <c r="A11965" s="4">
        <v>6.0</v>
      </c>
      <c r="B11965" s="4" t="s">
        <v>22111</v>
      </c>
      <c r="C11965" s="4"/>
      <c r="D11965" s="4" t="s">
        <v>20326</v>
      </c>
      <c r="E11965" s="4" t="s">
        <v>20327</v>
      </c>
      <c r="F11965" s="4" t="s">
        <v>20328</v>
      </c>
    </row>
    <row r="11966">
      <c r="A11966" s="4">
        <v>7.0</v>
      </c>
      <c r="B11966" s="4" t="s">
        <v>22111</v>
      </c>
      <c r="C11966" s="4"/>
      <c r="D11966" s="4" t="s">
        <v>20329</v>
      </c>
      <c r="E11966" s="4" t="s">
        <v>4896</v>
      </c>
      <c r="F11966" s="4" t="s">
        <v>4897</v>
      </c>
    </row>
    <row r="11967">
      <c r="A11967" s="4">
        <v>8.0</v>
      </c>
      <c r="B11967" s="4" t="s">
        <v>22111</v>
      </c>
      <c r="C11967" s="4"/>
      <c r="D11967" s="4" t="s">
        <v>20330</v>
      </c>
      <c r="E11967" s="4" t="s">
        <v>20331</v>
      </c>
      <c r="F11967" s="4" t="s">
        <v>20332</v>
      </c>
      <c r="G11967" s="4"/>
      <c r="H11967" s="4" t="s">
        <v>917</v>
      </c>
      <c r="I11967" s="4" t="s">
        <v>20333</v>
      </c>
      <c r="J11967" s="4" t="s">
        <v>917</v>
      </c>
      <c r="K11967" s="4" t="s">
        <v>20334</v>
      </c>
    </row>
    <row r="11968">
      <c r="A11968" s="4">
        <v>9.0</v>
      </c>
      <c r="B11968" s="4" t="s">
        <v>22111</v>
      </c>
      <c r="C11968" s="4"/>
      <c r="D11968" s="4" t="s">
        <v>20335</v>
      </c>
      <c r="E11968" s="4" t="s">
        <v>20336</v>
      </c>
      <c r="F11968" s="4" t="s">
        <v>20337</v>
      </c>
    </row>
    <row r="11969">
      <c r="A11969" s="4">
        <v>10.0</v>
      </c>
      <c r="B11969" s="4" t="s">
        <v>22111</v>
      </c>
      <c r="C11969" s="4"/>
      <c r="D11969" s="4" t="s">
        <v>20338</v>
      </c>
      <c r="E11969" s="4" t="s">
        <v>20339</v>
      </c>
      <c r="F11969" s="4" t="s">
        <v>20340</v>
      </c>
    </row>
    <row r="11970">
      <c r="A11970" s="4">
        <v>11.0</v>
      </c>
      <c r="B11970" s="4" t="s">
        <v>22111</v>
      </c>
      <c r="C11970" s="4"/>
      <c r="D11970" s="4" t="s">
        <v>20341</v>
      </c>
      <c r="E11970" s="4" t="s">
        <v>20336</v>
      </c>
      <c r="F11970" s="4" t="s">
        <v>20337</v>
      </c>
    </row>
    <row r="11971">
      <c r="A11971" s="4">
        <v>12.0</v>
      </c>
      <c r="B11971" s="4" t="s">
        <v>22111</v>
      </c>
      <c r="C11971" s="4"/>
      <c r="D11971" s="4" t="s">
        <v>20342</v>
      </c>
      <c r="E11971" s="4" t="s">
        <v>20339</v>
      </c>
      <c r="F11971" s="4" t="s">
        <v>20340</v>
      </c>
    </row>
    <row r="11972">
      <c r="A11972" s="4">
        <v>13.0</v>
      </c>
      <c r="B11972" s="4" t="s">
        <v>22111</v>
      </c>
      <c r="C11972" s="4"/>
      <c r="D11972" s="4" t="s">
        <v>20343</v>
      </c>
      <c r="E11972" s="4" t="s">
        <v>20344</v>
      </c>
      <c r="F11972" s="4" t="s">
        <v>20345</v>
      </c>
    </row>
    <row r="11973">
      <c r="A11973" s="4">
        <v>14.0</v>
      </c>
      <c r="B11973" s="4" t="s">
        <v>22111</v>
      </c>
      <c r="C11973" s="4"/>
      <c r="D11973" s="4" t="s">
        <v>20346</v>
      </c>
      <c r="E11973" s="4" t="s">
        <v>20347</v>
      </c>
      <c r="F11973" s="4" t="s">
        <v>20348</v>
      </c>
    </row>
    <row r="11974">
      <c r="A11974" s="4">
        <v>15.0</v>
      </c>
      <c r="B11974" s="4" t="s">
        <v>22111</v>
      </c>
      <c r="C11974" s="4"/>
      <c r="D11974" s="4" t="s">
        <v>20349</v>
      </c>
      <c r="E11974" s="4" t="s">
        <v>20350</v>
      </c>
      <c r="F11974" s="4" t="s">
        <v>20351</v>
      </c>
      <c r="G11974" s="4"/>
      <c r="H11974" s="4" t="s">
        <v>20352</v>
      </c>
      <c r="I11974" s="4" t="s">
        <v>20353</v>
      </c>
    </row>
    <row r="11975">
      <c r="A11975" s="4">
        <v>16.0</v>
      </c>
      <c r="B11975" s="4" t="s">
        <v>22111</v>
      </c>
      <c r="C11975" s="4"/>
      <c r="D11975" s="4" t="s">
        <v>14049</v>
      </c>
      <c r="E11975" s="4" t="s">
        <v>14050</v>
      </c>
      <c r="F11975" s="4" t="s">
        <v>14051</v>
      </c>
    </row>
    <row r="11976">
      <c r="A11976" s="4">
        <v>17.0</v>
      </c>
      <c r="B11976" s="4" t="s">
        <v>22111</v>
      </c>
      <c r="C11976" s="4"/>
      <c r="D11976" s="4" t="s">
        <v>20382</v>
      </c>
      <c r="E11976" s="4" t="s">
        <v>20383</v>
      </c>
      <c r="F11976" s="4" t="s">
        <v>14051</v>
      </c>
    </row>
    <row r="11977">
      <c r="A11977" s="4">
        <v>18.0</v>
      </c>
      <c r="B11977" s="4" t="s">
        <v>22111</v>
      </c>
      <c r="C11977" s="4"/>
      <c r="D11977" s="4" t="s">
        <v>20385</v>
      </c>
      <c r="E11977" s="4" t="s">
        <v>20386</v>
      </c>
      <c r="F11977" s="4" t="s">
        <v>20387</v>
      </c>
    </row>
    <row r="11978">
      <c r="A11978" s="4">
        <v>19.0</v>
      </c>
      <c r="B11978" s="4" t="s">
        <v>22111</v>
      </c>
      <c r="C11978" s="4"/>
      <c r="D11978" s="4" t="s">
        <v>20388</v>
      </c>
      <c r="E11978" s="4" t="s">
        <v>20389</v>
      </c>
      <c r="F11978" s="4" t="s">
        <v>19893</v>
      </c>
    </row>
    <row r="11979">
      <c r="A11979" s="4">
        <v>20.0</v>
      </c>
      <c r="B11979" s="4" t="s">
        <v>22111</v>
      </c>
      <c r="C11979" s="4"/>
      <c r="D11979" s="4" t="s">
        <v>20390</v>
      </c>
      <c r="E11979" s="4" t="s">
        <v>20383</v>
      </c>
      <c r="F11979" s="4" t="s">
        <v>14051</v>
      </c>
    </row>
    <row r="11980">
      <c r="A11980" s="4">
        <v>21.0</v>
      </c>
      <c r="B11980" s="4" t="s">
        <v>22111</v>
      </c>
      <c r="C11980" s="4"/>
      <c r="D11980" s="4" t="s">
        <v>20391</v>
      </c>
      <c r="E11980" s="4" t="s">
        <v>20392</v>
      </c>
      <c r="F11980" s="4" t="s">
        <v>816</v>
      </c>
    </row>
    <row r="11981">
      <c r="A11981" s="4">
        <v>22.0</v>
      </c>
      <c r="B11981" s="4" t="s">
        <v>22111</v>
      </c>
      <c r="C11981" s="4"/>
      <c r="D11981" s="4" t="s">
        <v>20393</v>
      </c>
      <c r="E11981" s="4" t="s">
        <v>20394</v>
      </c>
      <c r="F11981" s="4" t="s">
        <v>20395</v>
      </c>
    </row>
    <row r="11982">
      <c r="A11982" s="4">
        <v>23.0</v>
      </c>
      <c r="B11982" s="4" t="s">
        <v>22111</v>
      </c>
      <c r="C11982" s="4"/>
      <c r="D11982" s="4" t="s">
        <v>506</v>
      </c>
      <c r="E11982" s="4" t="s">
        <v>507</v>
      </c>
      <c r="F11982" s="4" t="s">
        <v>506</v>
      </c>
      <c r="G11982" s="4"/>
      <c r="H11982" s="4" t="s">
        <v>556</v>
      </c>
      <c r="I11982" s="4" t="s">
        <v>557</v>
      </c>
      <c r="J11982" s="4" t="s">
        <v>558</v>
      </c>
      <c r="K11982" s="4" t="s">
        <v>559</v>
      </c>
    </row>
    <row r="11983">
      <c r="A11983" s="4">
        <v>24.0</v>
      </c>
      <c r="B11983" s="4" t="s">
        <v>22111</v>
      </c>
      <c r="C11983" s="4"/>
      <c r="D11983" s="4" t="s">
        <v>508</v>
      </c>
      <c r="E11983" s="4" t="s">
        <v>509</v>
      </c>
      <c r="F11983" s="4" t="s">
        <v>508</v>
      </c>
      <c r="G11983" s="4"/>
      <c r="H11983" s="4" t="s">
        <v>510</v>
      </c>
      <c r="I11983" s="4" t="s">
        <v>511</v>
      </c>
      <c r="J11983" s="4" t="s">
        <v>512</v>
      </c>
      <c r="K11983" s="4" t="s">
        <v>513</v>
      </c>
      <c r="L11983" s="4" t="s">
        <v>510</v>
      </c>
      <c r="M11983" s="4" t="s">
        <v>514</v>
      </c>
      <c r="N11983" s="4" t="s">
        <v>510</v>
      </c>
      <c r="O11983" s="4" t="s">
        <v>510</v>
      </c>
      <c r="P11983" s="4" t="s">
        <v>515</v>
      </c>
      <c r="Q11983" s="4" t="s">
        <v>517</v>
      </c>
    </row>
    <row r="11984">
      <c r="A11984" s="4">
        <v>25.0</v>
      </c>
      <c r="B11984" s="4" t="s">
        <v>22111</v>
      </c>
      <c r="C11984" s="4"/>
      <c r="D11984" s="4" t="s">
        <v>20396</v>
      </c>
      <c r="E11984" s="4" t="s">
        <v>20397</v>
      </c>
      <c r="F11984" s="4" t="s">
        <v>20398</v>
      </c>
    </row>
    <row r="11985">
      <c r="A11985" s="4">
        <v>26.0</v>
      </c>
      <c r="B11985" s="4" t="s">
        <v>22111</v>
      </c>
      <c r="C11985" s="4"/>
      <c r="D11985" s="4" t="s">
        <v>20399</v>
      </c>
      <c r="E11985" s="4" t="s">
        <v>20400</v>
      </c>
      <c r="F11985" s="4" t="s">
        <v>20399</v>
      </c>
    </row>
    <row r="11986">
      <c r="A11986" s="4">
        <v>27.0</v>
      </c>
      <c r="B11986" s="4" t="s">
        <v>22111</v>
      </c>
      <c r="C11986" s="4"/>
      <c r="D11986" s="4" t="s">
        <v>20401</v>
      </c>
      <c r="E11986" s="4" t="s">
        <v>20402</v>
      </c>
      <c r="F11986" s="4" t="s">
        <v>20401</v>
      </c>
    </row>
    <row r="11987">
      <c r="A11987" s="4">
        <v>28.0</v>
      </c>
      <c r="B11987" s="4" t="s">
        <v>22111</v>
      </c>
      <c r="C11987" s="4"/>
      <c r="D11987" s="4" t="s">
        <v>4967</v>
      </c>
      <c r="E11987" s="4" t="s">
        <v>4966</v>
      </c>
      <c r="F11987" s="4" t="s">
        <v>4967</v>
      </c>
    </row>
    <row r="11988">
      <c r="A11988" s="4">
        <v>29.0</v>
      </c>
      <c r="B11988" s="4" t="s">
        <v>22111</v>
      </c>
      <c r="C11988" s="4"/>
      <c r="D11988" s="4" t="s">
        <v>20406</v>
      </c>
      <c r="E11988" s="4" t="s">
        <v>20407</v>
      </c>
      <c r="F11988" s="4" t="s">
        <v>20406</v>
      </c>
    </row>
    <row r="11989">
      <c r="A11989" s="4">
        <v>30.0</v>
      </c>
      <c r="B11989" s="4" t="s">
        <v>22111</v>
      </c>
      <c r="C11989" s="4"/>
      <c r="D11989" s="4" t="s">
        <v>17420</v>
      </c>
      <c r="E11989" s="4" t="s">
        <v>20408</v>
      </c>
      <c r="F11989" s="4" t="s">
        <v>17420</v>
      </c>
    </row>
    <row r="11990">
      <c r="A11990" s="4">
        <v>31.0</v>
      </c>
      <c r="B11990" s="4" t="s">
        <v>22111</v>
      </c>
      <c r="C11990" s="4"/>
      <c r="D11990" s="4" t="s">
        <v>14149</v>
      </c>
      <c r="E11990" s="4" t="s">
        <v>14148</v>
      </c>
      <c r="F11990" s="4" t="s">
        <v>14149</v>
      </c>
      <c r="G11990" s="4"/>
      <c r="H11990" s="4" t="s">
        <v>20409</v>
      </c>
      <c r="I11990" s="4" t="s">
        <v>14149</v>
      </c>
    </row>
    <row r="11991">
      <c r="A11991" s="4">
        <v>32.0</v>
      </c>
      <c r="B11991" s="4" t="s">
        <v>22111</v>
      </c>
      <c r="C11991" s="4"/>
      <c r="D11991" s="4" t="s">
        <v>20410</v>
      </c>
      <c r="E11991" s="4" t="s">
        <v>20411</v>
      </c>
      <c r="F11991" s="4" t="s">
        <v>20412</v>
      </c>
    </row>
    <row r="11992">
      <c r="A11992" s="4">
        <v>33.0</v>
      </c>
      <c r="B11992" s="4" t="s">
        <v>22111</v>
      </c>
      <c r="C11992" s="4"/>
      <c r="D11992" s="4" t="s">
        <v>4900</v>
      </c>
      <c r="E11992" s="4" t="s">
        <v>4899</v>
      </c>
      <c r="F11992" s="4" t="s">
        <v>4900</v>
      </c>
    </row>
    <row r="11993">
      <c r="A11993" s="4">
        <v>34.0</v>
      </c>
      <c r="B11993" s="4" t="s">
        <v>22111</v>
      </c>
      <c r="C11993" s="4"/>
      <c r="D11993" s="4" t="s">
        <v>20413</v>
      </c>
      <c r="E11993" s="4" t="s">
        <v>20414</v>
      </c>
      <c r="F11993" s="4" t="s">
        <v>20415</v>
      </c>
    </row>
    <row r="11994">
      <c r="A11994" s="4">
        <v>35.0</v>
      </c>
      <c r="B11994" s="4" t="s">
        <v>22111</v>
      </c>
      <c r="C11994" s="4"/>
      <c r="D11994" s="4" t="s">
        <v>20416</v>
      </c>
      <c r="E11994" s="4" t="s">
        <v>20417</v>
      </c>
      <c r="F11994" s="4" t="s">
        <v>14303</v>
      </c>
    </row>
    <row r="11995">
      <c r="A11995" s="4">
        <v>36.0</v>
      </c>
      <c r="B11995" s="4" t="s">
        <v>22111</v>
      </c>
      <c r="C11995" s="4"/>
      <c r="D11995" s="4" t="s">
        <v>20418</v>
      </c>
      <c r="E11995" s="4" t="s">
        <v>20419</v>
      </c>
      <c r="F11995" s="4" t="s">
        <v>20420</v>
      </c>
    </row>
    <row r="11996">
      <c r="A11996" s="4">
        <v>37.0</v>
      </c>
      <c r="B11996" s="4" t="s">
        <v>22111</v>
      </c>
      <c r="C11996" s="4"/>
      <c r="D11996" s="4" t="s">
        <v>20421</v>
      </c>
      <c r="E11996" s="4" t="s">
        <v>20422</v>
      </c>
      <c r="F11996" s="4" t="s">
        <v>20423</v>
      </c>
    </row>
    <row r="11997">
      <c r="A11997" s="4">
        <v>38.0</v>
      </c>
      <c r="B11997" s="4" t="s">
        <v>22111</v>
      </c>
      <c r="C11997" s="4"/>
      <c r="D11997" s="4" t="s">
        <v>20424</v>
      </c>
      <c r="E11997" s="4" t="s">
        <v>20411</v>
      </c>
      <c r="F11997" s="4" t="s">
        <v>20412</v>
      </c>
    </row>
    <row r="11998">
      <c r="A11998" s="4">
        <v>39.0</v>
      </c>
      <c r="B11998" s="4" t="s">
        <v>22111</v>
      </c>
      <c r="C11998" s="4"/>
      <c r="D11998" s="4" t="s">
        <v>17424</v>
      </c>
      <c r="E11998" s="4" t="s">
        <v>20428</v>
      </c>
      <c r="F11998" s="4" t="s">
        <v>20429</v>
      </c>
    </row>
    <row r="11999">
      <c r="A11999" s="4">
        <v>40.0</v>
      </c>
      <c r="B11999" s="4" t="s">
        <v>22111</v>
      </c>
      <c r="C11999" s="4"/>
      <c r="D11999" s="4" t="s">
        <v>20430</v>
      </c>
      <c r="E11999" s="4" t="s">
        <v>20431</v>
      </c>
      <c r="F11999" s="4" t="s">
        <v>20432</v>
      </c>
    </row>
    <row r="12000">
      <c r="A12000" s="4">
        <v>41.0</v>
      </c>
      <c r="B12000" s="4" t="s">
        <v>22111</v>
      </c>
      <c r="C12000" s="4"/>
      <c r="D12000" s="4" t="s">
        <v>20433</v>
      </c>
      <c r="E12000" s="4" t="s">
        <v>20434</v>
      </c>
      <c r="F12000" s="4" t="s">
        <v>20435</v>
      </c>
    </row>
    <row r="12001">
      <c r="A12001" s="4">
        <v>42.0</v>
      </c>
      <c r="B12001" s="4" t="s">
        <v>22111</v>
      </c>
      <c r="C12001" s="4"/>
      <c r="D12001" s="4" t="s">
        <v>20436</v>
      </c>
      <c r="E12001" s="4" t="s">
        <v>20437</v>
      </c>
      <c r="F12001" s="4" t="s">
        <v>20438</v>
      </c>
    </row>
    <row r="12002">
      <c r="A12002" s="4">
        <v>43.0</v>
      </c>
      <c r="B12002" s="4" t="s">
        <v>22111</v>
      </c>
      <c r="C12002" s="4"/>
      <c r="D12002" s="4" t="s">
        <v>20439</v>
      </c>
      <c r="E12002" s="4" t="s">
        <v>20440</v>
      </c>
      <c r="F12002" s="4" t="s">
        <v>20441</v>
      </c>
    </row>
    <row r="12003">
      <c r="A12003" s="4">
        <v>44.0</v>
      </c>
      <c r="B12003" s="4" t="s">
        <v>22111</v>
      </c>
      <c r="C12003" s="4"/>
      <c r="D12003" s="4" t="s">
        <v>20442</v>
      </c>
      <c r="E12003" s="4" t="s">
        <v>20434</v>
      </c>
      <c r="F12003" s="4" t="s">
        <v>20435</v>
      </c>
    </row>
    <row r="12004">
      <c r="A12004" s="4">
        <v>45.0</v>
      </c>
      <c r="B12004" s="4" t="s">
        <v>22111</v>
      </c>
      <c r="C12004" s="4"/>
      <c r="D12004" s="4" t="s">
        <v>20443</v>
      </c>
      <c r="E12004" s="4" t="s">
        <v>20440</v>
      </c>
      <c r="F12004" s="4" t="s">
        <v>20441</v>
      </c>
    </row>
    <row r="12005">
      <c r="A12005" s="4">
        <v>46.0</v>
      </c>
      <c r="B12005" s="4" t="s">
        <v>22111</v>
      </c>
      <c r="C12005" s="4"/>
      <c r="D12005" s="4" t="s">
        <v>20444</v>
      </c>
      <c r="E12005" s="4" t="s">
        <v>20445</v>
      </c>
      <c r="F12005" s="4" t="s">
        <v>20446</v>
      </c>
    </row>
    <row r="12006">
      <c r="A12006" s="4">
        <v>47.0</v>
      </c>
      <c r="B12006" s="4" t="s">
        <v>22111</v>
      </c>
      <c r="C12006" s="4"/>
      <c r="D12006" s="4" t="s">
        <v>20447</v>
      </c>
      <c r="E12006" s="4" t="s">
        <v>20448</v>
      </c>
      <c r="F12006" s="4" t="s">
        <v>20447</v>
      </c>
    </row>
    <row r="12007">
      <c r="A12007" s="4">
        <v>48.0</v>
      </c>
      <c r="B12007" s="4" t="s">
        <v>22111</v>
      </c>
      <c r="C12007" s="4"/>
      <c r="D12007" s="4" t="s">
        <v>20449</v>
      </c>
      <c r="E12007" s="4" t="s">
        <v>20450</v>
      </c>
      <c r="F12007" s="4" t="s">
        <v>20449</v>
      </c>
    </row>
    <row r="12008">
      <c r="A12008" s="4">
        <v>49.0</v>
      </c>
      <c r="B12008" s="4" t="s">
        <v>22111</v>
      </c>
      <c r="C12008" s="4"/>
      <c r="D12008" s="4" t="s">
        <v>20451</v>
      </c>
      <c r="E12008" s="4" t="s">
        <v>20452</v>
      </c>
      <c r="F12008" s="4" t="s">
        <v>20453</v>
      </c>
    </row>
    <row r="12009">
      <c r="A12009" s="4">
        <v>50.0</v>
      </c>
      <c r="B12009" s="4" t="s">
        <v>22111</v>
      </c>
      <c r="C12009" s="4"/>
      <c r="D12009" s="4" t="s">
        <v>20454</v>
      </c>
      <c r="E12009" s="4" t="s">
        <v>20455</v>
      </c>
      <c r="F12009" s="4" t="s">
        <v>20454</v>
      </c>
    </row>
    <row r="12010">
      <c r="A12010" s="4">
        <v>51.0</v>
      </c>
      <c r="B12010" s="4" t="s">
        <v>22111</v>
      </c>
      <c r="C12010" s="4"/>
      <c r="D12010" s="4" t="s">
        <v>20456</v>
      </c>
      <c r="E12010" s="4" t="s">
        <v>20457</v>
      </c>
      <c r="F12010" s="4" t="s">
        <v>20456</v>
      </c>
    </row>
    <row r="12011">
      <c r="A12011" s="4">
        <v>52.0</v>
      </c>
      <c r="B12011" s="4" t="s">
        <v>22111</v>
      </c>
      <c r="C12011" s="4"/>
      <c r="D12011" s="4" t="s">
        <v>20462</v>
      </c>
      <c r="E12011" s="4" t="s">
        <v>20463</v>
      </c>
      <c r="F12011" s="4" t="s">
        <v>20462</v>
      </c>
    </row>
    <row r="12012">
      <c r="A12012" s="4">
        <v>53.0</v>
      </c>
      <c r="B12012" s="4" t="s">
        <v>22111</v>
      </c>
      <c r="C12012" s="4"/>
      <c r="D12012" s="4" t="s">
        <v>18935</v>
      </c>
      <c r="E12012" s="4" t="s">
        <v>509</v>
      </c>
      <c r="F12012" s="4" t="s">
        <v>508</v>
      </c>
      <c r="G12012" s="4"/>
      <c r="H12012" s="4" t="s">
        <v>18936</v>
      </c>
    </row>
    <row r="12013">
      <c r="A12013" s="4">
        <v>54.0</v>
      </c>
      <c r="B12013" s="4" t="s">
        <v>22111</v>
      </c>
      <c r="C12013" s="4"/>
      <c r="D12013" s="4" t="s">
        <v>20469</v>
      </c>
      <c r="E12013" s="4" t="s">
        <v>20470</v>
      </c>
      <c r="F12013" s="4" t="s">
        <v>20471</v>
      </c>
    </row>
    <row r="12014">
      <c r="A12014" s="4">
        <v>55.0</v>
      </c>
      <c r="B12014" s="4" t="s">
        <v>22111</v>
      </c>
      <c r="C12014" s="4"/>
      <c r="D12014" s="4" t="s">
        <v>566</v>
      </c>
      <c r="E12014" s="4" t="s">
        <v>567</v>
      </c>
      <c r="F12014" s="4" t="s">
        <v>566</v>
      </c>
      <c r="G12014" s="4"/>
      <c r="H12014" s="4" t="s">
        <v>20472</v>
      </c>
      <c r="I12014" s="4" t="s">
        <v>20473</v>
      </c>
      <c r="J12014" s="4" t="s">
        <v>20474</v>
      </c>
      <c r="K12014" s="4" t="s">
        <v>17249</v>
      </c>
    </row>
    <row r="12015">
      <c r="A12015" s="4">
        <v>56.0</v>
      </c>
      <c r="B12015" s="4" t="s">
        <v>22111</v>
      </c>
      <c r="C12015" s="4"/>
      <c r="D12015" s="4" t="s">
        <v>20475</v>
      </c>
      <c r="E12015" s="4" t="s">
        <v>20476</v>
      </c>
      <c r="F12015" s="4" t="s">
        <v>20475</v>
      </c>
    </row>
    <row r="12016">
      <c r="A12016" s="4">
        <v>57.0</v>
      </c>
      <c r="B12016" s="4" t="s">
        <v>22111</v>
      </c>
      <c r="C12016" s="4"/>
      <c r="D12016" s="4" t="s">
        <v>20477</v>
      </c>
      <c r="E12016" s="4" t="s">
        <v>20478</v>
      </c>
      <c r="F12016" s="4" t="s">
        <v>20479</v>
      </c>
    </row>
    <row r="12017">
      <c r="A12017" s="4">
        <v>58.0</v>
      </c>
      <c r="B12017" s="4" t="s">
        <v>22111</v>
      </c>
      <c r="C12017" s="4"/>
      <c r="D12017" s="4" t="s">
        <v>570</v>
      </c>
      <c r="E12017" s="4" t="s">
        <v>571</v>
      </c>
      <c r="F12017" s="4" t="s">
        <v>570</v>
      </c>
      <c r="G12017" s="4"/>
      <c r="H12017" s="4" t="s">
        <v>572</v>
      </c>
    </row>
    <row r="12018">
      <c r="A12018" s="4">
        <v>59.0</v>
      </c>
      <c r="B12018" s="4" t="s">
        <v>22111</v>
      </c>
      <c r="C12018" s="4"/>
      <c r="D12018" s="4" t="s">
        <v>573</v>
      </c>
      <c r="E12018" s="4" t="s">
        <v>574</v>
      </c>
      <c r="F12018" s="4" t="s">
        <v>573</v>
      </c>
    </row>
    <row r="12019">
      <c r="A12019" s="4">
        <v>60.0</v>
      </c>
      <c r="B12019" s="4" t="s">
        <v>22111</v>
      </c>
      <c r="C12019" s="4"/>
      <c r="D12019" s="4" t="s">
        <v>575</v>
      </c>
      <c r="E12019" s="4" t="s">
        <v>576</v>
      </c>
      <c r="F12019" s="4" t="s">
        <v>575</v>
      </c>
    </row>
    <row r="12020">
      <c r="A12020" s="4">
        <v>61.0</v>
      </c>
      <c r="B12020" s="4" t="s">
        <v>22111</v>
      </c>
      <c r="C12020" s="4"/>
      <c r="D12020" s="4" t="s">
        <v>20480</v>
      </c>
      <c r="E12020" s="4" t="s">
        <v>20481</v>
      </c>
      <c r="F12020" s="4" t="s">
        <v>20480</v>
      </c>
    </row>
    <row r="12021">
      <c r="A12021" s="4">
        <v>62.0</v>
      </c>
      <c r="B12021" s="4" t="s">
        <v>22111</v>
      </c>
      <c r="C12021" s="4"/>
      <c r="D12021" s="4" t="s">
        <v>14312</v>
      </c>
      <c r="E12021" s="4" t="s">
        <v>14313</v>
      </c>
      <c r="F12021" s="4" t="s">
        <v>14312</v>
      </c>
      <c r="G12021" s="4"/>
      <c r="H12021" s="4" t="s">
        <v>20482</v>
      </c>
      <c r="I12021" s="4" t="s">
        <v>6611</v>
      </c>
    </row>
    <row r="12022">
      <c r="A12022" s="4">
        <v>63.0</v>
      </c>
      <c r="B12022" s="4" t="s">
        <v>22111</v>
      </c>
      <c r="C12022" s="4"/>
      <c r="D12022" s="4" t="s">
        <v>20483</v>
      </c>
      <c r="E12022" s="4" t="s">
        <v>20484</v>
      </c>
      <c r="F12022" s="4" t="s">
        <v>20485</v>
      </c>
    </row>
    <row r="12023">
      <c r="A12023" s="4">
        <v>64.0</v>
      </c>
      <c r="B12023" s="4" t="s">
        <v>22111</v>
      </c>
      <c r="C12023" s="4"/>
      <c r="D12023" s="4" t="s">
        <v>14077</v>
      </c>
      <c r="E12023" s="4" t="s">
        <v>14078</v>
      </c>
      <c r="F12023" s="4" t="s">
        <v>14077</v>
      </c>
    </row>
    <row r="12024">
      <c r="A12024" s="4">
        <v>65.0</v>
      </c>
      <c r="B12024" s="4" t="s">
        <v>22111</v>
      </c>
      <c r="C12024" s="4"/>
      <c r="D12024" s="4" t="s">
        <v>11659</v>
      </c>
      <c r="E12024" s="4" t="s">
        <v>11660</v>
      </c>
      <c r="F12024" s="4" t="s">
        <v>11661</v>
      </c>
    </row>
    <row r="12025">
      <c r="A12025" s="4">
        <v>66.0</v>
      </c>
      <c r="B12025" s="4" t="s">
        <v>22111</v>
      </c>
      <c r="C12025" s="4"/>
      <c r="D12025" s="4" t="s">
        <v>20486</v>
      </c>
      <c r="E12025" s="4" t="s">
        <v>20487</v>
      </c>
      <c r="F12025" s="4" t="s">
        <v>20486</v>
      </c>
    </row>
    <row r="12026">
      <c r="A12026" s="4">
        <v>67.0</v>
      </c>
      <c r="B12026" s="4" t="s">
        <v>22111</v>
      </c>
      <c r="C12026" s="4"/>
      <c r="D12026" s="4" t="s">
        <v>20488</v>
      </c>
      <c r="E12026" s="4" t="s">
        <v>20489</v>
      </c>
      <c r="F12026" s="4" t="s">
        <v>20488</v>
      </c>
    </row>
    <row r="12027">
      <c r="A12027" s="4">
        <v>68.0</v>
      </c>
      <c r="B12027" s="4" t="s">
        <v>22111</v>
      </c>
      <c r="C12027" s="4"/>
      <c r="D12027" s="4" t="s">
        <v>608</v>
      </c>
      <c r="E12027" s="4" t="s">
        <v>609</v>
      </c>
      <c r="F12027" s="4" t="s">
        <v>608</v>
      </c>
    </row>
    <row r="12028">
      <c r="A12028" s="4">
        <v>69.0</v>
      </c>
      <c r="B12028" s="4" t="s">
        <v>22111</v>
      </c>
      <c r="C12028" s="4"/>
      <c r="D12028" s="4" t="s">
        <v>20490</v>
      </c>
      <c r="E12028" s="4" t="s">
        <v>20491</v>
      </c>
      <c r="F12028" s="4" t="s">
        <v>20490</v>
      </c>
    </row>
    <row r="12029">
      <c r="A12029" s="4">
        <v>70.0</v>
      </c>
      <c r="B12029" s="4" t="s">
        <v>22111</v>
      </c>
      <c r="C12029" s="4"/>
      <c r="D12029" s="4" t="s">
        <v>5823</v>
      </c>
      <c r="E12029" s="4" t="s">
        <v>20492</v>
      </c>
      <c r="F12029" s="4" t="s">
        <v>5823</v>
      </c>
    </row>
    <row r="12030">
      <c r="A12030" s="4">
        <v>71.0</v>
      </c>
      <c r="B12030" s="4" t="s">
        <v>22111</v>
      </c>
      <c r="C12030" s="4"/>
      <c r="D12030" s="4" t="s">
        <v>20493</v>
      </c>
      <c r="E12030" s="4" t="s">
        <v>20478</v>
      </c>
      <c r="F12030" s="4" t="s">
        <v>20479</v>
      </c>
    </row>
    <row r="12031">
      <c r="A12031" s="4">
        <v>72.0</v>
      </c>
      <c r="B12031" s="4" t="s">
        <v>22111</v>
      </c>
      <c r="C12031" s="4"/>
      <c r="D12031" s="4" t="s">
        <v>20496</v>
      </c>
      <c r="E12031" s="4" t="s">
        <v>20497</v>
      </c>
      <c r="F12031" s="4" t="s">
        <v>20498</v>
      </c>
    </row>
    <row r="12032">
      <c r="A12032" s="4">
        <v>73.0</v>
      </c>
      <c r="B12032" s="4" t="s">
        <v>22111</v>
      </c>
      <c r="C12032" s="4"/>
      <c r="D12032" s="4" t="s">
        <v>20499</v>
      </c>
      <c r="E12032" s="4" t="s">
        <v>20500</v>
      </c>
      <c r="F12032" s="4" t="s">
        <v>20501</v>
      </c>
    </row>
    <row r="12033">
      <c r="A12033" s="4">
        <v>74.0</v>
      </c>
      <c r="B12033" s="4" t="s">
        <v>22111</v>
      </c>
      <c r="C12033" s="4"/>
      <c r="D12033" s="4" t="s">
        <v>741</v>
      </c>
      <c r="E12033" s="4" t="s">
        <v>740</v>
      </c>
      <c r="F12033" s="4" t="s">
        <v>741</v>
      </c>
    </row>
    <row r="12034">
      <c r="A12034" s="4">
        <v>75.0</v>
      </c>
      <c r="B12034" s="4" t="s">
        <v>22111</v>
      </c>
      <c r="C12034" s="4"/>
      <c r="D12034" s="4" t="s">
        <v>622</v>
      </c>
      <c r="E12034" s="4" t="s">
        <v>623</v>
      </c>
      <c r="F12034" s="4" t="s">
        <v>622</v>
      </c>
      <c r="G12034" s="4"/>
      <c r="H12034" s="4" t="s">
        <v>622</v>
      </c>
    </row>
    <row r="12035">
      <c r="A12035" s="4">
        <v>76.0</v>
      </c>
      <c r="B12035" s="4" t="s">
        <v>22111</v>
      </c>
      <c r="C12035" s="4"/>
      <c r="D12035" s="4" t="s">
        <v>20504</v>
      </c>
      <c r="E12035" s="4" t="s">
        <v>5023</v>
      </c>
      <c r="F12035" s="4" t="s">
        <v>5024</v>
      </c>
    </row>
    <row r="12036">
      <c r="A12036" s="4">
        <v>77.0</v>
      </c>
      <c r="B12036" s="4" t="s">
        <v>22111</v>
      </c>
      <c r="C12036" s="4"/>
      <c r="D12036" s="4" t="s">
        <v>20505</v>
      </c>
      <c r="E12036" s="4" t="s">
        <v>4810</v>
      </c>
      <c r="F12036" s="4" t="s">
        <v>3547</v>
      </c>
    </row>
    <row r="12037">
      <c r="A12037" s="4">
        <v>78.0</v>
      </c>
      <c r="B12037" s="4" t="s">
        <v>22111</v>
      </c>
      <c r="C12037" s="4"/>
      <c r="D12037" s="4" t="s">
        <v>20506</v>
      </c>
      <c r="E12037" s="4" t="s">
        <v>20507</v>
      </c>
      <c r="F12037" s="4" t="s">
        <v>20506</v>
      </c>
    </row>
    <row r="12038">
      <c r="A12038" s="4">
        <v>79.0</v>
      </c>
      <c r="B12038" s="4" t="s">
        <v>22111</v>
      </c>
      <c r="C12038" s="4"/>
      <c r="D12038" s="4" t="s">
        <v>17442</v>
      </c>
      <c r="E12038" s="4" t="s">
        <v>18937</v>
      </c>
      <c r="F12038" s="4" t="s">
        <v>17442</v>
      </c>
      <c r="G12038" s="4"/>
      <c r="H12038" s="4" t="s">
        <v>17445</v>
      </c>
      <c r="I12038" s="4" t="s">
        <v>17446</v>
      </c>
      <c r="J12038" s="4" t="s">
        <v>17447</v>
      </c>
      <c r="K12038" s="4" t="s">
        <v>17448</v>
      </c>
    </row>
    <row r="12039">
      <c r="A12039" s="4">
        <v>80.0</v>
      </c>
      <c r="B12039" s="4" t="s">
        <v>22111</v>
      </c>
      <c r="C12039" s="4"/>
      <c r="D12039" s="4" t="s">
        <v>652</v>
      </c>
      <c r="E12039" s="4" t="s">
        <v>653</v>
      </c>
      <c r="F12039" s="4" t="s">
        <v>652</v>
      </c>
    </row>
    <row r="12040">
      <c r="A12040" s="4">
        <v>81.0</v>
      </c>
      <c r="B12040" s="4" t="s">
        <v>22111</v>
      </c>
      <c r="C12040" s="4"/>
      <c r="D12040" s="4" t="s">
        <v>654</v>
      </c>
      <c r="E12040" s="4" t="s">
        <v>655</v>
      </c>
      <c r="F12040" s="4" t="s">
        <v>654</v>
      </c>
      <c r="G12040" s="4"/>
      <c r="H12040" s="4" t="s">
        <v>654</v>
      </c>
      <c r="I12040" s="4" t="s">
        <v>656</v>
      </c>
      <c r="J12040" s="4" t="s">
        <v>657</v>
      </c>
      <c r="K12040" s="4" t="s">
        <v>658</v>
      </c>
      <c r="L12040" s="4" t="s">
        <v>659</v>
      </c>
      <c r="M12040" s="4" t="s">
        <v>660</v>
      </c>
      <c r="N12040" s="4" t="s">
        <v>657</v>
      </c>
      <c r="O12040" s="4" t="s">
        <v>664</v>
      </c>
      <c r="P12040" s="4" t="s">
        <v>665</v>
      </c>
      <c r="Q12040" s="4" t="s">
        <v>658</v>
      </c>
      <c r="R12040" s="4" t="s">
        <v>666</v>
      </c>
      <c r="S12040" s="4" t="s">
        <v>667</v>
      </c>
      <c r="T12040" s="4" t="s">
        <v>668</v>
      </c>
      <c r="U12040" s="4" t="s">
        <v>669</v>
      </c>
      <c r="V12040" s="4" t="s">
        <v>670</v>
      </c>
      <c r="W12040" s="4" t="s">
        <v>671</v>
      </c>
      <c r="X12040" s="4" t="s">
        <v>672</v>
      </c>
      <c r="Y12040" s="4" t="s">
        <v>673</v>
      </c>
      <c r="Z12040" s="4" t="s">
        <v>674</v>
      </c>
      <c r="AA12040" s="4" t="s">
        <v>675</v>
      </c>
      <c r="AB12040" s="4" t="s">
        <v>676</v>
      </c>
      <c r="AC12040" s="4" t="s">
        <v>677</v>
      </c>
      <c r="AD12040" s="4" t="s">
        <v>678</v>
      </c>
      <c r="AE12040" s="4" t="s">
        <v>679</v>
      </c>
    </row>
    <row r="12041">
      <c r="A12041" s="4">
        <v>82.0</v>
      </c>
      <c r="B12041" s="4" t="s">
        <v>22111</v>
      </c>
      <c r="C12041" s="4"/>
      <c r="D12041" s="4" t="s">
        <v>680</v>
      </c>
      <c r="E12041" s="4" t="s">
        <v>681</v>
      </c>
      <c r="F12041" s="4" t="s">
        <v>680</v>
      </c>
      <c r="G12041" s="4"/>
      <c r="H12041" s="4" t="s">
        <v>682</v>
      </c>
      <c r="I12041" s="4" t="s">
        <v>683</v>
      </c>
      <c r="J12041" s="4" t="s">
        <v>684</v>
      </c>
      <c r="K12041" s="4" t="s">
        <v>685</v>
      </c>
      <c r="L12041" s="4" t="s">
        <v>686</v>
      </c>
      <c r="M12041" s="4" t="s">
        <v>687</v>
      </c>
      <c r="N12041" s="4" t="s">
        <v>688</v>
      </c>
      <c r="O12041" s="4" t="s">
        <v>689</v>
      </c>
      <c r="P12041" s="4" t="s">
        <v>690</v>
      </c>
      <c r="Q12041" s="4" t="s">
        <v>4751</v>
      </c>
      <c r="R12041" s="4" t="s">
        <v>19744</v>
      </c>
      <c r="S12041" s="4" t="s">
        <v>19745</v>
      </c>
      <c r="T12041" s="4" t="s">
        <v>598</v>
      </c>
      <c r="U12041" s="4" t="s">
        <v>695</v>
      </c>
      <c r="V12041" s="4" t="s">
        <v>696</v>
      </c>
      <c r="W12041" s="4" t="s">
        <v>690</v>
      </c>
      <c r="X12041" s="4" t="s">
        <v>16894</v>
      </c>
      <c r="Y12041" s="4" t="s">
        <v>1800</v>
      </c>
      <c r="Z12041" s="4" t="s">
        <v>3887</v>
      </c>
      <c r="AA12041" s="4" t="s">
        <v>697</v>
      </c>
      <c r="AB12041" s="4" t="s">
        <v>698</v>
      </c>
      <c r="AC12041" s="4" t="s">
        <v>699</v>
      </c>
      <c r="AD12041" s="4" t="s">
        <v>700</v>
      </c>
      <c r="AE12041" s="4" t="s">
        <v>700</v>
      </c>
      <c r="AF12041" s="4" t="s">
        <v>20510</v>
      </c>
      <c r="AG12041" s="4" t="s">
        <v>19746</v>
      </c>
      <c r="AH12041" s="4" t="s">
        <v>9437</v>
      </c>
      <c r="AI12041" s="4" t="s">
        <v>20511</v>
      </c>
      <c r="AJ12041" s="4" t="s">
        <v>20512</v>
      </c>
      <c r="AK12041" s="4" t="s">
        <v>20513</v>
      </c>
      <c r="AL12041" s="4" t="s">
        <v>684</v>
      </c>
      <c r="AM12041" s="4" t="s">
        <v>700</v>
      </c>
      <c r="AN12041" s="4" t="s">
        <v>701</v>
      </c>
      <c r="AO12041" s="4" t="s">
        <v>703</v>
      </c>
      <c r="AP12041" s="4" t="s">
        <v>704</v>
      </c>
      <c r="AQ12041" s="4" t="s">
        <v>705</v>
      </c>
      <c r="AR12041" s="4" t="s">
        <v>706</v>
      </c>
      <c r="AS12041" s="4" t="s">
        <v>8083</v>
      </c>
      <c r="AT12041" s="4" t="s">
        <v>19746</v>
      </c>
      <c r="AU12041" s="4" t="s">
        <v>690</v>
      </c>
      <c r="AV12041" s="4" t="s">
        <v>689</v>
      </c>
      <c r="AW12041" s="4" t="s">
        <v>686</v>
      </c>
      <c r="AX12041" s="4" t="s">
        <v>19747</v>
      </c>
      <c r="AY12041" s="4" t="s">
        <v>700</v>
      </c>
      <c r="AZ12041" s="4" t="s">
        <v>20514</v>
      </c>
      <c r="BA12041" s="4" t="s">
        <v>20515</v>
      </c>
      <c r="BB12041" s="4" t="s">
        <v>20516</v>
      </c>
      <c r="BC12041" s="4" t="s">
        <v>699</v>
      </c>
      <c r="BD12041" s="4" t="s">
        <v>718</v>
      </c>
      <c r="BE12041" s="4" t="s">
        <v>719</v>
      </c>
    </row>
    <row r="12042">
      <c r="A12042" s="4">
        <v>83.0</v>
      </c>
      <c r="B12042" s="4" t="s">
        <v>22111</v>
      </c>
      <c r="C12042" s="4"/>
      <c r="D12042" s="4" t="s">
        <v>20517</v>
      </c>
      <c r="E12042" s="4" t="s">
        <v>20518</v>
      </c>
      <c r="F12042" s="4" t="s">
        <v>20517</v>
      </c>
    </row>
    <row r="12043">
      <c r="A12043" s="4">
        <v>84.0</v>
      </c>
      <c r="B12043" s="4" t="s">
        <v>22111</v>
      </c>
      <c r="C12043" s="4"/>
      <c r="D12043" s="4" t="s">
        <v>20519</v>
      </c>
      <c r="E12043" s="4" t="s">
        <v>20520</v>
      </c>
      <c r="F12043" s="4" t="s">
        <v>20519</v>
      </c>
    </row>
    <row r="12044">
      <c r="A12044" s="4">
        <v>85.0</v>
      </c>
      <c r="B12044" s="4" t="s">
        <v>22111</v>
      </c>
      <c r="C12044" s="4"/>
      <c r="D12044" s="4" t="s">
        <v>20521</v>
      </c>
      <c r="E12044" s="4" t="s">
        <v>20518</v>
      </c>
      <c r="F12044" s="4" t="s">
        <v>20517</v>
      </c>
    </row>
    <row r="12045">
      <c r="A12045" s="4">
        <v>86.0</v>
      </c>
      <c r="B12045" s="4" t="s">
        <v>22111</v>
      </c>
      <c r="C12045" s="4"/>
      <c r="D12045" s="4" t="s">
        <v>20522</v>
      </c>
      <c r="E12045" s="4" t="s">
        <v>20520</v>
      </c>
      <c r="F12045" s="4" t="s">
        <v>20519</v>
      </c>
    </row>
    <row r="12046">
      <c r="A12046" s="4">
        <v>87.0</v>
      </c>
      <c r="B12046" s="4" t="s">
        <v>22111</v>
      </c>
      <c r="C12046" s="4"/>
      <c r="D12046" s="4" t="s">
        <v>11683</v>
      </c>
      <c r="E12046" s="4" t="s">
        <v>11682</v>
      </c>
      <c r="F12046" s="4" t="s">
        <v>11683</v>
      </c>
    </row>
    <row r="12047">
      <c r="A12047" s="4">
        <v>88.0</v>
      </c>
      <c r="B12047" s="4" t="s">
        <v>22111</v>
      </c>
      <c r="C12047" s="4"/>
      <c r="D12047" s="4" t="s">
        <v>20523</v>
      </c>
      <c r="E12047" s="4" t="s">
        <v>20524</v>
      </c>
      <c r="F12047" s="4" t="s">
        <v>20525</v>
      </c>
      <c r="G12047" s="4"/>
      <c r="H12047" s="4" t="s">
        <v>20526</v>
      </c>
      <c r="I12047" s="4" t="s">
        <v>20527</v>
      </c>
      <c r="J12047" s="4" t="s">
        <v>20528</v>
      </c>
      <c r="K12047" s="4" t="s">
        <v>20529</v>
      </c>
    </row>
    <row r="12048">
      <c r="A12048" s="4">
        <v>89.0</v>
      </c>
      <c r="B12048" s="4" t="s">
        <v>22111</v>
      </c>
      <c r="C12048" s="4"/>
      <c r="D12048" s="4" t="s">
        <v>20530</v>
      </c>
      <c r="E12048" s="4" t="s">
        <v>20531</v>
      </c>
      <c r="F12048" s="4" t="s">
        <v>20530</v>
      </c>
    </row>
    <row r="12049">
      <c r="A12049" s="4">
        <v>90.0</v>
      </c>
      <c r="B12049" s="4" t="s">
        <v>22111</v>
      </c>
      <c r="C12049" s="4"/>
      <c r="D12049" s="4" t="s">
        <v>20532</v>
      </c>
      <c r="E12049" s="4" t="s">
        <v>20533</v>
      </c>
      <c r="F12049" s="4" t="s">
        <v>20532</v>
      </c>
    </row>
    <row r="12050">
      <c r="A12050" s="4">
        <v>91.0</v>
      </c>
      <c r="B12050" s="4" t="s">
        <v>22111</v>
      </c>
      <c r="C12050" s="4"/>
      <c r="D12050" s="4" t="s">
        <v>20534</v>
      </c>
      <c r="E12050" s="4" t="s">
        <v>20535</v>
      </c>
      <c r="F12050" s="4" t="s">
        <v>20534</v>
      </c>
      <c r="G12050" s="4"/>
      <c r="H12050" s="4" t="s">
        <v>19930</v>
      </c>
      <c r="I12050" s="4" t="s">
        <v>3045</v>
      </c>
      <c r="J12050" s="4" t="s">
        <v>2297</v>
      </c>
      <c r="K12050" s="4" t="s">
        <v>8984</v>
      </c>
      <c r="L12050" s="4" t="s">
        <v>8985</v>
      </c>
      <c r="M12050" s="4" t="s">
        <v>19934</v>
      </c>
      <c r="N12050" s="4" t="s">
        <v>20536</v>
      </c>
      <c r="O12050" s="4" t="s">
        <v>20537</v>
      </c>
      <c r="P12050" s="4" t="s">
        <v>6431</v>
      </c>
      <c r="Q12050" s="4" t="s">
        <v>20538</v>
      </c>
      <c r="R12050" s="4" t="s">
        <v>20539</v>
      </c>
      <c r="S12050" s="4" t="s">
        <v>20540</v>
      </c>
      <c r="T12050" s="4" t="s">
        <v>20541</v>
      </c>
      <c r="U12050" s="4" t="s">
        <v>20542</v>
      </c>
      <c r="V12050" s="4" t="s">
        <v>20543</v>
      </c>
      <c r="W12050" s="4" t="s">
        <v>20544</v>
      </c>
      <c r="X12050" s="4" t="s">
        <v>19931</v>
      </c>
      <c r="Y12050" s="4" t="s">
        <v>1800</v>
      </c>
      <c r="Z12050" s="4" t="s">
        <v>20545</v>
      </c>
      <c r="AA12050" s="4" t="s">
        <v>20543</v>
      </c>
      <c r="AB12050" s="4" t="s">
        <v>20546</v>
      </c>
      <c r="AC12050" s="4" t="s">
        <v>20540</v>
      </c>
      <c r="AD12050" s="4" t="s">
        <v>20547</v>
      </c>
      <c r="AE12050" s="4" t="s">
        <v>20548</v>
      </c>
      <c r="AF12050" s="4" t="s">
        <v>15699</v>
      </c>
      <c r="AG12050" s="4" t="s">
        <v>15700</v>
      </c>
      <c r="AH12050" s="4" t="s">
        <v>15700</v>
      </c>
      <c r="AI12050" s="4" t="s">
        <v>20549</v>
      </c>
      <c r="AJ12050" s="4" t="s">
        <v>19930</v>
      </c>
      <c r="AK12050" s="4" t="s">
        <v>19931</v>
      </c>
      <c r="AL12050" s="4" t="s">
        <v>19932</v>
      </c>
      <c r="AM12050" s="4" t="s">
        <v>3045</v>
      </c>
      <c r="AN12050" s="4" t="s">
        <v>19933</v>
      </c>
      <c r="AO12050" s="4" t="s">
        <v>19934</v>
      </c>
      <c r="AP12050" s="4" t="s">
        <v>20541</v>
      </c>
      <c r="AQ12050" s="4" t="s">
        <v>3346</v>
      </c>
      <c r="AR12050" s="4" t="s">
        <v>20549</v>
      </c>
      <c r="AS12050" s="4" t="s">
        <v>8965</v>
      </c>
      <c r="AT12050" s="4" t="s">
        <v>20550</v>
      </c>
      <c r="AU12050" s="4" t="s">
        <v>20551</v>
      </c>
    </row>
    <row r="12051">
      <c r="A12051" s="4">
        <v>92.0</v>
      </c>
      <c r="B12051" s="4" t="s">
        <v>22111</v>
      </c>
      <c r="C12051" s="4"/>
      <c r="D12051" s="4" t="s">
        <v>20552</v>
      </c>
      <c r="E12051" s="4" t="s">
        <v>20553</v>
      </c>
      <c r="F12051" s="4" t="s">
        <v>14817</v>
      </c>
      <c r="G12051" s="4"/>
      <c r="H12051" s="4" t="s">
        <v>4998</v>
      </c>
      <c r="I12051" s="4" t="s">
        <v>20554</v>
      </c>
      <c r="J12051" s="4" t="s">
        <v>20555</v>
      </c>
      <c r="K12051" s="4" t="s">
        <v>4998</v>
      </c>
      <c r="L12051" s="4" t="s">
        <v>4999</v>
      </c>
      <c r="M12051" s="4" t="s">
        <v>4998</v>
      </c>
      <c r="N12051" s="4" t="s">
        <v>4998</v>
      </c>
    </row>
    <row r="12052">
      <c r="A12052" s="4">
        <v>93.0</v>
      </c>
      <c r="B12052" s="4" t="s">
        <v>22111</v>
      </c>
      <c r="C12052" s="4"/>
      <c r="D12052" s="4" t="s">
        <v>745</v>
      </c>
      <c r="E12052" s="4" t="s">
        <v>746</v>
      </c>
      <c r="F12052" s="4" t="s">
        <v>747</v>
      </c>
      <c r="G12052" s="4"/>
      <c r="H12052" s="4" t="s">
        <v>751</v>
      </c>
      <c r="I12052" s="4" t="s">
        <v>752</v>
      </c>
    </row>
    <row r="12053">
      <c r="A12053" s="4">
        <v>94.0</v>
      </c>
      <c r="B12053" s="4" t="s">
        <v>22111</v>
      </c>
      <c r="C12053" s="4"/>
      <c r="D12053" s="4" t="s">
        <v>755</v>
      </c>
      <c r="E12053" s="4" t="s">
        <v>756</v>
      </c>
      <c r="F12053" s="4" t="s">
        <v>755</v>
      </c>
    </row>
    <row r="12054">
      <c r="A12054" s="4">
        <v>95.0</v>
      </c>
      <c r="B12054" s="4" t="s">
        <v>22111</v>
      </c>
      <c r="C12054" s="4"/>
      <c r="D12054" s="4" t="s">
        <v>20556</v>
      </c>
      <c r="E12054" s="4" t="s">
        <v>20557</v>
      </c>
      <c r="F12054" s="4" t="s">
        <v>20556</v>
      </c>
    </row>
    <row r="12055">
      <c r="A12055" s="4">
        <v>96.0</v>
      </c>
      <c r="B12055" s="4" t="s">
        <v>22111</v>
      </c>
      <c r="C12055" s="4"/>
      <c r="D12055" s="4" t="s">
        <v>20558</v>
      </c>
      <c r="E12055" s="4" t="s">
        <v>20559</v>
      </c>
      <c r="F12055" s="4" t="s">
        <v>20558</v>
      </c>
      <c r="G12055" s="4"/>
      <c r="H12055" s="4" t="s">
        <v>20560</v>
      </c>
      <c r="I12055" s="4" t="s">
        <v>20561</v>
      </c>
      <c r="J12055" s="4" t="s">
        <v>20562</v>
      </c>
    </row>
    <row r="12056">
      <c r="A12056" s="4">
        <v>97.0</v>
      </c>
      <c r="B12056" s="4" t="s">
        <v>22111</v>
      </c>
      <c r="C12056" s="4"/>
      <c r="D12056" s="4" t="s">
        <v>20563</v>
      </c>
      <c r="E12056" s="4" t="s">
        <v>20564</v>
      </c>
      <c r="F12056" s="4" t="s">
        <v>20563</v>
      </c>
    </row>
    <row r="12057">
      <c r="A12057" s="4">
        <v>98.0</v>
      </c>
      <c r="B12057" s="4" t="s">
        <v>22111</v>
      </c>
      <c r="C12057" s="4"/>
      <c r="D12057" s="4" t="s">
        <v>20565</v>
      </c>
      <c r="E12057" s="4" t="s">
        <v>20566</v>
      </c>
      <c r="F12057" s="4" t="s">
        <v>20565</v>
      </c>
    </row>
    <row r="12058">
      <c r="A12058" s="4">
        <v>99.0</v>
      </c>
      <c r="B12058" s="4" t="s">
        <v>22111</v>
      </c>
      <c r="C12058" s="4"/>
      <c r="D12058" s="4" t="s">
        <v>20567</v>
      </c>
      <c r="E12058" s="4" t="s">
        <v>20568</v>
      </c>
      <c r="F12058" s="4" t="s">
        <v>20567</v>
      </c>
    </row>
    <row r="12059">
      <c r="A12059" s="4">
        <v>100.0</v>
      </c>
      <c r="B12059" s="4" t="s">
        <v>22111</v>
      </c>
      <c r="C12059" s="4"/>
      <c r="D12059" s="4" t="s">
        <v>20569</v>
      </c>
      <c r="E12059" s="4" t="s">
        <v>20566</v>
      </c>
      <c r="F12059" s="4" t="s">
        <v>20565</v>
      </c>
    </row>
    <row r="12060">
      <c r="A12060" s="4">
        <v>101.0</v>
      </c>
      <c r="B12060" s="4" t="s">
        <v>22111</v>
      </c>
      <c r="C12060" s="4"/>
      <c r="D12060" s="4" t="s">
        <v>20570</v>
      </c>
      <c r="E12060" s="4" t="s">
        <v>20568</v>
      </c>
      <c r="F12060" s="4" t="s">
        <v>20567</v>
      </c>
    </row>
    <row r="12061">
      <c r="A12061" s="4">
        <v>102.0</v>
      </c>
      <c r="B12061" s="4" t="s">
        <v>22111</v>
      </c>
      <c r="C12061" s="4"/>
      <c r="D12061" s="4" t="s">
        <v>20571</v>
      </c>
      <c r="E12061" s="4" t="s">
        <v>20572</v>
      </c>
      <c r="F12061" s="4" t="s">
        <v>20571</v>
      </c>
    </row>
    <row r="12062">
      <c r="A12062" s="4">
        <v>103.0</v>
      </c>
      <c r="B12062" s="4" t="s">
        <v>22111</v>
      </c>
      <c r="C12062" s="4"/>
      <c r="D12062" s="4" t="s">
        <v>14082</v>
      </c>
      <c r="E12062" s="4" t="s">
        <v>14083</v>
      </c>
      <c r="F12062" s="4" t="s">
        <v>14082</v>
      </c>
    </row>
    <row r="12063">
      <c r="A12063" s="4">
        <v>104.0</v>
      </c>
      <c r="B12063" s="4" t="s">
        <v>22111</v>
      </c>
      <c r="C12063" s="4"/>
      <c r="D12063" s="4" t="s">
        <v>20575</v>
      </c>
      <c r="E12063" s="4" t="s">
        <v>20576</v>
      </c>
      <c r="F12063" s="4" t="s">
        <v>20577</v>
      </c>
    </row>
    <row r="12064">
      <c r="A12064" s="4">
        <v>105.0</v>
      </c>
      <c r="B12064" s="4" t="s">
        <v>22111</v>
      </c>
      <c r="C12064" s="4"/>
      <c r="D12064" s="4" t="s">
        <v>20578</v>
      </c>
      <c r="E12064" s="4" t="s">
        <v>20579</v>
      </c>
      <c r="F12064" s="4" t="s">
        <v>20578</v>
      </c>
    </row>
    <row r="12065">
      <c r="A12065" s="4">
        <v>106.0</v>
      </c>
      <c r="B12065" s="4" t="s">
        <v>22111</v>
      </c>
      <c r="C12065" s="4"/>
      <c r="D12065" s="4" t="s">
        <v>774</v>
      </c>
      <c r="E12065" s="4" t="s">
        <v>773</v>
      </c>
      <c r="F12065" s="4" t="s">
        <v>774</v>
      </c>
      <c r="G12065" s="4"/>
      <c r="H12065" s="4" t="s">
        <v>781</v>
      </c>
      <c r="I12065" s="4" t="s">
        <v>782</v>
      </c>
    </row>
    <row r="12066">
      <c r="A12066" s="4">
        <v>107.0</v>
      </c>
      <c r="B12066" s="4" t="s">
        <v>22111</v>
      </c>
      <c r="C12066" s="4"/>
      <c r="D12066" s="4" t="s">
        <v>784</v>
      </c>
      <c r="E12066" s="4" t="s">
        <v>474</v>
      </c>
      <c r="F12066" s="4" t="s">
        <v>475</v>
      </c>
    </row>
    <row r="12067">
      <c r="A12067" s="4">
        <v>108.0</v>
      </c>
      <c r="B12067" s="4" t="s">
        <v>22111</v>
      </c>
      <c r="C12067" s="4"/>
      <c r="D12067" s="4" t="s">
        <v>791</v>
      </c>
      <c r="E12067" s="4" t="s">
        <v>792</v>
      </c>
      <c r="F12067" s="4" t="s">
        <v>791</v>
      </c>
    </row>
    <row r="12068">
      <c r="A12068" s="4">
        <v>109.0</v>
      </c>
      <c r="B12068" s="4" t="s">
        <v>22111</v>
      </c>
      <c r="C12068" s="4"/>
      <c r="D12068" s="4" t="s">
        <v>793</v>
      </c>
      <c r="E12068" s="4" t="s">
        <v>794</v>
      </c>
      <c r="F12068" s="4" t="s">
        <v>793</v>
      </c>
      <c r="G12068" s="4"/>
      <c r="H12068" s="4" t="s">
        <v>15159</v>
      </c>
      <c r="I12068" s="4" t="s">
        <v>795</v>
      </c>
      <c r="J12068" s="4" t="s">
        <v>796</v>
      </c>
    </row>
    <row r="12069">
      <c r="A12069" s="4">
        <v>110.0</v>
      </c>
      <c r="B12069" s="4" t="s">
        <v>22111</v>
      </c>
      <c r="C12069" s="4"/>
      <c r="D12069" s="4" t="s">
        <v>20580</v>
      </c>
      <c r="E12069" s="4" t="s">
        <v>20581</v>
      </c>
      <c r="F12069" s="4" t="s">
        <v>20580</v>
      </c>
    </row>
    <row r="12070">
      <c r="A12070" s="4">
        <v>111.0</v>
      </c>
      <c r="B12070" s="4" t="s">
        <v>22111</v>
      </c>
      <c r="C12070" s="4"/>
      <c r="D12070" s="4" t="s">
        <v>20582</v>
      </c>
      <c r="E12070" s="4" t="s">
        <v>20583</v>
      </c>
      <c r="F12070" s="4" t="s">
        <v>20582</v>
      </c>
    </row>
    <row r="12071">
      <c r="A12071" s="4">
        <v>112.0</v>
      </c>
      <c r="B12071" s="4" t="s">
        <v>22111</v>
      </c>
      <c r="C12071" s="4"/>
      <c r="D12071" s="4" t="s">
        <v>20584</v>
      </c>
      <c r="E12071" s="4" t="s">
        <v>20581</v>
      </c>
      <c r="F12071" s="4" t="s">
        <v>20580</v>
      </c>
    </row>
    <row r="12072">
      <c r="A12072" s="4">
        <v>113.0</v>
      </c>
      <c r="B12072" s="4" t="s">
        <v>22111</v>
      </c>
      <c r="C12072" s="4"/>
      <c r="D12072" s="4" t="s">
        <v>20585</v>
      </c>
      <c r="E12072" s="4" t="s">
        <v>20583</v>
      </c>
      <c r="F12072" s="4" t="s">
        <v>20582</v>
      </c>
    </row>
    <row r="12073">
      <c r="A12073" s="4">
        <v>114.0</v>
      </c>
      <c r="B12073" s="4" t="s">
        <v>22111</v>
      </c>
      <c r="C12073" s="4"/>
      <c r="D12073" s="4" t="s">
        <v>20586</v>
      </c>
      <c r="E12073" s="4" t="s">
        <v>20587</v>
      </c>
      <c r="F12073" s="4" t="s">
        <v>20586</v>
      </c>
    </row>
    <row r="12074">
      <c r="A12074" s="4">
        <v>115.0</v>
      </c>
      <c r="B12074" s="4" t="s">
        <v>22111</v>
      </c>
      <c r="C12074" s="4"/>
      <c r="D12074" s="4" t="s">
        <v>787</v>
      </c>
      <c r="E12074" s="4" t="s">
        <v>786</v>
      </c>
      <c r="F12074" s="4" t="s">
        <v>787</v>
      </c>
      <c r="G12074" s="4"/>
      <c r="H12074" s="4" t="s">
        <v>789</v>
      </c>
      <c r="I12074" s="4" t="s">
        <v>3488</v>
      </c>
      <c r="J12074" s="4" t="s">
        <v>788</v>
      </c>
      <c r="K12074" s="4" t="s">
        <v>3489</v>
      </c>
      <c r="L12074" s="4" t="s">
        <v>3490</v>
      </c>
      <c r="M12074" s="4" t="s">
        <v>788</v>
      </c>
      <c r="N12074" s="4" t="s">
        <v>789</v>
      </c>
      <c r="O12074" s="4" t="s">
        <v>3727</v>
      </c>
    </row>
    <row r="12075">
      <c r="A12075" s="4">
        <v>116.0</v>
      </c>
      <c r="B12075" s="4" t="s">
        <v>22111</v>
      </c>
      <c r="C12075" s="4"/>
      <c r="D12075" s="4" t="s">
        <v>20588</v>
      </c>
      <c r="E12075" s="4" t="s">
        <v>20589</v>
      </c>
      <c r="F12075" s="4" t="s">
        <v>20590</v>
      </c>
    </row>
    <row r="12076">
      <c r="A12076" s="4">
        <v>117.0</v>
      </c>
      <c r="B12076" s="4" t="s">
        <v>22111</v>
      </c>
      <c r="C12076" s="4"/>
      <c r="D12076" s="4" t="s">
        <v>814</v>
      </c>
      <c r="E12076" s="4" t="s">
        <v>815</v>
      </c>
      <c r="F12076" s="4" t="s">
        <v>816</v>
      </c>
    </row>
    <row r="12077">
      <c r="A12077" s="4">
        <v>118.0</v>
      </c>
      <c r="B12077" s="4" t="s">
        <v>22111</v>
      </c>
      <c r="C12077" s="4"/>
      <c r="D12077" s="4" t="s">
        <v>817</v>
      </c>
      <c r="E12077" s="4" t="s">
        <v>818</v>
      </c>
      <c r="F12077" s="4" t="s">
        <v>817</v>
      </c>
      <c r="G12077" s="4"/>
      <c r="H12077" s="4" t="s">
        <v>20591</v>
      </c>
      <c r="I12077" s="4" t="s">
        <v>20592</v>
      </c>
      <c r="J12077" s="4" t="s">
        <v>20591</v>
      </c>
    </row>
    <row r="12078">
      <c r="A12078" s="4">
        <v>119.0</v>
      </c>
      <c r="B12078" s="4" t="s">
        <v>22111</v>
      </c>
      <c r="C12078" s="4"/>
      <c r="D12078" s="4" t="s">
        <v>20593</v>
      </c>
      <c r="E12078" s="4" t="s">
        <v>20594</v>
      </c>
      <c r="F12078" s="4" t="s">
        <v>20593</v>
      </c>
    </row>
    <row r="12079">
      <c r="A12079" s="4">
        <v>120.0</v>
      </c>
      <c r="B12079" s="4" t="s">
        <v>22111</v>
      </c>
      <c r="C12079" s="4"/>
      <c r="D12079" s="4" t="s">
        <v>20595</v>
      </c>
      <c r="E12079" s="4" t="s">
        <v>20596</v>
      </c>
      <c r="F12079" s="4" t="s">
        <v>20595</v>
      </c>
    </row>
    <row r="12080">
      <c r="A12080" s="4">
        <v>121.0</v>
      </c>
      <c r="B12080" s="4" t="s">
        <v>22111</v>
      </c>
      <c r="C12080" s="4"/>
      <c r="D12080" s="4" t="s">
        <v>20597</v>
      </c>
      <c r="E12080" s="4" t="s">
        <v>20598</v>
      </c>
      <c r="F12080" s="4" t="s">
        <v>20599</v>
      </c>
    </row>
    <row r="12081">
      <c r="A12081" s="4">
        <v>122.0</v>
      </c>
      <c r="B12081" s="4" t="s">
        <v>22111</v>
      </c>
      <c r="C12081" s="4"/>
      <c r="D12081" s="4" t="s">
        <v>824</v>
      </c>
      <c r="E12081" s="4" t="s">
        <v>823</v>
      </c>
      <c r="F12081" s="4" t="s">
        <v>824</v>
      </c>
      <c r="G12081" s="4"/>
      <c r="H12081" s="4" t="s">
        <v>825</v>
      </c>
    </row>
    <row r="12082">
      <c r="A12082" s="4">
        <v>123.0</v>
      </c>
      <c r="B12082" s="4" t="s">
        <v>22111</v>
      </c>
      <c r="C12082" s="4"/>
      <c r="D12082" s="4" t="s">
        <v>20600</v>
      </c>
      <c r="E12082" s="4" t="s">
        <v>20601</v>
      </c>
      <c r="F12082" s="4" t="s">
        <v>20600</v>
      </c>
      <c r="G12082" s="4"/>
      <c r="H12082" s="4" t="s">
        <v>20602</v>
      </c>
      <c r="I12082" s="4" t="s">
        <v>12577</v>
      </c>
      <c r="J12082" s="4" t="s">
        <v>20603</v>
      </c>
      <c r="K12082" s="4" t="s">
        <v>19611</v>
      </c>
      <c r="L12082" s="4" t="s">
        <v>20604</v>
      </c>
      <c r="M12082" s="4" t="s">
        <v>6284</v>
      </c>
    </row>
    <row r="12083">
      <c r="A12083" s="4">
        <v>124.0</v>
      </c>
      <c r="B12083" s="4" t="s">
        <v>22111</v>
      </c>
      <c r="C12083" s="4"/>
      <c r="D12083" s="4" t="s">
        <v>20607</v>
      </c>
      <c r="E12083" s="4" t="s">
        <v>20608</v>
      </c>
      <c r="F12083" s="4" t="s">
        <v>20609</v>
      </c>
    </row>
    <row r="12084">
      <c r="A12084" s="4">
        <v>125.0</v>
      </c>
      <c r="B12084" s="4" t="s">
        <v>22111</v>
      </c>
      <c r="C12084" s="4"/>
      <c r="D12084" s="4" t="s">
        <v>20610</v>
      </c>
      <c r="E12084" s="4" t="s">
        <v>20611</v>
      </c>
      <c r="F12084" s="4" t="s">
        <v>20610</v>
      </c>
    </row>
    <row r="12085">
      <c r="A12085" s="4">
        <v>126.0</v>
      </c>
      <c r="B12085" s="4" t="s">
        <v>22111</v>
      </c>
      <c r="C12085" s="4"/>
      <c r="D12085" s="4" t="s">
        <v>20612</v>
      </c>
      <c r="E12085" s="4" t="s">
        <v>20613</v>
      </c>
      <c r="F12085" s="4" t="s">
        <v>20614</v>
      </c>
    </row>
    <row r="12086">
      <c r="A12086" s="4">
        <v>127.0</v>
      </c>
      <c r="B12086" s="4" t="s">
        <v>22111</v>
      </c>
      <c r="C12086" s="4"/>
      <c r="D12086" s="4" t="s">
        <v>295</v>
      </c>
      <c r="E12086" s="4" t="s">
        <v>294</v>
      </c>
      <c r="F12086" s="4" t="s">
        <v>295</v>
      </c>
      <c r="G12086" s="4"/>
      <c r="H12086" s="4" t="s">
        <v>833</v>
      </c>
      <c r="I12086" s="4" t="s">
        <v>833</v>
      </c>
      <c r="J12086" s="4" t="s">
        <v>834</v>
      </c>
      <c r="K12086" s="4" t="s">
        <v>605</v>
      </c>
      <c r="L12086" s="4" t="s">
        <v>835</v>
      </c>
      <c r="M12086" s="4" t="s">
        <v>836</v>
      </c>
      <c r="N12086" s="4" t="s">
        <v>837</v>
      </c>
      <c r="O12086" s="4" t="s">
        <v>838</v>
      </c>
      <c r="P12086" s="4" t="s">
        <v>839</v>
      </c>
      <c r="Q12086" s="4" t="s">
        <v>840</v>
      </c>
      <c r="R12086" s="4" t="s">
        <v>841</v>
      </c>
      <c r="S12086" s="4" t="s">
        <v>842</v>
      </c>
      <c r="T12086" s="4" t="s">
        <v>843</v>
      </c>
      <c r="U12086" s="4" t="s">
        <v>844</v>
      </c>
      <c r="V12086" s="4" t="s">
        <v>845</v>
      </c>
      <c r="W12086" s="4" t="s">
        <v>846</v>
      </c>
    </row>
    <row r="12087">
      <c r="A12087" s="4">
        <v>128.0</v>
      </c>
      <c r="B12087" s="4" t="s">
        <v>22111</v>
      </c>
      <c r="C12087" s="4"/>
      <c r="D12087" s="4" t="s">
        <v>14086</v>
      </c>
      <c r="E12087" s="4" t="s">
        <v>14087</v>
      </c>
      <c r="F12087" s="4" t="s">
        <v>14086</v>
      </c>
      <c r="G12087" s="4"/>
      <c r="H12087" s="4" t="s">
        <v>2426</v>
      </c>
      <c r="I12087" s="4" t="s">
        <v>11321</v>
      </c>
      <c r="J12087" s="4" t="s">
        <v>14088</v>
      </c>
      <c r="K12087" s="4" t="s">
        <v>313</v>
      </c>
    </row>
    <row r="12088">
      <c r="A12088" s="4">
        <v>129.0</v>
      </c>
      <c r="B12088" s="4" t="s">
        <v>22111</v>
      </c>
      <c r="C12088" s="4"/>
      <c r="D12088" s="4" t="s">
        <v>9342</v>
      </c>
      <c r="E12088" s="4" t="s">
        <v>15648</v>
      </c>
      <c r="F12088" s="4" t="s">
        <v>9342</v>
      </c>
      <c r="G12088" s="4"/>
      <c r="H12088" s="4" t="s">
        <v>9342</v>
      </c>
    </row>
    <row r="12089">
      <c r="A12089" s="4">
        <v>130.0</v>
      </c>
      <c r="B12089" s="4" t="s">
        <v>22111</v>
      </c>
      <c r="C12089" s="4"/>
      <c r="D12089" s="4" t="s">
        <v>14089</v>
      </c>
      <c r="E12089" s="4" t="s">
        <v>14090</v>
      </c>
      <c r="F12089" s="4" t="s">
        <v>14089</v>
      </c>
    </row>
    <row r="12090">
      <c r="A12090" s="4">
        <v>131.0</v>
      </c>
      <c r="B12090" s="4" t="s">
        <v>22111</v>
      </c>
      <c r="C12090" s="4"/>
      <c r="D12090" s="4" t="s">
        <v>20615</v>
      </c>
      <c r="E12090" s="4" t="s">
        <v>20616</v>
      </c>
      <c r="F12090" s="4" t="s">
        <v>20615</v>
      </c>
    </row>
    <row r="12091">
      <c r="A12091" s="4">
        <v>132.0</v>
      </c>
      <c r="B12091" s="4" t="s">
        <v>22111</v>
      </c>
      <c r="C12091" s="4"/>
      <c r="D12091" s="4" t="s">
        <v>20617</v>
      </c>
      <c r="E12091" s="4" t="s">
        <v>20618</v>
      </c>
      <c r="F12091" s="4" t="s">
        <v>20617</v>
      </c>
    </row>
    <row r="12092">
      <c r="A12092" s="4">
        <v>133.0</v>
      </c>
      <c r="B12092" s="4" t="s">
        <v>22111</v>
      </c>
      <c r="C12092" s="4"/>
      <c r="D12092" s="4" t="s">
        <v>20619</v>
      </c>
      <c r="E12092" s="4" t="s">
        <v>20616</v>
      </c>
      <c r="F12092" s="4" t="s">
        <v>20615</v>
      </c>
    </row>
    <row r="12093">
      <c r="A12093" s="4">
        <v>134.0</v>
      </c>
      <c r="B12093" s="4" t="s">
        <v>22111</v>
      </c>
      <c r="C12093" s="4"/>
      <c r="D12093" s="4" t="s">
        <v>20620</v>
      </c>
      <c r="E12093" s="4" t="s">
        <v>20618</v>
      </c>
      <c r="F12093" s="4" t="s">
        <v>20617</v>
      </c>
    </row>
    <row r="12094">
      <c r="A12094" s="4">
        <v>135.0</v>
      </c>
      <c r="B12094" s="4" t="s">
        <v>22111</v>
      </c>
      <c r="C12094" s="4"/>
      <c r="D12094" s="4" t="s">
        <v>15649</v>
      </c>
      <c r="E12094" s="4" t="s">
        <v>15650</v>
      </c>
      <c r="F12094" s="4" t="s">
        <v>15649</v>
      </c>
    </row>
    <row r="12095">
      <c r="A12095" s="4">
        <v>136.0</v>
      </c>
      <c r="B12095" s="4" t="s">
        <v>22111</v>
      </c>
      <c r="C12095" s="4"/>
      <c r="D12095" s="4" t="s">
        <v>20621</v>
      </c>
      <c r="E12095" s="4" t="s">
        <v>20622</v>
      </c>
      <c r="F12095" s="4" t="s">
        <v>20621</v>
      </c>
      <c r="G12095" s="4"/>
      <c r="H12095" s="4" t="s">
        <v>486</v>
      </c>
    </row>
    <row r="12096">
      <c r="A12096" s="4">
        <v>137.0</v>
      </c>
      <c r="B12096" s="4" t="s">
        <v>22111</v>
      </c>
      <c r="C12096" s="4"/>
      <c r="D12096" s="4" t="s">
        <v>875</v>
      </c>
      <c r="E12096" s="4" t="s">
        <v>874</v>
      </c>
      <c r="F12096" s="4" t="s">
        <v>875</v>
      </c>
      <c r="G12096" s="4"/>
      <c r="H12096" s="4" t="s">
        <v>876</v>
      </c>
      <c r="I12096" s="4" t="s">
        <v>877</v>
      </c>
      <c r="J12096" s="4" t="s">
        <v>877</v>
      </c>
      <c r="K12096" s="4" t="s">
        <v>878</v>
      </c>
      <c r="L12096" s="4" t="s">
        <v>876</v>
      </c>
      <c r="M12096" s="4" t="s">
        <v>879</v>
      </c>
      <c r="N12096" s="4" t="s">
        <v>486</v>
      </c>
      <c r="O12096" s="4" t="s">
        <v>878</v>
      </c>
    </row>
    <row r="12097">
      <c r="A12097" s="4">
        <v>138.0</v>
      </c>
      <c r="B12097" s="4" t="s">
        <v>22111</v>
      </c>
      <c r="C12097" s="4"/>
      <c r="D12097" s="4" t="s">
        <v>20623</v>
      </c>
      <c r="E12097" s="4" t="s">
        <v>20624</v>
      </c>
      <c r="F12097" s="4" t="s">
        <v>20623</v>
      </c>
    </row>
    <row r="12098">
      <c r="A12098" s="4">
        <v>139.0</v>
      </c>
      <c r="B12098" s="4" t="s">
        <v>22111</v>
      </c>
      <c r="C12098" s="4"/>
      <c r="D12098" s="4" t="s">
        <v>20625</v>
      </c>
      <c r="E12098" s="4" t="s">
        <v>20626</v>
      </c>
      <c r="F12098" s="4" t="s">
        <v>20625</v>
      </c>
    </row>
    <row r="12099">
      <c r="A12099" s="4">
        <v>140.0</v>
      </c>
      <c r="B12099" s="4" t="s">
        <v>22111</v>
      </c>
      <c r="C12099" s="4"/>
      <c r="D12099" s="4" t="s">
        <v>20627</v>
      </c>
      <c r="E12099" s="4" t="s">
        <v>20628</v>
      </c>
      <c r="F12099" s="4" t="s">
        <v>20627</v>
      </c>
      <c r="G12099" s="4"/>
      <c r="H12099" s="4" t="s">
        <v>20629</v>
      </c>
      <c r="I12099" s="4" t="s">
        <v>20630</v>
      </c>
      <c r="J12099" s="4" t="s">
        <v>20631</v>
      </c>
      <c r="K12099" s="4" t="s">
        <v>11322</v>
      </c>
      <c r="L12099" s="4" t="s">
        <v>20632</v>
      </c>
      <c r="M12099" s="4" t="s">
        <v>20633</v>
      </c>
      <c r="N12099" s="4" t="s">
        <v>20633</v>
      </c>
      <c r="O12099" s="4" t="s">
        <v>11321</v>
      </c>
      <c r="P12099" s="4" t="s">
        <v>15189</v>
      </c>
      <c r="Q12099" s="4" t="s">
        <v>5742</v>
      </c>
      <c r="R12099" s="4" t="s">
        <v>11321</v>
      </c>
    </row>
    <row r="12100">
      <c r="A12100" s="4">
        <v>141.0</v>
      </c>
      <c r="B12100" s="4" t="s">
        <v>22111</v>
      </c>
      <c r="C12100" s="4"/>
      <c r="D12100" s="4" t="s">
        <v>9347</v>
      </c>
      <c r="E12100" s="4" t="s">
        <v>15678</v>
      </c>
      <c r="F12100" s="4" t="s">
        <v>9347</v>
      </c>
    </row>
    <row r="12101">
      <c r="A12101" s="4">
        <v>142.0</v>
      </c>
      <c r="B12101" s="4" t="s">
        <v>22111</v>
      </c>
      <c r="C12101" s="4"/>
      <c r="D12101" s="4" t="s">
        <v>882</v>
      </c>
      <c r="E12101" s="4" t="s">
        <v>881</v>
      </c>
      <c r="F12101" s="4" t="s">
        <v>882</v>
      </c>
      <c r="G12101" s="4"/>
      <c r="H12101" s="4" t="s">
        <v>883</v>
      </c>
      <c r="I12101" s="4" t="s">
        <v>884</v>
      </c>
      <c r="J12101" s="4" t="s">
        <v>885</v>
      </c>
      <c r="K12101" s="4" t="s">
        <v>886</v>
      </c>
      <c r="L12101" s="4" t="s">
        <v>887</v>
      </c>
      <c r="M12101" s="4" t="s">
        <v>878</v>
      </c>
      <c r="N12101" s="4" t="s">
        <v>888</v>
      </c>
      <c r="O12101" s="4" t="s">
        <v>15684</v>
      </c>
      <c r="P12101" s="4" t="s">
        <v>888</v>
      </c>
      <c r="Q12101" s="4" t="s">
        <v>7917</v>
      </c>
      <c r="R12101" s="4" t="s">
        <v>883</v>
      </c>
      <c r="S12101" s="4" t="s">
        <v>883</v>
      </c>
      <c r="T12101" s="4" t="s">
        <v>885</v>
      </c>
      <c r="U12101" s="4" t="s">
        <v>886</v>
      </c>
      <c r="V12101" s="4" t="s">
        <v>888</v>
      </c>
      <c r="W12101" s="4" t="s">
        <v>3086</v>
      </c>
      <c r="X12101" s="4" t="s">
        <v>887</v>
      </c>
      <c r="Y12101" s="4" t="s">
        <v>3082</v>
      </c>
    </row>
    <row r="12102">
      <c r="A12102" s="4">
        <v>143.0</v>
      </c>
      <c r="B12102" s="4" t="s">
        <v>22111</v>
      </c>
      <c r="C12102" s="4"/>
      <c r="D12102" s="4" t="s">
        <v>20634</v>
      </c>
      <c r="E12102" s="4" t="s">
        <v>14087</v>
      </c>
      <c r="F12102" s="4" t="s">
        <v>14086</v>
      </c>
    </row>
    <row r="12103">
      <c r="A12103" s="4">
        <v>144.0</v>
      </c>
      <c r="B12103" s="4" t="s">
        <v>22111</v>
      </c>
      <c r="C12103" s="4"/>
      <c r="D12103" s="4" t="s">
        <v>20635</v>
      </c>
      <c r="E12103" s="4" t="s">
        <v>501</v>
      </c>
      <c r="F12103" s="4" t="s">
        <v>502</v>
      </c>
    </row>
    <row r="12104">
      <c r="A12104" s="4">
        <v>145.0</v>
      </c>
      <c r="B12104" s="4" t="s">
        <v>22111</v>
      </c>
      <c r="C12104" s="4"/>
      <c r="D12104" s="4" t="s">
        <v>20636</v>
      </c>
      <c r="E12104" s="4" t="s">
        <v>890</v>
      </c>
      <c r="F12104" s="4" t="s">
        <v>891</v>
      </c>
    </row>
    <row r="12105">
      <c r="A12105" s="4">
        <v>146.0</v>
      </c>
      <c r="B12105" s="4" t="s">
        <v>22111</v>
      </c>
      <c r="C12105" s="4"/>
      <c r="D12105" s="4" t="s">
        <v>17441</v>
      </c>
      <c r="E12105" s="4" t="s">
        <v>17440</v>
      </c>
      <c r="F12105" s="4" t="s">
        <v>17441</v>
      </c>
    </row>
    <row r="12106">
      <c r="A12106" s="4">
        <v>147.0</v>
      </c>
      <c r="B12106" s="4" t="s">
        <v>22111</v>
      </c>
      <c r="C12106" s="4"/>
      <c r="D12106" s="4" t="s">
        <v>20685</v>
      </c>
      <c r="E12106" s="4" t="s">
        <v>20686</v>
      </c>
      <c r="F12106" s="4" t="s">
        <v>20685</v>
      </c>
    </row>
    <row r="12107">
      <c r="A12107" s="4">
        <v>148.0</v>
      </c>
      <c r="B12107" s="4" t="s">
        <v>22111</v>
      </c>
      <c r="C12107" s="4"/>
      <c r="D12107" s="4" t="s">
        <v>20687</v>
      </c>
      <c r="E12107" s="4" t="s">
        <v>20688</v>
      </c>
      <c r="F12107" s="4" t="s">
        <v>20687</v>
      </c>
    </row>
    <row r="12108">
      <c r="A12108" s="4">
        <v>149.0</v>
      </c>
      <c r="B12108" s="4" t="s">
        <v>22111</v>
      </c>
      <c r="C12108" s="4"/>
      <c r="D12108" s="4" t="s">
        <v>960</v>
      </c>
      <c r="E12108" s="4" t="s">
        <v>961</v>
      </c>
      <c r="F12108" s="4" t="s">
        <v>962</v>
      </c>
    </row>
    <row r="12109">
      <c r="A12109" s="4">
        <v>150.0</v>
      </c>
      <c r="B12109" s="4" t="s">
        <v>22111</v>
      </c>
      <c r="C12109" s="4"/>
      <c r="D12109" s="4" t="s">
        <v>20689</v>
      </c>
      <c r="E12109" s="4" t="s">
        <v>20690</v>
      </c>
      <c r="F12109" s="4" t="s">
        <v>9073</v>
      </c>
      <c r="G12109" s="4"/>
      <c r="H12109" s="4" t="s">
        <v>20691</v>
      </c>
      <c r="I12109" s="4" t="s">
        <v>1301</v>
      </c>
      <c r="J12109" s="4" t="s">
        <v>20692</v>
      </c>
      <c r="K12109" s="4" t="s">
        <v>20693</v>
      </c>
      <c r="L12109" s="4" t="s">
        <v>20694</v>
      </c>
      <c r="M12109" s="4" t="s">
        <v>20695</v>
      </c>
      <c r="N12109" s="4" t="s">
        <v>10333</v>
      </c>
      <c r="O12109" s="4" t="s">
        <v>11925</v>
      </c>
      <c r="P12109" s="4" t="s">
        <v>1337</v>
      </c>
      <c r="Q12109" s="4" t="s">
        <v>11924</v>
      </c>
      <c r="R12109" s="4" t="s">
        <v>20696</v>
      </c>
      <c r="S12109" s="4" t="s">
        <v>20697</v>
      </c>
      <c r="T12109" s="4" t="s">
        <v>20691</v>
      </c>
    </row>
    <row r="12110">
      <c r="A12110" s="4">
        <v>151.0</v>
      </c>
      <c r="B12110" s="4" t="s">
        <v>22111</v>
      </c>
      <c r="C12110" s="4"/>
      <c r="D12110" s="4" t="s">
        <v>976</v>
      </c>
      <c r="E12110" s="4" t="s">
        <v>977</v>
      </c>
      <c r="F12110" s="4" t="s">
        <v>978</v>
      </c>
      <c r="G12110" s="4"/>
      <c r="H12110" s="4" t="s">
        <v>20705</v>
      </c>
      <c r="I12110" s="4" t="s">
        <v>20706</v>
      </c>
    </row>
    <row r="12111">
      <c r="A12111" s="4">
        <v>152.0</v>
      </c>
      <c r="B12111" s="4" t="s">
        <v>22111</v>
      </c>
      <c r="C12111" s="4"/>
      <c r="D12111" s="4" t="s">
        <v>20707</v>
      </c>
      <c r="E12111" s="4" t="s">
        <v>20708</v>
      </c>
      <c r="F12111" s="4" t="s">
        <v>20709</v>
      </c>
    </row>
    <row r="12112">
      <c r="A12112" s="4">
        <v>153.0</v>
      </c>
      <c r="B12112" s="4" t="s">
        <v>22111</v>
      </c>
      <c r="C12112" s="4"/>
      <c r="D12112" s="4" t="s">
        <v>20710</v>
      </c>
      <c r="E12112" s="4" t="s">
        <v>20711</v>
      </c>
      <c r="F12112" s="4" t="s">
        <v>20712</v>
      </c>
    </row>
    <row r="12113">
      <c r="A12113" s="4">
        <v>154.0</v>
      </c>
      <c r="B12113" s="4" t="s">
        <v>22111</v>
      </c>
      <c r="C12113" s="4"/>
      <c r="D12113" s="4" t="s">
        <v>984</v>
      </c>
      <c r="E12113" s="4" t="s">
        <v>985</v>
      </c>
      <c r="F12113" s="4" t="s">
        <v>986</v>
      </c>
    </row>
    <row r="12114">
      <c r="A12114" s="4">
        <v>155.0</v>
      </c>
      <c r="B12114" s="4" t="s">
        <v>22111</v>
      </c>
      <c r="C12114" s="4"/>
      <c r="D12114" s="4" t="s">
        <v>990</v>
      </c>
      <c r="E12114" s="4" t="s">
        <v>991</v>
      </c>
      <c r="F12114" s="4" t="s">
        <v>992</v>
      </c>
      <c r="G12114" s="4"/>
      <c r="H12114" s="4" t="s">
        <v>993</v>
      </c>
      <c r="I12114" s="4" t="s">
        <v>994</v>
      </c>
      <c r="J12114" s="4" t="s">
        <v>2798</v>
      </c>
      <c r="K12114" s="4" t="s">
        <v>20713</v>
      </c>
      <c r="L12114" s="4" t="s">
        <v>3632</v>
      </c>
      <c r="M12114" s="4" t="s">
        <v>940</v>
      </c>
    </row>
    <row r="12115">
      <c r="A12115" s="4">
        <v>156.0</v>
      </c>
      <c r="B12115" s="4" t="s">
        <v>22111</v>
      </c>
      <c r="C12115" s="4"/>
      <c r="D12115" s="4" t="s">
        <v>20714</v>
      </c>
      <c r="E12115" s="4" t="s">
        <v>1004</v>
      </c>
      <c r="F12115" s="4" t="s">
        <v>1005</v>
      </c>
    </row>
    <row r="12116">
      <c r="A12116" s="4">
        <v>157.0</v>
      </c>
      <c r="B12116" s="4" t="s">
        <v>22111</v>
      </c>
      <c r="C12116" s="4"/>
      <c r="D12116" s="4" t="s">
        <v>20715</v>
      </c>
      <c r="E12116" s="4" t="s">
        <v>1007</v>
      </c>
      <c r="F12116" s="4" t="s">
        <v>1008</v>
      </c>
    </row>
    <row r="12117">
      <c r="A12117" s="4">
        <v>158.0</v>
      </c>
      <c r="B12117" s="4" t="s">
        <v>22111</v>
      </c>
      <c r="C12117" s="4"/>
      <c r="D12117" s="4" t="s">
        <v>20716</v>
      </c>
      <c r="E12117" s="4" t="s">
        <v>1004</v>
      </c>
      <c r="F12117" s="4" t="s">
        <v>1005</v>
      </c>
    </row>
    <row r="12118">
      <c r="A12118" s="4">
        <v>159.0</v>
      </c>
      <c r="B12118" s="4" t="s">
        <v>22111</v>
      </c>
      <c r="C12118" s="4"/>
      <c r="D12118" s="4" t="s">
        <v>20717</v>
      </c>
      <c r="E12118" s="4" t="s">
        <v>1007</v>
      </c>
      <c r="F12118" s="4" t="s">
        <v>1008</v>
      </c>
    </row>
    <row r="12119">
      <c r="A12119" s="4">
        <v>160.0</v>
      </c>
      <c r="B12119" s="4" t="s">
        <v>22111</v>
      </c>
      <c r="C12119" s="4"/>
      <c r="D12119" s="4" t="s">
        <v>11822</v>
      </c>
      <c r="E12119" s="4" t="s">
        <v>11824</v>
      </c>
      <c r="F12119" s="4" t="s">
        <v>11825</v>
      </c>
    </row>
    <row r="12120">
      <c r="A12120" s="4">
        <v>161.0</v>
      </c>
      <c r="B12120" s="4" t="s">
        <v>22111</v>
      </c>
      <c r="C12120" s="4"/>
      <c r="D12120" s="4" t="s">
        <v>5931</v>
      </c>
      <c r="E12120" s="4" t="s">
        <v>5147</v>
      </c>
      <c r="F12120" s="4" t="s">
        <v>5148</v>
      </c>
    </row>
    <row r="12121">
      <c r="A12121" s="4">
        <v>162.0</v>
      </c>
      <c r="B12121" s="4" t="s">
        <v>22111</v>
      </c>
      <c r="C12121" s="4"/>
      <c r="D12121" s="4" t="s">
        <v>1040</v>
      </c>
      <c r="E12121" s="4" t="s">
        <v>1041</v>
      </c>
      <c r="F12121" s="4" t="s">
        <v>1042</v>
      </c>
      <c r="G12121" s="4"/>
      <c r="H12121" s="4" t="s">
        <v>1241</v>
      </c>
    </row>
    <row r="12122">
      <c r="A12122" s="4">
        <v>163.0</v>
      </c>
      <c r="B12122" s="4" t="s">
        <v>22111</v>
      </c>
      <c r="C12122" s="4"/>
      <c r="D12122" s="4" t="s">
        <v>1053</v>
      </c>
      <c r="E12122" s="4" t="s">
        <v>1054</v>
      </c>
      <c r="F12122" s="4" t="s">
        <v>1055</v>
      </c>
      <c r="G12122" s="4"/>
      <c r="H12122" s="4" t="s">
        <v>1056</v>
      </c>
      <c r="I12122" s="4" t="s">
        <v>20721</v>
      </c>
      <c r="J12122" s="4" t="s">
        <v>1056</v>
      </c>
      <c r="K12122" s="4" t="s">
        <v>1057</v>
      </c>
      <c r="L12122" s="4" t="s">
        <v>1056</v>
      </c>
    </row>
    <row r="12123">
      <c r="A12123" s="4">
        <v>164.0</v>
      </c>
      <c r="B12123" s="4" t="s">
        <v>22111</v>
      </c>
      <c r="C12123" s="4"/>
      <c r="D12123" s="4" t="s">
        <v>20727</v>
      </c>
      <c r="E12123" s="4" t="s">
        <v>15796</v>
      </c>
      <c r="F12123" s="4" t="s">
        <v>5056</v>
      </c>
      <c r="G12123" s="4"/>
      <c r="H12123" s="4" t="s">
        <v>20728</v>
      </c>
    </row>
    <row r="12124">
      <c r="A12124" s="4">
        <v>165.0</v>
      </c>
      <c r="B12124" s="4" t="s">
        <v>22111</v>
      </c>
      <c r="C12124" s="4"/>
      <c r="D12124" s="4" t="s">
        <v>1123</v>
      </c>
      <c r="E12124" s="4" t="s">
        <v>1124</v>
      </c>
      <c r="F12124" s="4" t="s">
        <v>1125</v>
      </c>
      <c r="G12124" s="4"/>
      <c r="H12124" s="4" t="s">
        <v>20732</v>
      </c>
      <c r="I12124" s="4" t="s">
        <v>20733</v>
      </c>
    </row>
    <row r="12125">
      <c r="A12125" s="4">
        <v>166.0</v>
      </c>
      <c r="B12125" s="4" t="s">
        <v>22111</v>
      </c>
      <c r="C12125" s="4"/>
      <c r="D12125" s="4" t="s">
        <v>1126</v>
      </c>
      <c r="E12125" s="4" t="s">
        <v>1127</v>
      </c>
      <c r="F12125" s="4" t="s">
        <v>1128</v>
      </c>
      <c r="G12125" s="4"/>
      <c r="H12125" s="4" t="s">
        <v>1126</v>
      </c>
      <c r="I12125" s="4" t="s">
        <v>1136</v>
      </c>
      <c r="J12125" s="4" t="s">
        <v>19760</v>
      </c>
      <c r="K12125" s="4" t="s">
        <v>19761</v>
      </c>
      <c r="L12125" s="4" t="s">
        <v>1129</v>
      </c>
      <c r="M12125" s="4" t="s">
        <v>1130</v>
      </c>
      <c r="N12125" s="4" t="s">
        <v>1131</v>
      </c>
      <c r="O12125" s="4" t="s">
        <v>1132</v>
      </c>
      <c r="P12125" s="4" t="s">
        <v>1133</v>
      </c>
      <c r="Q12125" s="4" t="s">
        <v>1134</v>
      </c>
      <c r="R12125" s="4" t="s">
        <v>20734</v>
      </c>
      <c r="S12125" s="4" t="s">
        <v>1130</v>
      </c>
      <c r="T12125" s="4" t="s">
        <v>1135</v>
      </c>
      <c r="U12125" s="4" t="s">
        <v>1126</v>
      </c>
      <c r="V12125" s="4" t="s">
        <v>1136</v>
      </c>
      <c r="W12125" s="4" t="s">
        <v>1136</v>
      </c>
      <c r="X12125" s="4" t="s">
        <v>1137</v>
      </c>
      <c r="Y12125" s="4" t="s">
        <v>1136</v>
      </c>
    </row>
    <row r="12126">
      <c r="A12126" s="4">
        <v>167.0</v>
      </c>
      <c r="B12126" s="4" t="s">
        <v>22111</v>
      </c>
      <c r="C12126" s="4"/>
      <c r="D12126" s="4" t="s">
        <v>1161</v>
      </c>
      <c r="E12126" s="4" t="s">
        <v>1162</v>
      </c>
      <c r="F12126" s="4" t="s">
        <v>1163</v>
      </c>
      <c r="G12126" s="4"/>
      <c r="H12126" s="4" t="s">
        <v>20735</v>
      </c>
      <c r="I12126" s="4" t="s">
        <v>20736</v>
      </c>
    </row>
    <row r="12127">
      <c r="A12127" s="4">
        <v>168.0</v>
      </c>
      <c r="B12127" s="4" t="s">
        <v>22111</v>
      </c>
      <c r="C12127" s="4"/>
      <c r="D12127" s="4" t="s">
        <v>20737</v>
      </c>
      <c r="E12127" s="4" t="s">
        <v>20738</v>
      </c>
      <c r="F12127" s="4" t="s">
        <v>20739</v>
      </c>
    </row>
    <row r="12128">
      <c r="A12128" s="4">
        <v>169.0</v>
      </c>
      <c r="B12128" s="4" t="s">
        <v>22111</v>
      </c>
      <c r="C12128" s="4"/>
      <c r="D12128" s="4" t="s">
        <v>20740</v>
      </c>
      <c r="E12128" s="4" t="s">
        <v>1206</v>
      </c>
      <c r="F12128" s="4" t="s">
        <v>1207</v>
      </c>
    </row>
    <row r="12129">
      <c r="A12129" s="4">
        <v>170.0</v>
      </c>
      <c r="B12129" s="4" t="s">
        <v>22111</v>
      </c>
      <c r="C12129" s="4"/>
      <c r="D12129" s="4" t="s">
        <v>20741</v>
      </c>
      <c r="E12129" s="4" t="s">
        <v>20742</v>
      </c>
      <c r="F12129" s="4" t="s">
        <v>20743</v>
      </c>
      <c r="G12129" s="4"/>
      <c r="H12129" s="4" t="s">
        <v>20744</v>
      </c>
      <c r="I12129" s="4" t="s">
        <v>20745</v>
      </c>
    </row>
    <row r="12130">
      <c r="A12130" s="4">
        <v>171.0</v>
      </c>
      <c r="B12130" s="4" t="s">
        <v>22111</v>
      </c>
      <c r="C12130" s="4"/>
      <c r="D12130" s="4" t="s">
        <v>1176</v>
      </c>
      <c r="E12130" s="4" t="s">
        <v>1177</v>
      </c>
      <c r="F12130" s="4" t="s">
        <v>1178</v>
      </c>
    </row>
    <row r="12131">
      <c r="A12131" s="4">
        <v>172.0</v>
      </c>
      <c r="B12131" s="4" t="s">
        <v>22111</v>
      </c>
      <c r="C12131" s="4"/>
      <c r="D12131" s="4" t="s">
        <v>20746</v>
      </c>
      <c r="E12131" s="4" t="s">
        <v>20747</v>
      </c>
      <c r="F12131" s="4" t="s">
        <v>20748</v>
      </c>
    </row>
    <row r="12132">
      <c r="A12132" s="4">
        <v>173.0</v>
      </c>
      <c r="B12132" s="4" t="s">
        <v>22111</v>
      </c>
      <c r="C12132" s="4"/>
      <c r="D12132" s="4" t="s">
        <v>20752</v>
      </c>
      <c r="E12132" s="4" t="s">
        <v>19992</v>
      </c>
      <c r="F12132" s="4" t="s">
        <v>19993</v>
      </c>
      <c r="G12132" s="4"/>
      <c r="H12132" s="4" t="s">
        <v>20753</v>
      </c>
      <c r="I12132" s="4" t="s">
        <v>20754</v>
      </c>
      <c r="J12132" s="4" t="s">
        <v>20755</v>
      </c>
      <c r="K12132" s="4" t="s">
        <v>20756</v>
      </c>
    </row>
    <row r="12133">
      <c r="A12133" s="4">
        <v>174.0</v>
      </c>
      <c r="B12133" s="4" t="s">
        <v>22111</v>
      </c>
      <c r="C12133" s="4"/>
      <c r="D12133" s="4" t="s">
        <v>1231</v>
      </c>
      <c r="E12133" s="4" t="s">
        <v>1232</v>
      </c>
      <c r="F12133" s="4" t="s">
        <v>1233</v>
      </c>
      <c r="G12133" s="4"/>
      <c r="H12133" s="4" t="s">
        <v>1234</v>
      </c>
      <c r="I12133" s="4" t="s">
        <v>1235</v>
      </c>
      <c r="J12133" s="4" t="s">
        <v>1236</v>
      </c>
      <c r="K12133" s="4" t="s">
        <v>1237</v>
      </c>
      <c r="L12133" s="4" t="s">
        <v>1241</v>
      </c>
      <c r="M12133" s="4" t="s">
        <v>1217</v>
      </c>
      <c r="N12133" s="4" t="s">
        <v>1243</v>
      </c>
      <c r="O12133" s="4" t="s">
        <v>1238</v>
      </c>
      <c r="P12133" s="4" t="s">
        <v>1235</v>
      </c>
      <c r="Q12133" s="4" t="s">
        <v>1239</v>
      </c>
      <c r="R12133" s="4" t="s">
        <v>1240</v>
      </c>
      <c r="S12133" s="4" t="s">
        <v>1237</v>
      </c>
      <c r="T12133" s="4" t="s">
        <v>1241</v>
      </c>
      <c r="U12133" s="4" t="s">
        <v>1237</v>
      </c>
      <c r="V12133" s="4" t="s">
        <v>1242</v>
      </c>
      <c r="W12133" s="4" t="s">
        <v>1243</v>
      </c>
      <c r="X12133" s="4" t="s">
        <v>20757</v>
      </c>
    </row>
    <row r="12134">
      <c r="A12134" s="4">
        <v>175.0</v>
      </c>
      <c r="B12134" s="4" t="s">
        <v>22111</v>
      </c>
      <c r="C12134" s="4"/>
      <c r="D12134" s="4" t="s">
        <v>1244</v>
      </c>
      <c r="E12134" s="4" t="s">
        <v>1245</v>
      </c>
      <c r="F12134" s="4" t="s">
        <v>1246</v>
      </c>
      <c r="G12134" s="4"/>
      <c r="H12134" s="4" t="s">
        <v>20758</v>
      </c>
      <c r="I12134" s="4" t="s">
        <v>20759</v>
      </c>
      <c r="J12134" s="4" t="s">
        <v>20760</v>
      </c>
      <c r="K12134" s="4" t="s">
        <v>20761</v>
      </c>
      <c r="L12134" s="4" t="s">
        <v>20762</v>
      </c>
      <c r="M12134" s="4" t="s">
        <v>20763</v>
      </c>
      <c r="N12134" s="4" t="s">
        <v>6078</v>
      </c>
    </row>
    <row r="12135">
      <c r="A12135" s="4">
        <v>176.0</v>
      </c>
      <c r="B12135" s="4" t="s">
        <v>22111</v>
      </c>
      <c r="C12135" s="4"/>
      <c r="D12135" s="4" t="s">
        <v>20764</v>
      </c>
      <c r="E12135" s="4" t="s">
        <v>20765</v>
      </c>
      <c r="F12135" s="4" t="s">
        <v>20766</v>
      </c>
    </row>
    <row r="12136">
      <c r="A12136" s="4">
        <v>177.0</v>
      </c>
      <c r="B12136" s="4" t="s">
        <v>22111</v>
      </c>
      <c r="C12136" s="4"/>
      <c r="D12136" s="4" t="s">
        <v>20775</v>
      </c>
      <c r="E12136" s="4" t="s">
        <v>1232</v>
      </c>
      <c r="F12136" s="4" t="s">
        <v>1233</v>
      </c>
    </row>
    <row r="12137">
      <c r="A12137" s="4">
        <v>178.0</v>
      </c>
      <c r="B12137" s="4" t="s">
        <v>22111</v>
      </c>
      <c r="C12137" s="4"/>
      <c r="D12137" s="4" t="s">
        <v>1295</v>
      </c>
      <c r="E12137" s="4" t="s">
        <v>1296</v>
      </c>
      <c r="F12137" s="4" t="s">
        <v>1297</v>
      </c>
      <c r="G12137" s="4"/>
      <c r="H12137" s="4" t="s">
        <v>20776</v>
      </c>
    </row>
    <row r="12138">
      <c r="A12138" s="4">
        <v>179.0</v>
      </c>
      <c r="B12138" s="4" t="s">
        <v>22111</v>
      </c>
      <c r="C12138" s="4"/>
      <c r="D12138" s="4" t="s">
        <v>1305</v>
      </c>
      <c r="E12138" s="4" t="s">
        <v>1306</v>
      </c>
      <c r="F12138" s="4" t="s">
        <v>1307</v>
      </c>
      <c r="G12138" s="4"/>
      <c r="H12138" s="4" t="s">
        <v>1310</v>
      </c>
      <c r="I12138" s="4" t="s">
        <v>1209</v>
      </c>
      <c r="J12138" s="4" t="s">
        <v>515</v>
      </c>
      <c r="K12138" s="4" t="s">
        <v>1308</v>
      </c>
      <c r="L12138" s="4" t="s">
        <v>1309</v>
      </c>
      <c r="M12138" s="4" t="s">
        <v>1310</v>
      </c>
      <c r="N12138" s="4" t="s">
        <v>1311</v>
      </c>
      <c r="O12138" s="4" t="s">
        <v>1312</v>
      </c>
      <c r="P12138" s="4" t="s">
        <v>1313</v>
      </c>
      <c r="Q12138" s="4" t="s">
        <v>1310</v>
      </c>
      <c r="R12138" s="4" t="s">
        <v>1314</v>
      </c>
      <c r="S12138" s="4" t="s">
        <v>3491</v>
      </c>
      <c r="T12138" s="4" t="s">
        <v>1310</v>
      </c>
      <c r="U12138" s="4" t="s">
        <v>1315</v>
      </c>
      <c r="V12138" s="4" t="s">
        <v>1310</v>
      </c>
      <c r="W12138" s="4" t="s">
        <v>20779</v>
      </c>
      <c r="X12138" s="4" t="s">
        <v>1310</v>
      </c>
      <c r="Y12138" s="4" t="s">
        <v>515</v>
      </c>
      <c r="Z12138" s="4" t="s">
        <v>1310</v>
      </c>
      <c r="AA12138" s="4" t="s">
        <v>950</v>
      </c>
      <c r="AB12138" s="4" t="s">
        <v>1310</v>
      </c>
    </row>
    <row r="12139">
      <c r="A12139" s="4">
        <v>180.0</v>
      </c>
      <c r="B12139" s="4" t="s">
        <v>22111</v>
      </c>
      <c r="C12139" s="4"/>
      <c r="D12139" s="4" t="s">
        <v>20780</v>
      </c>
      <c r="E12139" s="4" t="s">
        <v>20781</v>
      </c>
      <c r="F12139" s="4" t="s">
        <v>20782</v>
      </c>
    </row>
    <row r="12140">
      <c r="A12140" s="4">
        <v>181.0</v>
      </c>
      <c r="B12140" s="4" t="s">
        <v>22111</v>
      </c>
      <c r="C12140" s="4"/>
      <c r="D12140" s="4" t="s">
        <v>20783</v>
      </c>
      <c r="E12140" s="4" t="s">
        <v>20784</v>
      </c>
      <c r="F12140" s="4" t="s">
        <v>20785</v>
      </c>
    </row>
    <row r="12141">
      <c r="A12141" s="4">
        <v>182.0</v>
      </c>
      <c r="B12141" s="4" t="s">
        <v>22111</v>
      </c>
      <c r="C12141" s="4"/>
      <c r="D12141" s="4" t="s">
        <v>20789</v>
      </c>
      <c r="E12141" s="4" t="s">
        <v>20790</v>
      </c>
      <c r="F12141" s="4" t="s">
        <v>20791</v>
      </c>
    </row>
    <row r="12142">
      <c r="A12142" s="4">
        <v>183.0</v>
      </c>
      <c r="B12142" s="4" t="s">
        <v>22111</v>
      </c>
      <c r="C12142" s="4"/>
      <c r="D12142" s="4" t="s">
        <v>20795</v>
      </c>
      <c r="E12142" s="4" t="s">
        <v>20796</v>
      </c>
      <c r="F12142" s="4" t="s">
        <v>20797</v>
      </c>
    </row>
    <row r="12143">
      <c r="A12143" s="4">
        <v>184.0</v>
      </c>
      <c r="B12143" s="4" t="s">
        <v>22111</v>
      </c>
      <c r="C12143" s="4"/>
      <c r="D12143" s="4" t="s">
        <v>19025</v>
      </c>
      <c r="E12143" s="4" t="s">
        <v>1306</v>
      </c>
      <c r="F12143" s="4" t="s">
        <v>1307</v>
      </c>
    </row>
    <row r="12144">
      <c r="A12144" s="4">
        <v>185.0</v>
      </c>
      <c r="B12144" s="4" t="s">
        <v>22111</v>
      </c>
      <c r="C12144" s="4"/>
      <c r="D12144" s="4" t="s">
        <v>1334</v>
      </c>
      <c r="E12144" s="4" t="s">
        <v>1335</v>
      </c>
      <c r="F12144" s="4" t="s">
        <v>1336</v>
      </c>
    </row>
    <row r="12145">
      <c r="A12145" s="4">
        <v>186.0</v>
      </c>
      <c r="B12145" s="4" t="s">
        <v>22111</v>
      </c>
      <c r="C12145" s="4"/>
      <c r="D12145" s="4" t="s">
        <v>16624</v>
      </c>
      <c r="E12145" s="4" t="s">
        <v>1358</v>
      </c>
      <c r="F12145" s="4" t="s">
        <v>1359</v>
      </c>
      <c r="G12145" s="4"/>
      <c r="H12145" s="4" t="s">
        <v>20801</v>
      </c>
      <c r="I12145" s="4" t="s">
        <v>20802</v>
      </c>
      <c r="J12145" s="4" t="s">
        <v>20803</v>
      </c>
      <c r="K12145" s="4" t="s">
        <v>20804</v>
      </c>
      <c r="L12145" s="4" t="s">
        <v>20805</v>
      </c>
      <c r="M12145" s="4" t="s">
        <v>3573</v>
      </c>
      <c r="N12145" s="4" t="s">
        <v>2125</v>
      </c>
      <c r="O12145" s="4" t="s">
        <v>3574</v>
      </c>
      <c r="P12145" s="4" t="s">
        <v>3575</v>
      </c>
      <c r="Q12145" s="4" t="s">
        <v>3576</v>
      </c>
      <c r="R12145" s="4" t="s">
        <v>3577</v>
      </c>
      <c r="S12145" s="4" t="s">
        <v>2130</v>
      </c>
      <c r="T12145" s="4" t="s">
        <v>2130</v>
      </c>
      <c r="U12145" s="4" t="s">
        <v>2547</v>
      </c>
      <c r="V12145" s="4" t="s">
        <v>2130</v>
      </c>
      <c r="W12145" s="4" t="s">
        <v>20806</v>
      </c>
      <c r="X12145" s="4" t="s">
        <v>20807</v>
      </c>
      <c r="Y12145" s="4" t="s">
        <v>20808</v>
      </c>
      <c r="Z12145" s="4" t="s">
        <v>20809</v>
      </c>
      <c r="AA12145" s="4" t="s">
        <v>2128</v>
      </c>
      <c r="AB12145" s="4" t="s">
        <v>2129</v>
      </c>
      <c r="AC12145" s="4" t="s">
        <v>2130</v>
      </c>
      <c r="AD12145" s="4" t="s">
        <v>2125</v>
      </c>
      <c r="AE12145" s="4" t="s">
        <v>2131</v>
      </c>
      <c r="AF12145" s="4" t="s">
        <v>2130</v>
      </c>
      <c r="AG12145" s="4" t="s">
        <v>2125</v>
      </c>
      <c r="AH12145" s="4" t="s">
        <v>2125</v>
      </c>
      <c r="AI12145" s="4" t="s">
        <v>11158</v>
      </c>
      <c r="AJ12145" s="4" t="s">
        <v>2125</v>
      </c>
    </row>
    <row r="12146">
      <c r="A12146" s="4">
        <v>187.0</v>
      </c>
      <c r="B12146" s="4" t="s">
        <v>22111</v>
      </c>
      <c r="C12146" s="4"/>
      <c r="D12146" s="4" t="s">
        <v>20810</v>
      </c>
      <c r="E12146" s="4" t="s">
        <v>20811</v>
      </c>
      <c r="F12146" s="4" t="s">
        <v>20812</v>
      </c>
    </row>
    <row r="12147">
      <c r="A12147" s="4">
        <v>188.0</v>
      </c>
      <c r="B12147" s="4" t="s">
        <v>22111</v>
      </c>
      <c r="C12147" s="4"/>
      <c r="D12147" s="4" t="s">
        <v>14129</v>
      </c>
      <c r="E12147" s="4" t="s">
        <v>14130</v>
      </c>
      <c r="F12147" s="4" t="s">
        <v>14131</v>
      </c>
    </row>
    <row r="12148">
      <c r="A12148" s="4">
        <v>189.0</v>
      </c>
      <c r="B12148" s="4" t="s">
        <v>22111</v>
      </c>
      <c r="C12148" s="4"/>
      <c r="D12148" s="4" t="s">
        <v>14354</v>
      </c>
      <c r="E12148" s="4" t="s">
        <v>1371</v>
      </c>
      <c r="F12148" s="4" t="s">
        <v>1372</v>
      </c>
      <c r="G12148" s="4"/>
      <c r="H12148" s="4" t="s">
        <v>7722</v>
      </c>
      <c r="I12148" s="4" t="s">
        <v>12852</v>
      </c>
      <c r="J12148" s="4" t="s">
        <v>20816</v>
      </c>
      <c r="K12148" s="4" t="s">
        <v>20817</v>
      </c>
      <c r="L12148" s="4" t="s">
        <v>20818</v>
      </c>
      <c r="M12148" s="4" t="s">
        <v>7722</v>
      </c>
      <c r="N12148" s="4" t="s">
        <v>20819</v>
      </c>
      <c r="O12148" s="4" t="s">
        <v>20820</v>
      </c>
      <c r="P12148" s="4" t="s">
        <v>3050</v>
      </c>
      <c r="Q12148" s="4" t="s">
        <v>20821</v>
      </c>
      <c r="R12148" s="4" t="s">
        <v>650</v>
      </c>
      <c r="S12148" s="4" t="s">
        <v>637</v>
      </c>
      <c r="T12148" s="4" t="s">
        <v>651</v>
      </c>
    </row>
    <row r="12149">
      <c r="A12149" s="4">
        <v>190.0</v>
      </c>
      <c r="B12149" s="4" t="s">
        <v>22111</v>
      </c>
      <c r="C12149" s="4"/>
      <c r="D12149" s="4" t="s">
        <v>20822</v>
      </c>
      <c r="E12149" s="4" t="s">
        <v>20823</v>
      </c>
      <c r="F12149" s="4" t="s">
        <v>20824</v>
      </c>
    </row>
    <row r="12150">
      <c r="A12150" s="4">
        <v>191.0</v>
      </c>
      <c r="B12150" s="4" t="s">
        <v>22111</v>
      </c>
      <c r="C12150" s="4"/>
      <c r="D12150" s="4" t="s">
        <v>20825</v>
      </c>
      <c r="E12150" s="4" t="s">
        <v>20826</v>
      </c>
      <c r="F12150" s="4" t="s">
        <v>20827</v>
      </c>
    </row>
    <row r="12151">
      <c r="A12151" s="4">
        <v>192.0</v>
      </c>
      <c r="B12151" s="4" t="s">
        <v>22111</v>
      </c>
      <c r="C12151" s="4"/>
      <c r="D12151" s="4" t="s">
        <v>20828</v>
      </c>
      <c r="E12151" s="4" t="s">
        <v>20823</v>
      </c>
      <c r="F12151" s="4" t="s">
        <v>20824</v>
      </c>
    </row>
    <row r="12152">
      <c r="A12152" s="4">
        <v>193.0</v>
      </c>
      <c r="B12152" s="4" t="s">
        <v>22111</v>
      </c>
      <c r="C12152" s="4"/>
      <c r="D12152" s="4" t="s">
        <v>20829</v>
      </c>
      <c r="E12152" s="4" t="s">
        <v>20826</v>
      </c>
      <c r="F12152" s="4" t="s">
        <v>20827</v>
      </c>
    </row>
    <row r="12153">
      <c r="A12153" s="4">
        <v>194.0</v>
      </c>
      <c r="B12153" s="4" t="s">
        <v>22111</v>
      </c>
      <c r="C12153" s="4"/>
      <c r="D12153" s="4" t="s">
        <v>20830</v>
      </c>
      <c r="E12153" s="4" t="s">
        <v>20831</v>
      </c>
      <c r="F12153" s="4" t="s">
        <v>20832</v>
      </c>
    </row>
    <row r="12154">
      <c r="A12154" s="4">
        <v>195.0</v>
      </c>
      <c r="B12154" s="4" t="s">
        <v>22111</v>
      </c>
      <c r="C12154" s="4"/>
      <c r="D12154" s="4" t="s">
        <v>20833</v>
      </c>
      <c r="E12154" s="4" t="s">
        <v>11937</v>
      </c>
      <c r="F12154" s="4" t="s">
        <v>8121</v>
      </c>
    </row>
    <row r="12155">
      <c r="A12155" s="4">
        <v>196.0</v>
      </c>
      <c r="B12155" s="4" t="s">
        <v>22111</v>
      </c>
      <c r="C12155" s="4"/>
      <c r="D12155" s="4" t="s">
        <v>20873</v>
      </c>
      <c r="E12155" s="4" t="s">
        <v>1185</v>
      </c>
      <c r="F12155" s="4" t="s">
        <v>1186</v>
      </c>
      <c r="G12155" s="4"/>
      <c r="H12155" s="4" t="s">
        <v>1044</v>
      </c>
      <c r="I12155" s="4" t="s">
        <v>1187</v>
      </c>
      <c r="J12155" s="4" t="s">
        <v>1188</v>
      </c>
      <c r="K12155" s="4" t="s">
        <v>11871</v>
      </c>
      <c r="L12155" s="4" t="s">
        <v>1189</v>
      </c>
    </row>
    <row r="12156">
      <c r="A12156" s="4">
        <v>197.0</v>
      </c>
      <c r="B12156" s="4" t="s">
        <v>22111</v>
      </c>
      <c r="C12156" s="4"/>
      <c r="D12156" s="4" t="s">
        <v>20874</v>
      </c>
      <c r="E12156" s="4" t="s">
        <v>20875</v>
      </c>
      <c r="F12156" s="4" t="s">
        <v>20876</v>
      </c>
    </row>
    <row r="12157">
      <c r="A12157" s="4">
        <v>198.0</v>
      </c>
      <c r="B12157" s="4" t="s">
        <v>22111</v>
      </c>
      <c r="C12157" s="4"/>
      <c r="D12157" s="4" t="s">
        <v>20877</v>
      </c>
      <c r="E12157" s="4" t="s">
        <v>20878</v>
      </c>
      <c r="F12157" s="4" t="s">
        <v>20879</v>
      </c>
    </row>
    <row r="12158">
      <c r="A12158" s="4">
        <v>199.0</v>
      </c>
      <c r="B12158" s="4" t="s">
        <v>22111</v>
      </c>
      <c r="C12158" s="4"/>
      <c r="D12158" s="4" t="s">
        <v>20880</v>
      </c>
      <c r="E12158" s="4" t="s">
        <v>20881</v>
      </c>
      <c r="F12158" s="4" t="s">
        <v>20882</v>
      </c>
    </row>
    <row r="12159">
      <c r="A12159" s="4">
        <v>200.0</v>
      </c>
      <c r="B12159" s="4" t="s">
        <v>22111</v>
      </c>
      <c r="C12159" s="4"/>
      <c r="D12159" s="4" t="s">
        <v>20886</v>
      </c>
      <c r="E12159" s="4" t="s">
        <v>17710</v>
      </c>
      <c r="F12159" s="4" t="s">
        <v>17711</v>
      </c>
    </row>
    <row r="12160">
      <c r="A12160" s="4">
        <v>201.0</v>
      </c>
      <c r="B12160" s="4" t="s">
        <v>22111</v>
      </c>
      <c r="C12160" s="4"/>
      <c r="D12160" s="4" t="s">
        <v>1554</v>
      </c>
      <c r="E12160" s="4" t="s">
        <v>1555</v>
      </c>
      <c r="F12160" s="4" t="s">
        <v>1556</v>
      </c>
      <c r="G12160" s="4"/>
      <c r="H12160" s="4" t="s">
        <v>1554</v>
      </c>
    </row>
    <row r="12161">
      <c r="A12161" s="4">
        <v>202.0</v>
      </c>
      <c r="B12161" s="4" t="s">
        <v>22111</v>
      </c>
      <c r="C12161" s="4"/>
      <c r="D12161" s="4" t="s">
        <v>12185</v>
      </c>
      <c r="E12161" s="4" t="s">
        <v>1600</v>
      </c>
      <c r="F12161" s="4" t="s">
        <v>1601</v>
      </c>
    </row>
    <row r="12162">
      <c r="A12162" s="4">
        <v>203.0</v>
      </c>
      <c r="B12162" s="4" t="s">
        <v>22111</v>
      </c>
      <c r="C12162" s="4"/>
      <c r="D12162" s="4" t="s">
        <v>1580</v>
      </c>
      <c r="E12162" s="4" t="s">
        <v>1581</v>
      </c>
      <c r="F12162" s="4" t="s">
        <v>1582</v>
      </c>
    </row>
    <row r="12163">
      <c r="A12163" s="4">
        <v>204.0</v>
      </c>
      <c r="B12163" s="4" t="s">
        <v>22111</v>
      </c>
      <c r="C12163" s="4"/>
      <c r="D12163" s="4" t="s">
        <v>20887</v>
      </c>
      <c r="E12163" s="4" t="s">
        <v>17817</v>
      </c>
      <c r="F12163" s="4" t="s">
        <v>10111</v>
      </c>
    </row>
    <row r="12164">
      <c r="A12164" s="4">
        <v>205.0</v>
      </c>
      <c r="B12164" s="4" t="s">
        <v>22111</v>
      </c>
      <c r="C12164" s="4"/>
      <c r="D12164" s="4" t="s">
        <v>20888</v>
      </c>
      <c r="E12164" s="4" t="s">
        <v>20889</v>
      </c>
      <c r="F12164" s="4" t="s">
        <v>20890</v>
      </c>
    </row>
    <row r="12165">
      <c r="A12165" s="4">
        <v>206.0</v>
      </c>
      <c r="B12165" s="4" t="s">
        <v>22111</v>
      </c>
      <c r="C12165" s="4"/>
      <c r="D12165" s="4" t="s">
        <v>20891</v>
      </c>
      <c r="E12165" s="4" t="s">
        <v>20892</v>
      </c>
      <c r="F12165" s="4" t="s">
        <v>20893</v>
      </c>
    </row>
    <row r="12166">
      <c r="A12166" s="4">
        <v>207.0</v>
      </c>
      <c r="B12166" s="4" t="s">
        <v>22111</v>
      </c>
      <c r="C12166" s="4"/>
      <c r="D12166" s="4" t="s">
        <v>20897</v>
      </c>
      <c r="E12166" s="4" t="s">
        <v>17847</v>
      </c>
      <c r="F12166" s="4" t="s">
        <v>17846</v>
      </c>
    </row>
    <row r="12167">
      <c r="A12167" s="4">
        <v>208.0</v>
      </c>
      <c r="B12167" s="4" t="s">
        <v>22111</v>
      </c>
      <c r="C12167" s="4"/>
      <c r="D12167" s="4" t="s">
        <v>20898</v>
      </c>
      <c r="E12167" s="4" t="s">
        <v>20899</v>
      </c>
      <c r="F12167" s="4" t="s">
        <v>20900</v>
      </c>
    </row>
    <row r="12168">
      <c r="A12168" s="4">
        <v>209.0</v>
      </c>
      <c r="B12168" s="4" t="s">
        <v>22111</v>
      </c>
      <c r="C12168" s="4"/>
      <c r="D12168" s="4" t="s">
        <v>20901</v>
      </c>
      <c r="E12168" s="4" t="s">
        <v>20902</v>
      </c>
      <c r="F12168" s="4" t="s">
        <v>20903</v>
      </c>
    </row>
    <row r="12169">
      <c r="A12169" s="4">
        <v>210.0</v>
      </c>
      <c r="B12169" s="4" t="s">
        <v>22111</v>
      </c>
      <c r="C12169" s="4"/>
      <c r="D12169" s="4" t="s">
        <v>16660</v>
      </c>
      <c r="E12169" s="4" t="s">
        <v>15066</v>
      </c>
      <c r="F12169" s="4" t="s">
        <v>10135</v>
      </c>
      <c r="G12169" s="4"/>
      <c r="H12169" s="4" t="s">
        <v>20904</v>
      </c>
      <c r="I12169" s="4" t="s">
        <v>20905</v>
      </c>
      <c r="J12169" s="4" t="s">
        <v>20906</v>
      </c>
      <c r="K12169" s="4" t="s">
        <v>17157</v>
      </c>
      <c r="L12169" s="4" t="s">
        <v>9239</v>
      </c>
      <c r="M12169" s="4" t="s">
        <v>20907</v>
      </c>
      <c r="N12169" s="4" t="s">
        <v>20908</v>
      </c>
      <c r="O12169" s="4" t="s">
        <v>20904</v>
      </c>
      <c r="P12169" s="4" t="s">
        <v>20909</v>
      </c>
      <c r="Q12169" s="4" t="s">
        <v>20910</v>
      </c>
      <c r="R12169" s="4" t="s">
        <v>20911</v>
      </c>
      <c r="S12169" s="4" t="s">
        <v>2125</v>
      </c>
    </row>
    <row r="12170">
      <c r="A12170" s="4">
        <v>211.0</v>
      </c>
      <c r="B12170" s="4" t="s">
        <v>22111</v>
      </c>
      <c r="C12170" s="4"/>
      <c r="D12170" s="4" t="s">
        <v>1646</v>
      </c>
      <c r="E12170" s="4" t="s">
        <v>1647</v>
      </c>
      <c r="F12170" s="4" t="s">
        <v>1648</v>
      </c>
      <c r="G12170" s="4"/>
      <c r="H12170" s="4" t="s">
        <v>1656</v>
      </c>
      <c r="I12170" s="4" t="s">
        <v>1657</v>
      </c>
      <c r="J12170" s="4" t="s">
        <v>1658</v>
      </c>
      <c r="K12170" s="4" t="s">
        <v>1659</v>
      </c>
      <c r="L12170" s="4" t="s">
        <v>20912</v>
      </c>
      <c r="M12170" s="4" t="s">
        <v>1661</v>
      </c>
    </row>
    <row r="12171">
      <c r="A12171" s="4">
        <v>212.0</v>
      </c>
      <c r="B12171" s="4" t="s">
        <v>22111</v>
      </c>
      <c r="C12171" s="4"/>
      <c r="D12171" s="4" t="s">
        <v>1662</v>
      </c>
      <c r="E12171" s="4" t="s">
        <v>1665</v>
      </c>
      <c r="F12171" s="4" t="s">
        <v>1666</v>
      </c>
      <c r="G12171" s="4"/>
      <c r="H12171" s="4" t="s">
        <v>1663</v>
      </c>
      <c r="I12171" s="4" t="s">
        <v>1658</v>
      </c>
      <c r="J12171" s="4" t="s">
        <v>1664</v>
      </c>
      <c r="K12171" s="4" t="s">
        <v>20913</v>
      </c>
      <c r="L12171" s="4" t="s">
        <v>1664</v>
      </c>
      <c r="M12171" s="4" t="s">
        <v>1658</v>
      </c>
    </row>
    <row r="12172">
      <c r="A12172" s="4">
        <v>213.0</v>
      </c>
      <c r="B12172" s="4" t="s">
        <v>22111</v>
      </c>
      <c r="C12172" s="4"/>
      <c r="D12172" s="4" t="s">
        <v>1690</v>
      </c>
      <c r="E12172" s="4" t="s">
        <v>1674</v>
      </c>
      <c r="F12172" s="4" t="s">
        <v>1675</v>
      </c>
    </row>
    <row r="12173">
      <c r="A12173" s="4">
        <v>214.0</v>
      </c>
      <c r="B12173" s="4" t="s">
        <v>22111</v>
      </c>
      <c r="C12173" s="4"/>
      <c r="D12173" s="4" t="s">
        <v>20931</v>
      </c>
      <c r="E12173" s="4" t="s">
        <v>5223</v>
      </c>
      <c r="F12173" s="4" t="s">
        <v>5224</v>
      </c>
      <c r="G12173" s="4"/>
      <c r="H12173" s="4" t="s">
        <v>20932</v>
      </c>
      <c r="I12173" s="4" t="s">
        <v>20933</v>
      </c>
      <c r="J12173" s="4" t="s">
        <v>20934</v>
      </c>
    </row>
    <row r="12174">
      <c r="A12174" s="4">
        <v>215.0</v>
      </c>
      <c r="B12174" s="4" t="s">
        <v>22111</v>
      </c>
      <c r="C12174" s="4"/>
      <c r="D12174" s="4" t="s">
        <v>20935</v>
      </c>
      <c r="E12174" s="4" t="s">
        <v>20936</v>
      </c>
      <c r="F12174" s="4" t="s">
        <v>20937</v>
      </c>
    </row>
    <row r="12175">
      <c r="A12175" s="4">
        <v>216.0</v>
      </c>
      <c r="B12175" s="4" t="s">
        <v>22111</v>
      </c>
      <c r="C12175" s="4"/>
      <c r="D12175" s="4" t="s">
        <v>20938</v>
      </c>
      <c r="E12175" s="4" t="s">
        <v>20939</v>
      </c>
      <c r="F12175" s="4" t="s">
        <v>20940</v>
      </c>
      <c r="G12175" s="4"/>
      <c r="H12175" s="4" t="s">
        <v>20941</v>
      </c>
      <c r="I12175" s="4" t="s">
        <v>20942</v>
      </c>
      <c r="J12175" s="4" t="s">
        <v>13584</v>
      </c>
      <c r="K12175" s="4" t="s">
        <v>20943</v>
      </c>
      <c r="L12175" s="4" t="s">
        <v>20944</v>
      </c>
      <c r="M12175" s="4" t="s">
        <v>20945</v>
      </c>
      <c r="N12175" s="4" t="s">
        <v>20941</v>
      </c>
      <c r="O12175" s="4" t="s">
        <v>13584</v>
      </c>
      <c r="P12175" s="4" t="s">
        <v>2130</v>
      </c>
      <c r="Q12175" s="4" t="s">
        <v>13584</v>
      </c>
      <c r="R12175" s="4" t="s">
        <v>20946</v>
      </c>
      <c r="S12175" s="4" t="s">
        <v>20947</v>
      </c>
      <c r="T12175" s="4" t="s">
        <v>20948</v>
      </c>
    </row>
    <row r="12176">
      <c r="A12176" s="4">
        <v>217.0</v>
      </c>
      <c r="B12176" s="4" t="s">
        <v>22111</v>
      </c>
      <c r="C12176" s="4"/>
      <c r="D12176" s="4" t="s">
        <v>20952</v>
      </c>
      <c r="E12176" s="4" t="s">
        <v>1558</v>
      </c>
      <c r="F12176" s="4" t="s">
        <v>1559</v>
      </c>
      <c r="G12176" s="4"/>
      <c r="H12176" s="4" t="s">
        <v>20953</v>
      </c>
      <c r="I12176" s="4" t="s">
        <v>5920</v>
      </c>
      <c r="J12176" s="4" t="s">
        <v>5920</v>
      </c>
      <c r="K12176" s="4" t="s">
        <v>20954</v>
      </c>
      <c r="L12176" s="4" t="s">
        <v>20955</v>
      </c>
    </row>
    <row r="12177">
      <c r="A12177" s="4">
        <v>218.0</v>
      </c>
      <c r="B12177" s="4" t="s">
        <v>22111</v>
      </c>
      <c r="C12177" s="4"/>
      <c r="D12177" s="4" t="s">
        <v>17085</v>
      </c>
      <c r="E12177" s="4" t="s">
        <v>17539</v>
      </c>
      <c r="F12177" s="4" t="s">
        <v>3801</v>
      </c>
    </row>
    <row r="12178">
      <c r="A12178" s="4">
        <v>219.0</v>
      </c>
      <c r="B12178" s="4" t="s">
        <v>22111</v>
      </c>
      <c r="C12178" s="4"/>
      <c r="D12178" s="4" t="s">
        <v>20956</v>
      </c>
      <c r="E12178" s="4" t="s">
        <v>20957</v>
      </c>
      <c r="F12178" s="4" t="s">
        <v>10035</v>
      </c>
    </row>
    <row r="12179">
      <c r="A12179" s="4">
        <v>220.0</v>
      </c>
      <c r="B12179" s="4" t="s">
        <v>22111</v>
      </c>
      <c r="C12179" s="4"/>
      <c r="D12179" s="4" t="s">
        <v>20958</v>
      </c>
      <c r="E12179" s="4" t="s">
        <v>20959</v>
      </c>
      <c r="F12179" s="4" t="s">
        <v>20960</v>
      </c>
    </row>
    <row r="12180">
      <c r="A12180" s="4">
        <v>221.0</v>
      </c>
      <c r="B12180" s="4" t="s">
        <v>22111</v>
      </c>
      <c r="C12180" s="4"/>
      <c r="D12180" s="4" t="s">
        <v>20961</v>
      </c>
      <c r="E12180" s="4" t="s">
        <v>20962</v>
      </c>
      <c r="F12180" s="4" t="s">
        <v>20963</v>
      </c>
      <c r="G12180" s="4"/>
      <c r="H12180" s="4" t="s">
        <v>9055</v>
      </c>
      <c r="I12180" s="4" t="s">
        <v>3424</v>
      </c>
      <c r="J12180" s="4" t="s">
        <v>15181</v>
      </c>
      <c r="K12180" s="4" t="s">
        <v>15181</v>
      </c>
      <c r="L12180" s="4" t="s">
        <v>20964</v>
      </c>
      <c r="M12180" s="4" t="s">
        <v>14041</v>
      </c>
      <c r="N12180" s="4" t="s">
        <v>1088</v>
      </c>
      <c r="O12180" s="4" t="s">
        <v>20965</v>
      </c>
      <c r="P12180" s="4" t="s">
        <v>6564</v>
      </c>
      <c r="Q12180" s="4" t="s">
        <v>20966</v>
      </c>
      <c r="R12180" s="4" t="s">
        <v>20967</v>
      </c>
      <c r="S12180" s="4" t="s">
        <v>20968</v>
      </c>
      <c r="T12180" s="4" t="s">
        <v>7212</v>
      </c>
      <c r="U12180" s="4" t="s">
        <v>20969</v>
      </c>
      <c r="V12180" s="4" t="s">
        <v>20970</v>
      </c>
      <c r="W12180" s="4" t="s">
        <v>20971</v>
      </c>
      <c r="X12180" s="4" t="s">
        <v>7115</v>
      </c>
      <c r="Y12180" s="4" t="s">
        <v>14501</v>
      </c>
      <c r="Z12180" s="4" t="s">
        <v>20972</v>
      </c>
      <c r="AA12180" s="4" t="s">
        <v>7115</v>
      </c>
      <c r="AB12180" s="4" t="s">
        <v>7890</v>
      </c>
      <c r="AC12180" s="4" t="s">
        <v>20973</v>
      </c>
      <c r="AD12180" s="4" t="s">
        <v>20970</v>
      </c>
      <c r="AE12180" s="4" t="s">
        <v>15181</v>
      </c>
      <c r="AF12180" s="4" t="s">
        <v>3424</v>
      </c>
      <c r="AG12180" s="4" t="s">
        <v>15181</v>
      </c>
      <c r="AH12180" s="4" t="s">
        <v>15181</v>
      </c>
      <c r="AI12180" s="4" t="s">
        <v>20974</v>
      </c>
      <c r="AJ12180" s="4" t="s">
        <v>20975</v>
      </c>
    </row>
    <row r="12181">
      <c r="A12181" s="4">
        <v>222.0</v>
      </c>
      <c r="B12181" s="4" t="s">
        <v>22111</v>
      </c>
      <c r="C12181" s="4"/>
      <c r="D12181" s="4" t="s">
        <v>20976</v>
      </c>
      <c r="E12181" s="4" t="s">
        <v>20977</v>
      </c>
      <c r="F12181" s="4" t="s">
        <v>20978</v>
      </c>
    </row>
    <row r="12182">
      <c r="A12182" s="4">
        <v>223.0</v>
      </c>
      <c r="B12182" s="4" t="s">
        <v>22111</v>
      </c>
      <c r="C12182" s="4"/>
      <c r="D12182" s="4" t="s">
        <v>20979</v>
      </c>
      <c r="E12182" s="4" t="s">
        <v>20980</v>
      </c>
      <c r="F12182" s="4" t="s">
        <v>6469</v>
      </c>
    </row>
    <row r="12183">
      <c r="A12183" s="4">
        <v>224.0</v>
      </c>
      <c r="B12183" s="4" t="s">
        <v>22111</v>
      </c>
      <c r="C12183" s="4"/>
      <c r="D12183" s="4" t="s">
        <v>1777</v>
      </c>
      <c r="E12183" s="4" t="s">
        <v>509</v>
      </c>
      <c r="F12183" s="4" t="s">
        <v>508</v>
      </c>
    </row>
    <row r="12184">
      <c r="A12184" s="4">
        <v>225.0</v>
      </c>
      <c r="B12184" s="4" t="s">
        <v>22111</v>
      </c>
      <c r="C12184" s="4"/>
      <c r="D12184" s="4" t="s">
        <v>14147</v>
      </c>
      <c r="E12184" s="4" t="s">
        <v>14148</v>
      </c>
      <c r="F12184" s="4" t="s">
        <v>14149</v>
      </c>
    </row>
    <row r="12185">
      <c r="A12185" s="4">
        <v>226.0</v>
      </c>
      <c r="B12185" s="4" t="s">
        <v>22111</v>
      </c>
      <c r="C12185" s="4"/>
      <c r="D12185" s="4" t="s">
        <v>20987</v>
      </c>
      <c r="E12185" s="4" t="s">
        <v>20988</v>
      </c>
      <c r="F12185" s="4" t="s">
        <v>20989</v>
      </c>
    </row>
    <row r="12186">
      <c r="A12186" s="4">
        <v>227.0</v>
      </c>
      <c r="B12186" s="4" t="s">
        <v>22111</v>
      </c>
      <c r="C12186" s="4"/>
      <c r="D12186" s="4" t="s">
        <v>20990</v>
      </c>
      <c r="E12186" s="4" t="s">
        <v>20991</v>
      </c>
      <c r="F12186" s="4" t="s">
        <v>20992</v>
      </c>
    </row>
    <row r="12187">
      <c r="A12187" s="4">
        <v>228.0</v>
      </c>
      <c r="B12187" s="4" t="s">
        <v>22111</v>
      </c>
      <c r="C12187" s="4"/>
      <c r="D12187" s="4" t="s">
        <v>20993</v>
      </c>
      <c r="E12187" s="4" t="s">
        <v>20994</v>
      </c>
      <c r="F12187" s="4" t="s">
        <v>20995</v>
      </c>
    </row>
    <row r="12188">
      <c r="A12188" s="4">
        <v>229.0</v>
      </c>
      <c r="B12188" s="4" t="s">
        <v>22111</v>
      </c>
      <c r="C12188" s="4"/>
      <c r="D12188" s="4" t="s">
        <v>20993</v>
      </c>
      <c r="E12188" s="4" t="s">
        <v>20996</v>
      </c>
      <c r="F12188" s="4" t="s">
        <v>20997</v>
      </c>
    </row>
    <row r="12189">
      <c r="A12189" s="4">
        <v>230.0</v>
      </c>
      <c r="B12189" s="4" t="s">
        <v>22111</v>
      </c>
      <c r="C12189" s="4"/>
      <c r="D12189" s="4" t="s">
        <v>21001</v>
      </c>
      <c r="E12189" s="4" t="s">
        <v>21002</v>
      </c>
      <c r="F12189" s="4" t="s">
        <v>21003</v>
      </c>
      <c r="G12189" s="4"/>
      <c r="H12189" s="4" t="s">
        <v>21004</v>
      </c>
    </row>
    <row r="12190">
      <c r="A12190" s="4">
        <v>231.0</v>
      </c>
      <c r="B12190" s="4" t="s">
        <v>22111</v>
      </c>
      <c r="C12190" s="4"/>
      <c r="D12190" s="4" t="s">
        <v>21005</v>
      </c>
      <c r="E12190" s="4" t="s">
        <v>21006</v>
      </c>
      <c r="F12190" s="4" t="s">
        <v>21007</v>
      </c>
    </row>
    <row r="12191">
      <c r="A12191" s="4">
        <v>232.0</v>
      </c>
      <c r="B12191" s="4" t="s">
        <v>22111</v>
      </c>
      <c r="C12191" s="4"/>
      <c r="D12191" s="4" t="s">
        <v>21008</v>
      </c>
      <c r="E12191" s="4" t="s">
        <v>818</v>
      </c>
      <c r="F12191" s="4" t="s">
        <v>817</v>
      </c>
    </row>
    <row r="12192">
      <c r="A12192" s="4">
        <v>233.0</v>
      </c>
      <c r="B12192" s="4" t="s">
        <v>22111</v>
      </c>
      <c r="C12192" s="4"/>
      <c r="D12192" s="4" t="s">
        <v>21010</v>
      </c>
      <c r="E12192" s="4" t="s">
        <v>20613</v>
      </c>
      <c r="F12192" s="4" t="s">
        <v>20614</v>
      </c>
    </row>
    <row r="12193">
      <c r="A12193" s="4">
        <v>234.0</v>
      </c>
      <c r="B12193" s="4" t="s">
        <v>22111</v>
      </c>
      <c r="C12193" s="4"/>
      <c r="D12193" s="4" t="s">
        <v>1787</v>
      </c>
      <c r="E12193" s="4" t="s">
        <v>294</v>
      </c>
      <c r="F12193" s="4" t="s">
        <v>295</v>
      </c>
    </row>
    <row r="12194">
      <c r="A12194" s="4">
        <v>235.0</v>
      </c>
      <c r="B12194" s="4" t="s">
        <v>22111</v>
      </c>
      <c r="C12194" s="4"/>
      <c r="D12194" s="4" t="s">
        <v>21011</v>
      </c>
      <c r="E12194" s="4" t="s">
        <v>5089</v>
      </c>
      <c r="F12194" s="4" t="s">
        <v>5090</v>
      </c>
      <c r="G12194" s="4"/>
      <c r="H12194" s="4" t="s">
        <v>4701</v>
      </c>
      <c r="I12194" s="4" t="s">
        <v>4702</v>
      </c>
      <c r="J12194" s="4" t="s">
        <v>14809</v>
      </c>
      <c r="K12194" s="4" t="s">
        <v>6861</v>
      </c>
    </row>
    <row r="12195">
      <c r="A12195" s="4">
        <v>236.0</v>
      </c>
      <c r="B12195" s="4" t="s">
        <v>22111</v>
      </c>
      <c r="C12195" s="4"/>
      <c r="D12195" s="4" t="s">
        <v>21015</v>
      </c>
      <c r="E12195" s="4" t="s">
        <v>21016</v>
      </c>
      <c r="F12195" s="4" t="s">
        <v>21017</v>
      </c>
      <c r="G12195" s="4"/>
      <c r="H12195" s="4" t="s">
        <v>8976</v>
      </c>
      <c r="I12195" s="4" t="s">
        <v>20970</v>
      </c>
      <c r="J12195" s="4" t="s">
        <v>7901</v>
      </c>
      <c r="K12195" s="4" t="s">
        <v>7897</v>
      </c>
    </row>
    <row r="12196">
      <c r="A12196" s="4">
        <v>237.0</v>
      </c>
      <c r="B12196" s="4" t="s">
        <v>22111</v>
      </c>
      <c r="C12196" s="4"/>
      <c r="D12196" s="4" t="s">
        <v>6251</v>
      </c>
      <c r="E12196" s="4" t="s">
        <v>21021</v>
      </c>
      <c r="F12196" s="4" t="s">
        <v>15902</v>
      </c>
    </row>
    <row r="12197">
      <c r="A12197" s="4">
        <v>238.0</v>
      </c>
      <c r="B12197" s="4" t="s">
        <v>22111</v>
      </c>
      <c r="C12197" s="4"/>
      <c r="D12197" s="4" t="s">
        <v>20015</v>
      </c>
      <c r="E12197" s="4" t="s">
        <v>1843</v>
      </c>
      <c r="F12197" s="4" t="s">
        <v>1844</v>
      </c>
    </row>
    <row r="12198">
      <c r="A12198" s="4">
        <v>239.0</v>
      </c>
      <c r="B12198" s="4" t="s">
        <v>22111</v>
      </c>
      <c r="C12198" s="4"/>
      <c r="D12198" s="4" t="s">
        <v>1815</v>
      </c>
      <c r="E12198" s="4" t="s">
        <v>1816</v>
      </c>
      <c r="F12198" s="4" t="s">
        <v>1817</v>
      </c>
    </row>
    <row r="12199">
      <c r="A12199" s="4">
        <v>240.0</v>
      </c>
      <c r="B12199" s="4" t="s">
        <v>22111</v>
      </c>
      <c r="C12199" s="4"/>
      <c r="D12199" s="4" t="s">
        <v>21022</v>
      </c>
      <c r="E12199" s="4" t="s">
        <v>21023</v>
      </c>
      <c r="F12199" s="4" t="s">
        <v>21024</v>
      </c>
    </row>
    <row r="12200">
      <c r="A12200" s="4">
        <v>241.0</v>
      </c>
      <c r="B12200" s="4" t="s">
        <v>22111</v>
      </c>
      <c r="C12200" s="4"/>
      <c r="D12200" s="4" t="s">
        <v>21025</v>
      </c>
      <c r="E12200" s="4" t="s">
        <v>21026</v>
      </c>
      <c r="F12200" s="4" t="s">
        <v>21027</v>
      </c>
    </row>
    <row r="12201">
      <c r="A12201" s="4">
        <v>242.0</v>
      </c>
      <c r="B12201" s="4" t="s">
        <v>22111</v>
      </c>
      <c r="C12201" s="4"/>
      <c r="D12201" s="4" t="s">
        <v>1862</v>
      </c>
      <c r="E12201" s="4" t="s">
        <v>1863</v>
      </c>
      <c r="F12201" s="4" t="s">
        <v>1864</v>
      </c>
    </row>
    <row r="12202">
      <c r="A12202" s="4">
        <v>243.0</v>
      </c>
      <c r="B12202" s="4" t="s">
        <v>22111</v>
      </c>
      <c r="C12202" s="4"/>
      <c r="D12202" s="4" t="s">
        <v>21031</v>
      </c>
      <c r="E12202" s="4" t="s">
        <v>21032</v>
      </c>
      <c r="F12202" s="4" t="s">
        <v>21033</v>
      </c>
    </row>
    <row r="12203">
      <c r="A12203" s="4">
        <v>244.0</v>
      </c>
      <c r="B12203" s="4" t="s">
        <v>22111</v>
      </c>
      <c r="C12203" s="4"/>
      <c r="D12203" s="4" t="s">
        <v>21037</v>
      </c>
      <c r="E12203" s="4" t="s">
        <v>21038</v>
      </c>
      <c r="F12203" s="4" t="s">
        <v>21039</v>
      </c>
    </row>
    <row r="12204">
      <c r="A12204" s="4">
        <v>245.0</v>
      </c>
      <c r="B12204" s="4" t="s">
        <v>22111</v>
      </c>
      <c r="C12204" s="4"/>
      <c r="D12204" s="4" t="s">
        <v>21040</v>
      </c>
      <c r="E12204" s="4" t="s">
        <v>21041</v>
      </c>
      <c r="F12204" s="4" t="s">
        <v>21042</v>
      </c>
    </row>
    <row r="12205">
      <c r="A12205" s="4">
        <v>246.0</v>
      </c>
      <c r="B12205" s="4" t="s">
        <v>22111</v>
      </c>
      <c r="C12205" s="4"/>
      <c r="D12205" s="4" t="s">
        <v>21043</v>
      </c>
      <c r="E12205" s="4" t="s">
        <v>21044</v>
      </c>
      <c r="F12205" s="4" t="s">
        <v>21045</v>
      </c>
    </row>
    <row r="12206">
      <c r="A12206" s="4">
        <v>247.0</v>
      </c>
      <c r="B12206" s="4" t="s">
        <v>22111</v>
      </c>
      <c r="C12206" s="4"/>
      <c r="D12206" s="4" t="s">
        <v>21046</v>
      </c>
      <c r="E12206" s="4" t="s">
        <v>21047</v>
      </c>
      <c r="F12206" s="4" t="s">
        <v>19726</v>
      </c>
      <c r="G12206" s="4"/>
      <c r="H12206" s="4" t="s">
        <v>21048</v>
      </c>
    </row>
    <row r="12207">
      <c r="A12207" s="4">
        <v>248.0</v>
      </c>
      <c r="B12207" s="4" t="s">
        <v>22111</v>
      </c>
      <c r="C12207" s="4"/>
      <c r="D12207" s="4" t="s">
        <v>21049</v>
      </c>
      <c r="E12207" s="4" t="s">
        <v>21050</v>
      </c>
      <c r="F12207" s="4" t="s">
        <v>14405</v>
      </c>
    </row>
    <row r="12208">
      <c r="A12208" s="4">
        <v>249.0</v>
      </c>
      <c r="B12208" s="4" t="s">
        <v>22111</v>
      </c>
      <c r="C12208" s="4"/>
      <c r="D12208" s="4" t="s">
        <v>19622</v>
      </c>
      <c r="E12208" s="4" t="s">
        <v>19623</v>
      </c>
      <c r="F12208" s="4" t="s">
        <v>19622</v>
      </c>
      <c r="G12208" s="4"/>
      <c r="H12208" s="4" t="s">
        <v>997</v>
      </c>
      <c r="I12208" s="4" t="s">
        <v>19624</v>
      </c>
      <c r="J12208" s="4" t="s">
        <v>19625</v>
      </c>
      <c r="K12208" s="4" t="s">
        <v>995</v>
      </c>
      <c r="L12208" s="4" t="s">
        <v>19626</v>
      </c>
      <c r="M12208" s="4" t="s">
        <v>21053</v>
      </c>
      <c r="N12208" s="4" t="s">
        <v>21054</v>
      </c>
      <c r="O12208" s="4" t="s">
        <v>4502</v>
      </c>
      <c r="P12208" s="4" t="s">
        <v>997</v>
      </c>
    </row>
    <row r="12209">
      <c r="A12209" s="4">
        <v>250.0</v>
      </c>
      <c r="B12209" s="4" t="s">
        <v>22111</v>
      </c>
      <c r="C12209" s="4"/>
      <c r="D12209" s="4" t="s">
        <v>21055</v>
      </c>
      <c r="E12209" s="4" t="s">
        <v>21056</v>
      </c>
      <c r="F12209" s="4" t="s">
        <v>21057</v>
      </c>
    </row>
    <row r="12210">
      <c r="A12210" s="4">
        <v>251.0</v>
      </c>
      <c r="B12210" s="4" t="s">
        <v>22111</v>
      </c>
      <c r="C12210" s="4"/>
      <c r="D12210" s="4" t="s">
        <v>21058</v>
      </c>
      <c r="E12210" s="4" t="s">
        <v>21059</v>
      </c>
      <c r="F12210" s="4" t="s">
        <v>21060</v>
      </c>
      <c r="G12210" s="4"/>
      <c r="H12210" s="4" t="s">
        <v>21061</v>
      </c>
      <c r="I12210" s="4" t="s">
        <v>21062</v>
      </c>
      <c r="J12210" s="4" t="s">
        <v>21063</v>
      </c>
      <c r="K12210" s="4" t="s">
        <v>21064</v>
      </c>
      <c r="L12210" s="4" t="s">
        <v>6694</v>
      </c>
      <c r="M12210" s="4" t="s">
        <v>15341</v>
      </c>
      <c r="N12210" s="4" t="s">
        <v>21064</v>
      </c>
      <c r="O12210" s="4" t="s">
        <v>21065</v>
      </c>
      <c r="P12210" s="4" t="s">
        <v>21066</v>
      </c>
      <c r="Q12210" s="4" t="s">
        <v>21067</v>
      </c>
      <c r="R12210" s="4" t="s">
        <v>21061</v>
      </c>
    </row>
    <row r="12211">
      <c r="A12211" s="4">
        <v>252.0</v>
      </c>
      <c r="B12211" s="4" t="s">
        <v>22111</v>
      </c>
      <c r="C12211" s="4"/>
      <c r="D12211" s="4" t="s">
        <v>21068</v>
      </c>
      <c r="E12211" s="4" t="s">
        <v>21069</v>
      </c>
      <c r="F12211" s="4" t="s">
        <v>21070</v>
      </c>
    </row>
    <row r="12212">
      <c r="A12212" s="4">
        <v>253.0</v>
      </c>
      <c r="B12212" s="4" t="s">
        <v>22111</v>
      </c>
      <c r="C12212" s="4"/>
      <c r="D12212" s="4" t="s">
        <v>21071</v>
      </c>
      <c r="E12212" s="4" t="s">
        <v>21072</v>
      </c>
      <c r="F12212" s="4" t="s">
        <v>21073</v>
      </c>
    </row>
    <row r="12213">
      <c r="A12213" s="4">
        <v>254.0</v>
      </c>
      <c r="B12213" s="4" t="s">
        <v>22111</v>
      </c>
      <c r="C12213" s="4"/>
      <c r="D12213" s="4" t="s">
        <v>21074</v>
      </c>
      <c r="E12213" s="4" t="s">
        <v>21069</v>
      </c>
      <c r="F12213" s="4" t="s">
        <v>21070</v>
      </c>
    </row>
    <row r="12214">
      <c r="A12214" s="4">
        <v>255.0</v>
      </c>
      <c r="B12214" s="4" t="s">
        <v>22111</v>
      </c>
      <c r="C12214" s="4"/>
      <c r="D12214" s="4" t="s">
        <v>21075</v>
      </c>
      <c r="E12214" s="4" t="s">
        <v>21072</v>
      </c>
      <c r="F12214" s="4" t="s">
        <v>21073</v>
      </c>
    </row>
    <row r="12215">
      <c r="A12215" s="4">
        <v>256.0</v>
      </c>
      <c r="B12215" s="4" t="s">
        <v>22111</v>
      </c>
      <c r="C12215" s="4"/>
      <c r="D12215" s="4" t="s">
        <v>21076</v>
      </c>
      <c r="E12215" s="4" t="s">
        <v>21077</v>
      </c>
      <c r="F12215" s="4" t="s">
        <v>21078</v>
      </c>
    </row>
    <row r="12216">
      <c r="A12216" s="4">
        <v>257.0</v>
      </c>
      <c r="B12216" s="4" t="s">
        <v>22111</v>
      </c>
      <c r="C12216" s="4"/>
      <c r="D12216" s="4" t="s">
        <v>21079</v>
      </c>
      <c r="E12216" s="4" t="s">
        <v>21080</v>
      </c>
      <c r="F12216" s="4" t="s">
        <v>21079</v>
      </c>
    </row>
    <row r="12217">
      <c r="A12217" s="4">
        <v>258.0</v>
      </c>
      <c r="B12217" s="4" t="s">
        <v>22111</v>
      </c>
      <c r="C12217" s="4"/>
      <c r="D12217" s="4" t="s">
        <v>1913</v>
      </c>
      <c r="E12217" s="4" t="s">
        <v>1914</v>
      </c>
      <c r="F12217" s="4" t="s">
        <v>1915</v>
      </c>
      <c r="G12217" s="4"/>
      <c r="H12217" s="4" t="s">
        <v>21085</v>
      </c>
      <c r="I12217" s="4" t="s">
        <v>6270</v>
      </c>
    </row>
    <row r="12218">
      <c r="A12218" s="4">
        <v>259.0</v>
      </c>
      <c r="B12218" s="4" t="s">
        <v>22111</v>
      </c>
      <c r="C12218" s="4"/>
      <c r="D12218" s="4" t="s">
        <v>1916</v>
      </c>
      <c r="E12218" s="4" t="s">
        <v>1917</v>
      </c>
      <c r="F12218" s="4" t="s">
        <v>1918</v>
      </c>
    </row>
    <row r="12219">
      <c r="A12219" s="4">
        <v>260.0</v>
      </c>
      <c r="B12219" s="4" t="s">
        <v>22111</v>
      </c>
      <c r="C12219" s="4"/>
      <c r="D12219" s="4" t="s">
        <v>21086</v>
      </c>
      <c r="E12219" s="4" t="s">
        <v>21087</v>
      </c>
      <c r="F12219" s="4" t="s">
        <v>21088</v>
      </c>
    </row>
    <row r="12220">
      <c r="A12220" s="4">
        <v>261.0</v>
      </c>
      <c r="B12220" s="4" t="s">
        <v>22111</v>
      </c>
      <c r="C12220" s="4"/>
      <c r="D12220" s="4" t="s">
        <v>1919</v>
      </c>
      <c r="E12220" s="4" t="s">
        <v>1922</v>
      </c>
      <c r="F12220" s="4" t="s">
        <v>1923</v>
      </c>
    </row>
    <row r="12221">
      <c r="A12221" s="4">
        <v>262.0</v>
      </c>
      <c r="B12221" s="4" t="s">
        <v>22111</v>
      </c>
      <c r="C12221" s="4"/>
      <c r="D12221" s="4" t="s">
        <v>1940</v>
      </c>
      <c r="E12221" s="4" t="s">
        <v>1941</v>
      </c>
      <c r="F12221" s="4" t="s">
        <v>1940</v>
      </c>
      <c r="G12221" s="4"/>
      <c r="H12221" s="4" t="s">
        <v>1942</v>
      </c>
    </row>
    <row r="12222">
      <c r="A12222" s="4">
        <v>263.0</v>
      </c>
      <c r="B12222" s="4" t="s">
        <v>22111</v>
      </c>
      <c r="C12222" s="4"/>
      <c r="D12222" s="4" t="s">
        <v>21092</v>
      </c>
      <c r="E12222" s="4" t="s">
        <v>21093</v>
      </c>
      <c r="F12222" s="4" t="s">
        <v>21092</v>
      </c>
      <c r="G12222" s="4"/>
      <c r="H12222" s="4" t="s">
        <v>636</v>
      </c>
      <c r="I12222" s="4" t="s">
        <v>637</v>
      </c>
      <c r="J12222" s="4" t="s">
        <v>638</v>
      </c>
      <c r="K12222" s="4" t="s">
        <v>637</v>
      </c>
      <c r="L12222" s="4" t="s">
        <v>639</v>
      </c>
      <c r="M12222" s="4" t="s">
        <v>640</v>
      </c>
      <c r="N12222" s="4" t="s">
        <v>642</v>
      </c>
      <c r="O12222" s="4" t="s">
        <v>643</v>
      </c>
      <c r="P12222" s="4" t="s">
        <v>644</v>
      </c>
      <c r="Q12222" s="4" t="s">
        <v>645</v>
      </c>
      <c r="R12222" s="4" t="s">
        <v>637</v>
      </c>
      <c r="S12222" s="4" t="s">
        <v>636</v>
      </c>
      <c r="T12222" s="4" t="s">
        <v>639</v>
      </c>
      <c r="U12222" s="4" t="s">
        <v>6684</v>
      </c>
      <c r="V12222" s="4" t="s">
        <v>21094</v>
      </c>
      <c r="W12222" s="4" t="s">
        <v>20679</v>
      </c>
      <c r="X12222" s="4" t="s">
        <v>15196</v>
      </c>
      <c r="Y12222" s="4" t="s">
        <v>15474</v>
      </c>
      <c r="Z12222" s="4" t="s">
        <v>4146</v>
      </c>
      <c r="AA12222" s="4" t="s">
        <v>21095</v>
      </c>
      <c r="AB12222" s="4" t="s">
        <v>646</v>
      </c>
      <c r="AC12222" s="4" t="s">
        <v>637</v>
      </c>
      <c r="AD12222" s="4" t="s">
        <v>647</v>
      </c>
      <c r="AE12222" s="4" t="s">
        <v>648</v>
      </c>
      <c r="AF12222" s="4" t="s">
        <v>649</v>
      </c>
      <c r="AG12222" s="4" t="s">
        <v>637</v>
      </c>
      <c r="AH12222" s="4" t="s">
        <v>648</v>
      </c>
      <c r="AI12222" s="4" t="s">
        <v>650</v>
      </c>
      <c r="AJ12222" s="4" t="s">
        <v>637</v>
      </c>
      <c r="AK12222" s="4" t="s">
        <v>651</v>
      </c>
      <c r="AL12222" s="4" t="s">
        <v>21096</v>
      </c>
      <c r="AM12222" s="4" t="s">
        <v>11016</v>
      </c>
      <c r="AN12222" s="4" t="s">
        <v>16226</v>
      </c>
      <c r="AO12222" s="4" t="s">
        <v>646</v>
      </c>
      <c r="AP12222" s="4" t="s">
        <v>1266</v>
      </c>
    </row>
    <row r="12223">
      <c r="A12223" s="4">
        <v>264.0</v>
      </c>
      <c r="B12223" s="4" t="s">
        <v>22111</v>
      </c>
      <c r="C12223" s="4"/>
      <c r="D12223" s="4" t="s">
        <v>1983</v>
      </c>
      <c r="E12223" s="4" t="s">
        <v>1984</v>
      </c>
      <c r="F12223" s="4" t="s">
        <v>1983</v>
      </c>
      <c r="G12223" s="4"/>
      <c r="H12223" s="4" t="s">
        <v>1985</v>
      </c>
      <c r="I12223" s="4" t="s">
        <v>1986</v>
      </c>
      <c r="J12223" s="4" t="s">
        <v>1987</v>
      </c>
      <c r="K12223" s="4" t="s">
        <v>1983</v>
      </c>
      <c r="L12223" s="4" t="s">
        <v>1986</v>
      </c>
      <c r="M12223" s="4" t="s">
        <v>1988</v>
      </c>
      <c r="N12223" s="4" t="s">
        <v>1987</v>
      </c>
      <c r="O12223" s="4" t="s">
        <v>1986</v>
      </c>
      <c r="P12223" s="4" t="s">
        <v>1989</v>
      </c>
    </row>
    <row r="12224">
      <c r="A12224" s="4">
        <v>265.0</v>
      </c>
      <c r="B12224" s="4" t="s">
        <v>22111</v>
      </c>
      <c r="C12224" s="4"/>
      <c r="D12224" s="4" t="s">
        <v>1997</v>
      </c>
      <c r="E12224" s="4" t="s">
        <v>1996</v>
      </c>
      <c r="F12224" s="4" t="s">
        <v>1997</v>
      </c>
    </row>
    <row r="12225">
      <c r="A12225" s="4">
        <v>266.0</v>
      </c>
      <c r="B12225" s="4" t="s">
        <v>22111</v>
      </c>
      <c r="C12225" s="4"/>
      <c r="D12225" s="4" t="s">
        <v>21097</v>
      </c>
      <c r="E12225" s="4" t="s">
        <v>21098</v>
      </c>
      <c r="F12225" s="4" t="s">
        <v>21097</v>
      </c>
    </row>
    <row r="12226">
      <c r="A12226" s="4">
        <v>267.0</v>
      </c>
      <c r="B12226" s="4" t="s">
        <v>22111</v>
      </c>
      <c r="C12226" s="4"/>
      <c r="D12226" s="4" t="s">
        <v>21099</v>
      </c>
      <c r="E12226" s="4" t="s">
        <v>21100</v>
      </c>
      <c r="F12226" s="4" t="s">
        <v>21101</v>
      </c>
    </row>
    <row r="12227">
      <c r="A12227" s="4">
        <v>268.0</v>
      </c>
      <c r="B12227" s="4" t="s">
        <v>22111</v>
      </c>
      <c r="C12227" s="4"/>
      <c r="D12227" s="4" t="s">
        <v>21102</v>
      </c>
      <c r="E12227" s="4" t="s">
        <v>21098</v>
      </c>
      <c r="F12227" s="4" t="s">
        <v>21097</v>
      </c>
    </row>
    <row r="12228">
      <c r="A12228" s="4">
        <v>269.0</v>
      </c>
      <c r="B12228" s="4" t="s">
        <v>22111</v>
      </c>
      <c r="C12228" s="4"/>
      <c r="D12228" s="4" t="s">
        <v>21103</v>
      </c>
      <c r="E12228" s="4" t="s">
        <v>21098</v>
      </c>
      <c r="F12228" s="4" t="s">
        <v>21097</v>
      </c>
    </row>
    <row r="12229">
      <c r="A12229" s="4">
        <v>270.0</v>
      </c>
      <c r="B12229" s="4" t="s">
        <v>22111</v>
      </c>
      <c r="C12229" s="4"/>
      <c r="D12229" s="4" t="s">
        <v>21104</v>
      </c>
      <c r="E12229" s="4" t="s">
        <v>21105</v>
      </c>
      <c r="F12229" s="4" t="s">
        <v>21104</v>
      </c>
    </row>
    <row r="12230">
      <c r="A12230" s="4">
        <v>271.0</v>
      </c>
      <c r="B12230" s="4" t="s">
        <v>22111</v>
      </c>
      <c r="C12230" s="4"/>
      <c r="D12230" s="4" t="s">
        <v>2002</v>
      </c>
      <c r="E12230" s="4" t="s">
        <v>2003</v>
      </c>
      <c r="F12230" s="4" t="s">
        <v>2002</v>
      </c>
    </row>
    <row r="12231">
      <c r="A12231" s="4">
        <v>272.0</v>
      </c>
      <c r="B12231" s="4" t="s">
        <v>22111</v>
      </c>
      <c r="C12231" s="4"/>
      <c r="D12231" s="4" t="s">
        <v>19110</v>
      </c>
      <c r="E12231" s="4" t="s">
        <v>1984</v>
      </c>
      <c r="F12231" s="4" t="s">
        <v>1983</v>
      </c>
    </row>
    <row r="12232">
      <c r="A12232" s="4">
        <v>273.0</v>
      </c>
      <c r="B12232" s="4" t="s">
        <v>22111</v>
      </c>
      <c r="C12232" s="4"/>
      <c r="D12232" s="4" t="s">
        <v>1798</v>
      </c>
      <c r="E12232" s="4" t="s">
        <v>1797</v>
      </c>
      <c r="F12232" s="4" t="s">
        <v>1798</v>
      </c>
    </row>
    <row r="12233">
      <c r="A12233" s="4">
        <v>274.0</v>
      </c>
      <c r="B12233" s="4" t="s">
        <v>22111</v>
      </c>
      <c r="C12233" s="4"/>
      <c r="D12233" s="4" t="s">
        <v>21107</v>
      </c>
      <c r="E12233" s="4" t="s">
        <v>21108</v>
      </c>
      <c r="F12233" s="4" t="s">
        <v>21109</v>
      </c>
    </row>
    <row r="12234">
      <c r="A12234" s="4">
        <v>275.0</v>
      </c>
      <c r="B12234" s="4" t="s">
        <v>22111</v>
      </c>
      <c r="C12234" s="4"/>
      <c r="D12234" s="4" t="s">
        <v>5675</v>
      </c>
      <c r="E12234" s="4" t="s">
        <v>5674</v>
      </c>
      <c r="F12234" s="4" t="s">
        <v>5675</v>
      </c>
      <c r="G12234" s="4"/>
      <c r="H12234" s="4" t="s">
        <v>21110</v>
      </c>
    </row>
    <row r="12235">
      <c r="A12235" s="4">
        <v>276.0</v>
      </c>
      <c r="B12235" s="4" t="s">
        <v>22111</v>
      </c>
      <c r="C12235" s="4"/>
      <c r="D12235" s="4" t="s">
        <v>21111</v>
      </c>
      <c r="E12235" s="4" t="s">
        <v>21112</v>
      </c>
      <c r="F12235" s="4" t="s">
        <v>21111</v>
      </c>
    </row>
    <row r="12236">
      <c r="A12236" s="4">
        <v>277.0</v>
      </c>
      <c r="B12236" s="4" t="s">
        <v>22111</v>
      </c>
      <c r="C12236" s="4"/>
      <c r="D12236" s="4" t="s">
        <v>2009</v>
      </c>
      <c r="E12236" s="4" t="s">
        <v>17506</v>
      </c>
      <c r="F12236" s="4" t="s">
        <v>962</v>
      </c>
    </row>
    <row r="12237">
      <c r="A12237" s="4">
        <v>278.0</v>
      </c>
      <c r="B12237" s="4" t="s">
        <v>22111</v>
      </c>
      <c r="C12237" s="4"/>
      <c r="D12237" s="4" t="s">
        <v>21113</v>
      </c>
      <c r="E12237" s="4" t="s">
        <v>9072</v>
      </c>
      <c r="F12237" s="4" t="s">
        <v>9073</v>
      </c>
    </row>
    <row r="12238">
      <c r="A12238" s="4">
        <v>279.0</v>
      </c>
      <c r="B12238" s="4" t="s">
        <v>22111</v>
      </c>
      <c r="C12238" s="4"/>
      <c r="D12238" s="4" t="s">
        <v>21114</v>
      </c>
      <c r="E12238" s="4" t="s">
        <v>21115</v>
      </c>
      <c r="F12238" s="4" t="s">
        <v>21116</v>
      </c>
    </row>
    <row r="12239">
      <c r="A12239" s="4">
        <v>280.0</v>
      </c>
      <c r="B12239" s="4" t="s">
        <v>22111</v>
      </c>
      <c r="C12239" s="4"/>
      <c r="D12239" s="4" t="s">
        <v>21117</v>
      </c>
      <c r="E12239" s="4" t="s">
        <v>21118</v>
      </c>
      <c r="F12239" s="4" t="s">
        <v>21119</v>
      </c>
    </row>
    <row r="12240">
      <c r="A12240" s="4">
        <v>281.0</v>
      </c>
      <c r="B12240" s="4" t="s">
        <v>22111</v>
      </c>
      <c r="C12240" s="4"/>
      <c r="D12240" s="4" t="s">
        <v>17581</v>
      </c>
      <c r="E12240" s="4" t="s">
        <v>21120</v>
      </c>
      <c r="F12240" s="4" t="s">
        <v>9073</v>
      </c>
    </row>
    <row r="12241">
      <c r="A12241" s="4">
        <v>282.0</v>
      </c>
      <c r="B12241" s="4" t="s">
        <v>22111</v>
      </c>
      <c r="C12241" s="4"/>
      <c r="D12241" s="4" t="s">
        <v>21121</v>
      </c>
      <c r="E12241" s="4" t="s">
        <v>21122</v>
      </c>
      <c r="F12241" s="4" t="s">
        <v>21123</v>
      </c>
    </row>
    <row r="12242">
      <c r="A12242" s="4">
        <v>283.0</v>
      </c>
      <c r="B12242" s="4" t="s">
        <v>22111</v>
      </c>
      <c r="C12242" s="4"/>
      <c r="D12242" s="4" t="s">
        <v>21124</v>
      </c>
      <c r="E12242" s="4" t="s">
        <v>21122</v>
      </c>
      <c r="F12242" s="4" t="s">
        <v>21123</v>
      </c>
    </row>
    <row r="12243">
      <c r="A12243" s="4">
        <v>284.0</v>
      </c>
      <c r="B12243" s="4" t="s">
        <v>22111</v>
      </c>
      <c r="C12243" s="4"/>
      <c r="D12243" s="4" t="s">
        <v>21125</v>
      </c>
      <c r="E12243" s="4" t="s">
        <v>21120</v>
      </c>
      <c r="F12243" s="4" t="s">
        <v>9073</v>
      </c>
    </row>
    <row r="12244">
      <c r="A12244" s="4">
        <v>285.0</v>
      </c>
      <c r="B12244" s="4" t="s">
        <v>22111</v>
      </c>
      <c r="C12244" s="4"/>
      <c r="D12244" s="4" t="s">
        <v>21126</v>
      </c>
      <c r="E12244" s="4" t="s">
        <v>21127</v>
      </c>
      <c r="F12244" s="4" t="s">
        <v>21128</v>
      </c>
    </row>
    <row r="12245">
      <c r="A12245" s="4">
        <v>286.0</v>
      </c>
      <c r="B12245" s="4" t="s">
        <v>22111</v>
      </c>
      <c r="C12245" s="4"/>
      <c r="D12245" s="4" t="s">
        <v>21129</v>
      </c>
      <c r="E12245" s="4" t="s">
        <v>21130</v>
      </c>
      <c r="F12245" s="4" t="s">
        <v>992</v>
      </c>
      <c r="G12245" s="4"/>
      <c r="H12245" s="4" t="s">
        <v>7334</v>
      </c>
      <c r="I12245" s="4" t="s">
        <v>6291</v>
      </c>
      <c r="J12245" s="4" t="s">
        <v>21131</v>
      </c>
      <c r="K12245" s="4" t="s">
        <v>21132</v>
      </c>
      <c r="L12245" s="4" t="s">
        <v>21133</v>
      </c>
      <c r="M12245" s="4" t="s">
        <v>4433</v>
      </c>
    </row>
    <row r="12246">
      <c r="A12246" s="4">
        <v>287.0</v>
      </c>
      <c r="B12246" s="4" t="s">
        <v>22111</v>
      </c>
      <c r="C12246" s="4"/>
      <c r="D12246" s="4" t="s">
        <v>21134</v>
      </c>
      <c r="E12246" s="4" t="s">
        <v>17518</v>
      </c>
      <c r="F12246" s="4" t="s">
        <v>978</v>
      </c>
      <c r="G12246" s="4"/>
      <c r="H12246" s="4" t="s">
        <v>12300</v>
      </c>
      <c r="I12246" s="4" t="s">
        <v>12301</v>
      </c>
    </row>
    <row r="12247">
      <c r="A12247" s="4">
        <v>288.0</v>
      </c>
      <c r="B12247" s="4" t="s">
        <v>22111</v>
      </c>
      <c r="C12247" s="4"/>
      <c r="D12247" s="4" t="s">
        <v>21135</v>
      </c>
      <c r="E12247" s="4" t="s">
        <v>21136</v>
      </c>
      <c r="F12247" s="4" t="s">
        <v>21137</v>
      </c>
    </row>
    <row r="12248">
      <c r="A12248" s="4">
        <v>289.0</v>
      </c>
      <c r="B12248" s="4" t="s">
        <v>22111</v>
      </c>
      <c r="C12248" s="4"/>
      <c r="D12248" s="4" t="s">
        <v>9778</v>
      </c>
      <c r="E12248" s="4" t="s">
        <v>21138</v>
      </c>
      <c r="F12248" s="4" t="s">
        <v>1178</v>
      </c>
    </row>
    <row r="12249">
      <c r="A12249" s="4">
        <v>290.0</v>
      </c>
      <c r="B12249" s="4" t="s">
        <v>22111</v>
      </c>
      <c r="C12249" s="4"/>
      <c r="D12249" s="4" t="s">
        <v>21139</v>
      </c>
      <c r="E12249" s="4" t="s">
        <v>5637</v>
      </c>
      <c r="F12249" s="4" t="s">
        <v>5638</v>
      </c>
    </row>
    <row r="12250">
      <c r="A12250" s="4">
        <v>291.0</v>
      </c>
      <c r="B12250" s="4" t="s">
        <v>22111</v>
      </c>
      <c r="C12250" s="4"/>
      <c r="D12250" s="4" t="s">
        <v>21140</v>
      </c>
      <c r="E12250" s="4" t="s">
        <v>21141</v>
      </c>
      <c r="F12250" s="4" t="s">
        <v>21142</v>
      </c>
    </row>
    <row r="12251">
      <c r="A12251" s="4">
        <v>292.0</v>
      </c>
      <c r="B12251" s="4" t="s">
        <v>22111</v>
      </c>
      <c r="C12251" s="4"/>
      <c r="D12251" s="4" t="s">
        <v>21145</v>
      </c>
      <c r="E12251" s="4" t="s">
        <v>21146</v>
      </c>
      <c r="F12251" s="4" t="s">
        <v>1307</v>
      </c>
    </row>
    <row r="12252">
      <c r="A12252" s="4">
        <v>293.0</v>
      </c>
      <c r="B12252" s="4" t="s">
        <v>22111</v>
      </c>
      <c r="C12252" s="4"/>
      <c r="D12252" s="4" t="s">
        <v>21147</v>
      </c>
      <c r="E12252" s="4" t="s">
        <v>21148</v>
      </c>
      <c r="F12252" s="4" t="s">
        <v>21149</v>
      </c>
      <c r="G12252" s="4"/>
      <c r="H12252" s="4" t="s">
        <v>21150</v>
      </c>
      <c r="I12252" s="4" t="s">
        <v>21151</v>
      </c>
      <c r="J12252" s="4" t="s">
        <v>21152</v>
      </c>
      <c r="K12252" s="4" t="s">
        <v>21153</v>
      </c>
    </row>
    <row r="12253">
      <c r="A12253" s="4">
        <v>294.0</v>
      </c>
      <c r="B12253" s="4" t="s">
        <v>22111</v>
      </c>
      <c r="C12253" s="4"/>
      <c r="D12253" s="4" t="s">
        <v>17035</v>
      </c>
      <c r="E12253" s="4" t="s">
        <v>17483</v>
      </c>
      <c r="F12253" s="4" t="s">
        <v>2014</v>
      </c>
    </row>
    <row r="12254">
      <c r="A12254" s="4">
        <v>295.0</v>
      </c>
      <c r="B12254" s="4" t="s">
        <v>22111</v>
      </c>
      <c r="C12254" s="4"/>
      <c r="D12254" s="4" t="s">
        <v>21154</v>
      </c>
      <c r="E12254" s="4" t="s">
        <v>21155</v>
      </c>
      <c r="F12254" s="4" t="s">
        <v>21156</v>
      </c>
    </row>
    <row r="12255">
      <c r="A12255" s="4">
        <v>296.0</v>
      </c>
      <c r="B12255" s="4" t="s">
        <v>22111</v>
      </c>
      <c r="C12255" s="4"/>
      <c r="D12255" s="4" t="s">
        <v>21157</v>
      </c>
      <c r="E12255" s="4" t="s">
        <v>21158</v>
      </c>
      <c r="F12255" s="4" t="s">
        <v>21159</v>
      </c>
    </row>
    <row r="12256">
      <c r="A12256" s="4">
        <v>297.0</v>
      </c>
      <c r="B12256" s="4" t="s">
        <v>22111</v>
      </c>
      <c r="C12256" s="4"/>
      <c r="D12256" s="4" t="s">
        <v>21160</v>
      </c>
      <c r="E12256" s="4" t="s">
        <v>21161</v>
      </c>
      <c r="F12256" s="4" t="s">
        <v>21162</v>
      </c>
    </row>
    <row r="12257">
      <c r="A12257" s="4">
        <v>298.0</v>
      </c>
      <c r="B12257" s="4" t="s">
        <v>22111</v>
      </c>
      <c r="C12257" s="4"/>
      <c r="D12257" s="4" t="s">
        <v>17656</v>
      </c>
      <c r="E12257" s="4" t="s">
        <v>21163</v>
      </c>
      <c r="F12257" s="4" t="s">
        <v>17846</v>
      </c>
    </row>
    <row r="12258">
      <c r="A12258" s="4">
        <v>299.0</v>
      </c>
      <c r="B12258" s="4" t="s">
        <v>22111</v>
      </c>
      <c r="C12258" s="4"/>
      <c r="D12258" s="4" t="s">
        <v>21164</v>
      </c>
      <c r="E12258" s="4" t="s">
        <v>21165</v>
      </c>
      <c r="F12258" s="4" t="s">
        <v>21166</v>
      </c>
    </row>
    <row r="12259">
      <c r="A12259" s="4">
        <v>300.0</v>
      </c>
      <c r="B12259" s="4" t="s">
        <v>22111</v>
      </c>
      <c r="C12259" s="4"/>
      <c r="D12259" s="4" t="s">
        <v>21167</v>
      </c>
      <c r="E12259" s="4" t="s">
        <v>21168</v>
      </c>
      <c r="F12259" s="4" t="s">
        <v>1648</v>
      </c>
    </row>
    <row r="12260">
      <c r="A12260" s="4">
        <v>301.0</v>
      </c>
      <c r="B12260" s="4" t="s">
        <v>22111</v>
      </c>
      <c r="C12260" s="4"/>
      <c r="D12260" s="4" t="s">
        <v>21169</v>
      </c>
      <c r="E12260" s="4" t="s">
        <v>21170</v>
      </c>
      <c r="F12260" s="4" t="s">
        <v>1666</v>
      </c>
      <c r="G12260" s="4"/>
      <c r="H12260" s="4" t="s">
        <v>21171</v>
      </c>
      <c r="I12260" s="4" t="s">
        <v>19172</v>
      </c>
      <c r="J12260" s="4" t="s">
        <v>21172</v>
      </c>
      <c r="K12260" s="4" t="s">
        <v>21173</v>
      </c>
      <c r="L12260" s="4" t="s">
        <v>21174</v>
      </c>
      <c r="M12260" s="4" t="s">
        <v>21175</v>
      </c>
      <c r="N12260" s="4" t="s">
        <v>18957</v>
      </c>
      <c r="O12260" s="4" t="s">
        <v>21176</v>
      </c>
      <c r="P12260" s="4" t="s">
        <v>21173</v>
      </c>
    </row>
    <row r="12261">
      <c r="A12261" s="4">
        <v>302.0</v>
      </c>
      <c r="B12261" s="4" t="s">
        <v>22111</v>
      </c>
      <c r="C12261" s="4"/>
      <c r="D12261" s="4" t="s">
        <v>21177</v>
      </c>
      <c r="E12261" s="4" t="s">
        <v>21178</v>
      </c>
      <c r="F12261" s="4" t="s">
        <v>21179</v>
      </c>
    </row>
    <row r="12262">
      <c r="A12262" s="4">
        <v>303.0</v>
      </c>
      <c r="B12262" s="4" t="s">
        <v>22111</v>
      </c>
      <c r="C12262" s="4"/>
      <c r="D12262" s="4" t="s">
        <v>21180</v>
      </c>
      <c r="E12262" s="4" t="s">
        <v>21181</v>
      </c>
      <c r="F12262" s="4" t="s">
        <v>21182</v>
      </c>
    </row>
    <row r="12263">
      <c r="A12263" s="4">
        <v>304.0</v>
      </c>
      <c r="B12263" s="4" t="s">
        <v>22111</v>
      </c>
      <c r="C12263" s="4"/>
      <c r="D12263" s="4" t="s">
        <v>21183</v>
      </c>
      <c r="E12263" s="4" t="s">
        <v>21184</v>
      </c>
      <c r="F12263" s="4" t="s">
        <v>21185</v>
      </c>
    </row>
    <row r="12264">
      <c r="A12264" s="4">
        <v>305.0</v>
      </c>
      <c r="B12264" s="4" t="s">
        <v>22111</v>
      </c>
      <c r="C12264" s="4"/>
      <c r="D12264" s="4" t="s">
        <v>21186</v>
      </c>
      <c r="E12264" s="4" t="s">
        <v>21187</v>
      </c>
      <c r="F12264" s="4" t="s">
        <v>21188</v>
      </c>
    </row>
    <row r="12265">
      <c r="A12265" s="4">
        <v>306.0</v>
      </c>
      <c r="B12265" s="4" t="s">
        <v>22111</v>
      </c>
      <c r="C12265" s="4"/>
      <c r="D12265" s="4" t="s">
        <v>962</v>
      </c>
      <c r="E12265" s="4" t="s">
        <v>961</v>
      </c>
      <c r="F12265" s="4" t="s">
        <v>962</v>
      </c>
    </row>
    <row r="12266">
      <c r="A12266" s="4">
        <v>307.0</v>
      </c>
      <c r="B12266" s="4" t="s">
        <v>22111</v>
      </c>
      <c r="C12266" s="4"/>
      <c r="D12266" s="4" t="s">
        <v>12448</v>
      </c>
      <c r="E12266" s="4" t="s">
        <v>1232</v>
      </c>
      <c r="F12266" s="4" t="s">
        <v>1233</v>
      </c>
    </row>
    <row r="12267">
      <c r="A12267" s="4">
        <v>308.0</v>
      </c>
      <c r="B12267" s="4" t="s">
        <v>22111</v>
      </c>
      <c r="C12267" s="4"/>
      <c r="D12267" s="4" t="s">
        <v>19097</v>
      </c>
      <c r="E12267" s="4" t="s">
        <v>19096</v>
      </c>
      <c r="F12267" s="4" t="s">
        <v>19097</v>
      </c>
    </row>
    <row r="12268">
      <c r="A12268" s="4">
        <v>309.0</v>
      </c>
      <c r="B12268" s="4" t="s">
        <v>22111</v>
      </c>
      <c r="C12268" s="4"/>
      <c r="D12268" s="4" t="s">
        <v>1336</v>
      </c>
      <c r="E12268" s="4" t="s">
        <v>1335</v>
      </c>
      <c r="F12268" s="4" t="s">
        <v>1336</v>
      </c>
    </row>
    <row r="12269">
      <c r="A12269" s="4">
        <v>310.0</v>
      </c>
      <c r="B12269" s="4" t="s">
        <v>22111</v>
      </c>
      <c r="C12269" s="4"/>
      <c r="D12269" s="4" t="s">
        <v>21189</v>
      </c>
      <c r="E12269" s="4" t="s">
        <v>21190</v>
      </c>
      <c r="F12269" s="4" t="s">
        <v>21189</v>
      </c>
    </row>
    <row r="12270">
      <c r="A12270" s="4">
        <v>311.0</v>
      </c>
      <c r="B12270" s="4" t="s">
        <v>22111</v>
      </c>
      <c r="C12270" s="4"/>
      <c r="D12270" s="4" t="s">
        <v>10135</v>
      </c>
      <c r="E12270" s="4" t="s">
        <v>15066</v>
      </c>
      <c r="F12270" s="4" t="s">
        <v>10135</v>
      </c>
    </row>
    <row r="12271">
      <c r="A12271" s="4">
        <v>312.0</v>
      </c>
      <c r="B12271" s="4" t="s">
        <v>22111</v>
      </c>
      <c r="C12271" s="4"/>
      <c r="D12271" s="4" t="s">
        <v>21191</v>
      </c>
      <c r="E12271" s="4" t="s">
        <v>21192</v>
      </c>
      <c r="F12271" s="4" t="s">
        <v>21191</v>
      </c>
    </row>
    <row r="12272">
      <c r="A12272" s="4">
        <v>313.0</v>
      </c>
      <c r="B12272" s="4" t="s">
        <v>22111</v>
      </c>
      <c r="C12272" s="4"/>
      <c r="D12272" s="4" t="s">
        <v>2015</v>
      </c>
      <c r="E12272" s="4" t="s">
        <v>2016</v>
      </c>
      <c r="F12272" s="4" t="s">
        <v>2015</v>
      </c>
      <c r="G12272" s="4"/>
      <c r="H12272" s="4" t="s">
        <v>2015</v>
      </c>
      <c r="I12272" s="4" t="s">
        <v>2017</v>
      </c>
    </row>
    <row r="12273">
      <c r="A12273" s="4">
        <v>314.0</v>
      </c>
      <c r="B12273" s="4" t="s">
        <v>22111</v>
      </c>
      <c r="C12273" s="4"/>
      <c r="D12273" s="4" t="s">
        <v>21193</v>
      </c>
      <c r="E12273" s="4" t="s">
        <v>21194</v>
      </c>
      <c r="F12273" s="4" t="s">
        <v>14160</v>
      </c>
    </row>
    <row r="12274">
      <c r="A12274" s="4">
        <v>315.0</v>
      </c>
      <c r="B12274" s="4" t="s">
        <v>22111</v>
      </c>
      <c r="C12274" s="4"/>
      <c r="D12274" s="4" t="s">
        <v>21195</v>
      </c>
      <c r="E12274" s="4" t="s">
        <v>21196</v>
      </c>
      <c r="F12274" s="4" t="s">
        <v>17182</v>
      </c>
    </row>
    <row r="12275">
      <c r="A12275" s="4">
        <v>316.0</v>
      </c>
      <c r="B12275" s="4" t="s">
        <v>22111</v>
      </c>
      <c r="C12275" s="4"/>
      <c r="D12275" s="4" t="s">
        <v>21197</v>
      </c>
      <c r="E12275" s="4" t="s">
        <v>21198</v>
      </c>
      <c r="F12275" s="4" t="s">
        <v>21197</v>
      </c>
    </row>
    <row r="12276">
      <c r="A12276" s="4">
        <v>317.0</v>
      </c>
      <c r="B12276" s="4" t="s">
        <v>22111</v>
      </c>
      <c r="C12276" s="4"/>
      <c r="D12276" s="4" t="s">
        <v>2260</v>
      </c>
      <c r="E12276" s="4" t="s">
        <v>2259</v>
      </c>
      <c r="F12276" s="4" t="s">
        <v>2260</v>
      </c>
    </row>
    <row r="12277">
      <c r="A12277" s="4">
        <v>318.0</v>
      </c>
      <c r="B12277" s="4" t="s">
        <v>22111</v>
      </c>
      <c r="C12277" s="4"/>
      <c r="D12277" s="4" t="s">
        <v>2024</v>
      </c>
      <c r="E12277" s="4" t="s">
        <v>2025</v>
      </c>
      <c r="F12277" s="4" t="s">
        <v>2024</v>
      </c>
    </row>
    <row r="12278">
      <c r="A12278" s="4">
        <v>319.0</v>
      </c>
      <c r="B12278" s="4" t="s">
        <v>22111</v>
      </c>
      <c r="C12278" s="4"/>
      <c r="D12278" s="4" t="s">
        <v>21199</v>
      </c>
      <c r="E12278" s="4" t="s">
        <v>21200</v>
      </c>
      <c r="F12278" s="4" t="s">
        <v>21199</v>
      </c>
    </row>
    <row r="12279">
      <c r="A12279" s="4">
        <v>320.0</v>
      </c>
      <c r="B12279" s="4" t="s">
        <v>22111</v>
      </c>
      <c r="C12279" s="4"/>
      <c r="D12279" s="4" t="s">
        <v>21201</v>
      </c>
      <c r="E12279" s="4" t="s">
        <v>21202</v>
      </c>
      <c r="F12279" s="4" t="s">
        <v>21201</v>
      </c>
    </row>
    <row r="12280">
      <c r="A12280" s="4">
        <v>321.0</v>
      </c>
      <c r="B12280" s="4" t="s">
        <v>22111</v>
      </c>
      <c r="C12280" s="4"/>
      <c r="D12280" s="4" t="s">
        <v>21203</v>
      </c>
      <c r="E12280" s="4" t="s">
        <v>21200</v>
      </c>
      <c r="F12280" s="4" t="s">
        <v>21199</v>
      </c>
    </row>
    <row r="12281">
      <c r="A12281" s="4">
        <v>322.0</v>
      </c>
      <c r="B12281" s="4" t="s">
        <v>22111</v>
      </c>
      <c r="C12281" s="4"/>
      <c r="D12281" s="4" t="s">
        <v>21204</v>
      </c>
      <c r="E12281" s="4" t="s">
        <v>21202</v>
      </c>
      <c r="F12281" s="4" t="s">
        <v>21201</v>
      </c>
    </row>
    <row r="12282">
      <c r="A12282" s="4">
        <v>323.0</v>
      </c>
      <c r="B12282" s="4" t="s">
        <v>22111</v>
      </c>
      <c r="C12282" s="4"/>
      <c r="D12282" s="4" t="s">
        <v>21205</v>
      </c>
      <c r="E12282" s="4" t="s">
        <v>21206</v>
      </c>
      <c r="F12282" s="4" t="s">
        <v>21205</v>
      </c>
    </row>
    <row r="12283">
      <c r="A12283" s="4">
        <v>324.0</v>
      </c>
      <c r="B12283" s="4" t="s">
        <v>22111</v>
      </c>
      <c r="C12283" s="4"/>
      <c r="D12283" s="4" t="s">
        <v>10257</v>
      </c>
      <c r="E12283" s="4" t="s">
        <v>12506</v>
      </c>
      <c r="F12283" s="4" t="s">
        <v>10257</v>
      </c>
    </row>
    <row r="12284">
      <c r="A12284" s="4">
        <v>325.0</v>
      </c>
      <c r="B12284" s="4" t="s">
        <v>22111</v>
      </c>
      <c r="C12284" s="4"/>
      <c r="D12284" s="4" t="s">
        <v>21209</v>
      </c>
      <c r="E12284" s="4" t="s">
        <v>21210</v>
      </c>
      <c r="F12284" s="4" t="s">
        <v>21209</v>
      </c>
    </row>
    <row r="12285">
      <c r="A12285" s="4">
        <v>326.0</v>
      </c>
      <c r="B12285" s="4" t="s">
        <v>22111</v>
      </c>
      <c r="C12285" s="4"/>
      <c r="D12285" s="4" t="s">
        <v>6517</v>
      </c>
      <c r="E12285" s="4" t="s">
        <v>12529</v>
      </c>
      <c r="F12285" s="4" t="s">
        <v>6517</v>
      </c>
    </row>
    <row r="12286">
      <c r="A12286" s="4">
        <v>327.0</v>
      </c>
      <c r="B12286" s="4" t="s">
        <v>22111</v>
      </c>
      <c r="C12286" s="4"/>
      <c r="D12286" s="4" t="s">
        <v>21211</v>
      </c>
      <c r="E12286" s="4" t="s">
        <v>21212</v>
      </c>
      <c r="F12286" s="4" t="s">
        <v>21211</v>
      </c>
      <c r="G12286" s="4"/>
      <c r="H12286" s="4" t="s">
        <v>21213</v>
      </c>
      <c r="I12286" s="4" t="s">
        <v>21214</v>
      </c>
    </row>
    <row r="12287">
      <c r="A12287" s="4">
        <v>328.0</v>
      </c>
      <c r="B12287" s="4" t="s">
        <v>22111</v>
      </c>
      <c r="C12287" s="4"/>
      <c r="D12287" s="4" t="s">
        <v>21233</v>
      </c>
      <c r="E12287" s="4" t="s">
        <v>18007</v>
      </c>
      <c r="F12287" s="4" t="s">
        <v>10297</v>
      </c>
    </row>
    <row r="12288">
      <c r="A12288" s="4">
        <v>329.0</v>
      </c>
      <c r="B12288" s="4" t="s">
        <v>22111</v>
      </c>
      <c r="C12288" s="4"/>
      <c r="D12288" s="4" t="s">
        <v>21234</v>
      </c>
      <c r="E12288" s="4" t="s">
        <v>21235</v>
      </c>
      <c r="F12288" s="4" t="s">
        <v>19641</v>
      </c>
      <c r="G12288" s="4"/>
      <c r="H12288" s="4" t="s">
        <v>21236</v>
      </c>
      <c r="I12288" s="4" t="s">
        <v>4853</v>
      </c>
    </row>
    <row r="12289">
      <c r="A12289" s="4">
        <v>330.0</v>
      </c>
      <c r="B12289" s="4" t="s">
        <v>22111</v>
      </c>
      <c r="C12289" s="4"/>
      <c r="D12289" s="4" t="s">
        <v>2045</v>
      </c>
      <c r="E12289" s="4" t="s">
        <v>2046</v>
      </c>
      <c r="F12289" s="4" t="s">
        <v>2045</v>
      </c>
    </row>
    <row r="12290">
      <c r="A12290" s="4">
        <v>331.0</v>
      </c>
      <c r="B12290" s="4" t="s">
        <v>22111</v>
      </c>
      <c r="C12290" s="4"/>
      <c r="D12290" s="4" t="s">
        <v>10313</v>
      </c>
      <c r="E12290" s="4" t="s">
        <v>12589</v>
      </c>
      <c r="F12290" s="4" t="s">
        <v>10313</v>
      </c>
    </row>
    <row r="12291">
      <c r="A12291" s="4">
        <v>332.0</v>
      </c>
      <c r="B12291" s="4" t="s">
        <v>22111</v>
      </c>
      <c r="C12291" s="4"/>
      <c r="D12291" s="4" t="s">
        <v>21237</v>
      </c>
      <c r="E12291" s="4" t="s">
        <v>21238</v>
      </c>
      <c r="F12291" s="4" t="s">
        <v>21237</v>
      </c>
    </row>
    <row r="12292">
      <c r="A12292" s="4">
        <v>333.0</v>
      </c>
      <c r="B12292" s="4" t="s">
        <v>22111</v>
      </c>
      <c r="C12292" s="4"/>
      <c r="D12292" s="4" t="s">
        <v>21239</v>
      </c>
      <c r="E12292" s="4" t="s">
        <v>21240</v>
      </c>
      <c r="F12292" s="4" t="s">
        <v>21239</v>
      </c>
    </row>
    <row r="12293">
      <c r="A12293" s="4">
        <v>334.0</v>
      </c>
      <c r="B12293" s="4" t="s">
        <v>22111</v>
      </c>
      <c r="C12293" s="4"/>
      <c r="D12293" s="4" t="s">
        <v>21241</v>
      </c>
      <c r="E12293" s="4" t="s">
        <v>21242</v>
      </c>
      <c r="F12293" s="4" t="s">
        <v>21241</v>
      </c>
    </row>
    <row r="12294">
      <c r="A12294" s="4">
        <v>335.0</v>
      </c>
      <c r="B12294" s="4" t="s">
        <v>22111</v>
      </c>
      <c r="C12294" s="4"/>
      <c r="D12294" s="4" t="s">
        <v>21243</v>
      </c>
      <c r="E12294" s="4" t="s">
        <v>21244</v>
      </c>
      <c r="F12294" s="4" t="s">
        <v>21243</v>
      </c>
      <c r="G12294" s="4"/>
      <c r="H12294" s="4" t="s">
        <v>21245</v>
      </c>
    </row>
    <row r="12295">
      <c r="A12295" s="4">
        <v>336.0</v>
      </c>
      <c r="B12295" s="4" t="s">
        <v>22111</v>
      </c>
      <c r="C12295" s="4"/>
      <c r="D12295" s="4" t="s">
        <v>21246</v>
      </c>
      <c r="E12295" s="4" t="s">
        <v>18027</v>
      </c>
      <c r="F12295" s="4" t="s">
        <v>18026</v>
      </c>
    </row>
    <row r="12296">
      <c r="A12296" s="4">
        <v>337.0</v>
      </c>
      <c r="B12296" s="4" t="s">
        <v>22111</v>
      </c>
      <c r="C12296" s="4"/>
      <c r="D12296" s="4" t="s">
        <v>2078</v>
      </c>
      <c r="E12296" s="4" t="s">
        <v>2079</v>
      </c>
      <c r="F12296" s="4" t="s">
        <v>2078</v>
      </c>
      <c r="G12296" s="4"/>
      <c r="H12296" s="4" t="s">
        <v>2080</v>
      </c>
      <c r="I12296" s="4" t="s">
        <v>2078</v>
      </c>
      <c r="J12296" s="4" t="s">
        <v>2082</v>
      </c>
    </row>
    <row r="12297">
      <c r="A12297" s="4">
        <v>338.0</v>
      </c>
      <c r="B12297" s="4" t="s">
        <v>22111</v>
      </c>
      <c r="C12297" s="4"/>
      <c r="D12297" s="4" t="s">
        <v>5308</v>
      </c>
      <c r="E12297" s="4" t="s">
        <v>5307</v>
      </c>
      <c r="F12297" s="4" t="s">
        <v>5308</v>
      </c>
      <c r="G12297" s="4"/>
      <c r="H12297" s="4" t="s">
        <v>21247</v>
      </c>
      <c r="I12297" s="4" t="s">
        <v>21248</v>
      </c>
      <c r="J12297" s="4" t="s">
        <v>21249</v>
      </c>
      <c r="K12297" s="4" t="s">
        <v>21250</v>
      </c>
    </row>
    <row r="12298">
      <c r="A12298" s="4">
        <v>339.0</v>
      </c>
      <c r="B12298" s="4" t="s">
        <v>22111</v>
      </c>
      <c r="C12298" s="4"/>
      <c r="D12298" s="4" t="s">
        <v>21251</v>
      </c>
      <c r="E12298" s="4" t="s">
        <v>21252</v>
      </c>
      <c r="F12298" s="4" t="s">
        <v>21251</v>
      </c>
    </row>
    <row r="12299">
      <c r="A12299" s="4">
        <v>340.0</v>
      </c>
      <c r="B12299" s="4" t="s">
        <v>22111</v>
      </c>
      <c r="C12299" s="4"/>
      <c r="D12299" s="4" t="s">
        <v>21253</v>
      </c>
      <c r="E12299" s="4" t="s">
        <v>21254</v>
      </c>
      <c r="F12299" s="4" t="s">
        <v>21253</v>
      </c>
    </row>
    <row r="12300">
      <c r="A12300" s="4">
        <v>341.0</v>
      </c>
      <c r="B12300" s="4" t="s">
        <v>22111</v>
      </c>
      <c r="C12300" s="4"/>
      <c r="D12300" s="4" t="s">
        <v>6669</v>
      </c>
      <c r="E12300" s="4" t="s">
        <v>12633</v>
      </c>
      <c r="F12300" s="4" t="s">
        <v>6671</v>
      </c>
    </row>
    <row r="12301">
      <c r="A12301" s="4">
        <v>342.0</v>
      </c>
      <c r="B12301" s="4" t="s">
        <v>22111</v>
      </c>
      <c r="C12301" s="4"/>
      <c r="D12301" s="4" t="s">
        <v>16732</v>
      </c>
      <c r="E12301" s="4" t="s">
        <v>16733</v>
      </c>
      <c r="F12301" s="4" t="s">
        <v>10387</v>
      </c>
    </row>
    <row r="12302">
      <c r="A12302" s="4">
        <v>343.0</v>
      </c>
      <c r="B12302" s="4" t="s">
        <v>22111</v>
      </c>
      <c r="C12302" s="4"/>
      <c r="D12302" s="4" t="s">
        <v>21255</v>
      </c>
      <c r="E12302" s="4" t="s">
        <v>21256</v>
      </c>
      <c r="F12302" s="4" t="s">
        <v>21257</v>
      </c>
    </row>
    <row r="12303">
      <c r="A12303" s="4">
        <v>344.0</v>
      </c>
      <c r="B12303" s="4" t="s">
        <v>22111</v>
      </c>
      <c r="C12303" s="4"/>
      <c r="D12303" s="4" t="s">
        <v>21258</v>
      </c>
      <c r="E12303" s="4" t="s">
        <v>21259</v>
      </c>
      <c r="F12303" s="4" t="s">
        <v>21258</v>
      </c>
    </row>
    <row r="12304">
      <c r="A12304" s="4">
        <v>345.0</v>
      </c>
      <c r="B12304" s="4" t="s">
        <v>22111</v>
      </c>
      <c r="C12304" s="4"/>
      <c r="D12304" s="4" t="s">
        <v>2249</v>
      </c>
      <c r="E12304" s="4" t="s">
        <v>2248</v>
      </c>
      <c r="F12304" s="4" t="s">
        <v>2249</v>
      </c>
      <c r="G12304" s="4"/>
      <c r="H12304" s="4" t="s">
        <v>2213</v>
      </c>
      <c r="I12304" s="4" t="s">
        <v>2212</v>
      </c>
      <c r="J12304" s="4" t="s">
        <v>2212</v>
      </c>
      <c r="K12304" s="4" t="s">
        <v>21260</v>
      </c>
      <c r="L12304" s="4" t="s">
        <v>2214</v>
      </c>
      <c r="M12304" s="4" t="s">
        <v>2212</v>
      </c>
      <c r="N12304" s="4" t="s">
        <v>2215</v>
      </c>
      <c r="O12304" s="4" t="s">
        <v>2216</v>
      </c>
    </row>
    <row r="12305">
      <c r="A12305" s="4">
        <v>346.0</v>
      </c>
      <c r="B12305" s="4" t="s">
        <v>22111</v>
      </c>
      <c r="C12305" s="4"/>
      <c r="D12305" s="4" t="s">
        <v>2247</v>
      </c>
      <c r="E12305" s="4" t="s">
        <v>2250</v>
      </c>
      <c r="F12305" s="4" t="s">
        <v>2247</v>
      </c>
    </row>
    <row r="12306">
      <c r="A12306" s="4">
        <v>347.0</v>
      </c>
      <c r="B12306" s="4" t="s">
        <v>22111</v>
      </c>
      <c r="C12306" s="4"/>
      <c r="D12306" s="4" t="s">
        <v>2256</v>
      </c>
      <c r="E12306" s="4" t="s">
        <v>2257</v>
      </c>
      <c r="F12306" s="4" t="s">
        <v>2256</v>
      </c>
      <c r="G12306" s="4"/>
      <c r="H12306" s="4" t="s">
        <v>11296</v>
      </c>
    </row>
    <row r="12307">
      <c r="A12307" s="4">
        <v>348.0</v>
      </c>
      <c r="B12307" s="4" t="s">
        <v>22111</v>
      </c>
      <c r="C12307" s="4"/>
      <c r="D12307" s="4" t="s">
        <v>21265</v>
      </c>
      <c r="E12307" s="4" t="s">
        <v>2259</v>
      </c>
      <c r="F12307" s="4" t="s">
        <v>2260</v>
      </c>
      <c r="G12307" s="4"/>
      <c r="H12307" s="4" t="s">
        <v>2261</v>
      </c>
      <c r="I12307" s="4" t="s">
        <v>2262</v>
      </c>
      <c r="J12307" s="4" t="s">
        <v>2263</v>
      </c>
      <c r="K12307" s="4" t="s">
        <v>2264</v>
      </c>
      <c r="L12307" s="4" t="s">
        <v>2265</v>
      </c>
    </row>
    <row r="12308">
      <c r="A12308" s="4">
        <v>349.0</v>
      </c>
      <c r="B12308" s="4" t="s">
        <v>22111</v>
      </c>
      <c r="C12308" s="4"/>
      <c r="D12308" s="4" t="s">
        <v>2269</v>
      </c>
      <c r="E12308" s="4" t="s">
        <v>2270</v>
      </c>
      <c r="F12308" s="4" t="s">
        <v>2271</v>
      </c>
    </row>
    <row r="12309">
      <c r="A12309" s="4">
        <v>350.0</v>
      </c>
      <c r="B12309" s="4" t="s">
        <v>22111</v>
      </c>
      <c r="C12309" s="4"/>
      <c r="D12309" s="4" t="s">
        <v>21270</v>
      </c>
      <c r="E12309" s="4" t="s">
        <v>21271</v>
      </c>
      <c r="F12309" s="4" t="s">
        <v>21272</v>
      </c>
    </row>
    <row r="12310">
      <c r="A12310" s="4">
        <v>351.0</v>
      </c>
      <c r="B12310" s="4" t="s">
        <v>22111</v>
      </c>
      <c r="C12310" s="4"/>
      <c r="D12310" s="4" t="s">
        <v>21273</v>
      </c>
      <c r="E12310" s="4" t="s">
        <v>14643</v>
      </c>
      <c r="F12310" s="4" t="s">
        <v>2601</v>
      </c>
    </row>
    <row r="12311">
      <c r="A12311" s="4">
        <v>352.0</v>
      </c>
      <c r="B12311" s="4" t="s">
        <v>22111</v>
      </c>
      <c r="C12311" s="4"/>
      <c r="D12311" s="4" t="s">
        <v>2280</v>
      </c>
      <c r="E12311" s="4" t="s">
        <v>2281</v>
      </c>
      <c r="F12311" s="4" t="s">
        <v>2282</v>
      </c>
    </row>
    <row r="12312">
      <c r="A12312" s="4">
        <v>353.0</v>
      </c>
      <c r="B12312" s="4" t="s">
        <v>22111</v>
      </c>
      <c r="C12312" s="4"/>
      <c r="D12312" s="4" t="s">
        <v>21274</v>
      </c>
      <c r="E12312" s="4" t="s">
        <v>21275</v>
      </c>
      <c r="F12312" s="4" t="s">
        <v>21276</v>
      </c>
      <c r="G12312" s="4"/>
      <c r="H12312" s="4" t="s">
        <v>18141</v>
      </c>
      <c r="I12312" s="4" t="s">
        <v>18142</v>
      </c>
    </row>
    <row r="12313">
      <c r="A12313" s="4">
        <v>354.0</v>
      </c>
      <c r="B12313" s="4" t="s">
        <v>22111</v>
      </c>
      <c r="C12313" s="4"/>
      <c r="D12313" s="4" t="s">
        <v>21277</v>
      </c>
      <c r="E12313" s="4" t="s">
        <v>21278</v>
      </c>
      <c r="F12313" s="4" t="s">
        <v>21279</v>
      </c>
    </row>
    <row r="12314">
      <c r="A12314" s="4">
        <v>355.0</v>
      </c>
      <c r="B12314" s="4" t="s">
        <v>22111</v>
      </c>
      <c r="C12314" s="4"/>
      <c r="D12314" s="4" t="s">
        <v>21280</v>
      </c>
      <c r="E12314" s="4" t="s">
        <v>21281</v>
      </c>
      <c r="F12314" s="4" t="s">
        <v>18115</v>
      </c>
    </row>
    <row r="12315">
      <c r="A12315" s="4">
        <v>356.0</v>
      </c>
      <c r="B12315" s="4" t="s">
        <v>22111</v>
      </c>
      <c r="C12315" s="4"/>
      <c r="D12315" s="4" t="s">
        <v>21282</v>
      </c>
      <c r="E12315" s="4" t="s">
        <v>21283</v>
      </c>
      <c r="F12315" s="4" t="s">
        <v>21284</v>
      </c>
    </row>
    <row r="12316">
      <c r="A12316" s="4">
        <v>357.0</v>
      </c>
      <c r="B12316" s="4" t="s">
        <v>22111</v>
      </c>
      <c r="C12316" s="4"/>
      <c r="D12316" s="4" t="s">
        <v>2290</v>
      </c>
      <c r="E12316" s="4" t="s">
        <v>2291</v>
      </c>
      <c r="F12316" s="4" t="s">
        <v>2292</v>
      </c>
    </row>
    <row r="12317">
      <c r="A12317" s="4">
        <v>358.0</v>
      </c>
      <c r="B12317" s="4" t="s">
        <v>22111</v>
      </c>
      <c r="C12317" s="4"/>
      <c r="D12317" s="4" t="s">
        <v>21288</v>
      </c>
      <c r="E12317" s="4" t="s">
        <v>2281</v>
      </c>
      <c r="F12317" s="4" t="s">
        <v>2282</v>
      </c>
    </row>
    <row r="12318">
      <c r="A12318" s="4">
        <v>359.0</v>
      </c>
      <c r="B12318" s="4" t="s">
        <v>22111</v>
      </c>
      <c r="C12318" s="4"/>
      <c r="D12318" s="4" t="s">
        <v>10493</v>
      </c>
      <c r="E12318" s="4" t="s">
        <v>18104</v>
      </c>
      <c r="F12318" s="4" t="s">
        <v>2282</v>
      </c>
      <c r="G12318" s="4"/>
      <c r="H12318" s="4" t="s">
        <v>21289</v>
      </c>
      <c r="I12318" s="4" t="s">
        <v>21290</v>
      </c>
      <c r="J12318" s="4" t="s">
        <v>21291</v>
      </c>
      <c r="K12318" s="4" t="s">
        <v>21292</v>
      </c>
    </row>
    <row r="12319">
      <c r="A12319" s="4">
        <v>360.0</v>
      </c>
      <c r="B12319" s="4" t="s">
        <v>22111</v>
      </c>
      <c r="C12319" s="4"/>
      <c r="D12319" s="4" t="s">
        <v>21293</v>
      </c>
      <c r="E12319" s="4" t="s">
        <v>21294</v>
      </c>
      <c r="F12319" s="4" t="s">
        <v>21295</v>
      </c>
      <c r="G12319" s="4"/>
      <c r="H12319" s="4" t="s">
        <v>3481</v>
      </c>
      <c r="I12319" s="4" t="s">
        <v>775</v>
      </c>
      <c r="J12319" s="4" t="s">
        <v>6774</v>
      </c>
    </row>
    <row r="12320">
      <c r="A12320" s="4">
        <v>361.0</v>
      </c>
      <c r="B12320" s="4" t="s">
        <v>22111</v>
      </c>
      <c r="C12320" s="4"/>
      <c r="D12320" s="4" t="s">
        <v>21296</v>
      </c>
      <c r="E12320" s="4" t="s">
        <v>21297</v>
      </c>
      <c r="F12320" s="4" t="s">
        <v>21284</v>
      </c>
    </row>
    <row r="12321">
      <c r="A12321" s="4">
        <v>362.0</v>
      </c>
      <c r="B12321" s="4" t="s">
        <v>22111</v>
      </c>
      <c r="C12321" s="4"/>
      <c r="D12321" s="4" t="s">
        <v>2322</v>
      </c>
      <c r="E12321" s="4" t="s">
        <v>2323</v>
      </c>
      <c r="F12321" s="4" t="s">
        <v>2322</v>
      </c>
      <c r="G12321" s="4"/>
      <c r="H12321" s="4" t="s">
        <v>21298</v>
      </c>
      <c r="I12321" s="4" t="s">
        <v>21299</v>
      </c>
      <c r="J12321" s="4" t="s">
        <v>2345</v>
      </c>
      <c r="K12321" s="4" t="s">
        <v>6344</v>
      </c>
      <c r="L12321" s="4" t="s">
        <v>6344</v>
      </c>
      <c r="M12321" s="4" t="s">
        <v>12749</v>
      </c>
      <c r="N12321" s="4" t="s">
        <v>6344</v>
      </c>
      <c r="O12321" s="4" t="s">
        <v>12755</v>
      </c>
      <c r="P12321" s="4" t="s">
        <v>2324</v>
      </c>
      <c r="Q12321" s="4" t="s">
        <v>2325</v>
      </c>
      <c r="R12321" s="4" t="s">
        <v>2326</v>
      </c>
      <c r="S12321" s="4" t="s">
        <v>2327</v>
      </c>
      <c r="T12321" s="4" t="s">
        <v>2332</v>
      </c>
      <c r="U12321" s="4" t="s">
        <v>10835</v>
      </c>
      <c r="V12321" s="4" t="s">
        <v>2332</v>
      </c>
      <c r="W12321" s="4" t="s">
        <v>2342</v>
      </c>
      <c r="X12321" s="4" t="s">
        <v>2326</v>
      </c>
    </row>
    <row r="12322">
      <c r="A12322" s="4">
        <v>363.0</v>
      </c>
      <c r="B12322" s="4" t="s">
        <v>22111</v>
      </c>
      <c r="C12322" s="4"/>
      <c r="D12322" s="4" t="s">
        <v>2351</v>
      </c>
      <c r="E12322" s="4" t="s">
        <v>2352</v>
      </c>
      <c r="F12322" s="4" t="s">
        <v>2351</v>
      </c>
    </row>
    <row r="12323">
      <c r="A12323" s="4">
        <v>364.0</v>
      </c>
      <c r="B12323" s="4" t="s">
        <v>22111</v>
      </c>
      <c r="C12323" s="4"/>
      <c r="D12323" s="4" t="s">
        <v>21300</v>
      </c>
      <c r="E12323" s="4" t="s">
        <v>21301</v>
      </c>
      <c r="F12323" s="4" t="s">
        <v>21302</v>
      </c>
    </row>
    <row r="12324">
      <c r="A12324" s="4">
        <v>365.0</v>
      </c>
      <c r="B12324" s="4" t="s">
        <v>22111</v>
      </c>
      <c r="C12324" s="4"/>
      <c r="D12324" s="4" t="s">
        <v>21303</v>
      </c>
      <c r="E12324" s="4" t="s">
        <v>21304</v>
      </c>
      <c r="F12324" s="4" t="s">
        <v>21303</v>
      </c>
    </row>
    <row r="12325">
      <c r="A12325" s="4">
        <v>366.0</v>
      </c>
      <c r="B12325" s="4" t="s">
        <v>22111</v>
      </c>
      <c r="C12325" s="4"/>
      <c r="D12325" s="4" t="s">
        <v>21305</v>
      </c>
      <c r="E12325" s="4" t="s">
        <v>5313</v>
      </c>
      <c r="F12325" s="4" t="s">
        <v>5314</v>
      </c>
    </row>
    <row r="12326">
      <c r="A12326" s="4">
        <v>367.0</v>
      </c>
      <c r="B12326" s="4" t="s">
        <v>22111</v>
      </c>
      <c r="C12326" s="4"/>
      <c r="D12326" s="4" t="s">
        <v>2381</v>
      </c>
      <c r="E12326" s="4" t="s">
        <v>2382</v>
      </c>
      <c r="F12326" s="4" t="s">
        <v>2381</v>
      </c>
      <c r="G12326" s="4"/>
      <c r="H12326" s="4" t="s">
        <v>10770</v>
      </c>
      <c r="I12326" s="4" t="s">
        <v>2383</v>
      </c>
      <c r="J12326" s="4" t="s">
        <v>2384</v>
      </c>
      <c r="K12326" s="4" t="s">
        <v>2278</v>
      </c>
      <c r="L12326" s="4" t="s">
        <v>2381</v>
      </c>
      <c r="M12326" s="4" t="s">
        <v>2384</v>
      </c>
      <c r="N12326" s="4" t="s">
        <v>2385</v>
      </c>
      <c r="O12326" s="4" t="s">
        <v>2386</v>
      </c>
      <c r="P12326" s="4" t="s">
        <v>2387</v>
      </c>
      <c r="Q12326" s="4" t="s">
        <v>2388</v>
      </c>
      <c r="R12326" s="4" t="s">
        <v>2389</v>
      </c>
      <c r="S12326" s="4" t="s">
        <v>2390</v>
      </c>
    </row>
    <row r="12327">
      <c r="A12327" s="4">
        <v>368.0</v>
      </c>
      <c r="B12327" s="4" t="s">
        <v>22111</v>
      </c>
      <c r="C12327" s="4"/>
      <c r="D12327" s="4" t="s">
        <v>2391</v>
      </c>
      <c r="E12327" s="4" t="s">
        <v>2392</v>
      </c>
      <c r="F12327" s="4" t="s">
        <v>2391</v>
      </c>
      <c r="G12327" s="4"/>
      <c r="H12327" s="4" t="s">
        <v>21306</v>
      </c>
    </row>
    <row r="12328">
      <c r="A12328" s="4">
        <v>369.0</v>
      </c>
      <c r="B12328" s="4" t="s">
        <v>22111</v>
      </c>
      <c r="C12328" s="4"/>
      <c r="D12328" s="4" t="s">
        <v>21307</v>
      </c>
      <c r="E12328" s="4" t="s">
        <v>21308</v>
      </c>
      <c r="F12328" s="4" t="s">
        <v>21307</v>
      </c>
    </row>
    <row r="12329">
      <c r="A12329" s="4">
        <v>370.0</v>
      </c>
      <c r="B12329" s="4" t="s">
        <v>22111</v>
      </c>
      <c r="C12329" s="4"/>
      <c r="D12329" s="4" t="s">
        <v>12789</v>
      </c>
      <c r="E12329" s="4" t="s">
        <v>12788</v>
      </c>
      <c r="F12329" s="4" t="s">
        <v>12789</v>
      </c>
    </row>
    <row r="12330">
      <c r="A12330" s="4">
        <v>371.0</v>
      </c>
      <c r="B12330" s="4" t="s">
        <v>22111</v>
      </c>
      <c r="C12330" s="4"/>
      <c r="D12330" s="4" t="s">
        <v>21309</v>
      </c>
      <c r="E12330" s="4" t="s">
        <v>21310</v>
      </c>
      <c r="F12330" s="4" t="s">
        <v>21309</v>
      </c>
    </row>
    <row r="12331">
      <c r="A12331" s="4">
        <v>372.0</v>
      </c>
      <c r="B12331" s="4" t="s">
        <v>22111</v>
      </c>
      <c r="C12331" s="4"/>
      <c r="D12331" s="4" t="s">
        <v>21311</v>
      </c>
      <c r="E12331" s="4" t="s">
        <v>21312</v>
      </c>
      <c r="F12331" s="4" t="s">
        <v>21311</v>
      </c>
    </row>
    <row r="12332">
      <c r="A12332" s="4">
        <v>373.0</v>
      </c>
      <c r="B12332" s="4" t="s">
        <v>22111</v>
      </c>
      <c r="C12332" s="4"/>
      <c r="D12332" s="4" t="s">
        <v>14465</v>
      </c>
      <c r="E12332" s="4" t="s">
        <v>2382</v>
      </c>
      <c r="F12332" s="4" t="s">
        <v>2381</v>
      </c>
      <c r="G12332" s="4"/>
      <c r="H12332" s="4" t="s">
        <v>2278</v>
      </c>
      <c r="I12332" s="4" t="s">
        <v>2381</v>
      </c>
      <c r="J12332" s="4" t="s">
        <v>2384</v>
      </c>
      <c r="K12332" s="4" t="s">
        <v>2385</v>
      </c>
      <c r="L12332" s="4" t="s">
        <v>2386</v>
      </c>
      <c r="M12332" s="4" t="s">
        <v>2387</v>
      </c>
      <c r="N12332" s="4" t="s">
        <v>2388</v>
      </c>
      <c r="O12332" s="4" t="s">
        <v>2389</v>
      </c>
      <c r="P12332" s="4" t="s">
        <v>2390</v>
      </c>
    </row>
    <row r="12333">
      <c r="A12333" s="4">
        <v>374.0</v>
      </c>
      <c r="B12333" s="4" t="s">
        <v>22111</v>
      </c>
      <c r="C12333" s="4"/>
      <c r="D12333" s="4" t="s">
        <v>2401</v>
      </c>
      <c r="E12333" s="4" t="s">
        <v>2402</v>
      </c>
      <c r="F12333" s="4" t="s">
        <v>2401</v>
      </c>
    </row>
    <row r="12334">
      <c r="A12334" s="4">
        <v>375.0</v>
      </c>
      <c r="B12334" s="4" t="s">
        <v>22111</v>
      </c>
      <c r="C12334" s="4"/>
      <c r="D12334" s="4" t="s">
        <v>2403</v>
      </c>
      <c r="E12334" s="4" t="s">
        <v>2404</v>
      </c>
      <c r="F12334" s="4" t="s">
        <v>2403</v>
      </c>
      <c r="G12334" s="4"/>
      <c r="H12334" s="4" t="s">
        <v>11392</v>
      </c>
      <c r="I12334" s="4" t="s">
        <v>8375</v>
      </c>
    </row>
    <row r="12335">
      <c r="A12335" s="4">
        <v>376.0</v>
      </c>
      <c r="B12335" s="4" t="s">
        <v>22111</v>
      </c>
      <c r="C12335" s="4"/>
      <c r="D12335" s="4" t="s">
        <v>2414</v>
      </c>
      <c r="E12335" s="4" t="s">
        <v>2415</v>
      </c>
      <c r="F12335" s="4" t="s">
        <v>2414</v>
      </c>
    </row>
    <row r="12336">
      <c r="A12336" s="4">
        <v>377.0</v>
      </c>
      <c r="B12336" s="4" t="s">
        <v>22111</v>
      </c>
      <c r="C12336" s="4"/>
      <c r="D12336" s="4" t="s">
        <v>12811</v>
      </c>
      <c r="E12336" s="4" t="s">
        <v>20248</v>
      </c>
      <c r="F12336" s="4" t="s">
        <v>12811</v>
      </c>
    </row>
    <row r="12337">
      <c r="A12337" s="4">
        <v>378.0</v>
      </c>
      <c r="B12337" s="4" t="s">
        <v>22111</v>
      </c>
      <c r="C12337" s="4"/>
      <c r="D12337" s="4" t="s">
        <v>2420</v>
      </c>
      <c r="E12337" s="4" t="s">
        <v>2421</v>
      </c>
      <c r="F12337" s="4" t="s">
        <v>2420</v>
      </c>
    </row>
    <row r="12338">
      <c r="A12338" s="4">
        <v>379.0</v>
      </c>
      <c r="B12338" s="4" t="s">
        <v>22111</v>
      </c>
      <c r="C12338" s="4"/>
      <c r="D12338" s="4" t="s">
        <v>2422</v>
      </c>
      <c r="E12338" s="4" t="s">
        <v>2423</v>
      </c>
      <c r="F12338" s="4" t="s">
        <v>2422</v>
      </c>
      <c r="G12338" s="4"/>
      <c r="H12338" s="4" t="s">
        <v>2424</v>
      </c>
      <c r="I12338" s="4" t="s">
        <v>2425</v>
      </c>
      <c r="J12338" s="4" t="s">
        <v>2426</v>
      </c>
      <c r="K12338" s="4" t="s">
        <v>2427</v>
      </c>
      <c r="L12338" s="4" t="s">
        <v>2424</v>
      </c>
      <c r="M12338" s="4" t="s">
        <v>21316</v>
      </c>
      <c r="N12338" s="4" t="s">
        <v>2072</v>
      </c>
      <c r="O12338" s="4" t="s">
        <v>9359</v>
      </c>
      <c r="P12338" s="4" t="s">
        <v>2424</v>
      </c>
      <c r="Q12338" s="4" t="s">
        <v>6084</v>
      </c>
      <c r="R12338" s="4" t="s">
        <v>21317</v>
      </c>
      <c r="S12338" s="4" t="s">
        <v>2427</v>
      </c>
      <c r="T12338" s="4" t="s">
        <v>2424</v>
      </c>
      <c r="U12338" s="4" t="s">
        <v>2428</v>
      </c>
      <c r="V12338" s="4" t="s">
        <v>2429</v>
      </c>
      <c r="W12338" s="4" t="s">
        <v>6081</v>
      </c>
      <c r="X12338" s="4" t="s">
        <v>2424</v>
      </c>
      <c r="Y12338" s="4" t="s">
        <v>6082</v>
      </c>
      <c r="Z12338" s="4" t="s">
        <v>6083</v>
      </c>
      <c r="AA12338" s="4" t="s">
        <v>6072</v>
      </c>
      <c r="AB12338" s="4" t="s">
        <v>6084</v>
      </c>
      <c r="AC12338" s="4" t="s">
        <v>6085</v>
      </c>
    </row>
    <row r="12339">
      <c r="A12339" s="4">
        <v>380.0</v>
      </c>
      <c r="B12339" s="4" t="s">
        <v>22111</v>
      </c>
      <c r="C12339" s="4"/>
      <c r="D12339" s="4" t="s">
        <v>21318</v>
      </c>
      <c r="E12339" s="4" t="s">
        <v>21319</v>
      </c>
      <c r="F12339" s="4" t="s">
        <v>21318</v>
      </c>
    </row>
    <row r="12340">
      <c r="A12340" s="4">
        <v>381.0</v>
      </c>
      <c r="B12340" s="4" t="s">
        <v>22111</v>
      </c>
      <c r="C12340" s="4"/>
      <c r="D12340" s="4" t="s">
        <v>21320</v>
      </c>
      <c r="E12340" s="4" t="s">
        <v>21321</v>
      </c>
      <c r="F12340" s="4" t="s">
        <v>21320</v>
      </c>
    </row>
    <row r="12341">
      <c r="A12341" s="4">
        <v>382.0</v>
      </c>
      <c r="B12341" s="4" t="s">
        <v>22111</v>
      </c>
      <c r="C12341" s="4"/>
      <c r="D12341" s="4" t="s">
        <v>21322</v>
      </c>
      <c r="E12341" s="4" t="s">
        <v>21319</v>
      </c>
      <c r="F12341" s="4" t="s">
        <v>21318</v>
      </c>
    </row>
    <row r="12342">
      <c r="A12342" s="4">
        <v>383.0</v>
      </c>
      <c r="B12342" s="4" t="s">
        <v>22111</v>
      </c>
      <c r="C12342" s="4"/>
      <c r="D12342" s="4" t="s">
        <v>21323</v>
      </c>
      <c r="E12342" s="4" t="s">
        <v>21321</v>
      </c>
      <c r="F12342" s="4" t="s">
        <v>21320</v>
      </c>
    </row>
    <row r="12343">
      <c r="A12343" s="4">
        <v>384.0</v>
      </c>
      <c r="B12343" s="4" t="s">
        <v>22111</v>
      </c>
      <c r="C12343" s="4"/>
      <c r="D12343" s="4" t="s">
        <v>21324</v>
      </c>
      <c r="E12343" s="4" t="s">
        <v>21325</v>
      </c>
      <c r="F12343" s="4" t="s">
        <v>21324</v>
      </c>
    </row>
    <row r="12344">
      <c r="A12344" s="4">
        <v>385.0</v>
      </c>
      <c r="B12344" s="4" t="s">
        <v>22111</v>
      </c>
      <c r="C12344" s="4"/>
      <c r="D12344" s="4" t="s">
        <v>2430</v>
      </c>
      <c r="E12344" s="4" t="s">
        <v>2431</v>
      </c>
      <c r="F12344" s="4" t="s">
        <v>2432</v>
      </c>
    </row>
    <row r="12345">
      <c r="A12345" s="4">
        <v>386.0</v>
      </c>
      <c r="B12345" s="4" t="s">
        <v>22111</v>
      </c>
      <c r="C12345" s="4"/>
      <c r="D12345" s="4" t="s">
        <v>21328</v>
      </c>
      <c r="E12345" s="4" t="s">
        <v>2402</v>
      </c>
      <c r="F12345" s="4" t="s">
        <v>2401</v>
      </c>
      <c r="G12345" s="4"/>
      <c r="H12345" s="4" t="s">
        <v>12820</v>
      </c>
      <c r="I12345" s="4" t="s">
        <v>12821</v>
      </c>
      <c r="J12345" s="4" t="s">
        <v>11310</v>
      </c>
    </row>
    <row r="12346">
      <c r="A12346" s="4">
        <v>387.0</v>
      </c>
      <c r="B12346" s="4" t="s">
        <v>22111</v>
      </c>
      <c r="C12346" s="4"/>
      <c r="D12346" s="4" t="s">
        <v>21329</v>
      </c>
      <c r="E12346" s="4" t="s">
        <v>2415</v>
      </c>
      <c r="F12346" s="4" t="s">
        <v>2414</v>
      </c>
    </row>
    <row r="12347">
      <c r="A12347" s="4">
        <v>388.0</v>
      </c>
      <c r="B12347" s="4" t="s">
        <v>22111</v>
      </c>
      <c r="C12347" s="4"/>
      <c r="D12347" s="4" t="s">
        <v>2458</v>
      </c>
      <c r="E12347" s="4" t="s">
        <v>2459</v>
      </c>
      <c r="F12347" s="4" t="s">
        <v>2458</v>
      </c>
      <c r="G12347" s="4"/>
      <c r="H12347" s="4" t="s">
        <v>2460</v>
      </c>
    </row>
    <row r="12348">
      <c r="A12348" s="4">
        <v>389.0</v>
      </c>
      <c r="B12348" s="4" t="s">
        <v>22111</v>
      </c>
      <c r="C12348" s="4"/>
      <c r="D12348" s="4" t="s">
        <v>21330</v>
      </c>
      <c r="E12348" s="4" t="s">
        <v>21331</v>
      </c>
      <c r="F12348" s="4" t="s">
        <v>10642</v>
      </c>
    </row>
    <row r="12349">
      <c r="A12349" s="4">
        <v>390.0</v>
      </c>
      <c r="B12349" s="4" t="s">
        <v>22111</v>
      </c>
      <c r="C12349" s="4"/>
      <c r="D12349" s="4" t="s">
        <v>21332</v>
      </c>
      <c r="E12349" s="4" t="s">
        <v>21333</v>
      </c>
      <c r="F12349" s="4" t="s">
        <v>21334</v>
      </c>
    </row>
    <row r="12350">
      <c r="A12350" s="4">
        <v>391.0</v>
      </c>
      <c r="B12350" s="4" t="s">
        <v>22111</v>
      </c>
      <c r="C12350" s="4"/>
      <c r="D12350" s="4" t="s">
        <v>21335</v>
      </c>
      <c r="E12350" s="4" t="s">
        <v>21336</v>
      </c>
      <c r="F12350" s="4" t="s">
        <v>21337</v>
      </c>
    </row>
    <row r="12351">
      <c r="A12351" s="4">
        <v>392.0</v>
      </c>
      <c r="B12351" s="4" t="s">
        <v>22111</v>
      </c>
      <c r="C12351" s="4"/>
      <c r="D12351" s="4" t="s">
        <v>21338</v>
      </c>
      <c r="E12351" s="4" t="s">
        <v>21339</v>
      </c>
      <c r="F12351" s="4" t="s">
        <v>21340</v>
      </c>
      <c r="G12351" s="4"/>
      <c r="H12351" s="4" t="s">
        <v>21341</v>
      </c>
      <c r="I12351" s="4" t="s">
        <v>21342</v>
      </c>
    </row>
    <row r="12352">
      <c r="A12352" s="4">
        <v>393.0</v>
      </c>
      <c r="B12352" s="4" t="s">
        <v>22111</v>
      </c>
      <c r="C12352" s="4"/>
      <c r="D12352" s="4" t="s">
        <v>2293</v>
      </c>
      <c r="E12352" s="4" t="s">
        <v>2473</v>
      </c>
      <c r="F12352" s="4" t="s">
        <v>2293</v>
      </c>
      <c r="G12352" s="4"/>
      <c r="H12352" s="4" t="s">
        <v>2474</v>
      </c>
      <c r="I12352" s="4" t="s">
        <v>2475</v>
      </c>
      <c r="J12352" s="4" t="s">
        <v>2474</v>
      </c>
    </row>
    <row r="12353">
      <c r="A12353" s="4">
        <v>394.0</v>
      </c>
      <c r="B12353" s="4" t="s">
        <v>22111</v>
      </c>
      <c r="C12353" s="4"/>
      <c r="D12353" s="4" t="s">
        <v>21346</v>
      </c>
      <c r="E12353" s="4" t="s">
        <v>21347</v>
      </c>
      <c r="F12353" s="4" t="s">
        <v>21346</v>
      </c>
      <c r="G12353" s="4"/>
      <c r="H12353" s="4" t="s">
        <v>21348</v>
      </c>
      <c r="I12353" s="4" t="s">
        <v>15342</v>
      </c>
      <c r="J12353" s="4" t="s">
        <v>21349</v>
      </c>
    </row>
    <row r="12354">
      <c r="A12354" s="4">
        <v>395.0</v>
      </c>
      <c r="B12354" s="4" t="s">
        <v>22111</v>
      </c>
      <c r="C12354" s="4"/>
      <c r="D12354" s="4" t="s">
        <v>21350</v>
      </c>
      <c r="E12354" s="4" t="s">
        <v>21351</v>
      </c>
      <c r="F12354" s="4" t="s">
        <v>21350</v>
      </c>
    </row>
    <row r="12355">
      <c r="A12355" s="4">
        <v>396.0</v>
      </c>
      <c r="B12355" s="4" t="s">
        <v>22111</v>
      </c>
      <c r="C12355" s="4"/>
      <c r="D12355" s="4" t="s">
        <v>2499</v>
      </c>
      <c r="E12355" s="4" t="s">
        <v>2498</v>
      </c>
      <c r="F12355" s="4" t="s">
        <v>2499</v>
      </c>
    </row>
    <row r="12356">
      <c r="A12356" s="4">
        <v>397.0</v>
      </c>
      <c r="B12356" s="4" t="s">
        <v>22111</v>
      </c>
      <c r="C12356" s="4"/>
      <c r="D12356" s="4" t="s">
        <v>2479</v>
      </c>
      <c r="E12356" s="4" t="s">
        <v>2480</v>
      </c>
      <c r="F12356" s="4" t="s">
        <v>2481</v>
      </c>
    </row>
    <row r="12357">
      <c r="A12357" s="4">
        <v>398.0</v>
      </c>
      <c r="B12357" s="4" t="s">
        <v>22111</v>
      </c>
      <c r="C12357" s="4"/>
      <c r="D12357" s="4" t="s">
        <v>21352</v>
      </c>
      <c r="E12357" s="4" t="s">
        <v>21353</v>
      </c>
      <c r="F12357" s="4" t="s">
        <v>21354</v>
      </c>
    </row>
    <row r="12358">
      <c r="A12358" s="4">
        <v>399.0</v>
      </c>
      <c r="B12358" s="4" t="s">
        <v>22111</v>
      </c>
      <c r="C12358" s="4"/>
      <c r="D12358" s="4" t="s">
        <v>2493</v>
      </c>
      <c r="E12358" s="4" t="s">
        <v>2494</v>
      </c>
      <c r="F12358" s="4" t="s">
        <v>2493</v>
      </c>
    </row>
    <row r="12359">
      <c r="A12359" s="4">
        <v>400.0</v>
      </c>
      <c r="B12359" s="4" t="s">
        <v>22111</v>
      </c>
      <c r="C12359" s="4"/>
      <c r="D12359" s="4" t="s">
        <v>21355</v>
      </c>
      <c r="E12359" s="4" t="s">
        <v>21356</v>
      </c>
      <c r="F12359" s="4" t="s">
        <v>21355</v>
      </c>
    </row>
    <row r="12360">
      <c r="A12360" s="4">
        <v>401.0</v>
      </c>
      <c r="B12360" s="4" t="s">
        <v>22111</v>
      </c>
      <c r="C12360" s="4"/>
      <c r="D12360" s="4" t="s">
        <v>339</v>
      </c>
      <c r="E12360" s="4" t="s">
        <v>338</v>
      </c>
      <c r="F12360" s="4" t="s">
        <v>339</v>
      </c>
    </row>
    <row r="12361">
      <c r="A12361" s="4">
        <v>402.0</v>
      </c>
      <c r="B12361" s="4" t="s">
        <v>22111</v>
      </c>
      <c r="C12361" s="4"/>
      <c r="D12361" s="4" t="s">
        <v>2525</v>
      </c>
      <c r="E12361" s="4" t="s">
        <v>2524</v>
      </c>
      <c r="F12361" s="4" t="s">
        <v>2525</v>
      </c>
      <c r="G12361" s="4"/>
      <c r="H12361" s="4" t="s">
        <v>1743</v>
      </c>
      <c r="I12361" s="4" t="s">
        <v>2526</v>
      </c>
      <c r="J12361" s="4" t="s">
        <v>1743</v>
      </c>
      <c r="K12361" s="4" t="s">
        <v>2527</v>
      </c>
      <c r="L12361" s="4" t="s">
        <v>2528</v>
      </c>
      <c r="M12361" s="4" t="s">
        <v>2529</v>
      </c>
      <c r="N12361" s="4" t="s">
        <v>2530</v>
      </c>
      <c r="O12361" s="4" t="s">
        <v>2531</v>
      </c>
      <c r="P12361" s="4" t="s">
        <v>2532</v>
      </c>
      <c r="Q12361" s="4" t="s">
        <v>2533</v>
      </c>
      <c r="R12361" s="4" t="s">
        <v>1743</v>
      </c>
      <c r="S12361" s="4" t="s">
        <v>2534</v>
      </c>
      <c r="T12361" s="4" t="s">
        <v>2535</v>
      </c>
      <c r="U12361" s="4" t="s">
        <v>2536</v>
      </c>
      <c r="V12361" s="4" t="s">
        <v>781</v>
      </c>
      <c r="W12361" s="4" t="s">
        <v>2539</v>
      </c>
      <c r="X12361" s="4" t="s">
        <v>783</v>
      </c>
      <c r="Y12361" s="4" t="s">
        <v>1743</v>
      </c>
      <c r="Z12361" s="4" t="s">
        <v>2540</v>
      </c>
      <c r="AA12361" s="4" t="s">
        <v>2541</v>
      </c>
      <c r="AB12361" s="4" t="s">
        <v>2532</v>
      </c>
      <c r="AC12361" s="4" t="s">
        <v>2542</v>
      </c>
      <c r="AD12361" s="4" t="s">
        <v>2543</v>
      </c>
    </row>
    <row r="12362">
      <c r="A12362" s="4">
        <v>403.0</v>
      </c>
      <c r="B12362" s="4" t="s">
        <v>22111</v>
      </c>
      <c r="C12362" s="4"/>
      <c r="D12362" s="4" t="s">
        <v>21363</v>
      </c>
      <c r="E12362" s="4" t="s">
        <v>21364</v>
      </c>
      <c r="F12362" s="4" t="s">
        <v>21363</v>
      </c>
    </row>
    <row r="12363">
      <c r="A12363" s="4">
        <v>404.0</v>
      </c>
      <c r="B12363" s="4" t="s">
        <v>22111</v>
      </c>
      <c r="C12363" s="4"/>
      <c r="D12363" s="4" t="s">
        <v>2445</v>
      </c>
      <c r="E12363" s="4" t="s">
        <v>2444</v>
      </c>
      <c r="F12363" s="4" t="s">
        <v>2445</v>
      </c>
    </row>
    <row r="12364">
      <c r="A12364" s="4">
        <v>405.0</v>
      </c>
      <c r="B12364" s="4" t="s">
        <v>22111</v>
      </c>
      <c r="C12364" s="4"/>
      <c r="D12364" s="4" t="s">
        <v>21373</v>
      </c>
      <c r="E12364" s="4" t="s">
        <v>21374</v>
      </c>
      <c r="F12364" s="4" t="s">
        <v>21373</v>
      </c>
      <c r="G12364" s="4"/>
      <c r="H12364" s="4" t="s">
        <v>21375</v>
      </c>
      <c r="I12364" s="4" t="s">
        <v>2576</v>
      </c>
      <c r="J12364" s="4" t="s">
        <v>2577</v>
      </c>
      <c r="K12364" s="4" t="s">
        <v>2578</v>
      </c>
      <c r="L12364" s="4" t="s">
        <v>2579</v>
      </c>
      <c r="M12364" s="4" t="s">
        <v>21375</v>
      </c>
    </row>
    <row r="12365">
      <c r="A12365" s="4">
        <v>406.0</v>
      </c>
      <c r="B12365" s="4" t="s">
        <v>22111</v>
      </c>
      <c r="C12365" s="4"/>
      <c r="D12365" s="4" t="s">
        <v>21376</v>
      </c>
      <c r="E12365" s="4" t="s">
        <v>21377</v>
      </c>
      <c r="F12365" s="4" t="s">
        <v>21376</v>
      </c>
    </row>
    <row r="12366">
      <c r="A12366" s="4">
        <v>407.0</v>
      </c>
      <c r="B12366" s="4" t="s">
        <v>22111</v>
      </c>
      <c r="C12366" s="4"/>
      <c r="D12366" s="4" t="s">
        <v>342</v>
      </c>
      <c r="E12366" s="4" t="s">
        <v>341</v>
      </c>
      <c r="F12366" s="4" t="s">
        <v>342</v>
      </c>
    </row>
    <row r="12367">
      <c r="A12367" s="4">
        <v>408.0</v>
      </c>
      <c r="B12367" s="4" t="s">
        <v>22111</v>
      </c>
      <c r="C12367" s="4"/>
      <c r="D12367" s="4" t="s">
        <v>12868</v>
      </c>
      <c r="E12367" s="4" t="s">
        <v>12869</v>
      </c>
      <c r="F12367" s="4" t="s">
        <v>12870</v>
      </c>
    </row>
    <row r="12368">
      <c r="A12368" s="4">
        <v>409.0</v>
      </c>
      <c r="B12368" s="4" t="s">
        <v>22111</v>
      </c>
      <c r="C12368" s="4"/>
      <c r="D12368" s="4" t="s">
        <v>2599</v>
      </c>
      <c r="E12368" s="4" t="s">
        <v>2600</v>
      </c>
      <c r="F12368" s="4" t="s">
        <v>2601</v>
      </c>
      <c r="G12368" s="4"/>
      <c r="H12368" s="4" t="s">
        <v>2599</v>
      </c>
      <c r="I12368" s="4" t="s">
        <v>2613</v>
      </c>
    </row>
    <row r="12369">
      <c r="A12369" s="4">
        <v>410.0</v>
      </c>
      <c r="B12369" s="4" t="s">
        <v>22111</v>
      </c>
      <c r="C12369" s="4"/>
      <c r="D12369" s="4" t="s">
        <v>18246</v>
      </c>
      <c r="E12369" s="4" t="s">
        <v>14643</v>
      </c>
      <c r="F12369" s="4" t="s">
        <v>2601</v>
      </c>
    </row>
    <row r="12370">
      <c r="A12370" s="4">
        <v>411.0</v>
      </c>
      <c r="B12370" s="4" t="s">
        <v>22111</v>
      </c>
      <c r="C12370" s="4"/>
      <c r="D12370" s="4" t="s">
        <v>2622</v>
      </c>
      <c r="E12370" s="4" t="s">
        <v>2623</v>
      </c>
      <c r="F12370" s="4" t="s">
        <v>2622</v>
      </c>
      <c r="G12370" s="4"/>
      <c r="H12370" s="4" t="s">
        <v>2622</v>
      </c>
      <c r="I12370" s="4" t="s">
        <v>2624</v>
      </c>
      <c r="J12370" s="4" t="s">
        <v>2625</v>
      </c>
      <c r="K12370" s="4">
        <v>1000.0</v>
      </c>
      <c r="L12370" s="4" t="s">
        <v>2628</v>
      </c>
      <c r="M12370" s="4" t="s">
        <v>2629</v>
      </c>
      <c r="N12370" s="4" t="s">
        <v>2630</v>
      </c>
      <c r="O12370" s="4" t="s">
        <v>2631</v>
      </c>
      <c r="P12370" s="4" t="s">
        <v>2632</v>
      </c>
      <c r="Q12370" s="4" t="s">
        <v>2633</v>
      </c>
      <c r="R12370" s="4" t="s">
        <v>2634</v>
      </c>
    </row>
    <row r="12371">
      <c r="A12371" s="4">
        <v>412.0</v>
      </c>
      <c r="B12371" s="4" t="s">
        <v>22111</v>
      </c>
      <c r="C12371" s="4"/>
      <c r="D12371" s="4" t="s">
        <v>16790</v>
      </c>
      <c r="E12371" s="4" t="s">
        <v>16791</v>
      </c>
      <c r="F12371" s="4" t="s">
        <v>16790</v>
      </c>
    </row>
    <row r="12372">
      <c r="A12372" s="4">
        <v>413.0</v>
      </c>
      <c r="B12372" s="4" t="s">
        <v>22111</v>
      </c>
      <c r="C12372" s="4"/>
      <c r="D12372" s="4" t="s">
        <v>21387</v>
      </c>
      <c r="E12372" s="4" t="s">
        <v>21388</v>
      </c>
      <c r="F12372" s="4" t="s">
        <v>21387</v>
      </c>
      <c r="G12372" s="4"/>
      <c r="H12372" s="4" t="s">
        <v>21389</v>
      </c>
      <c r="I12372" s="4" t="s">
        <v>21390</v>
      </c>
      <c r="J12372" s="4" t="s">
        <v>8941</v>
      </c>
      <c r="K12372" s="4" t="s">
        <v>9618</v>
      </c>
      <c r="L12372" s="4" t="s">
        <v>21391</v>
      </c>
    </row>
    <row r="12373">
      <c r="A12373" s="4">
        <v>414.0</v>
      </c>
      <c r="B12373" s="4" t="s">
        <v>22111</v>
      </c>
      <c r="C12373" s="4"/>
      <c r="D12373" s="4" t="s">
        <v>2695</v>
      </c>
      <c r="E12373" s="4" t="s">
        <v>2696</v>
      </c>
      <c r="F12373" s="4" t="s">
        <v>2695</v>
      </c>
      <c r="G12373" s="4"/>
      <c r="H12373" s="4" t="s">
        <v>648</v>
      </c>
      <c r="I12373" s="4" t="s">
        <v>2697</v>
      </c>
      <c r="J12373" s="4" t="s">
        <v>2698</v>
      </c>
      <c r="K12373" s="4" t="s">
        <v>2698</v>
      </c>
      <c r="L12373" s="4" t="s">
        <v>21392</v>
      </c>
    </row>
    <row r="12374">
      <c r="A12374" s="4">
        <v>415.0</v>
      </c>
      <c r="B12374" s="4" t="s">
        <v>22111</v>
      </c>
      <c r="C12374" s="4"/>
      <c r="D12374" s="4" t="s">
        <v>2699</v>
      </c>
      <c r="E12374" s="4" t="s">
        <v>2701</v>
      </c>
      <c r="F12374" s="4" t="s">
        <v>2699</v>
      </c>
      <c r="G12374" s="4"/>
      <c r="H12374" s="4" t="s">
        <v>2698</v>
      </c>
      <c r="I12374" s="4" t="s">
        <v>21393</v>
      </c>
      <c r="J12374" s="4" t="s">
        <v>21394</v>
      </c>
    </row>
    <row r="12375">
      <c r="A12375" s="4">
        <v>416.0</v>
      </c>
      <c r="B12375" s="4" t="s">
        <v>22111</v>
      </c>
      <c r="C12375" s="4"/>
      <c r="D12375" s="4" t="s">
        <v>12891</v>
      </c>
      <c r="E12375" s="4" t="s">
        <v>12893</v>
      </c>
      <c r="F12375" s="4" t="s">
        <v>12891</v>
      </c>
    </row>
    <row r="12376">
      <c r="A12376" s="4">
        <v>417.0</v>
      </c>
      <c r="B12376" s="4" t="s">
        <v>22111</v>
      </c>
      <c r="C12376" s="4"/>
      <c r="D12376" s="4" t="s">
        <v>21395</v>
      </c>
      <c r="E12376" s="4" t="s">
        <v>21396</v>
      </c>
      <c r="F12376" s="4" t="s">
        <v>21395</v>
      </c>
    </row>
    <row r="12377">
      <c r="A12377" s="4">
        <v>418.0</v>
      </c>
      <c r="B12377" s="4" t="s">
        <v>22111</v>
      </c>
      <c r="C12377" s="4"/>
      <c r="D12377" s="4" t="s">
        <v>2896</v>
      </c>
      <c r="E12377" s="4" t="s">
        <v>12908</v>
      </c>
      <c r="F12377" s="4" t="s">
        <v>2896</v>
      </c>
    </row>
    <row r="12378">
      <c r="A12378" s="4">
        <v>419.0</v>
      </c>
      <c r="B12378" s="4" t="s">
        <v>22111</v>
      </c>
      <c r="C12378" s="4"/>
      <c r="D12378" s="4" t="s">
        <v>2702</v>
      </c>
      <c r="E12378" s="4" t="s">
        <v>2703</v>
      </c>
      <c r="F12378" s="4" t="s">
        <v>2702</v>
      </c>
    </row>
    <row r="12379">
      <c r="A12379" s="4">
        <v>420.0</v>
      </c>
      <c r="B12379" s="4" t="s">
        <v>22111</v>
      </c>
      <c r="C12379" s="4"/>
      <c r="D12379" s="4" t="s">
        <v>14212</v>
      </c>
      <c r="E12379" s="4" t="s">
        <v>14213</v>
      </c>
      <c r="F12379" s="4" t="s">
        <v>14212</v>
      </c>
      <c r="G12379" s="4"/>
      <c r="H12379" s="4" t="s">
        <v>14214</v>
      </c>
      <c r="I12379" s="4" t="s">
        <v>14215</v>
      </c>
      <c r="J12379" s="4" t="s">
        <v>1063</v>
      </c>
      <c r="K12379" s="4" t="s">
        <v>7918</v>
      </c>
      <c r="L12379" s="4" t="s">
        <v>7919</v>
      </c>
      <c r="M12379" s="4" t="s">
        <v>6669</v>
      </c>
      <c r="N12379" s="4" t="s">
        <v>14216</v>
      </c>
      <c r="O12379" s="4" t="s">
        <v>6686</v>
      </c>
      <c r="P12379" s="4" t="s">
        <v>14214</v>
      </c>
      <c r="Q12379" s="4" t="s">
        <v>14214</v>
      </c>
      <c r="R12379" s="4" t="s">
        <v>6682</v>
      </c>
      <c r="S12379" s="4" t="s">
        <v>6669</v>
      </c>
      <c r="T12379" s="4" t="s">
        <v>4619</v>
      </c>
      <c r="U12379" s="4" t="s">
        <v>19668</v>
      </c>
    </row>
    <row r="12380">
      <c r="A12380" s="4">
        <v>421.0</v>
      </c>
      <c r="B12380" s="4" t="s">
        <v>22111</v>
      </c>
      <c r="C12380" s="4"/>
      <c r="D12380" s="4" t="s">
        <v>2711</v>
      </c>
      <c r="E12380" s="4" t="s">
        <v>2710</v>
      </c>
      <c r="F12380" s="4" t="s">
        <v>2711</v>
      </c>
    </row>
    <row r="12381">
      <c r="A12381" s="4">
        <v>422.0</v>
      </c>
      <c r="B12381" s="4" t="s">
        <v>22111</v>
      </c>
      <c r="C12381" s="4"/>
      <c r="D12381" s="4" t="s">
        <v>2714</v>
      </c>
      <c r="E12381" s="4" t="s">
        <v>2713</v>
      </c>
      <c r="F12381" s="4" t="s">
        <v>2714</v>
      </c>
      <c r="G12381" s="4"/>
      <c r="H12381" s="4" t="s">
        <v>2715</v>
      </c>
      <c r="I12381" s="4" t="s">
        <v>2715</v>
      </c>
    </row>
    <row r="12382">
      <c r="A12382" s="4">
        <v>423.0</v>
      </c>
      <c r="B12382" s="4" t="s">
        <v>22111</v>
      </c>
      <c r="C12382" s="4"/>
      <c r="D12382" s="4" t="s">
        <v>12921</v>
      </c>
      <c r="E12382" s="4" t="s">
        <v>12920</v>
      </c>
      <c r="F12382" s="4" t="s">
        <v>12921</v>
      </c>
    </row>
    <row r="12383">
      <c r="A12383" s="4">
        <v>424.0</v>
      </c>
      <c r="B12383" s="4" t="s">
        <v>22111</v>
      </c>
      <c r="C12383" s="4"/>
      <c r="D12383" s="4" t="s">
        <v>2718</v>
      </c>
      <c r="E12383" s="4" t="s">
        <v>2717</v>
      </c>
      <c r="F12383" s="4" t="s">
        <v>2718</v>
      </c>
    </row>
    <row r="12384">
      <c r="A12384" s="4">
        <v>425.0</v>
      </c>
      <c r="B12384" s="4" t="s">
        <v>22111</v>
      </c>
      <c r="C12384" s="4"/>
      <c r="D12384" s="4" t="s">
        <v>21399</v>
      </c>
      <c r="E12384" s="4" t="s">
        <v>2717</v>
      </c>
      <c r="F12384" s="4" t="s">
        <v>2718</v>
      </c>
    </row>
    <row r="12385">
      <c r="A12385" s="4">
        <v>426.0</v>
      </c>
      <c r="B12385" s="4" t="s">
        <v>22111</v>
      </c>
      <c r="C12385" s="4"/>
      <c r="D12385" s="4" t="s">
        <v>2709</v>
      </c>
      <c r="E12385" s="4" t="s">
        <v>2710</v>
      </c>
      <c r="F12385" s="4" t="s">
        <v>2711</v>
      </c>
    </row>
    <row r="12386">
      <c r="A12386" s="4">
        <v>427.0</v>
      </c>
      <c r="B12386" s="4" t="s">
        <v>22111</v>
      </c>
      <c r="C12386" s="4"/>
      <c r="D12386" s="4" t="s">
        <v>21402</v>
      </c>
      <c r="E12386" s="4" t="s">
        <v>21403</v>
      </c>
      <c r="F12386" s="4" t="s">
        <v>21402</v>
      </c>
    </row>
    <row r="12387">
      <c r="A12387" s="4">
        <v>428.0</v>
      </c>
      <c r="B12387" s="4" t="s">
        <v>22111</v>
      </c>
      <c r="C12387" s="4"/>
      <c r="D12387" s="4" t="s">
        <v>21405</v>
      </c>
      <c r="E12387" s="4" t="s">
        <v>21406</v>
      </c>
      <c r="F12387" s="4" t="s">
        <v>21407</v>
      </c>
    </row>
    <row r="12388">
      <c r="A12388" s="4">
        <v>429.0</v>
      </c>
      <c r="B12388" s="4" t="s">
        <v>22111</v>
      </c>
      <c r="C12388" s="4"/>
      <c r="D12388" s="4" t="s">
        <v>2786</v>
      </c>
      <c r="E12388" s="4" t="s">
        <v>2787</v>
      </c>
      <c r="F12388" s="4" t="s">
        <v>2786</v>
      </c>
      <c r="G12388" s="4"/>
      <c r="H12388" s="4" t="s">
        <v>2785</v>
      </c>
      <c r="I12388" s="4" t="s">
        <v>6237</v>
      </c>
    </row>
    <row r="12389">
      <c r="A12389" s="4">
        <v>430.0</v>
      </c>
      <c r="B12389" s="4" t="s">
        <v>22111</v>
      </c>
      <c r="C12389" s="4"/>
      <c r="D12389" s="4" t="s">
        <v>2788</v>
      </c>
      <c r="E12389" s="4" t="s">
        <v>2789</v>
      </c>
      <c r="F12389" s="4" t="s">
        <v>2788</v>
      </c>
    </row>
    <row r="12390">
      <c r="A12390" s="4">
        <v>431.0</v>
      </c>
      <c r="B12390" s="4" t="s">
        <v>22111</v>
      </c>
      <c r="C12390" s="4"/>
      <c r="D12390" s="4" t="s">
        <v>21414</v>
      </c>
      <c r="E12390" s="4" t="s">
        <v>2787</v>
      </c>
      <c r="F12390" s="4" t="s">
        <v>2786</v>
      </c>
    </row>
    <row r="12391">
      <c r="A12391" s="4">
        <v>432.0</v>
      </c>
      <c r="B12391" s="4" t="s">
        <v>22111</v>
      </c>
      <c r="C12391" s="4"/>
      <c r="D12391" s="4" t="s">
        <v>19237</v>
      </c>
      <c r="E12391" s="4" t="s">
        <v>19238</v>
      </c>
      <c r="F12391" s="4" t="s">
        <v>19237</v>
      </c>
    </row>
    <row r="12392">
      <c r="A12392" s="4">
        <v>433.0</v>
      </c>
      <c r="B12392" s="4" t="s">
        <v>22111</v>
      </c>
      <c r="C12392" s="4"/>
      <c r="D12392" s="4" t="s">
        <v>2833</v>
      </c>
      <c r="E12392" s="4" t="s">
        <v>2834</v>
      </c>
      <c r="F12392" s="4" t="s">
        <v>2833</v>
      </c>
    </row>
    <row r="12393">
      <c r="A12393" s="4">
        <v>434.0</v>
      </c>
      <c r="B12393" s="4" t="s">
        <v>22111</v>
      </c>
      <c r="C12393" s="4"/>
      <c r="D12393" s="4" t="s">
        <v>2743</v>
      </c>
      <c r="E12393" s="4" t="s">
        <v>2742</v>
      </c>
      <c r="F12393" s="4" t="s">
        <v>2743</v>
      </c>
      <c r="G12393" s="4"/>
      <c r="H12393" s="4" t="s">
        <v>2743</v>
      </c>
    </row>
    <row r="12394">
      <c r="A12394" s="4">
        <v>435.0</v>
      </c>
      <c r="B12394" s="4" t="s">
        <v>22111</v>
      </c>
      <c r="C12394" s="4"/>
      <c r="D12394" s="4" t="s">
        <v>2841</v>
      </c>
      <c r="E12394" s="4" t="s">
        <v>2844</v>
      </c>
      <c r="F12394" s="4" t="s">
        <v>2841</v>
      </c>
    </row>
    <row r="12395">
      <c r="A12395" s="4">
        <v>436.0</v>
      </c>
      <c r="B12395" s="4" t="s">
        <v>22111</v>
      </c>
      <c r="C12395" s="4"/>
      <c r="D12395" s="4" t="s">
        <v>13003</v>
      </c>
      <c r="E12395" s="4" t="s">
        <v>13002</v>
      </c>
      <c r="F12395" s="4" t="s">
        <v>13003</v>
      </c>
      <c r="G12395" s="4"/>
      <c r="H12395" s="4" t="s">
        <v>16434</v>
      </c>
    </row>
    <row r="12396">
      <c r="A12396" s="4">
        <v>437.0</v>
      </c>
      <c r="B12396" s="4" t="s">
        <v>22111</v>
      </c>
      <c r="C12396" s="4"/>
      <c r="D12396" s="4" t="s">
        <v>2847</v>
      </c>
      <c r="E12396" s="4" t="s">
        <v>2846</v>
      </c>
      <c r="F12396" s="4" t="s">
        <v>2847</v>
      </c>
      <c r="G12396" s="4"/>
      <c r="H12396" s="4" t="s">
        <v>21415</v>
      </c>
      <c r="I12396" s="4" t="s">
        <v>21416</v>
      </c>
    </row>
    <row r="12397">
      <c r="A12397" s="4">
        <v>438.0</v>
      </c>
      <c r="B12397" s="4" t="s">
        <v>22111</v>
      </c>
      <c r="C12397" s="4"/>
      <c r="D12397" s="4" t="s">
        <v>21417</v>
      </c>
      <c r="E12397" s="4" t="s">
        <v>21418</v>
      </c>
      <c r="F12397" s="4" t="s">
        <v>21417</v>
      </c>
    </row>
    <row r="12398">
      <c r="A12398" s="4">
        <v>439.0</v>
      </c>
      <c r="B12398" s="4" t="s">
        <v>22111</v>
      </c>
      <c r="C12398" s="4"/>
      <c r="D12398" s="4" t="s">
        <v>21419</v>
      </c>
      <c r="E12398" s="4" t="s">
        <v>21420</v>
      </c>
      <c r="F12398" s="4" t="s">
        <v>21421</v>
      </c>
      <c r="G12398" s="4"/>
      <c r="H12398" s="4" t="s">
        <v>21419</v>
      </c>
      <c r="I12398" s="4" t="s">
        <v>21419</v>
      </c>
      <c r="J12398" s="4" t="s">
        <v>11145</v>
      </c>
    </row>
    <row r="12399">
      <c r="A12399" s="4">
        <v>440.0</v>
      </c>
      <c r="B12399" s="4" t="s">
        <v>22111</v>
      </c>
      <c r="C12399" s="4"/>
      <c r="D12399" s="4" t="s">
        <v>21426</v>
      </c>
      <c r="E12399" s="4" t="s">
        <v>21427</v>
      </c>
      <c r="F12399" s="4" t="s">
        <v>21426</v>
      </c>
    </row>
    <row r="12400">
      <c r="A12400" s="4">
        <v>441.0</v>
      </c>
      <c r="B12400" s="4" t="s">
        <v>22111</v>
      </c>
      <c r="C12400" s="4"/>
      <c r="D12400" s="4" t="s">
        <v>21428</v>
      </c>
      <c r="E12400" s="4" t="s">
        <v>2863</v>
      </c>
      <c r="F12400" s="4" t="s">
        <v>2864</v>
      </c>
    </row>
    <row r="12401">
      <c r="A12401" s="4">
        <v>442.0</v>
      </c>
      <c r="B12401" s="4" t="s">
        <v>22111</v>
      </c>
      <c r="C12401" s="4"/>
      <c r="D12401" s="4" t="s">
        <v>21429</v>
      </c>
      <c r="E12401" s="4" t="s">
        <v>21430</v>
      </c>
      <c r="F12401" s="4" t="s">
        <v>21431</v>
      </c>
    </row>
    <row r="12402">
      <c r="A12402" s="4">
        <v>443.0</v>
      </c>
      <c r="B12402" s="4" t="s">
        <v>22111</v>
      </c>
      <c r="C12402" s="4"/>
      <c r="D12402" s="4" t="s">
        <v>19243</v>
      </c>
      <c r="E12402" s="4" t="s">
        <v>2872</v>
      </c>
      <c r="F12402" s="4" t="s">
        <v>2873</v>
      </c>
      <c r="G12402" s="4"/>
      <c r="H12402" s="4" t="s">
        <v>1301</v>
      </c>
      <c r="I12402" s="4" t="s">
        <v>19244</v>
      </c>
      <c r="J12402" s="4" t="s">
        <v>19245</v>
      </c>
      <c r="K12402" s="4" t="s">
        <v>2874</v>
      </c>
      <c r="L12402" s="4" t="s">
        <v>19246</v>
      </c>
      <c r="M12402" s="4" t="s">
        <v>2874</v>
      </c>
      <c r="N12402" s="4" t="s">
        <v>2874</v>
      </c>
      <c r="O12402" s="4" t="s">
        <v>2875</v>
      </c>
      <c r="P12402" s="4" t="s">
        <v>2874</v>
      </c>
    </row>
    <row r="12403">
      <c r="A12403" s="4">
        <v>444.0</v>
      </c>
      <c r="B12403" s="4" t="s">
        <v>22111</v>
      </c>
      <c r="C12403" s="4"/>
      <c r="D12403" s="4" t="s">
        <v>21432</v>
      </c>
      <c r="E12403" s="4" t="s">
        <v>338</v>
      </c>
      <c r="F12403" s="4" t="s">
        <v>339</v>
      </c>
    </row>
    <row r="12404">
      <c r="A12404" s="4">
        <v>445.0</v>
      </c>
      <c r="B12404" s="4" t="s">
        <v>22111</v>
      </c>
      <c r="C12404" s="4"/>
      <c r="D12404" s="4" t="s">
        <v>21433</v>
      </c>
      <c r="E12404" s="4" t="s">
        <v>341</v>
      </c>
      <c r="F12404" s="4" t="s">
        <v>342</v>
      </c>
    </row>
    <row r="12405">
      <c r="A12405" s="4">
        <v>446.0</v>
      </c>
      <c r="B12405" s="4" t="s">
        <v>22111</v>
      </c>
      <c r="C12405" s="4"/>
      <c r="D12405" s="4" t="s">
        <v>2879</v>
      </c>
      <c r="E12405" s="4" t="s">
        <v>2880</v>
      </c>
      <c r="F12405" s="4" t="s">
        <v>2881</v>
      </c>
      <c r="G12405" s="4"/>
      <c r="H12405" s="4" t="s">
        <v>2886</v>
      </c>
      <c r="I12405" s="4" t="s">
        <v>2887</v>
      </c>
    </row>
    <row r="12406">
      <c r="A12406" s="4">
        <v>447.0</v>
      </c>
      <c r="B12406" s="4" t="s">
        <v>22111</v>
      </c>
      <c r="C12406" s="4"/>
      <c r="D12406" s="4" t="s">
        <v>21434</v>
      </c>
      <c r="E12406" s="4" t="s">
        <v>21435</v>
      </c>
      <c r="F12406" s="4" t="s">
        <v>21436</v>
      </c>
    </row>
    <row r="12407">
      <c r="A12407" s="4">
        <v>448.0</v>
      </c>
      <c r="B12407" s="4" t="s">
        <v>22111</v>
      </c>
      <c r="C12407" s="4"/>
      <c r="D12407" s="4" t="s">
        <v>2902</v>
      </c>
      <c r="E12407" s="4" t="s">
        <v>2903</v>
      </c>
      <c r="F12407" s="4" t="s">
        <v>2904</v>
      </c>
    </row>
    <row r="12408">
      <c r="A12408" s="4">
        <v>449.0</v>
      </c>
      <c r="B12408" s="4" t="s">
        <v>22111</v>
      </c>
      <c r="C12408" s="4"/>
      <c r="D12408" s="4" t="s">
        <v>21437</v>
      </c>
      <c r="E12408" s="4" t="s">
        <v>21438</v>
      </c>
      <c r="F12408" s="4" t="s">
        <v>21439</v>
      </c>
    </row>
    <row r="12409">
      <c r="A12409" s="4">
        <v>450.0</v>
      </c>
      <c r="B12409" s="4" t="s">
        <v>22111</v>
      </c>
      <c r="C12409" s="4"/>
      <c r="D12409" s="4" t="s">
        <v>21442</v>
      </c>
      <c r="E12409" s="4" t="s">
        <v>2812</v>
      </c>
      <c r="F12409" s="4" t="s">
        <v>2813</v>
      </c>
    </row>
    <row r="12410">
      <c r="A12410" s="4">
        <v>451.0</v>
      </c>
      <c r="B12410" s="4" t="s">
        <v>22111</v>
      </c>
      <c r="C12410" s="4"/>
      <c r="D12410" s="4" t="s">
        <v>21443</v>
      </c>
      <c r="E12410" s="4" t="s">
        <v>21444</v>
      </c>
      <c r="F12410" s="4" t="s">
        <v>21445</v>
      </c>
      <c r="G12410" s="4"/>
      <c r="H12410" s="4" t="s">
        <v>4849</v>
      </c>
      <c r="I12410" s="4" t="s">
        <v>4849</v>
      </c>
      <c r="J12410" s="4" t="s">
        <v>21446</v>
      </c>
      <c r="K12410" s="4" t="s">
        <v>4849</v>
      </c>
    </row>
    <row r="12411">
      <c r="A12411" s="4">
        <v>452.0</v>
      </c>
      <c r="B12411" s="4" t="s">
        <v>22111</v>
      </c>
      <c r="C12411" s="4"/>
      <c r="D12411" s="4" t="s">
        <v>16802</v>
      </c>
      <c r="E12411" s="4" t="s">
        <v>16803</v>
      </c>
      <c r="F12411" s="4" t="s">
        <v>16804</v>
      </c>
    </row>
    <row r="12412">
      <c r="A12412" s="4">
        <v>453.0</v>
      </c>
      <c r="B12412" s="4" t="s">
        <v>22111</v>
      </c>
      <c r="C12412" s="4"/>
      <c r="D12412" s="4" t="s">
        <v>21447</v>
      </c>
      <c r="E12412" s="4" t="s">
        <v>18340</v>
      </c>
      <c r="F12412" s="4" t="s">
        <v>18341</v>
      </c>
    </row>
    <row r="12413">
      <c r="A12413" s="4">
        <v>454.0</v>
      </c>
      <c r="B12413" s="4" t="s">
        <v>22111</v>
      </c>
      <c r="C12413" s="4"/>
      <c r="D12413" s="4" t="s">
        <v>21451</v>
      </c>
      <c r="E12413" s="4" t="s">
        <v>21452</v>
      </c>
      <c r="F12413" s="4" t="s">
        <v>21453</v>
      </c>
    </row>
    <row r="12414">
      <c r="A12414" s="4">
        <v>455.0</v>
      </c>
      <c r="B12414" s="4" t="s">
        <v>22111</v>
      </c>
      <c r="C12414" s="4"/>
      <c r="D12414" s="4" t="s">
        <v>2923</v>
      </c>
      <c r="E12414" s="4" t="s">
        <v>2924</v>
      </c>
      <c r="F12414" s="4" t="s">
        <v>2923</v>
      </c>
      <c r="G12414" s="4"/>
      <c r="H12414" s="4" t="s">
        <v>1878</v>
      </c>
      <c r="I12414" s="4" t="s">
        <v>1879</v>
      </c>
      <c r="J12414" s="4" t="s">
        <v>1880</v>
      </c>
      <c r="K12414" s="4" t="s">
        <v>1881</v>
      </c>
      <c r="L12414" s="4" t="s">
        <v>1882</v>
      </c>
      <c r="N12414" s="4" t="s">
        <v>1883</v>
      </c>
    </row>
    <row r="12415">
      <c r="A12415" s="4">
        <v>456.0</v>
      </c>
      <c r="B12415" s="4" t="s">
        <v>22111</v>
      </c>
      <c r="C12415" s="4"/>
      <c r="D12415" s="4" t="s">
        <v>13051</v>
      </c>
      <c r="E12415" s="4" t="s">
        <v>15274</v>
      </c>
      <c r="F12415" s="4" t="s">
        <v>13051</v>
      </c>
    </row>
    <row r="12416">
      <c r="A12416" s="4">
        <v>457.0</v>
      </c>
      <c r="B12416" s="4" t="s">
        <v>22111</v>
      </c>
      <c r="C12416" s="4"/>
      <c r="D12416" s="4" t="s">
        <v>19266</v>
      </c>
      <c r="E12416" s="4" t="s">
        <v>19267</v>
      </c>
      <c r="F12416" s="4" t="s">
        <v>19266</v>
      </c>
      <c r="G12416" s="4"/>
      <c r="H12416" s="4" t="s">
        <v>19268</v>
      </c>
      <c r="I12416" s="4" t="s">
        <v>19269</v>
      </c>
    </row>
    <row r="12417">
      <c r="A12417" s="4">
        <v>458.0</v>
      </c>
      <c r="B12417" s="4" t="s">
        <v>22111</v>
      </c>
      <c r="C12417" s="4"/>
      <c r="D12417" s="4" t="s">
        <v>21454</v>
      </c>
      <c r="E12417" s="4" t="s">
        <v>21455</v>
      </c>
      <c r="F12417" s="4" t="s">
        <v>21454</v>
      </c>
    </row>
    <row r="12418">
      <c r="A12418" s="4">
        <v>459.0</v>
      </c>
      <c r="B12418" s="4" t="s">
        <v>22111</v>
      </c>
      <c r="C12418" s="4"/>
      <c r="D12418" s="4" t="s">
        <v>21456</v>
      </c>
      <c r="E12418" s="4" t="s">
        <v>21457</v>
      </c>
      <c r="F12418" s="4" t="s">
        <v>21456</v>
      </c>
      <c r="G12418" s="4"/>
      <c r="H12418" s="4" t="s">
        <v>21458</v>
      </c>
      <c r="I12418" s="4" t="s">
        <v>21456</v>
      </c>
      <c r="J12418" s="4" t="s">
        <v>21459</v>
      </c>
    </row>
    <row r="12419">
      <c r="A12419" s="4">
        <v>460.0</v>
      </c>
      <c r="B12419" s="4" t="s">
        <v>22111</v>
      </c>
      <c r="C12419" s="4"/>
      <c r="D12419" s="4" t="s">
        <v>389</v>
      </c>
      <c r="E12419" s="4" t="s">
        <v>388</v>
      </c>
      <c r="F12419" s="4" t="s">
        <v>389</v>
      </c>
    </row>
    <row r="12420">
      <c r="A12420" s="4">
        <v>461.0</v>
      </c>
      <c r="B12420" s="4" t="s">
        <v>22111</v>
      </c>
      <c r="C12420" s="4"/>
      <c r="D12420" s="4" t="s">
        <v>6994</v>
      </c>
      <c r="E12420" s="4" t="s">
        <v>13093</v>
      </c>
      <c r="F12420" s="4" t="s">
        <v>6994</v>
      </c>
    </row>
    <row r="12421">
      <c r="A12421" s="4">
        <v>462.0</v>
      </c>
      <c r="B12421" s="4" t="s">
        <v>22111</v>
      </c>
      <c r="C12421" s="4"/>
      <c r="D12421" s="4" t="s">
        <v>21463</v>
      </c>
      <c r="E12421" s="4" t="s">
        <v>21464</v>
      </c>
      <c r="F12421" s="4" t="s">
        <v>21463</v>
      </c>
      <c r="G12421" s="4"/>
      <c r="H12421" s="4" t="s">
        <v>4701</v>
      </c>
      <c r="I12421" s="4" t="s">
        <v>2283</v>
      </c>
      <c r="J12421" s="4" t="s">
        <v>21465</v>
      </c>
      <c r="K12421" s="4" t="s">
        <v>6861</v>
      </c>
      <c r="L12421" s="4" t="s">
        <v>21466</v>
      </c>
      <c r="M12421" s="4" t="s">
        <v>6861</v>
      </c>
      <c r="N12421" s="4" t="s">
        <v>2709</v>
      </c>
      <c r="O12421" s="4" t="s">
        <v>6862</v>
      </c>
      <c r="P12421" s="4" t="s">
        <v>6863</v>
      </c>
      <c r="Q12421" s="4" t="s">
        <v>6864</v>
      </c>
      <c r="R12421" s="4" t="s">
        <v>6865</v>
      </c>
      <c r="S12421" s="4" t="s">
        <v>6581</v>
      </c>
      <c r="T12421" s="4" t="s">
        <v>6582</v>
      </c>
      <c r="U12421" s="4" t="s">
        <v>6583</v>
      </c>
      <c r="V12421" s="4" t="s">
        <v>6584</v>
      </c>
    </row>
    <row r="12422">
      <c r="A12422" s="4">
        <v>463.0</v>
      </c>
      <c r="B12422" s="4" t="s">
        <v>22111</v>
      </c>
      <c r="C12422" s="4"/>
      <c r="D12422" s="4" t="s">
        <v>3037</v>
      </c>
      <c r="E12422" s="4" t="s">
        <v>3038</v>
      </c>
      <c r="F12422" s="4" t="s">
        <v>3039</v>
      </c>
      <c r="G12422" s="4"/>
      <c r="H12422" s="4" t="s">
        <v>3040</v>
      </c>
      <c r="I12422" s="4" t="s">
        <v>3041</v>
      </c>
      <c r="J12422" s="4" t="s">
        <v>3042</v>
      </c>
    </row>
    <row r="12423">
      <c r="A12423" s="4">
        <v>464.0</v>
      </c>
      <c r="B12423" s="4" t="s">
        <v>22111</v>
      </c>
      <c r="C12423" s="4"/>
      <c r="D12423" s="4" t="s">
        <v>21467</v>
      </c>
      <c r="E12423" s="4" t="s">
        <v>388</v>
      </c>
      <c r="F12423" s="4" t="s">
        <v>389</v>
      </c>
      <c r="G12423" s="4"/>
      <c r="H12423" s="4" t="s">
        <v>21468</v>
      </c>
      <c r="I12423" s="4" t="s">
        <v>21469</v>
      </c>
      <c r="J12423" s="4" t="s">
        <v>21470</v>
      </c>
      <c r="K12423" s="4" t="s">
        <v>21471</v>
      </c>
    </row>
    <row r="12424">
      <c r="A12424" s="4">
        <v>465.0</v>
      </c>
      <c r="B12424" s="4" t="s">
        <v>22111</v>
      </c>
      <c r="C12424" s="4"/>
      <c r="D12424" s="4" t="s">
        <v>21472</v>
      </c>
      <c r="E12424" s="4" t="s">
        <v>373</v>
      </c>
      <c r="F12424" s="4" t="s">
        <v>374</v>
      </c>
    </row>
    <row r="12425">
      <c r="A12425" s="4">
        <v>466.0</v>
      </c>
      <c r="B12425" s="4" t="s">
        <v>22111</v>
      </c>
      <c r="C12425" s="4"/>
      <c r="D12425" s="4" t="s">
        <v>21473</v>
      </c>
      <c r="E12425" s="4" t="s">
        <v>21474</v>
      </c>
      <c r="F12425" s="4" t="s">
        <v>21475</v>
      </c>
      <c r="G12425" s="4"/>
      <c r="H12425" s="4" t="s">
        <v>21476</v>
      </c>
      <c r="I12425" s="4" t="s">
        <v>21477</v>
      </c>
    </row>
    <row r="12426">
      <c r="A12426" s="4">
        <v>467.0</v>
      </c>
      <c r="B12426" s="4" t="s">
        <v>22111</v>
      </c>
      <c r="C12426" s="4"/>
      <c r="D12426" s="4" t="s">
        <v>21478</v>
      </c>
      <c r="E12426" s="4" t="s">
        <v>21479</v>
      </c>
      <c r="F12426" s="4" t="s">
        <v>21480</v>
      </c>
    </row>
    <row r="12427">
      <c r="A12427" s="4">
        <v>468.0</v>
      </c>
      <c r="B12427" s="4" t="s">
        <v>22111</v>
      </c>
      <c r="C12427" s="4"/>
      <c r="D12427" s="4" t="s">
        <v>21481</v>
      </c>
      <c r="E12427" s="4" t="s">
        <v>21482</v>
      </c>
      <c r="F12427" s="4" t="s">
        <v>21483</v>
      </c>
    </row>
    <row r="12428">
      <c r="A12428" s="4">
        <v>469.0</v>
      </c>
      <c r="B12428" s="4" t="s">
        <v>22111</v>
      </c>
      <c r="C12428" s="4"/>
      <c r="D12428" s="4" t="s">
        <v>3147</v>
      </c>
      <c r="E12428" s="4" t="s">
        <v>3148</v>
      </c>
      <c r="F12428" s="4" t="s">
        <v>3147</v>
      </c>
      <c r="G12428" s="4"/>
      <c r="H12428" s="4" t="s">
        <v>21484</v>
      </c>
      <c r="I12428" s="4" t="s">
        <v>21485</v>
      </c>
      <c r="J12428" s="4" t="s">
        <v>21486</v>
      </c>
    </row>
    <row r="12429">
      <c r="A12429" s="4">
        <v>470.0</v>
      </c>
      <c r="B12429" s="4" t="s">
        <v>22111</v>
      </c>
      <c r="C12429" s="4"/>
      <c r="D12429" s="4" t="s">
        <v>21487</v>
      </c>
      <c r="E12429" s="4" t="s">
        <v>3162</v>
      </c>
      <c r="F12429" s="4" t="s">
        <v>3161</v>
      </c>
    </row>
    <row r="12430">
      <c r="A12430" s="4">
        <v>471.0</v>
      </c>
      <c r="B12430" s="4" t="s">
        <v>22111</v>
      </c>
      <c r="C12430" s="4"/>
      <c r="D12430" s="4" t="s">
        <v>13144</v>
      </c>
      <c r="E12430" s="4" t="s">
        <v>13145</v>
      </c>
      <c r="F12430" s="4" t="s">
        <v>11055</v>
      </c>
    </row>
    <row r="12431">
      <c r="A12431" s="4">
        <v>472.0</v>
      </c>
      <c r="B12431" s="4" t="s">
        <v>22111</v>
      </c>
      <c r="C12431" s="4"/>
      <c r="D12431" s="4" t="s">
        <v>2543</v>
      </c>
      <c r="E12431" s="4" t="s">
        <v>391</v>
      </c>
      <c r="F12431" s="4" t="s">
        <v>392</v>
      </c>
    </row>
    <row r="12432">
      <c r="A12432" s="4">
        <v>473.0</v>
      </c>
      <c r="B12432" s="4" t="s">
        <v>22111</v>
      </c>
      <c r="C12432" s="4"/>
      <c r="D12432" s="4" t="s">
        <v>21488</v>
      </c>
      <c r="E12432" s="4" t="s">
        <v>21489</v>
      </c>
      <c r="F12432" s="4" t="s">
        <v>10884</v>
      </c>
    </row>
    <row r="12433">
      <c r="A12433" s="4">
        <v>474.0</v>
      </c>
      <c r="B12433" s="4" t="s">
        <v>22111</v>
      </c>
      <c r="C12433" s="4"/>
      <c r="D12433" s="4" t="s">
        <v>10843</v>
      </c>
      <c r="E12433" s="4" t="s">
        <v>18440</v>
      </c>
      <c r="F12433" s="4" t="s">
        <v>11055</v>
      </c>
      <c r="G12433" s="4"/>
      <c r="H12433" s="4" t="s">
        <v>21490</v>
      </c>
      <c r="I12433" s="4" t="s">
        <v>21491</v>
      </c>
      <c r="J12433" s="4" t="s">
        <v>21492</v>
      </c>
      <c r="K12433" s="4" t="s">
        <v>21493</v>
      </c>
      <c r="L12433" s="4" t="s">
        <v>3188</v>
      </c>
      <c r="M12433" s="4" t="s">
        <v>3189</v>
      </c>
      <c r="N12433" s="4" t="s">
        <v>3190</v>
      </c>
      <c r="O12433" s="4" t="s">
        <v>3191</v>
      </c>
      <c r="P12433" s="4" t="s">
        <v>3192</v>
      </c>
      <c r="Q12433" s="4" t="s">
        <v>3193</v>
      </c>
      <c r="R12433" s="4" t="s">
        <v>3194</v>
      </c>
      <c r="S12433" s="4" t="s">
        <v>3195</v>
      </c>
      <c r="T12433" s="4" t="s">
        <v>13166</v>
      </c>
      <c r="U12433" s="4" t="s">
        <v>13167</v>
      </c>
      <c r="V12433" s="4" t="s">
        <v>13168</v>
      </c>
      <c r="W12433" s="4" t="s">
        <v>1190</v>
      </c>
      <c r="X12433" s="4" t="s">
        <v>3196</v>
      </c>
      <c r="Y12433" s="4" t="s">
        <v>13169</v>
      </c>
      <c r="Z12433" s="4" t="s">
        <v>3196</v>
      </c>
      <c r="AA12433" s="4" t="s">
        <v>3197</v>
      </c>
    </row>
    <row r="12434">
      <c r="A12434" s="4">
        <v>475.0</v>
      </c>
      <c r="B12434" s="4" t="s">
        <v>22111</v>
      </c>
      <c r="C12434" s="4"/>
      <c r="D12434" s="4" t="s">
        <v>3173</v>
      </c>
      <c r="E12434" s="4" t="s">
        <v>3174</v>
      </c>
      <c r="F12434" s="4" t="s">
        <v>3173</v>
      </c>
      <c r="G12434" s="4"/>
      <c r="H12434" s="4" t="s">
        <v>13178</v>
      </c>
      <c r="I12434" s="4" t="s">
        <v>21497</v>
      </c>
    </row>
    <row r="12435">
      <c r="A12435" s="4">
        <v>476.0</v>
      </c>
      <c r="B12435" s="4" t="s">
        <v>22111</v>
      </c>
      <c r="C12435" s="4"/>
      <c r="D12435" s="4" t="s">
        <v>21501</v>
      </c>
      <c r="E12435" s="4" t="s">
        <v>21502</v>
      </c>
      <c r="F12435" s="4" t="s">
        <v>21501</v>
      </c>
    </row>
    <row r="12436">
      <c r="A12436" s="4">
        <v>477.0</v>
      </c>
      <c r="B12436" s="4" t="s">
        <v>22111</v>
      </c>
      <c r="C12436" s="4"/>
      <c r="D12436" s="4" t="s">
        <v>13193</v>
      </c>
      <c r="E12436" s="4" t="s">
        <v>3264</v>
      </c>
      <c r="F12436" s="4" t="s">
        <v>3265</v>
      </c>
      <c r="G12436" s="4"/>
      <c r="H12436" s="4" t="s">
        <v>3268</v>
      </c>
      <c r="I12436" s="4" t="s">
        <v>3272</v>
      </c>
      <c r="J12436" s="4" t="s">
        <v>3273</v>
      </c>
      <c r="K12436" s="4" t="s">
        <v>3274</v>
      </c>
      <c r="L12436" s="4" t="s">
        <v>3275</v>
      </c>
    </row>
    <row r="12437">
      <c r="A12437" s="4">
        <v>478.0</v>
      </c>
      <c r="B12437" s="4" t="s">
        <v>22111</v>
      </c>
      <c r="C12437" s="4"/>
      <c r="D12437" s="4" t="s">
        <v>21509</v>
      </c>
      <c r="E12437" s="4" t="s">
        <v>21510</v>
      </c>
      <c r="F12437" s="4" t="s">
        <v>21511</v>
      </c>
      <c r="G12437" s="4"/>
      <c r="H12437" s="4" t="s">
        <v>21512</v>
      </c>
    </row>
    <row r="12438">
      <c r="A12438" s="4">
        <v>479.0</v>
      </c>
      <c r="B12438" s="4" t="s">
        <v>22111</v>
      </c>
      <c r="C12438" s="4"/>
      <c r="D12438" s="4" t="s">
        <v>3292</v>
      </c>
      <c r="E12438" s="4" t="s">
        <v>3293</v>
      </c>
      <c r="F12438" s="4" t="s">
        <v>3292</v>
      </c>
      <c r="G12438" s="4"/>
      <c r="H12438" s="4" t="s">
        <v>3294</v>
      </c>
      <c r="I12438" s="4" t="s">
        <v>3295</v>
      </c>
      <c r="J12438" s="4" t="s">
        <v>3296</v>
      </c>
      <c r="K12438" s="4" t="s">
        <v>3147</v>
      </c>
      <c r="L12438" s="4" t="s">
        <v>3292</v>
      </c>
      <c r="M12438" s="4" t="s">
        <v>3297</v>
      </c>
      <c r="N12438" s="4" t="s">
        <v>3298</v>
      </c>
      <c r="O12438" s="4" t="s">
        <v>3299</v>
      </c>
      <c r="P12438" s="4" t="s">
        <v>3300</v>
      </c>
      <c r="Q12438" s="4" t="s">
        <v>3301</v>
      </c>
      <c r="R12438" s="4" t="s">
        <v>3302</v>
      </c>
      <c r="S12438" s="4" t="s">
        <v>3303</v>
      </c>
      <c r="T12438" s="4" t="s">
        <v>3304</v>
      </c>
      <c r="U12438" s="4" t="s">
        <v>3305</v>
      </c>
      <c r="V12438" s="4" t="s">
        <v>3306</v>
      </c>
      <c r="W12438" s="4" t="s">
        <v>3307</v>
      </c>
      <c r="X12438" s="4" t="s">
        <v>3308</v>
      </c>
    </row>
    <row r="12439">
      <c r="A12439" s="4">
        <v>480.0</v>
      </c>
      <c r="B12439" s="4" t="s">
        <v>22111</v>
      </c>
      <c r="C12439" s="4"/>
      <c r="D12439" s="4" t="s">
        <v>16839</v>
      </c>
      <c r="E12439" s="4" t="s">
        <v>16840</v>
      </c>
      <c r="F12439" s="4" t="s">
        <v>16839</v>
      </c>
    </row>
    <row r="12440">
      <c r="A12440" s="4">
        <v>481.0</v>
      </c>
      <c r="B12440" s="4" t="s">
        <v>22111</v>
      </c>
      <c r="C12440" s="4"/>
      <c r="D12440" s="4" t="s">
        <v>21513</v>
      </c>
      <c r="E12440" s="4" t="s">
        <v>21514</v>
      </c>
      <c r="F12440" s="4" t="s">
        <v>21513</v>
      </c>
    </row>
    <row r="12441">
      <c r="A12441" s="4">
        <v>482.0</v>
      </c>
      <c r="B12441" s="4" t="s">
        <v>22111</v>
      </c>
      <c r="C12441" s="4"/>
      <c r="D12441" s="4" t="s">
        <v>21515</v>
      </c>
      <c r="E12441" s="4" t="s">
        <v>21516</v>
      </c>
      <c r="F12441" s="4" t="s">
        <v>21515</v>
      </c>
    </row>
    <row r="12442">
      <c r="A12442" s="4">
        <v>483.0</v>
      </c>
      <c r="B12442" s="4" t="s">
        <v>22111</v>
      </c>
      <c r="C12442" s="4"/>
      <c r="D12442" s="4" t="s">
        <v>7100</v>
      </c>
      <c r="E12442" s="4" t="s">
        <v>13216</v>
      </c>
      <c r="F12442" s="4" t="s">
        <v>7100</v>
      </c>
    </row>
    <row r="12443">
      <c r="A12443" s="4">
        <v>484.0</v>
      </c>
      <c r="B12443" s="4" t="s">
        <v>22111</v>
      </c>
      <c r="C12443" s="4"/>
      <c r="D12443" s="4" t="s">
        <v>21517</v>
      </c>
      <c r="E12443" s="4" t="s">
        <v>21518</v>
      </c>
      <c r="F12443" s="4" t="s">
        <v>21517</v>
      </c>
    </row>
    <row r="12444">
      <c r="A12444" s="4">
        <v>485.0</v>
      </c>
      <c r="B12444" s="4" t="s">
        <v>22111</v>
      </c>
      <c r="C12444" s="4"/>
      <c r="D12444" s="4" t="s">
        <v>21519</v>
      </c>
      <c r="E12444" s="4" t="s">
        <v>21520</v>
      </c>
      <c r="F12444" s="4" t="s">
        <v>21519</v>
      </c>
      <c r="G12444" s="4"/>
      <c r="H12444" s="4" t="s">
        <v>21521</v>
      </c>
      <c r="I12444" s="4" t="s">
        <v>21522</v>
      </c>
    </row>
    <row r="12445">
      <c r="A12445" s="4">
        <v>486.0</v>
      </c>
      <c r="B12445" s="4" t="s">
        <v>22111</v>
      </c>
      <c r="C12445" s="4"/>
      <c r="D12445" s="4" t="s">
        <v>21523</v>
      </c>
      <c r="E12445" s="4" t="s">
        <v>21524</v>
      </c>
      <c r="F12445" s="4" t="s">
        <v>21523</v>
      </c>
    </row>
    <row r="12446">
      <c r="A12446" s="4">
        <v>487.0</v>
      </c>
      <c r="B12446" s="4" t="s">
        <v>22111</v>
      </c>
      <c r="C12446" s="4"/>
      <c r="D12446" s="4" t="s">
        <v>5474</v>
      </c>
      <c r="E12446" s="4" t="s">
        <v>5473</v>
      </c>
      <c r="F12446" s="4" t="s">
        <v>5474</v>
      </c>
    </row>
    <row r="12447">
      <c r="A12447" s="4">
        <v>488.0</v>
      </c>
      <c r="B12447" s="4" t="s">
        <v>22111</v>
      </c>
      <c r="C12447" s="4"/>
      <c r="D12447" s="4" t="s">
        <v>21525</v>
      </c>
      <c r="E12447" s="4" t="s">
        <v>3293</v>
      </c>
      <c r="F12447" s="4" t="s">
        <v>3292</v>
      </c>
      <c r="G12447" s="4"/>
      <c r="H12447" s="4" t="s">
        <v>3294</v>
      </c>
      <c r="I12447" s="4" t="s">
        <v>3295</v>
      </c>
      <c r="J12447" s="4" t="s">
        <v>3296</v>
      </c>
      <c r="K12447" s="4" t="s">
        <v>3147</v>
      </c>
      <c r="L12447" s="4" t="s">
        <v>3292</v>
      </c>
      <c r="M12447" s="4" t="s">
        <v>3297</v>
      </c>
      <c r="N12447" s="4" t="s">
        <v>3298</v>
      </c>
      <c r="O12447" s="4" t="s">
        <v>3299</v>
      </c>
      <c r="P12447" s="4" t="s">
        <v>3300</v>
      </c>
      <c r="Q12447" s="4" t="s">
        <v>3301</v>
      </c>
    </row>
    <row r="12448">
      <c r="A12448" s="4">
        <v>489.0</v>
      </c>
      <c r="B12448" s="4" t="s">
        <v>22111</v>
      </c>
      <c r="C12448" s="4"/>
      <c r="D12448" s="4" t="s">
        <v>13491</v>
      </c>
      <c r="E12448" s="4" t="s">
        <v>21526</v>
      </c>
      <c r="F12448" s="4" t="s">
        <v>13491</v>
      </c>
      <c r="G12448" s="4"/>
      <c r="H12448" s="4" t="s">
        <v>15218</v>
      </c>
      <c r="I12448" s="4" t="s">
        <v>7722</v>
      </c>
      <c r="J12448" s="4" t="s">
        <v>12852</v>
      </c>
      <c r="K12448" s="4" t="s">
        <v>20817</v>
      </c>
      <c r="L12448" s="4" t="s">
        <v>11456</v>
      </c>
      <c r="M12448" s="4" t="s">
        <v>15396</v>
      </c>
      <c r="N12448" s="4" t="s">
        <v>1256</v>
      </c>
      <c r="O12448" s="4" t="s">
        <v>7722</v>
      </c>
      <c r="P12448" s="4" t="s">
        <v>15397</v>
      </c>
      <c r="Q12448" s="4" t="s">
        <v>15396</v>
      </c>
      <c r="R12448" s="4" t="s">
        <v>13491</v>
      </c>
      <c r="S12448" s="4" t="s">
        <v>20816</v>
      </c>
      <c r="T12448" s="4" t="s">
        <v>20817</v>
      </c>
      <c r="U12448" s="4" t="s">
        <v>21527</v>
      </c>
      <c r="V12448" s="4" t="s">
        <v>21528</v>
      </c>
      <c r="W12448" s="4" t="s">
        <v>11456</v>
      </c>
      <c r="X12448" s="4" t="s">
        <v>21529</v>
      </c>
      <c r="Y12448" s="4" t="s">
        <v>14579</v>
      </c>
      <c r="Z12448" s="4" t="s">
        <v>21530</v>
      </c>
      <c r="AA12448" s="4" t="s">
        <v>21531</v>
      </c>
      <c r="AB12448" s="4" t="s">
        <v>21532</v>
      </c>
      <c r="AC12448" s="4" t="s">
        <v>21533</v>
      </c>
      <c r="AD12448" s="4" t="s">
        <v>21534</v>
      </c>
      <c r="AE12448" s="4" t="s">
        <v>21535</v>
      </c>
      <c r="AF12448" s="4" t="s">
        <v>20816</v>
      </c>
    </row>
    <row r="12449">
      <c r="A12449" s="4">
        <v>490.0</v>
      </c>
      <c r="B12449" s="4" t="s">
        <v>22111</v>
      </c>
      <c r="C12449" s="4"/>
      <c r="D12449" s="4" t="s">
        <v>21536</v>
      </c>
      <c r="E12449" s="4" t="s">
        <v>21537</v>
      </c>
      <c r="F12449" s="4" t="s">
        <v>21536</v>
      </c>
    </row>
    <row r="12450">
      <c r="A12450" s="4">
        <v>491.0</v>
      </c>
      <c r="B12450" s="4" t="s">
        <v>22111</v>
      </c>
      <c r="C12450" s="4"/>
      <c r="D12450" s="4" t="s">
        <v>21541</v>
      </c>
      <c r="E12450" s="4" t="s">
        <v>21542</v>
      </c>
      <c r="F12450" s="4" t="s">
        <v>21541</v>
      </c>
    </row>
    <row r="12451">
      <c r="A12451" s="4">
        <v>492.0</v>
      </c>
      <c r="B12451" s="4" t="s">
        <v>22111</v>
      </c>
      <c r="C12451" s="4"/>
      <c r="D12451" s="4" t="s">
        <v>21550</v>
      </c>
      <c r="E12451" s="4" t="s">
        <v>21551</v>
      </c>
      <c r="F12451" s="4" t="s">
        <v>21550</v>
      </c>
    </row>
    <row r="12452">
      <c r="A12452" s="4">
        <v>493.0</v>
      </c>
      <c r="B12452" s="4" t="s">
        <v>22111</v>
      </c>
      <c r="C12452" s="4"/>
      <c r="D12452" s="4" t="s">
        <v>21552</v>
      </c>
      <c r="E12452" s="4" t="s">
        <v>21553</v>
      </c>
      <c r="F12452" s="4" t="s">
        <v>21554</v>
      </c>
      <c r="G12452" s="4"/>
      <c r="H12452" s="4" t="s">
        <v>21555</v>
      </c>
      <c r="I12452" s="4" t="s">
        <v>21556</v>
      </c>
    </row>
    <row r="12453">
      <c r="A12453" s="4">
        <v>494.0</v>
      </c>
      <c r="B12453" s="4" t="s">
        <v>22111</v>
      </c>
      <c r="C12453" s="4"/>
      <c r="D12453" s="4" t="s">
        <v>3344</v>
      </c>
      <c r="E12453" s="4" t="s">
        <v>3345</v>
      </c>
      <c r="F12453" s="4" t="s">
        <v>3344</v>
      </c>
      <c r="G12453" s="4"/>
      <c r="H12453" s="4" t="s">
        <v>4305</v>
      </c>
      <c r="I12453" s="4" t="s">
        <v>6487</v>
      </c>
      <c r="J12453" s="4" t="s">
        <v>3346</v>
      </c>
      <c r="K12453" s="4" t="s">
        <v>945</v>
      </c>
      <c r="L12453" s="4" t="s">
        <v>941</v>
      </c>
      <c r="M12453" s="4" t="s">
        <v>942</v>
      </c>
      <c r="N12453" s="4" t="s">
        <v>943</v>
      </c>
      <c r="O12453" s="4" t="s">
        <v>944</v>
      </c>
      <c r="P12453" s="4" t="s">
        <v>21557</v>
      </c>
      <c r="Q12453" s="4" t="s">
        <v>326</v>
      </c>
      <c r="R12453" s="4" t="s">
        <v>20649</v>
      </c>
      <c r="S12453" s="4" t="s">
        <v>945</v>
      </c>
      <c r="T12453" s="4" t="s">
        <v>945</v>
      </c>
      <c r="U12453" s="4" t="s">
        <v>948</v>
      </c>
      <c r="V12453" s="4" t="s">
        <v>945</v>
      </c>
      <c r="W12453" s="4" t="s">
        <v>946</v>
      </c>
      <c r="X12453" s="4" t="s">
        <v>947</v>
      </c>
      <c r="Y12453" s="4" t="s">
        <v>945</v>
      </c>
      <c r="Z12453" s="4" t="s">
        <v>948</v>
      </c>
      <c r="AA12453" s="4" t="s">
        <v>326</v>
      </c>
      <c r="AB12453" s="4" t="s">
        <v>949</v>
      </c>
      <c r="AC12453" s="4" t="s">
        <v>950</v>
      </c>
      <c r="AD12453" s="4" t="s">
        <v>945</v>
      </c>
      <c r="AE12453" s="4" t="s">
        <v>951</v>
      </c>
      <c r="AF12453" s="4" t="s">
        <v>952</v>
      </c>
      <c r="AG12453" s="4" t="s">
        <v>953</v>
      </c>
      <c r="AH12453" s="4" t="s">
        <v>3346</v>
      </c>
      <c r="AI12453" s="4" t="s">
        <v>945</v>
      </c>
      <c r="AJ12453" s="4" t="s">
        <v>953</v>
      </c>
      <c r="AK12453" s="4" t="s">
        <v>3347</v>
      </c>
      <c r="AL12453" s="4" t="s">
        <v>3348</v>
      </c>
      <c r="AM12453" s="4" t="s">
        <v>3349</v>
      </c>
    </row>
    <row r="12454">
      <c r="A12454" s="4">
        <v>495.0</v>
      </c>
      <c r="B12454" s="4" t="s">
        <v>22111</v>
      </c>
      <c r="C12454" s="4"/>
      <c r="D12454" s="4" t="s">
        <v>21558</v>
      </c>
      <c r="E12454" s="4" t="s">
        <v>21559</v>
      </c>
      <c r="F12454" s="4" t="s">
        <v>21558</v>
      </c>
    </row>
    <row r="12455">
      <c r="A12455" s="4">
        <v>496.0</v>
      </c>
      <c r="B12455" s="4" t="s">
        <v>22111</v>
      </c>
      <c r="C12455" s="4"/>
      <c r="D12455" s="4" t="s">
        <v>21560</v>
      </c>
      <c r="E12455" s="4" t="s">
        <v>21561</v>
      </c>
      <c r="F12455" s="4" t="s">
        <v>21560</v>
      </c>
    </row>
    <row r="12456">
      <c r="A12456" s="4">
        <v>497.0</v>
      </c>
      <c r="B12456" s="4" t="s">
        <v>22111</v>
      </c>
      <c r="C12456" s="4"/>
      <c r="D12456" s="4" t="s">
        <v>21562</v>
      </c>
      <c r="E12456" s="4" t="s">
        <v>21559</v>
      </c>
      <c r="F12456" s="4" t="s">
        <v>21558</v>
      </c>
    </row>
    <row r="12457">
      <c r="A12457" s="4">
        <v>498.0</v>
      </c>
      <c r="B12457" s="4" t="s">
        <v>22111</v>
      </c>
      <c r="C12457" s="4"/>
      <c r="D12457" s="4" t="s">
        <v>21563</v>
      </c>
      <c r="E12457" s="4" t="s">
        <v>21561</v>
      </c>
      <c r="F12457" s="4" t="s">
        <v>21560</v>
      </c>
    </row>
    <row r="12458">
      <c r="A12458" s="4">
        <v>499.0</v>
      </c>
      <c r="B12458" s="4" t="s">
        <v>22111</v>
      </c>
      <c r="C12458" s="4"/>
      <c r="D12458" s="4" t="s">
        <v>3350</v>
      </c>
      <c r="E12458" s="4" t="s">
        <v>3351</v>
      </c>
      <c r="F12458" s="4" t="s">
        <v>3350</v>
      </c>
    </row>
    <row r="12459">
      <c r="A12459" s="4">
        <v>500.0</v>
      </c>
      <c r="B12459" s="4" t="s">
        <v>22111</v>
      </c>
      <c r="C12459" s="4"/>
      <c r="D12459" s="4" t="s">
        <v>3357</v>
      </c>
      <c r="E12459" s="4" t="s">
        <v>3351</v>
      </c>
      <c r="F12459" s="4" t="s">
        <v>3350</v>
      </c>
      <c r="G12459" s="4"/>
      <c r="H12459" s="4" t="s">
        <v>3352</v>
      </c>
    </row>
    <row r="12460">
      <c r="A12460" s="4">
        <v>501.0</v>
      </c>
      <c r="B12460" s="4" t="s">
        <v>22111</v>
      </c>
      <c r="C12460" s="4"/>
      <c r="D12460" s="4" t="s">
        <v>3387</v>
      </c>
      <c r="E12460" s="4" t="s">
        <v>3386</v>
      </c>
      <c r="F12460" s="4" t="s">
        <v>3387</v>
      </c>
    </row>
    <row r="12461">
      <c r="A12461" s="4">
        <v>502.0</v>
      </c>
      <c r="B12461" s="4" t="s">
        <v>22111</v>
      </c>
      <c r="C12461" s="4"/>
      <c r="D12461" s="4" t="s">
        <v>21573</v>
      </c>
      <c r="E12461" s="4" t="s">
        <v>21574</v>
      </c>
      <c r="F12461" s="4" t="s">
        <v>21573</v>
      </c>
    </row>
    <row r="12462">
      <c r="A12462" s="4">
        <v>503.0</v>
      </c>
      <c r="B12462" s="4" t="s">
        <v>22111</v>
      </c>
      <c r="C12462" s="4"/>
      <c r="D12462" s="4" t="s">
        <v>3396</v>
      </c>
      <c r="E12462" s="4" t="s">
        <v>3395</v>
      </c>
      <c r="F12462" s="4" t="s">
        <v>3396</v>
      </c>
      <c r="G12462" s="4"/>
      <c r="H12462" s="4" t="s">
        <v>4305</v>
      </c>
      <c r="I12462" s="4" t="s">
        <v>21575</v>
      </c>
      <c r="J12462" s="4" t="s">
        <v>15263</v>
      </c>
      <c r="K12462" s="4" t="s">
        <v>3398</v>
      </c>
      <c r="L12462" s="4" t="s">
        <v>3399</v>
      </c>
      <c r="M12462" s="4" t="s">
        <v>3400</v>
      </c>
      <c r="N12462" s="4" t="s">
        <v>3401</v>
      </c>
      <c r="O12462" s="4" t="s">
        <v>3402</v>
      </c>
      <c r="P12462" s="4" t="s">
        <v>647</v>
      </c>
      <c r="Q12462" s="4" t="s">
        <v>3403</v>
      </c>
      <c r="R12462" s="4" t="s">
        <v>3404</v>
      </c>
      <c r="S12462" s="4" t="s">
        <v>3405</v>
      </c>
      <c r="T12462" s="4" t="s">
        <v>3406</v>
      </c>
      <c r="U12462" s="4" t="s">
        <v>7129</v>
      </c>
      <c r="V12462" s="4" t="s">
        <v>7130</v>
      </c>
      <c r="W12462" s="4" t="s">
        <v>7131</v>
      </c>
      <c r="X12462" s="4" t="s">
        <v>3401</v>
      </c>
      <c r="Y12462" s="4" t="s">
        <v>7132</v>
      </c>
      <c r="Z12462" s="4" t="s">
        <v>647</v>
      </c>
      <c r="AA12462" s="4" t="s">
        <v>3401</v>
      </c>
      <c r="AB12462" s="4" t="s">
        <v>2075</v>
      </c>
      <c r="AC12462" s="4" t="s">
        <v>1056</v>
      </c>
      <c r="AD12462" s="4" t="s">
        <v>3413</v>
      </c>
      <c r="AE12462" s="4" t="s">
        <v>646</v>
      </c>
      <c r="AF12462" s="4" t="s">
        <v>3414</v>
      </c>
      <c r="AG12462" s="4" t="s">
        <v>647</v>
      </c>
      <c r="AH12462" s="4" t="s">
        <v>8975</v>
      </c>
      <c r="AI12462" s="4" t="s">
        <v>3415</v>
      </c>
      <c r="AJ12462" s="4" t="s">
        <v>647</v>
      </c>
      <c r="AK12462" s="4" t="s">
        <v>3416</v>
      </c>
      <c r="AL12462" s="4" t="s">
        <v>647</v>
      </c>
      <c r="AM12462" s="4" t="s">
        <v>7127</v>
      </c>
      <c r="AN12462" s="4" t="s">
        <v>7128</v>
      </c>
      <c r="AO12462" s="4" t="s">
        <v>16387</v>
      </c>
      <c r="AP12462" s="4" t="s">
        <v>647</v>
      </c>
      <c r="AQ12462" s="4" t="s">
        <v>7118</v>
      </c>
      <c r="AR12462" s="4" t="s">
        <v>7119</v>
      </c>
      <c r="AS12462" s="4" t="s">
        <v>3417</v>
      </c>
      <c r="AT12462" s="4" t="s">
        <v>3418</v>
      </c>
      <c r="AU12462" s="4" t="s">
        <v>3419</v>
      </c>
      <c r="AV12462" s="4" t="s">
        <v>3420</v>
      </c>
      <c r="AW12462" s="4" t="s">
        <v>3421</v>
      </c>
      <c r="AX12462" s="4" t="s">
        <v>647</v>
      </c>
      <c r="AY12462" s="4" t="s">
        <v>647</v>
      </c>
      <c r="AZ12462" s="4" t="s">
        <v>3422</v>
      </c>
      <c r="BA12462" s="4" t="s">
        <v>7121</v>
      </c>
      <c r="BB12462" s="4" t="s">
        <v>3416</v>
      </c>
      <c r="BC12462" s="4" t="s">
        <v>647</v>
      </c>
      <c r="BD12462" s="4" t="s">
        <v>7122</v>
      </c>
      <c r="BE12462" s="4" t="s">
        <v>7123</v>
      </c>
      <c r="BF12462" s="4" t="s">
        <v>7124</v>
      </c>
      <c r="BG12462" s="4" t="s">
        <v>3421</v>
      </c>
      <c r="BH12462" s="4" t="s">
        <v>7125</v>
      </c>
      <c r="BI12462" s="4" t="s">
        <v>7126</v>
      </c>
      <c r="BJ12462" s="4" t="s">
        <v>21576</v>
      </c>
      <c r="BK12462" s="4" t="s">
        <v>21577</v>
      </c>
      <c r="BL12462" s="4" t="s">
        <v>21578</v>
      </c>
      <c r="BM12462" s="4" t="s">
        <v>21579</v>
      </c>
      <c r="BN12462" s="4" t="s">
        <v>647</v>
      </c>
      <c r="BO12462" s="4" t="s">
        <v>1496</v>
      </c>
      <c r="BP12462" s="4" t="s">
        <v>647</v>
      </c>
      <c r="BQ12462" s="4" t="s">
        <v>2858</v>
      </c>
      <c r="BR12462" s="4" t="s">
        <v>3423</v>
      </c>
      <c r="BS12462" s="4" t="s">
        <v>1496</v>
      </c>
      <c r="BT12462" s="4" t="s">
        <v>3424</v>
      </c>
      <c r="BU12462" s="4" t="s">
        <v>1503</v>
      </c>
      <c r="BV12462" s="4" t="s">
        <v>647</v>
      </c>
      <c r="BW12462" s="4" t="s">
        <v>7120</v>
      </c>
      <c r="BX12462" s="4" t="s">
        <v>647</v>
      </c>
      <c r="BY12462" s="4" t="s">
        <v>21580</v>
      </c>
      <c r="BZ12462" s="4" t="s">
        <v>21581</v>
      </c>
      <c r="CA12462" s="4" t="s">
        <v>21582</v>
      </c>
      <c r="CB12462" s="4" t="s">
        <v>647</v>
      </c>
      <c r="CC12462" s="4" t="s">
        <v>2682</v>
      </c>
      <c r="CD12462" s="4" t="s">
        <v>647</v>
      </c>
      <c r="CE12462" s="4" t="s">
        <v>3398</v>
      </c>
      <c r="CF12462" s="4" t="s">
        <v>646</v>
      </c>
      <c r="CG12462" s="4" t="s">
        <v>637</v>
      </c>
      <c r="CH12462" s="4" t="s">
        <v>647</v>
      </c>
      <c r="CI12462" s="4" t="s">
        <v>648</v>
      </c>
      <c r="CJ12462" s="4" t="s">
        <v>649</v>
      </c>
      <c r="CK12462" s="4" t="s">
        <v>3425</v>
      </c>
      <c r="CL12462" s="4" t="s">
        <v>647</v>
      </c>
      <c r="CM12462" s="4" t="s">
        <v>3426</v>
      </c>
    </row>
    <row r="12463">
      <c r="A12463" s="4">
        <v>504.0</v>
      </c>
      <c r="B12463" s="4" t="s">
        <v>22111</v>
      </c>
      <c r="C12463" s="4"/>
      <c r="D12463" s="4" t="s">
        <v>21595</v>
      </c>
      <c r="E12463" s="4" t="s">
        <v>21596</v>
      </c>
      <c r="F12463" s="4" t="s">
        <v>21595</v>
      </c>
    </row>
    <row r="12464">
      <c r="A12464" s="4">
        <v>505.0</v>
      </c>
      <c r="B12464" s="4" t="s">
        <v>22111</v>
      </c>
      <c r="C12464" s="4"/>
      <c r="D12464" s="4" t="s">
        <v>21597</v>
      </c>
      <c r="E12464" s="4" t="s">
        <v>21598</v>
      </c>
      <c r="F12464" s="4" t="s">
        <v>21597</v>
      </c>
    </row>
    <row r="12465">
      <c r="A12465" s="4">
        <v>506.0</v>
      </c>
      <c r="B12465" s="4" t="s">
        <v>22111</v>
      </c>
      <c r="C12465" s="4"/>
      <c r="D12465" s="4" t="s">
        <v>21599</v>
      </c>
      <c r="E12465" s="4" t="s">
        <v>18490</v>
      </c>
      <c r="F12465" s="4" t="s">
        <v>18491</v>
      </c>
    </row>
    <row r="12466">
      <c r="A12466" s="4">
        <v>507.0</v>
      </c>
      <c r="B12466" s="4" t="s">
        <v>22111</v>
      </c>
      <c r="C12466" s="4"/>
      <c r="D12466" s="4" t="s">
        <v>230</v>
      </c>
      <c r="E12466" s="4" t="s">
        <v>229</v>
      </c>
      <c r="F12466" s="4" t="s">
        <v>230</v>
      </c>
      <c r="G12466" s="4"/>
      <c r="H12466" s="4" t="s">
        <v>230</v>
      </c>
    </row>
    <row r="12467">
      <c r="A12467" s="4">
        <v>508.0</v>
      </c>
      <c r="B12467" s="4" t="s">
        <v>22111</v>
      </c>
      <c r="C12467" s="4"/>
      <c r="D12467" s="4" t="s">
        <v>3464</v>
      </c>
      <c r="E12467" s="4" t="s">
        <v>235</v>
      </c>
      <c r="F12467" s="4" t="s">
        <v>236</v>
      </c>
      <c r="G12467" s="4"/>
      <c r="H12467" s="4" t="s">
        <v>13316</v>
      </c>
      <c r="I12467" s="4" t="s">
        <v>13317</v>
      </c>
    </row>
    <row r="12468">
      <c r="A12468" s="4">
        <v>509.0</v>
      </c>
      <c r="B12468" s="4" t="s">
        <v>22111</v>
      </c>
      <c r="C12468" s="4"/>
      <c r="D12468" s="4" t="s">
        <v>3480</v>
      </c>
      <c r="E12468" s="4" t="s">
        <v>3506</v>
      </c>
      <c r="F12468" s="4" t="s">
        <v>3507</v>
      </c>
      <c r="G12468" s="4"/>
      <c r="H12468" s="4" t="s">
        <v>6785</v>
      </c>
      <c r="I12468" s="4" t="s">
        <v>6771</v>
      </c>
      <c r="J12468" s="4" t="s">
        <v>6786</v>
      </c>
      <c r="K12468" s="4" t="s">
        <v>6787</v>
      </c>
      <c r="L12468" s="4" t="s">
        <v>6788</v>
      </c>
      <c r="M12468" s="4" t="s">
        <v>3481</v>
      </c>
      <c r="N12468" s="4" t="s">
        <v>3169</v>
      </c>
      <c r="O12468" s="4" t="s">
        <v>3482</v>
      </c>
      <c r="P12468" s="4" t="s">
        <v>21600</v>
      </c>
      <c r="Q12468" s="4" t="s">
        <v>21601</v>
      </c>
      <c r="R12468" s="4" t="s">
        <v>21602</v>
      </c>
      <c r="S12468" s="4" t="s">
        <v>3485</v>
      </c>
      <c r="T12468" s="4" t="s">
        <v>3459</v>
      </c>
      <c r="U12468" s="4" t="s">
        <v>3486</v>
      </c>
      <c r="V12468" s="4" t="s">
        <v>8763</v>
      </c>
      <c r="W12468" s="4" t="s">
        <v>20602</v>
      </c>
      <c r="X12468" s="4" t="s">
        <v>3487</v>
      </c>
      <c r="Y12468" s="4" t="s">
        <v>3487</v>
      </c>
      <c r="Z12468" s="4" t="s">
        <v>789</v>
      </c>
      <c r="AA12468" s="4" t="s">
        <v>3488</v>
      </c>
      <c r="AB12468" s="4" t="s">
        <v>788</v>
      </c>
      <c r="AC12468" s="4" t="s">
        <v>3489</v>
      </c>
      <c r="AD12468" s="4" t="s">
        <v>3490</v>
      </c>
      <c r="AE12468" s="4" t="s">
        <v>789</v>
      </c>
      <c r="AF12468" s="4" t="s">
        <v>3491</v>
      </c>
      <c r="AG12468" s="4" t="s">
        <v>3492</v>
      </c>
      <c r="AH12468" s="4" t="s">
        <v>6172</v>
      </c>
      <c r="AI12468" s="4" t="s">
        <v>2603</v>
      </c>
      <c r="AJ12468" s="4" t="s">
        <v>21603</v>
      </c>
      <c r="AK12468" s="4" t="s">
        <v>536</v>
      </c>
      <c r="AL12468" s="4" t="s">
        <v>4306</v>
      </c>
      <c r="AM12468" s="4" t="s">
        <v>6487</v>
      </c>
      <c r="AN12468" s="4" t="s">
        <v>3496</v>
      </c>
      <c r="AO12468" s="4" t="s">
        <v>3497</v>
      </c>
      <c r="AP12468" s="4" t="s">
        <v>3500</v>
      </c>
      <c r="AQ12468" s="4" t="s">
        <v>3169</v>
      </c>
      <c r="AR12468" s="4" t="s">
        <v>3169</v>
      </c>
      <c r="AS12468" s="4" t="s">
        <v>3459</v>
      </c>
      <c r="AT12468" s="4" t="s">
        <v>943</v>
      </c>
      <c r="AU12468" s="4" t="s">
        <v>3482</v>
      </c>
      <c r="AV12468" s="4" t="s">
        <v>3500</v>
      </c>
      <c r="AW12468" s="4" t="s">
        <v>3497</v>
      </c>
      <c r="AX12468" s="4" t="s">
        <v>21604</v>
      </c>
      <c r="AY12468" s="4" t="s">
        <v>21605</v>
      </c>
      <c r="AZ12468" s="4" t="s">
        <v>919</v>
      </c>
      <c r="BA12468" s="4" t="s">
        <v>920</v>
      </c>
      <c r="BB12468" s="4" t="s">
        <v>6407</v>
      </c>
      <c r="BC12468" s="4" t="s">
        <v>21606</v>
      </c>
      <c r="BD12468" s="4" t="s">
        <v>21607</v>
      </c>
      <c r="BE12468" s="4" t="s">
        <v>3630</v>
      </c>
      <c r="BF12468" s="4" t="s">
        <v>3634</v>
      </c>
      <c r="BG12468" s="4" t="s">
        <v>3501</v>
      </c>
      <c r="BH12468" s="4" t="s">
        <v>3501</v>
      </c>
      <c r="BI12468" s="4" t="s">
        <v>3501</v>
      </c>
      <c r="BJ12468" s="4" t="s">
        <v>3497</v>
      </c>
      <c r="BK12468" s="4" t="s">
        <v>3482</v>
      </c>
      <c r="BL12468" s="4" t="s">
        <v>3503</v>
      </c>
      <c r="BM12468" s="4" t="s">
        <v>3493</v>
      </c>
    </row>
    <row r="12469">
      <c r="A12469" s="4">
        <v>510.0</v>
      </c>
      <c r="B12469" s="4" t="s">
        <v>22111</v>
      </c>
      <c r="C12469" s="4"/>
      <c r="D12469" s="4" t="s">
        <v>21608</v>
      </c>
      <c r="E12469" s="4" t="s">
        <v>21609</v>
      </c>
      <c r="F12469" s="4" t="s">
        <v>21610</v>
      </c>
    </row>
    <row r="12470">
      <c r="A12470" s="4">
        <v>511.0</v>
      </c>
      <c r="B12470" s="4" t="s">
        <v>22111</v>
      </c>
      <c r="C12470" s="4"/>
      <c r="D12470" s="4" t="s">
        <v>21611</v>
      </c>
      <c r="E12470" s="4" t="s">
        <v>21612</v>
      </c>
      <c r="F12470" s="4" t="s">
        <v>21613</v>
      </c>
    </row>
    <row r="12471">
      <c r="A12471" s="4">
        <v>512.0</v>
      </c>
      <c r="B12471" s="4" t="s">
        <v>22111</v>
      </c>
      <c r="C12471" s="4"/>
      <c r="D12471" s="4" t="s">
        <v>21614</v>
      </c>
      <c r="E12471" s="4" t="s">
        <v>21609</v>
      </c>
      <c r="F12471" s="4" t="s">
        <v>21610</v>
      </c>
    </row>
    <row r="12472">
      <c r="A12472" s="4">
        <v>513.0</v>
      </c>
      <c r="B12472" s="4" t="s">
        <v>22111</v>
      </c>
      <c r="C12472" s="4"/>
      <c r="D12472" s="4" t="s">
        <v>21615</v>
      </c>
      <c r="E12472" s="4" t="s">
        <v>21612</v>
      </c>
      <c r="F12472" s="4" t="s">
        <v>21613</v>
      </c>
    </row>
    <row r="12473">
      <c r="A12473" s="4">
        <v>514.0</v>
      </c>
      <c r="B12473" s="4" t="s">
        <v>22111</v>
      </c>
      <c r="C12473" s="4"/>
      <c r="D12473" s="4" t="s">
        <v>21616</v>
      </c>
      <c r="E12473" s="4" t="s">
        <v>21617</v>
      </c>
      <c r="F12473" s="4" t="s">
        <v>21618</v>
      </c>
    </row>
    <row r="12474">
      <c r="A12474" s="4">
        <v>515.0</v>
      </c>
      <c r="B12474" s="4" t="s">
        <v>22111</v>
      </c>
      <c r="C12474" s="4"/>
      <c r="D12474" s="4" t="s">
        <v>18527</v>
      </c>
      <c r="E12474" s="4" t="s">
        <v>21619</v>
      </c>
      <c r="F12474" s="4" t="s">
        <v>236</v>
      </c>
    </row>
    <row r="12475">
      <c r="A12475" s="4">
        <v>516.0</v>
      </c>
      <c r="B12475" s="4" t="s">
        <v>22111</v>
      </c>
      <c r="C12475" s="4"/>
      <c r="D12475" s="4" t="s">
        <v>21620</v>
      </c>
      <c r="E12475" s="4" t="s">
        <v>21621</v>
      </c>
      <c r="F12475" s="4" t="s">
        <v>21622</v>
      </c>
    </row>
    <row r="12476">
      <c r="A12476" s="4">
        <v>517.0</v>
      </c>
      <c r="B12476" s="4" t="s">
        <v>22111</v>
      </c>
      <c r="C12476" s="4"/>
      <c r="D12476" s="4" t="s">
        <v>3519</v>
      </c>
      <c r="E12476" s="4" t="s">
        <v>3520</v>
      </c>
      <c r="F12476" s="4" t="s">
        <v>3519</v>
      </c>
      <c r="G12476" s="4"/>
      <c r="H12476" s="4" t="s">
        <v>3521</v>
      </c>
      <c r="I12476" s="4" t="s">
        <v>3522</v>
      </c>
      <c r="J12476" s="4" t="s">
        <v>3526</v>
      </c>
      <c r="K12476" s="4" t="s">
        <v>3415</v>
      </c>
      <c r="L12476" s="4" t="s">
        <v>483</v>
      </c>
      <c r="M12476" s="4" t="s">
        <v>484</v>
      </c>
      <c r="N12476" s="4" t="s">
        <v>2824</v>
      </c>
      <c r="O12476" s="4" t="s">
        <v>2825</v>
      </c>
      <c r="P12476" s="4" t="s">
        <v>2826</v>
      </c>
      <c r="Q12476" s="4" t="s">
        <v>1734</v>
      </c>
      <c r="R12476" s="4" t="s">
        <v>482</v>
      </c>
      <c r="S12476" s="4" t="s">
        <v>1736</v>
      </c>
      <c r="T12476" s="4" t="s">
        <v>1737</v>
      </c>
      <c r="U12476" s="4" t="s">
        <v>1738</v>
      </c>
      <c r="V12476" s="4" t="s">
        <v>1739</v>
      </c>
      <c r="W12476" s="4" t="s">
        <v>1740</v>
      </c>
      <c r="X12476" s="4" t="s">
        <v>1741</v>
      </c>
      <c r="Y12476" s="4" t="s">
        <v>484</v>
      </c>
      <c r="Z12476" s="4" t="s">
        <v>1742</v>
      </c>
      <c r="AA12476" s="4" t="s">
        <v>1743</v>
      </c>
      <c r="AB12476" s="4" t="s">
        <v>1744</v>
      </c>
      <c r="AC12476" s="4" t="s">
        <v>1745</v>
      </c>
      <c r="AD12476" s="4" t="s">
        <v>1746</v>
      </c>
      <c r="AE12476" s="4" t="s">
        <v>1747</v>
      </c>
      <c r="AF12476" s="4" t="s">
        <v>1748</v>
      </c>
      <c r="AG12476" s="4" t="s">
        <v>1749</v>
      </c>
      <c r="AH12476" s="4" t="s">
        <v>1750</v>
      </c>
      <c r="AI12476" s="4" t="s">
        <v>483</v>
      </c>
      <c r="AJ12476" s="4" t="s">
        <v>1751</v>
      </c>
      <c r="AK12476" s="4" t="s">
        <v>1752</v>
      </c>
      <c r="AL12476" s="4" t="s">
        <v>1753</v>
      </c>
      <c r="AM12476" s="4" t="s">
        <v>1754</v>
      </c>
      <c r="AN12476" s="4" t="s">
        <v>1755</v>
      </c>
      <c r="AO12476" s="4" t="s">
        <v>1756</v>
      </c>
      <c r="AP12476" s="4" t="s">
        <v>1757</v>
      </c>
      <c r="AQ12476" s="4" t="s">
        <v>482</v>
      </c>
      <c r="AR12476" s="4" t="s">
        <v>1758</v>
      </c>
      <c r="AS12476" s="4" t="s">
        <v>780</v>
      </c>
      <c r="AT12476" s="4" t="s">
        <v>1759</v>
      </c>
      <c r="AU12476" s="4" t="s">
        <v>1760</v>
      </c>
      <c r="AV12476" s="4" t="s">
        <v>1761</v>
      </c>
      <c r="AW12476" s="4" t="s">
        <v>1762</v>
      </c>
      <c r="AX12476" s="4" t="s">
        <v>1763</v>
      </c>
      <c r="AY12476" s="4" t="s">
        <v>1764</v>
      </c>
      <c r="AZ12476" s="4" t="s">
        <v>1765</v>
      </c>
      <c r="BA12476" s="4" t="s">
        <v>1766</v>
      </c>
      <c r="BB12476" s="4" t="s">
        <v>1767</v>
      </c>
      <c r="BC12476" s="4" t="s">
        <v>1768</v>
      </c>
      <c r="BD12476" s="4" t="s">
        <v>1769</v>
      </c>
      <c r="BE12476" s="4" t="s">
        <v>1770</v>
      </c>
      <c r="BF12476" s="4" t="s">
        <v>1771</v>
      </c>
      <c r="BG12476" s="4" t="s">
        <v>1772</v>
      </c>
      <c r="BH12476" s="4" t="s">
        <v>1773</v>
      </c>
    </row>
    <row r="12477">
      <c r="A12477" s="4">
        <v>518.0</v>
      </c>
      <c r="B12477" s="4" t="s">
        <v>22111</v>
      </c>
      <c r="C12477" s="4"/>
      <c r="D12477" s="4" t="s">
        <v>3523</v>
      </c>
      <c r="E12477" s="4" t="s">
        <v>3528</v>
      </c>
      <c r="F12477" s="4" t="s">
        <v>3523</v>
      </c>
      <c r="G12477" s="4"/>
      <c r="H12477" s="4" t="s">
        <v>3525</v>
      </c>
      <c r="I12477" s="4" t="s">
        <v>3527</v>
      </c>
    </row>
    <row r="12478">
      <c r="A12478" s="4">
        <v>519.0</v>
      </c>
      <c r="B12478" s="4" t="s">
        <v>22111</v>
      </c>
      <c r="C12478" s="4"/>
      <c r="D12478" s="4" t="s">
        <v>21623</v>
      </c>
      <c r="E12478" s="4" t="s">
        <v>21624</v>
      </c>
      <c r="F12478" s="4" t="s">
        <v>21623</v>
      </c>
      <c r="G12478" s="4"/>
      <c r="H12478" s="4" t="s">
        <v>3596</v>
      </c>
      <c r="I12478" s="4" t="s">
        <v>3497</v>
      </c>
      <c r="J12478" s="4" t="s">
        <v>3597</v>
      </c>
      <c r="K12478" s="4" t="s">
        <v>3598</v>
      </c>
      <c r="L12478" s="4" t="s">
        <v>3599</v>
      </c>
      <c r="M12478" s="4" t="s">
        <v>3600</v>
      </c>
      <c r="N12478" s="4" t="s">
        <v>3601</v>
      </c>
      <c r="O12478" s="4" t="s">
        <v>3602</v>
      </c>
    </row>
    <row r="12479">
      <c r="A12479" s="4">
        <v>520.0</v>
      </c>
      <c r="B12479" s="4" t="s">
        <v>22111</v>
      </c>
      <c r="C12479" s="4"/>
      <c r="D12479" s="4" t="s">
        <v>21625</v>
      </c>
      <c r="E12479" s="4" t="s">
        <v>21626</v>
      </c>
      <c r="F12479" s="4" t="s">
        <v>21625</v>
      </c>
    </row>
    <row r="12480">
      <c r="A12480" s="4">
        <v>521.0</v>
      </c>
      <c r="B12480" s="4" t="s">
        <v>22111</v>
      </c>
      <c r="C12480" s="4"/>
      <c r="D12480" s="4" t="s">
        <v>3553</v>
      </c>
      <c r="E12480" s="4" t="s">
        <v>3554</v>
      </c>
      <c r="F12480" s="4" t="s">
        <v>3553</v>
      </c>
      <c r="G12480" s="4"/>
      <c r="H12480" s="4" t="s">
        <v>16228</v>
      </c>
      <c r="I12480" s="4" t="s">
        <v>16229</v>
      </c>
      <c r="J12480" s="4" t="s">
        <v>3555</v>
      </c>
      <c r="K12480" s="4" t="s">
        <v>3556</v>
      </c>
    </row>
    <row r="12481">
      <c r="A12481" s="4">
        <v>522.0</v>
      </c>
      <c r="B12481" s="4" t="s">
        <v>22111</v>
      </c>
      <c r="C12481" s="4"/>
      <c r="D12481" s="4" t="s">
        <v>3557</v>
      </c>
      <c r="E12481" s="4" t="s">
        <v>3558</v>
      </c>
      <c r="F12481" s="4" t="s">
        <v>3557</v>
      </c>
    </row>
    <row r="12482">
      <c r="A12482" s="4">
        <v>523.0</v>
      </c>
      <c r="B12482" s="4" t="s">
        <v>22111</v>
      </c>
      <c r="C12482" s="4"/>
      <c r="D12482" s="4" t="s">
        <v>21627</v>
      </c>
      <c r="E12482" s="4" t="s">
        <v>21628</v>
      </c>
      <c r="F12482" s="4" t="s">
        <v>21627</v>
      </c>
    </row>
    <row r="12483">
      <c r="A12483" s="4">
        <v>524.0</v>
      </c>
      <c r="B12483" s="4" t="s">
        <v>22111</v>
      </c>
      <c r="C12483" s="4"/>
      <c r="D12483" s="4" t="s">
        <v>21629</v>
      </c>
      <c r="E12483" s="4" t="s">
        <v>5503</v>
      </c>
      <c r="F12483" s="4" t="s">
        <v>5504</v>
      </c>
      <c r="G12483" s="4"/>
      <c r="H12483" s="4" t="s">
        <v>7241</v>
      </c>
      <c r="I12483" s="4" t="s">
        <v>7239</v>
      </c>
      <c r="J12483" s="4" t="s">
        <v>7242</v>
      </c>
      <c r="K12483" s="4" t="s">
        <v>7243</v>
      </c>
      <c r="L12483" s="4" t="s">
        <v>7244</v>
      </c>
      <c r="M12483" s="4" t="s">
        <v>7245</v>
      </c>
    </row>
    <row r="12484">
      <c r="A12484" s="4">
        <v>525.0</v>
      </c>
      <c r="B12484" s="4" t="s">
        <v>22111</v>
      </c>
      <c r="C12484" s="4"/>
      <c r="D12484" s="4" t="s">
        <v>9171</v>
      </c>
      <c r="E12484" s="4" t="s">
        <v>9172</v>
      </c>
      <c r="F12484" s="4" t="s">
        <v>9171</v>
      </c>
    </row>
    <row r="12485">
      <c r="A12485" s="4">
        <v>526.0</v>
      </c>
      <c r="B12485" s="4" t="s">
        <v>22111</v>
      </c>
      <c r="C12485" s="4"/>
      <c r="D12485" s="4" t="s">
        <v>21634</v>
      </c>
      <c r="E12485" s="4" t="s">
        <v>21635</v>
      </c>
      <c r="F12485" s="4" t="s">
        <v>21634</v>
      </c>
    </row>
    <row r="12486">
      <c r="A12486" s="4">
        <v>527.0</v>
      </c>
      <c r="B12486" s="4" t="s">
        <v>22111</v>
      </c>
      <c r="C12486" s="4"/>
      <c r="D12486" s="4" t="s">
        <v>21638</v>
      </c>
      <c r="E12486" s="4" t="s">
        <v>21639</v>
      </c>
      <c r="F12486" s="4" t="s">
        <v>21640</v>
      </c>
    </row>
    <row r="12487">
      <c r="A12487" s="4">
        <v>528.0</v>
      </c>
      <c r="B12487" s="4" t="s">
        <v>22111</v>
      </c>
      <c r="C12487" s="4"/>
      <c r="D12487" s="4" t="s">
        <v>21641</v>
      </c>
      <c r="E12487" s="4" t="s">
        <v>21642</v>
      </c>
      <c r="F12487" s="4" t="s">
        <v>21643</v>
      </c>
      <c r="G12487" s="4"/>
      <c r="H12487" s="4" t="s">
        <v>8475</v>
      </c>
      <c r="I12487" s="4" t="s">
        <v>3234</v>
      </c>
      <c r="J12487" s="4" t="s">
        <v>8481</v>
      </c>
    </row>
    <row r="12488">
      <c r="A12488" s="4">
        <v>529.0</v>
      </c>
      <c r="B12488" s="4" t="s">
        <v>22111</v>
      </c>
      <c r="C12488" s="4"/>
      <c r="D12488" s="4" t="s">
        <v>3570</v>
      </c>
      <c r="E12488" s="4" t="s">
        <v>3571</v>
      </c>
      <c r="F12488" s="4" t="s">
        <v>3570</v>
      </c>
      <c r="G12488" s="4"/>
      <c r="H12488" s="4" t="s">
        <v>7241</v>
      </c>
      <c r="I12488" s="4" t="s">
        <v>7239</v>
      </c>
      <c r="J12488" s="4" t="s">
        <v>7242</v>
      </c>
      <c r="K12488" s="4" t="s">
        <v>7243</v>
      </c>
      <c r="L12488" s="4" t="s">
        <v>7244</v>
      </c>
      <c r="M12488" s="4" t="s">
        <v>7245</v>
      </c>
    </row>
    <row r="12489">
      <c r="A12489" s="4">
        <v>530.0</v>
      </c>
      <c r="B12489" s="4" t="s">
        <v>22111</v>
      </c>
      <c r="C12489" s="4"/>
      <c r="D12489" s="4" t="s">
        <v>14243</v>
      </c>
      <c r="E12489" s="4" t="s">
        <v>14244</v>
      </c>
      <c r="F12489" s="4" t="s">
        <v>14243</v>
      </c>
      <c r="G12489" s="4"/>
      <c r="H12489" s="4" t="s">
        <v>21644</v>
      </c>
      <c r="I12489" s="4" t="s">
        <v>3368</v>
      </c>
      <c r="J12489" s="4" t="s">
        <v>21645</v>
      </c>
      <c r="K12489" s="4" t="s">
        <v>21644</v>
      </c>
      <c r="L12489" s="4" t="s">
        <v>21646</v>
      </c>
      <c r="M12489" s="4" t="s">
        <v>3365</v>
      </c>
      <c r="N12489" s="4" t="s">
        <v>3368</v>
      </c>
    </row>
    <row r="12490">
      <c r="A12490" s="4">
        <v>531.0</v>
      </c>
      <c r="B12490" s="4" t="s">
        <v>22111</v>
      </c>
      <c r="C12490" s="4"/>
      <c r="D12490" s="4" t="s">
        <v>21647</v>
      </c>
      <c r="E12490" s="4" t="s">
        <v>21648</v>
      </c>
      <c r="F12490" s="4" t="s">
        <v>21647</v>
      </c>
    </row>
    <row r="12491">
      <c r="A12491" s="4">
        <v>532.0</v>
      </c>
      <c r="B12491" s="4" t="s">
        <v>22111</v>
      </c>
      <c r="C12491" s="4"/>
      <c r="D12491" s="4" t="s">
        <v>21649</v>
      </c>
      <c r="E12491" s="4" t="s">
        <v>21650</v>
      </c>
      <c r="F12491" s="4" t="s">
        <v>21649</v>
      </c>
    </row>
    <row r="12492">
      <c r="A12492" s="4">
        <v>533.0</v>
      </c>
      <c r="B12492" s="4" t="s">
        <v>22111</v>
      </c>
      <c r="C12492" s="4"/>
      <c r="D12492" s="4" t="s">
        <v>21651</v>
      </c>
      <c r="E12492" s="4" t="s">
        <v>21648</v>
      </c>
      <c r="F12492" s="4" t="s">
        <v>21647</v>
      </c>
    </row>
    <row r="12493">
      <c r="A12493" s="4">
        <v>534.0</v>
      </c>
      <c r="B12493" s="4" t="s">
        <v>22111</v>
      </c>
      <c r="C12493" s="4"/>
      <c r="D12493" s="4" t="s">
        <v>21652</v>
      </c>
      <c r="E12493" s="4" t="s">
        <v>21650</v>
      </c>
      <c r="F12493" s="4" t="s">
        <v>21649</v>
      </c>
    </row>
    <row r="12494">
      <c r="A12494" s="4">
        <v>535.0</v>
      </c>
      <c r="B12494" s="4" t="s">
        <v>22111</v>
      </c>
      <c r="C12494" s="4"/>
      <c r="D12494" s="4" t="s">
        <v>21653</v>
      </c>
      <c r="E12494" s="4" t="s">
        <v>21654</v>
      </c>
      <c r="F12494" s="4" t="s">
        <v>21653</v>
      </c>
    </row>
    <row r="12495">
      <c r="A12495" s="4">
        <v>536.0</v>
      </c>
      <c r="B12495" s="4" t="s">
        <v>22111</v>
      </c>
      <c r="C12495" s="4"/>
      <c r="D12495" s="4" t="s">
        <v>3595</v>
      </c>
      <c r="E12495" s="4" t="s">
        <v>3594</v>
      </c>
      <c r="F12495" s="4" t="s">
        <v>3595</v>
      </c>
    </row>
    <row r="12496">
      <c r="A12496" s="4">
        <v>537.0</v>
      </c>
      <c r="B12496" s="4" t="s">
        <v>22111</v>
      </c>
      <c r="C12496" s="4"/>
      <c r="D12496" s="4" t="s">
        <v>3545</v>
      </c>
      <c r="E12496" s="4" t="s">
        <v>3544</v>
      </c>
      <c r="F12496" s="4" t="s">
        <v>3545</v>
      </c>
    </row>
    <row r="12497">
      <c r="A12497" s="4">
        <v>538.0</v>
      </c>
      <c r="B12497" s="4" t="s">
        <v>22111</v>
      </c>
      <c r="C12497" s="4"/>
      <c r="D12497" s="4" t="s">
        <v>21655</v>
      </c>
      <c r="E12497" s="4" t="s">
        <v>400</v>
      </c>
      <c r="F12497" s="4" t="s">
        <v>401</v>
      </c>
    </row>
    <row r="12498">
      <c r="A12498" s="4">
        <v>539.0</v>
      </c>
      <c r="B12498" s="4" t="s">
        <v>22111</v>
      </c>
      <c r="C12498" s="4"/>
      <c r="D12498" s="4" t="s">
        <v>21656</v>
      </c>
      <c r="E12498" s="4" t="s">
        <v>21657</v>
      </c>
      <c r="F12498" s="4" t="s">
        <v>21658</v>
      </c>
    </row>
    <row r="12499">
      <c r="A12499" s="4">
        <v>540.0</v>
      </c>
      <c r="B12499" s="4" t="s">
        <v>22111</v>
      </c>
      <c r="C12499" s="4"/>
      <c r="D12499" s="4" t="s">
        <v>21659</v>
      </c>
      <c r="E12499" s="4" t="s">
        <v>21660</v>
      </c>
      <c r="F12499" s="4" t="s">
        <v>21661</v>
      </c>
      <c r="G12499" s="4"/>
      <c r="H12499" s="4" t="s">
        <v>918</v>
      </c>
      <c r="I12499" s="4" t="s">
        <v>21662</v>
      </c>
      <c r="J12499" s="4" t="s">
        <v>8089</v>
      </c>
      <c r="K12499" s="4" t="s">
        <v>7116</v>
      </c>
      <c r="L12499" s="4" t="s">
        <v>8089</v>
      </c>
      <c r="M12499" s="4" t="s">
        <v>7224</v>
      </c>
    </row>
    <row r="12500">
      <c r="A12500" s="4">
        <v>541.0</v>
      </c>
      <c r="B12500" s="4" t="s">
        <v>22111</v>
      </c>
      <c r="C12500" s="4"/>
      <c r="D12500" s="4" t="s">
        <v>3678</v>
      </c>
      <c r="E12500" s="4" t="s">
        <v>3679</v>
      </c>
      <c r="F12500" s="4" t="s">
        <v>3678</v>
      </c>
    </row>
    <row r="12501">
      <c r="A12501" s="4">
        <v>542.0</v>
      </c>
      <c r="B12501" s="4" t="s">
        <v>22111</v>
      </c>
      <c r="C12501" s="4"/>
      <c r="D12501" s="4" t="s">
        <v>11028</v>
      </c>
      <c r="E12501" s="4" t="s">
        <v>21665</v>
      </c>
      <c r="F12501" s="4" t="s">
        <v>11028</v>
      </c>
    </row>
    <row r="12502">
      <c r="A12502" s="4">
        <v>543.0</v>
      </c>
      <c r="B12502" s="4" t="s">
        <v>22111</v>
      </c>
      <c r="C12502" s="4"/>
      <c r="D12502" s="4" t="s">
        <v>16232</v>
      </c>
      <c r="E12502" s="4" t="s">
        <v>16233</v>
      </c>
      <c r="F12502" s="4" t="s">
        <v>16232</v>
      </c>
    </row>
    <row r="12503">
      <c r="A12503" s="4">
        <v>544.0</v>
      </c>
      <c r="B12503" s="4" t="s">
        <v>22111</v>
      </c>
      <c r="C12503" s="4"/>
      <c r="D12503" s="4" t="s">
        <v>21666</v>
      </c>
      <c r="E12503" s="4" t="s">
        <v>21667</v>
      </c>
      <c r="F12503" s="4" t="s">
        <v>21666</v>
      </c>
    </row>
    <row r="12504">
      <c r="A12504" s="4">
        <v>545.0</v>
      </c>
      <c r="B12504" s="4" t="s">
        <v>22111</v>
      </c>
      <c r="C12504" s="4"/>
      <c r="D12504" s="4" t="s">
        <v>21668</v>
      </c>
      <c r="E12504" s="4" t="s">
        <v>21669</v>
      </c>
      <c r="F12504" s="4" t="s">
        <v>21668</v>
      </c>
    </row>
    <row r="12505">
      <c r="A12505" s="4">
        <v>546.0</v>
      </c>
      <c r="B12505" s="4" t="s">
        <v>22111</v>
      </c>
      <c r="C12505" s="4"/>
      <c r="D12505" s="4" t="s">
        <v>21670</v>
      </c>
      <c r="E12505" s="4" t="s">
        <v>21671</v>
      </c>
      <c r="F12505" s="4" t="s">
        <v>21670</v>
      </c>
    </row>
    <row r="12506">
      <c r="A12506" s="4">
        <v>547.0</v>
      </c>
      <c r="B12506" s="4" t="s">
        <v>22111</v>
      </c>
      <c r="C12506" s="4"/>
      <c r="D12506" s="4" t="s">
        <v>3726</v>
      </c>
      <c r="E12506" s="4" t="s">
        <v>3725</v>
      </c>
      <c r="F12506" s="4" t="s">
        <v>3726</v>
      </c>
      <c r="G12506" s="4"/>
      <c r="H12506" s="4" t="s">
        <v>21677</v>
      </c>
      <c r="I12506" s="4" t="s">
        <v>21678</v>
      </c>
      <c r="J12506" s="4" t="s">
        <v>21679</v>
      </c>
      <c r="K12506" s="4" t="s">
        <v>3727</v>
      </c>
      <c r="L12506" s="4" t="s">
        <v>3728</v>
      </c>
    </row>
    <row r="12507">
      <c r="A12507" s="4">
        <v>548.0</v>
      </c>
      <c r="B12507" s="4" t="s">
        <v>22111</v>
      </c>
      <c r="C12507" s="4"/>
      <c r="D12507" s="4" t="s">
        <v>14250</v>
      </c>
      <c r="E12507" s="4" t="s">
        <v>14251</v>
      </c>
      <c r="F12507" s="4" t="s">
        <v>14250</v>
      </c>
    </row>
    <row r="12508">
      <c r="A12508" s="4">
        <v>549.0</v>
      </c>
      <c r="B12508" s="4" t="s">
        <v>22111</v>
      </c>
      <c r="C12508" s="4"/>
      <c r="D12508" s="4" t="s">
        <v>21680</v>
      </c>
      <c r="E12508" s="4" t="s">
        <v>21489</v>
      </c>
      <c r="F12508" s="4" t="s">
        <v>10884</v>
      </c>
      <c r="G12508" s="4"/>
      <c r="H12508" s="4" t="s">
        <v>14886</v>
      </c>
    </row>
    <row r="12509">
      <c r="A12509" s="4">
        <v>550.0</v>
      </c>
      <c r="B12509" s="4" t="s">
        <v>22111</v>
      </c>
      <c r="C12509" s="4"/>
      <c r="D12509" s="4" t="s">
        <v>21681</v>
      </c>
      <c r="E12509" s="4" t="s">
        <v>21682</v>
      </c>
      <c r="F12509" s="4" t="s">
        <v>21683</v>
      </c>
    </row>
    <row r="12510">
      <c r="A12510" s="4">
        <v>551.0</v>
      </c>
      <c r="B12510" s="4" t="s">
        <v>22111</v>
      </c>
      <c r="C12510" s="4"/>
      <c r="D12510" s="4" t="s">
        <v>21685</v>
      </c>
      <c r="E12510" s="4" t="s">
        <v>21686</v>
      </c>
      <c r="F12510" s="4" t="s">
        <v>21687</v>
      </c>
    </row>
    <row r="12511">
      <c r="A12511" s="4">
        <v>552.0</v>
      </c>
      <c r="B12511" s="4" t="s">
        <v>22111</v>
      </c>
      <c r="C12511" s="4"/>
      <c r="D12511" s="4" t="s">
        <v>21691</v>
      </c>
      <c r="E12511" s="4" t="s">
        <v>17767</v>
      </c>
      <c r="F12511" s="4" t="s">
        <v>17768</v>
      </c>
    </row>
    <row r="12512">
      <c r="A12512" s="4">
        <v>553.0</v>
      </c>
      <c r="B12512" s="4" t="s">
        <v>22111</v>
      </c>
      <c r="C12512" s="4"/>
      <c r="D12512" s="4" t="s">
        <v>3818</v>
      </c>
      <c r="E12512" s="4" t="s">
        <v>3819</v>
      </c>
      <c r="F12512" s="4" t="s">
        <v>3820</v>
      </c>
    </row>
    <row r="12513">
      <c r="A12513" s="4">
        <v>554.0</v>
      </c>
      <c r="B12513" s="4" t="s">
        <v>22111</v>
      </c>
      <c r="C12513" s="4"/>
      <c r="D12513" s="4" t="s">
        <v>21695</v>
      </c>
      <c r="E12513" s="4" t="s">
        <v>21190</v>
      </c>
      <c r="F12513" s="4" t="s">
        <v>21189</v>
      </c>
      <c r="G12513" s="4"/>
      <c r="H12513" s="4" t="s">
        <v>21696</v>
      </c>
    </row>
    <row r="12514">
      <c r="A12514" s="4">
        <v>555.0</v>
      </c>
      <c r="B12514" s="4" t="s">
        <v>22111</v>
      </c>
      <c r="C12514" s="4"/>
      <c r="D12514" s="4" t="s">
        <v>21697</v>
      </c>
      <c r="E12514" s="4" t="s">
        <v>21698</v>
      </c>
      <c r="F12514" s="4" t="s">
        <v>21699</v>
      </c>
    </row>
    <row r="12515">
      <c r="A12515" s="4">
        <v>556.0</v>
      </c>
      <c r="B12515" s="4" t="s">
        <v>22111</v>
      </c>
      <c r="C12515" s="4"/>
      <c r="D12515" s="4" t="s">
        <v>7357</v>
      </c>
      <c r="E12515" s="4" t="s">
        <v>7358</v>
      </c>
      <c r="F12515" s="4" t="s">
        <v>7359</v>
      </c>
      <c r="G12515" s="4"/>
      <c r="H12515" s="4" t="s">
        <v>7357</v>
      </c>
    </row>
    <row r="12516">
      <c r="A12516" s="4">
        <v>557.0</v>
      </c>
      <c r="B12516" s="4" t="s">
        <v>22111</v>
      </c>
      <c r="C12516" s="4"/>
      <c r="D12516" s="4" t="s">
        <v>21700</v>
      </c>
      <c r="E12516" s="4" t="s">
        <v>21701</v>
      </c>
      <c r="F12516" s="4" t="s">
        <v>21702</v>
      </c>
    </row>
    <row r="12517">
      <c r="A12517" s="4">
        <v>558.0</v>
      </c>
      <c r="B12517" s="4" t="s">
        <v>22111</v>
      </c>
      <c r="C12517" s="4"/>
      <c r="D12517" s="4" t="s">
        <v>21703</v>
      </c>
      <c r="E12517" s="4" t="s">
        <v>21704</v>
      </c>
      <c r="F12517" s="4" t="s">
        <v>21705</v>
      </c>
    </row>
    <row r="12518">
      <c r="A12518" s="4">
        <v>559.0</v>
      </c>
      <c r="B12518" s="4" t="s">
        <v>22111</v>
      </c>
      <c r="C12518" s="4"/>
      <c r="D12518" s="4" t="s">
        <v>3854</v>
      </c>
      <c r="E12518" s="4" t="s">
        <v>3855</v>
      </c>
      <c r="F12518" s="4" t="s">
        <v>3856</v>
      </c>
      <c r="G12518" s="4"/>
      <c r="H12518" s="4" t="s">
        <v>3857</v>
      </c>
      <c r="I12518" s="4" t="s">
        <v>3858</v>
      </c>
      <c r="J12518" s="4" t="s">
        <v>3857</v>
      </c>
      <c r="K12518" s="4" t="s">
        <v>3859</v>
      </c>
      <c r="L12518" s="4" t="s">
        <v>3860</v>
      </c>
    </row>
    <row r="12519">
      <c r="A12519" s="4">
        <v>560.0</v>
      </c>
      <c r="B12519" s="4" t="s">
        <v>22111</v>
      </c>
      <c r="C12519" s="4"/>
      <c r="D12519" s="4" t="s">
        <v>21715</v>
      </c>
      <c r="E12519" s="4" t="s">
        <v>3880</v>
      </c>
      <c r="F12519" s="4" t="s">
        <v>3881</v>
      </c>
    </row>
    <row r="12520">
      <c r="A12520" s="4">
        <v>561.0</v>
      </c>
      <c r="B12520" s="4" t="s">
        <v>22111</v>
      </c>
      <c r="C12520" s="4"/>
      <c r="D12520" s="4" t="s">
        <v>14253</v>
      </c>
      <c r="E12520" s="4" t="s">
        <v>14254</v>
      </c>
      <c r="F12520" s="4" t="s">
        <v>14255</v>
      </c>
      <c r="G12520" s="4"/>
      <c r="H12520" s="4" t="s">
        <v>538</v>
      </c>
      <c r="I12520" s="4" t="s">
        <v>887</v>
      </c>
      <c r="J12520" s="4" t="s">
        <v>7928</v>
      </c>
      <c r="K12520" s="4" t="s">
        <v>7929</v>
      </c>
      <c r="L12520" s="4" t="s">
        <v>3414</v>
      </c>
      <c r="M12520" s="4" t="s">
        <v>21716</v>
      </c>
      <c r="N12520" s="4" t="s">
        <v>21717</v>
      </c>
      <c r="O12520" s="4" t="s">
        <v>21718</v>
      </c>
      <c r="P12520" s="4" t="s">
        <v>16209</v>
      </c>
      <c r="Q12520" s="4" t="s">
        <v>7316</v>
      </c>
      <c r="R12520" s="4" t="s">
        <v>7308</v>
      </c>
      <c r="S12520" s="4" t="s">
        <v>14993</v>
      </c>
      <c r="T12520" s="4" t="s">
        <v>14258</v>
      </c>
      <c r="U12520" s="4" t="s">
        <v>14994</v>
      </c>
      <c r="V12520" s="4" t="s">
        <v>8878</v>
      </c>
      <c r="W12520" s="4" t="s">
        <v>3379</v>
      </c>
      <c r="X12520" s="4" t="s">
        <v>16894</v>
      </c>
      <c r="Y12520" s="4" t="s">
        <v>1437</v>
      </c>
      <c r="Z12520" s="4" t="s">
        <v>16026</v>
      </c>
      <c r="AA12520" s="4" t="s">
        <v>14258</v>
      </c>
      <c r="AB12520" s="4" t="s">
        <v>21719</v>
      </c>
      <c r="AC12520" s="4" t="s">
        <v>3414</v>
      </c>
      <c r="AD12520" s="4" t="s">
        <v>5158</v>
      </c>
      <c r="AE12520" s="4" t="s">
        <v>21720</v>
      </c>
      <c r="AF12520" s="4" t="s">
        <v>21721</v>
      </c>
      <c r="AG12520" s="4" t="s">
        <v>21722</v>
      </c>
      <c r="AH12520" s="4" t="s">
        <v>14258</v>
      </c>
      <c r="AI12520" s="4" t="s">
        <v>7307</v>
      </c>
      <c r="AJ12520" s="4" t="s">
        <v>4276</v>
      </c>
      <c r="AK12520" s="4" t="s">
        <v>5964</v>
      </c>
      <c r="AL12520" s="4" t="s">
        <v>21723</v>
      </c>
      <c r="AM12520" s="4" t="s">
        <v>1800</v>
      </c>
      <c r="AN12520" s="4" t="s">
        <v>21724</v>
      </c>
      <c r="AO12520" s="4" t="s">
        <v>14258</v>
      </c>
      <c r="AP12520" s="4" t="s">
        <v>21725</v>
      </c>
      <c r="AQ12520" s="4" t="s">
        <v>21726</v>
      </c>
      <c r="AR12520" s="4" t="s">
        <v>8416</v>
      </c>
      <c r="AS12520" s="4" t="s">
        <v>21727</v>
      </c>
      <c r="AT12520" s="4" t="s">
        <v>21728</v>
      </c>
      <c r="AU12520" s="4" t="s">
        <v>21729</v>
      </c>
      <c r="AV12520" s="4" t="s">
        <v>21730</v>
      </c>
      <c r="AW12520" s="4" t="s">
        <v>6291</v>
      </c>
      <c r="AX12520" s="4" t="s">
        <v>21131</v>
      </c>
      <c r="AY12520" s="4" t="s">
        <v>21132</v>
      </c>
      <c r="AZ12520" s="4" t="s">
        <v>21133</v>
      </c>
      <c r="BA12520" s="4" t="s">
        <v>21731</v>
      </c>
      <c r="BB12520" s="4" t="s">
        <v>20370</v>
      </c>
      <c r="BC12520" s="4" t="s">
        <v>21732</v>
      </c>
      <c r="BD12520" s="4" t="s">
        <v>7316</v>
      </c>
      <c r="BE12520" s="4" t="s">
        <v>7318</v>
      </c>
      <c r="BF12520" s="4" t="s">
        <v>21733</v>
      </c>
      <c r="BG12520" s="4" t="s">
        <v>21734</v>
      </c>
      <c r="BH12520" s="4" t="s">
        <v>21735</v>
      </c>
      <c r="BI12520" s="4" t="s">
        <v>21736</v>
      </c>
      <c r="BJ12520" s="4" t="s">
        <v>21737</v>
      </c>
      <c r="BK12520" s="4" t="s">
        <v>21738</v>
      </c>
      <c r="BL12520" s="4" t="s">
        <v>21739</v>
      </c>
      <c r="BM12520" s="4" t="s">
        <v>21740</v>
      </c>
      <c r="BN12520" s="4" t="s">
        <v>21741</v>
      </c>
      <c r="BO12520" s="4" t="s">
        <v>3414</v>
      </c>
      <c r="BP12520" s="4" t="s">
        <v>4433</v>
      </c>
      <c r="BQ12520" s="4" t="s">
        <v>7306</v>
      </c>
      <c r="BR12520" s="4" t="s">
        <v>7307</v>
      </c>
      <c r="BS12520" s="4" t="s">
        <v>7308</v>
      </c>
      <c r="BT12520" s="4" t="s">
        <v>14256</v>
      </c>
      <c r="BU12520" s="4" t="s">
        <v>14257</v>
      </c>
      <c r="BV12520" s="4" t="s">
        <v>14258</v>
      </c>
      <c r="BW12520" s="4" t="s">
        <v>7946</v>
      </c>
      <c r="BX12520" s="4" t="s">
        <v>884</v>
      </c>
      <c r="BY12520" s="4" t="s">
        <v>21742</v>
      </c>
      <c r="BZ12520" s="4" t="s">
        <v>10345</v>
      </c>
      <c r="CA12520" s="4" t="s">
        <v>7929</v>
      </c>
      <c r="CB12520" s="4" t="s">
        <v>3414</v>
      </c>
      <c r="CC12520" s="4" t="s">
        <v>7308</v>
      </c>
      <c r="CD12520" s="4" t="s">
        <v>21714</v>
      </c>
      <c r="CE12520" s="4" t="s">
        <v>538</v>
      </c>
      <c r="CF12520" s="4" t="s">
        <v>7308</v>
      </c>
      <c r="CG12520" s="4" t="s">
        <v>14260</v>
      </c>
      <c r="CH12520" s="4" t="s">
        <v>538</v>
      </c>
    </row>
    <row r="12521">
      <c r="A12521" s="4">
        <v>562.0</v>
      </c>
      <c r="B12521" s="4" t="s">
        <v>22111</v>
      </c>
      <c r="C12521" s="4"/>
      <c r="D12521" s="4" t="s">
        <v>3872</v>
      </c>
      <c r="E12521" s="4" t="s">
        <v>3873</v>
      </c>
      <c r="F12521" s="4" t="s">
        <v>3874</v>
      </c>
    </row>
    <row r="12522">
      <c r="A12522" s="4">
        <v>563.0</v>
      </c>
      <c r="B12522" s="4" t="s">
        <v>22111</v>
      </c>
      <c r="C12522" s="4"/>
      <c r="D12522" s="4" t="s">
        <v>21746</v>
      </c>
      <c r="E12522" s="4" t="s">
        <v>18638</v>
      </c>
      <c r="F12522" s="4" t="s">
        <v>3881</v>
      </c>
    </row>
    <row r="12523">
      <c r="A12523" s="4">
        <v>564.0</v>
      </c>
      <c r="B12523" s="4" t="s">
        <v>22111</v>
      </c>
      <c r="C12523" s="4"/>
      <c r="D12523" s="4" t="s">
        <v>21747</v>
      </c>
      <c r="E12523" s="4" t="s">
        <v>21748</v>
      </c>
      <c r="F12523" s="4" t="s">
        <v>14255</v>
      </c>
      <c r="G12523" s="4"/>
      <c r="H12523" s="4" t="s">
        <v>21749</v>
      </c>
    </row>
    <row r="12524">
      <c r="A12524" s="4">
        <v>565.0</v>
      </c>
      <c r="B12524" s="4" t="s">
        <v>22111</v>
      </c>
      <c r="C12524" s="4"/>
      <c r="D12524" s="4" t="s">
        <v>3882</v>
      </c>
      <c r="E12524" s="4" t="s">
        <v>3883</v>
      </c>
      <c r="F12524" s="4" t="s">
        <v>3882</v>
      </c>
      <c r="G12524" s="4"/>
      <c r="H12524" s="4" t="s">
        <v>3887</v>
      </c>
      <c r="I12524" s="4" t="s">
        <v>3888</v>
      </c>
      <c r="J12524" s="4" t="s">
        <v>3889</v>
      </c>
      <c r="K12524" s="4" t="s">
        <v>3887</v>
      </c>
    </row>
    <row r="12525">
      <c r="A12525" s="4">
        <v>566.0</v>
      </c>
      <c r="B12525" s="4" t="s">
        <v>22111</v>
      </c>
      <c r="C12525" s="4"/>
      <c r="D12525" s="4" t="s">
        <v>3890</v>
      </c>
      <c r="E12525" s="4" t="s">
        <v>3891</v>
      </c>
      <c r="F12525" s="4" t="s">
        <v>3890</v>
      </c>
      <c r="G12525" s="4"/>
      <c r="H12525" s="4" t="s">
        <v>3892</v>
      </c>
      <c r="I12525" s="4" t="s">
        <v>3897</v>
      </c>
      <c r="J12525" s="4" t="s">
        <v>3898</v>
      </c>
      <c r="K12525" s="4" t="s">
        <v>11404</v>
      </c>
      <c r="L12525" s="4" t="s">
        <v>3736</v>
      </c>
      <c r="M12525" s="4" t="s">
        <v>3899</v>
      </c>
    </row>
    <row r="12526">
      <c r="A12526" s="4">
        <v>567.0</v>
      </c>
      <c r="B12526" s="4" t="s">
        <v>22111</v>
      </c>
      <c r="C12526" s="4"/>
      <c r="D12526" s="4" t="s">
        <v>3902</v>
      </c>
      <c r="E12526" s="4" t="s">
        <v>3903</v>
      </c>
      <c r="F12526" s="4" t="s">
        <v>3902</v>
      </c>
    </row>
    <row r="12527">
      <c r="A12527" s="4">
        <v>568.0</v>
      </c>
      <c r="B12527" s="4" t="s">
        <v>22111</v>
      </c>
      <c r="C12527" s="4"/>
      <c r="D12527" s="4" t="s">
        <v>13564</v>
      </c>
      <c r="E12527" s="4" t="s">
        <v>21750</v>
      </c>
      <c r="F12527" s="4" t="s">
        <v>13564</v>
      </c>
    </row>
    <row r="12528">
      <c r="A12528" s="4">
        <v>569.0</v>
      </c>
      <c r="B12528" s="4" t="s">
        <v>22111</v>
      </c>
      <c r="C12528" s="4"/>
      <c r="D12528" s="4" t="s">
        <v>21751</v>
      </c>
      <c r="E12528" s="4" t="s">
        <v>21752</v>
      </c>
      <c r="F12528" s="4" t="s">
        <v>21751</v>
      </c>
      <c r="G12528" s="4"/>
      <c r="H12528" s="4" t="s">
        <v>21753</v>
      </c>
      <c r="I12528" s="4" t="s">
        <v>536</v>
      </c>
      <c r="J12528" s="4" t="s">
        <v>21754</v>
      </c>
      <c r="K12528" s="4" t="s">
        <v>21755</v>
      </c>
      <c r="L12528" s="4" t="s">
        <v>21756</v>
      </c>
      <c r="M12528" s="4" t="s">
        <v>8688</v>
      </c>
      <c r="N12528" s="4" t="s">
        <v>21757</v>
      </c>
      <c r="O12528" s="4" t="s">
        <v>15252</v>
      </c>
      <c r="P12528" s="4" t="s">
        <v>21758</v>
      </c>
      <c r="Q12528" s="4" t="s">
        <v>6680</v>
      </c>
      <c r="R12528" s="4" t="s">
        <v>8688</v>
      </c>
      <c r="S12528" s="4" t="s">
        <v>21759</v>
      </c>
      <c r="T12528" s="4" t="s">
        <v>8878</v>
      </c>
      <c r="U12528" s="4" t="s">
        <v>21759</v>
      </c>
      <c r="V12528" s="4" t="s">
        <v>8688</v>
      </c>
      <c r="W12528" s="4" t="s">
        <v>21760</v>
      </c>
      <c r="X12528" s="4" t="s">
        <v>644</v>
      </c>
      <c r="Y12528" s="4" t="s">
        <v>21761</v>
      </c>
      <c r="Z12528" s="4" t="s">
        <v>4502</v>
      </c>
      <c r="AA12528" s="4" t="s">
        <v>16145</v>
      </c>
      <c r="AB12528" s="4" t="s">
        <v>8688</v>
      </c>
      <c r="AC12528" s="4" t="s">
        <v>21762</v>
      </c>
      <c r="AD12528" s="4" t="s">
        <v>21763</v>
      </c>
      <c r="AE12528" s="4" t="s">
        <v>21764</v>
      </c>
      <c r="AF12528" s="4" t="s">
        <v>8688</v>
      </c>
      <c r="AG12528" s="4" t="s">
        <v>7641</v>
      </c>
      <c r="AH12528" s="4" t="s">
        <v>21765</v>
      </c>
      <c r="AI12528" s="4" t="s">
        <v>16012</v>
      </c>
      <c r="AJ12528" s="4" t="s">
        <v>21766</v>
      </c>
      <c r="AK12528" s="4" t="s">
        <v>16885</v>
      </c>
      <c r="AL12528" s="4" t="s">
        <v>21767</v>
      </c>
      <c r="AM12528" s="4" t="s">
        <v>21768</v>
      </c>
      <c r="AN12528" s="4" t="s">
        <v>21769</v>
      </c>
      <c r="AO12528" s="4" t="s">
        <v>643</v>
      </c>
      <c r="AP12528" s="4" t="s">
        <v>644</v>
      </c>
      <c r="AQ12528" s="4" t="s">
        <v>645</v>
      </c>
      <c r="AR12528" s="4" t="s">
        <v>21766</v>
      </c>
      <c r="AS12528" s="4" t="s">
        <v>2764</v>
      </c>
      <c r="AT12528" s="4" t="s">
        <v>21766</v>
      </c>
      <c r="AU12528" s="4" t="s">
        <v>7307</v>
      </c>
      <c r="AV12528" s="4" t="s">
        <v>643</v>
      </c>
      <c r="AW12528" s="4" t="s">
        <v>21770</v>
      </c>
      <c r="AX12528" s="4" t="s">
        <v>21771</v>
      </c>
      <c r="AY12528" s="4" t="s">
        <v>21772</v>
      </c>
      <c r="AZ12528" s="4" t="s">
        <v>21773</v>
      </c>
      <c r="BA12528" s="4" t="s">
        <v>21774</v>
      </c>
      <c r="BB12528" s="4" t="s">
        <v>21775</v>
      </c>
      <c r="BC12528" s="4" t="s">
        <v>1431</v>
      </c>
      <c r="BD12528" s="4" t="s">
        <v>21776</v>
      </c>
      <c r="BE12528" s="4" t="s">
        <v>21766</v>
      </c>
      <c r="BF12528" s="4" t="s">
        <v>1431</v>
      </c>
      <c r="BG12528" s="4" t="s">
        <v>6686</v>
      </c>
      <c r="BH12528" s="4" t="s">
        <v>4305</v>
      </c>
      <c r="BI12528" s="4" t="s">
        <v>20679</v>
      </c>
      <c r="BJ12528" s="4" t="s">
        <v>15196</v>
      </c>
      <c r="BK12528" s="4" t="s">
        <v>15474</v>
      </c>
      <c r="BL12528" s="4" t="s">
        <v>4146</v>
      </c>
      <c r="BM12528" s="4" t="s">
        <v>21095</v>
      </c>
      <c r="BN12528" s="4" t="s">
        <v>4445</v>
      </c>
      <c r="BO12528" s="4" t="s">
        <v>21767</v>
      </c>
    </row>
    <row r="12529">
      <c r="A12529" s="4">
        <v>570.0</v>
      </c>
      <c r="B12529" s="4" t="s">
        <v>22111</v>
      </c>
      <c r="C12529" s="4"/>
      <c r="D12529" s="4" t="s">
        <v>21779</v>
      </c>
      <c r="E12529" s="4" t="s">
        <v>3920</v>
      </c>
      <c r="F12529" s="4" t="s">
        <v>3921</v>
      </c>
    </row>
    <row r="12530">
      <c r="A12530" s="4">
        <v>571.0</v>
      </c>
      <c r="B12530" s="4" t="s">
        <v>22111</v>
      </c>
      <c r="C12530" s="4"/>
      <c r="D12530" s="4" t="s">
        <v>21780</v>
      </c>
      <c r="E12530" s="4" t="s">
        <v>21781</v>
      </c>
      <c r="F12530" s="4" t="s">
        <v>21782</v>
      </c>
    </row>
    <row r="12531">
      <c r="A12531" s="4">
        <v>572.0</v>
      </c>
      <c r="B12531" s="4" t="s">
        <v>22111</v>
      </c>
      <c r="C12531" s="4"/>
      <c r="D12531" s="4" t="s">
        <v>3939</v>
      </c>
      <c r="E12531" s="4" t="s">
        <v>3940</v>
      </c>
      <c r="F12531" s="4" t="s">
        <v>3939</v>
      </c>
    </row>
    <row r="12532">
      <c r="A12532" s="4">
        <v>573.0</v>
      </c>
      <c r="B12532" s="4" t="s">
        <v>22111</v>
      </c>
      <c r="C12532" s="4"/>
      <c r="D12532" s="4" t="s">
        <v>21783</v>
      </c>
      <c r="E12532" s="4" t="s">
        <v>21784</v>
      </c>
      <c r="F12532" s="4" t="s">
        <v>21783</v>
      </c>
    </row>
    <row r="12533">
      <c r="A12533" s="4">
        <v>574.0</v>
      </c>
      <c r="B12533" s="4" t="s">
        <v>22111</v>
      </c>
      <c r="C12533" s="4"/>
      <c r="D12533" s="4" t="s">
        <v>11123</v>
      </c>
      <c r="E12533" s="4" t="s">
        <v>13599</v>
      </c>
      <c r="F12533" s="4" t="s">
        <v>11123</v>
      </c>
    </row>
    <row r="12534">
      <c r="A12534" s="4">
        <v>575.0</v>
      </c>
      <c r="B12534" s="4" t="s">
        <v>22111</v>
      </c>
      <c r="C12534" s="4"/>
      <c r="D12534" s="4" t="s">
        <v>21785</v>
      </c>
      <c r="E12534" s="4" t="s">
        <v>21786</v>
      </c>
      <c r="F12534" s="4" t="s">
        <v>21785</v>
      </c>
      <c r="G12534" s="4"/>
      <c r="H12534" s="4" t="s">
        <v>21787</v>
      </c>
    </row>
    <row r="12535">
      <c r="A12535" s="4">
        <v>576.0</v>
      </c>
      <c r="B12535" s="4" t="s">
        <v>22111</v>
      </c>
      <c r="C12535" s="4"/>
      <c r="D12535" s="4" t="s">
        <v>21788</v>
      </c>
      <c r="E12535" s="4" t="s">
        <v>21789</v>
      </c>
      <c r="F12535" s="4" t="s">
        <v>21788</v>
      </c>
    </row>
    <row r="12536">
      <c r="A12536" s="4">
        <v>577.0</v>
      </c>
      <c r="B12536" s="4" t="s">
        <v>22111</v>
      </c>
      <c r="C12536" s="4"/>
      <c r="D12536" s="4" t="s">
        <v>21800</v>
      </c>
      <c r="E12536" s="4" t="s">
        <v>21801</v>
      </c>
      <c r="F12536" s="4" t="s">
        <v>21800</v>
      </c>
    </row>
    <row r="12537">
      <c r="A12537" s="4">
        <v>578.0</v>
      </c>
      <c r="B12537" s="4" t="s">
        <v>22111</v>
      </c>
      <c r="C12537" s="4"/>
      <c r="D12537" s="4" t="s">
        <v>401</v>
      </c>
      <c r="E12537" s="4" t="s">
        <v>400</v>
      </c>
      <c r="F12537" s="4" t="s">
        <v>401</v>
      </c>
      <c r="G12537" s="4"/>
      <c r="H12537" s="4" t="s">
        <v>422</v>
      </c>
      <c r="I12537" s="4" t="s">
        <v>3975</v>
      </c>
      <c r="J12537" s="4" t="s">
        <v>401</v>
      </c>
    </row>
    <row r="12538">
      <c r="A12538" s="4">
        <v>579.0</v>
      </c>
      <c r="B12538" s="4" t="s">
        <v>22111</v>
      </c>
      <c r="C12538" s="4"/>
      <c r="D12538" s="4" t="s">
        <v>21803</v>
      </c>
      <c r="E12538" s="4" t="s">
        <v>21804</v>
      </c>
      <c r="F12538" s="4" t="s">
        <v>21805</v>
      </c>
    </row>
    <row r="12539">
      <c r="A12539" s="4">
        <v>580.0</v>
      </c>
      <c r="B12539" s="4" t="s">
        <v>22111</v>
      </c>
      <c r="C12539" s="4"/>
      <c r="D12539" s="4" t="s">
        <v>21806</v>
      </c>
      <c r="E12539" s="4" t="s">
        <v>20267</v>
      </c>
      <c r="F12539" s="4" t="s">
        <v>7538</v>
      </c>
      <c r="G12539" s="4"/>
      <c r="H12539" s="4" t="s">
        <v>7576</v>
      </c>
      <c r="I12539" s="4" t="s">
        <v>7576</v>
      </c>
    </row>
    <row r="12540">
      <c r="A12540" s="4">
        <v>581.0</v>
      </c>
      <c r="B12540" s="4" t="s">
        <v>22111</v>
      </c>
      <c r="C12540" s="4"/>
      <c r="D12540" s="4" t="s">
        <v>1417</v>
      </c>
      <c r="E12540" s="4" t="s">
        <v>1416</v>
      </c>
      <c r="F12540" s="4" t="s">
        <v>1417</v>
      </c>
    </row>
    <row r="12541">
      <c r="A12541" s="4">
        <v>582.0</v>
      </c>
      <c r="B12541" s="4" t="s">
        <v>22111</v>
      </c>
      <c r="C12541" s="4"/>
      <c r="D12541" s="4" t="s">
        <v>21807</v>
      </c>
      <c r="E12541" s="4" t="s">
        <v>21808</v>
      </c>
      <c r="F12541" s="4" t="s">
        <v>21807</v>
      </c>
    </row>
    <row r="12542">
      <c r="A12542" s="4">
        <v>583.0</v>
      </c>
      <c r="B12542" s="4" t="s">
        <v>22111</v>
      </c>
      <c r="C12542" s="4"/>
      <c r="D12542" s="4" t="s">
        <v>3983</v>
      </c>
      <c r="E12542" s="4" t="s">
        <v>3989</v>
      </c>
      <c r="F12542" s="4" t="s">
        <v>3983</v>
      </c>
      <c r="G12542" s="4"/>
      <c r="H12542" s="4" t="s">
        <v>3988</v>
      </c>
      <c r="I12542" s="4" t="s">
        <v>3983</v>
      </c>
      <c r="J12542" s="4" t="s">
        <v>3986</v>
      </c>
      <c r="K12542" s="4" t="s">
        <v>3987</v>
      </c>
      <c r="L12542" s="4" t="s">
        <v>3983</v>
      </c>
      <c r="M12542" s="4" t="s">
        <v>3988</v>
      </c>
      <c r="N12542" s="4" t="s">
        <v>3983</v>
      </c>
      <c r="O12542" s="4" t="s">
        <v>3983</v>
      </c>
    </row>
    <row r="12543">
      <c r="A12543" s="4">
        <v>584.0</v>
      </c>
      <c r="B12543" s="4" t="s">
        <v>22111</v>
      </c>
      <c r="C12543" s="4"/>
      <c r="D12543" s="4" t="s">
        <v>3990</v>
      </c>
      <c r="E12543" s="4" t="s">
        <v>4001</v>
      </c>
      <c r="F12543" s="4" t="s">
        <v>3990</v>
      </c>
      <c r="G12543" s="4"/>
      <c r="H12543" s="4" t="s">
        <v>3993</v>
      </c>
      <c r="I12543" s="4" t="s">
        <v>3994</v>
      </c>
      <c r="J12543" s="4" t="s">
        <v>3995</v>
      </c>
      <c r="K12543" s="4" t="s">
        <v>3996</v>
      </c>
      <c r="L12543" s="4" t="s">
        <v>3997</v>
      </c>
      <c r="M12543" s="4" t="s">
        <v>3998</v>
      </c>
      <c r="N12543" s="4" t="s">
        <v>3999</v>
      </c>
      <c r="O12543" s="4" t="s">
        <v>4000</v>
      </c>
      <c r="P12543" s="4" t="s">
        <v>1911</v>
      </c>
      <c r="Q12543" s="4" t="s">
        <v>883</v>
      </c>
      <c r="R12543" s="4" t="s">
        <v>3997</v>
      </c>
      <c r="S12543" s="4" t="s">
        <v>3996</v>
      </c>
      <c r="T12543" s="4" t="s">
        <v>21809</v>
      </c>
    </row>
    <row r="12544">
      <c r="A12544" s="4">
        <v>585.0</v>
      </c>
      <c r="B12544" s="4" t="s">
        <v>22111</v>
      </c>
      <c r="C12544" s="4"/>
      <c r="D12544" s="4" t="s">
        <v>7626</v>
      </c>
      <c r="E12544" s="4" t="s">
        <v>12179</v>
      </c>
      <c r="F12544" s="4" t="s">
        <v>7626</v>
      </c>
    </row>
    <row r="12545">
      <c r="A12545" s="4">
        <v>586.0</v>
      </c>
      <c r="B12545" s="4" t="s">
        <v>22111</v>
      </c>
      <c r="C12545" s="4"/>
      <c r="D12545" s="4" t="s">
        <v>21813</v>
      </c>
      <c r="E12545" s="4" t="s">
        <v>21814</v>
      </c>
      <c r="F12545" s="4" t="s">
        <v>21813</v>
      </c>
    </row>
    <row r="12546">
      <c r="A12546" s="4">
        <v>587.0</v>
      </c>
      <c r="B12546" s="4" t="s">
        <v>22111</v>
      </c>
      <c r="C12546" s="4"/>
      <c r="D12546" s="4" t="s">
        <v>21815</v>
      </c>
      <c r="E12546" s="4" t="s">
        <v>21816</v>
      </c>
      <c r="F12546" s="4" t="s">
        <v>21815</v>
      </c>
    </row>
    <row r="12547">
      <c r="A12547" s="4">
        <v>588.0</v>
      </c>
      <c r="B12547" s="4" t="s">
        <v>22111</v>
      </c>
      <c r="C12547" s="4"/>
      <c r="D12547" s="4" t="s">
        <v>16283</v>
      </c>
      <c r="E12547" s="4" t="s">
        <v>16284</v>
      </c>
      <c r="F12547" s="4" t="s">
        <v>16283</v>
      </c>
    </row>
    <row r="12548">
      <c r="A12548" s="4">
        <v>589.0</v>
      </c>
      <c r="B12548" s="4" t="s">
        <v>22111</v>
      </c>
      <c r="C12548" s="4"/>
      <c r="D12548" s="4" t="s">
        <v>21817</v>
      </c>
      <c r="E12548" s="4" t="s">
        <v>21818</v>
      </c>
      <c r="F12548" s="4" t="s">
        <v>21817</v>
      </c>
    </row>
    <row r="12549">
      <c r="A12549" s="4">
        <v>590.0</v>
      </c>
      <c r="B12549" s="4" t="s">
        <v>22111</v>
      </c>
      <c r="C12549" s="4"/>
      <c r="D12549" s="4" t="s">
        <v>8717</v>
      </c>
      <c r="E12549" s="4" t="s">
        <v>8716</v>
      </c>
      <c r="F12549" s="4" t="s">
        <v>8717</v>
      </c>
    </row>
    <row r="12550">
      <c r="A12550" s="4">
        <v>591.0</v>
      </c>
      <c r="B12550" s="4" t="s">
        <v>22111</v>
      </c>
      <c r="C12550" s="4"/>
      <c r="D12550" s="4" t="s">
        <v>4118</v>
      </c>
      <c r="E12550" s="4" t="s">
        <v>4119</v>
      </c>
      <c r="F12550" s="4" t="s">
        <v>4118</v>
      </c>
      <c r="G12550" s="4"/>
      <c r="H12550" s="4" t="s">
        <v>4120</v>
      </c>
      <c r="I12550" s="4" t="s">
        <v>4121</v>
      </c>
      <c r="J12550" s="4" t="s">
        <v>4122</v>
      </c>
      <c r="K12550" s="4" t="s">
        <v>4123</v>
      </c>
      <c r="L12550" s="4" t="s">
        <v>4125</v>
      </c>
      <c r="M12550" s="4" t="s">
        <v>4553</v>
      </c>
      <c r="N12550" s="4" t="s">
        <v>4554</v>
      </c>
      <c r="O12550" s="4" t="s">
        <v>4123</v>
      </c>
      <c r="P12550" s="4" t="s">
        <v>4124</v>
      </c>
      <c r="Q12550" s="4" t="s">
        <v>4125</v>
      </c>
      <c r="R12550" s="4" t="s">
        <v>4123</v>
      </c>
      <c r="S12550" s="4" t="s">
        <v>4120</v>
      </c>
      <c r="T12550" s="4" t="s">
        <v>4126</v>
      </c>
      <c r="U12550" s="4" t="s">
        <v>4123</v>
      </c>
      <c r="V12550" s="4" t="s">
        <v>4127</v>
      </c>
      <c r="W12550" s="4" t="s">
        <v>4124</v>
      </c>
      <c r="X12550" s="4" t="s">
        <v>4128</v>
      </c>
    </row>
    <row r="12551">
      <c r="A12551" s="4">
        <v>592.0</v>
      </c>
      <c r="B12551" s="4" t="s">
        <v>22111</v>
      </c>
      <c r="C12551" s="4"/>
      <c r="D12551" s="4" t="s">
        <v>21819</v>
      </c>
      <c r="E12551" s="4" t="s">
        <v>21820</v>
      </c>
      <c r="F12551" s="4" t="s">
        <v>21819</v>
      </c>
    </row>
    <row r="12552">
      <c r="A12552" s="4">
        <v>593.0</v>
      </c>
      <c r="B12552" s="4" t="s">
        <v>22111</v>
      </c>
      <c r="C12552" s="4"/>
      <c r="D12552" s="4" t="s">
        <v>21825</v>
      </c>
      <c r="E12552" s="4" t="s">
        <v>7656</v>
      </c>
      <c r="F12552" s="4" t="s">
        <v>7650</v>
      </c>
    </row>
    <row r="12553">
      <c r="A12553" s="4">
        <v>594.0</v>
      </c>
      <c r="B12553" s="4" t="s">
        <v>22111</v>
      </c>
      <c r="C12553" s="4"/>
      <c r="D12553" s="4" t="s">
        <v>4152</v>
      </c>
      <c r="E12553" s="4" t="s">
        <v>4153</v>
      </c>
      <c r="F12553" s="4" t="s">
        <v>4152</v>
      </c>
    </row>
    <row r="12554">
      <c r="A12554" s="4">
        <v>595.0</v>
      </c>
      <c r="B12554" s="4" t="s">
        <v>22111</v>
      </c>
      <c r="C12554" s="4"/>
      <c r="D12554" s="4" t="s">
        <v>21826</v>
      </c>
      <c r="E12554" s="4" t="s">
        <v>21827</v>
      </c>
      <c r="F12554" s="4" t="s">
        <v>21826</v>
      </c>
      <c r="G12554" s="4"/>
      <c r="H12554" s="4" t="s">
        <v>21828</v>
      </c>
      <c r="I12554" s="4" t="s">
        <v>21829</v>
      </c>
      <c r="J12554" s="4" t="s">
        <v>21830</v>
      </c>
      <c r="K12554" s="4" t="s">
        <v>21831</v>
      </c>
      <c r="L12554" s="4" t="s">
        <v>3632</v>
      </c>
      <c r="M12554" s="4" t="s">
        <v>21832</v>
      </c>
      <c r="N12554" s="4" t="s">
        <v>20604</v>
      </c>
    </row>
    <row r="12555">
      <c r="A12555" s="4">
        <v>596.0</v>
      </c>
      <c r="B12555" s="4" t="s">
        <v>22111</v>
      </c>
      <c r="C12555" s="4"/>
      <c r="D12555" s="4" t="s">
        <v>21833</v>
      </c>
      <c r="E12555" s="4" t="s">
        <v>21834</v>
      </c>
      <c r="F12555" s="4" t="s">
        <v>21833</v>
      </c>
      <c r="G12555" s="4"/>
      <c r="H12555" s="4" t="s">
        <v>21835</v>
      </c>
      <c r="I12555" s="4" t="s">
        <v>20165</v>
      </c>
      <c r="J12555" s="4" t="s">
        <v>21836</v>
      </c>
      <c r="K12555" s="4" t="s">
        <v>21837</v>
      </c>
      <c r="L12555" s="4" t="s">
        <v>21838</v>
      </c>
    </row>
    <row r="12556">
      <c r="A12556" s="4">
        <v>597.0</v>
      </c>
      <c r="B12556" s="4" t="s">
        <v>22111</v>
      </c>
      <c r="C12556" s="4"/>
      <c r="D12556" s="4" t="s">
        <v>21839</v>
      </c>
      <c r="E12556" s="4" t="s">
        <v>21840</v>
      </c>
      <c r="F12556" s="4" t="s">
        <v>21839</v>
      </c>
    </row>
    <row r="12557">
      <c r="A12557" s="4">
        <v>598.0</v>
      </c>
      <c r="B12557" s="4" t="s">
        <v>22111</v>
      </c>
      <c r="C12557" s="4"/>
      <c r="D12557" s="4" t="s">
        <v>11292</v>
      </c>
      <c r="E12557" s="4" t="s">
        <v>11293</v>
      </c>
      <c r="F12557" s="4" t="s">
        <v>11292</v>
      </c>
      <c r="G12557" s="4"/>
      <c r="H12557" s="4" t="s">
        <v>21841</v>
      </c>
      <c r="I12557" s="4" t="s">
        <v>21842</v>
      </c>
      <c r="J12557" s="4" t="s">
        <v>5083</v>
      </c>
      <c r="K12557" s="4" t="s">
        <v>5084</v>
      </c>
      <c r="L12557" s="4" t="s">
        <v>5085</v>
      </c>
      <c r="M12557" s="4" t="s">
        <v>5086</v>
      </c>
      <c r="N12557" s="4" t="s">
        <v>5087</v>
      </c>
    </row>
    <row r="12558">
      <c r="A12558" s="4">
        <v>599.0</v>
      </c>
      <c r="B12558" s="4" t="s">
        <v>22111</v>
      </c>
      <c r="C12558" s="4"/>
      <c r="D12558" s="4" t="s">
        <v>21843</v>
      </c>
      <c r="E12558" s="4" t="s">
        <v>21844</v>
      </c>
      <c r="F12558" s="4" t="s">
        <v>21843</v>
      </c>
    </row>
    <row r="12559">
      <c r="A12559" s="4">
        <v>600.0</v>
      </c>
      <c r="B12559" s="4" t="s">
        <v>22111</v>
      </c>
      <c r="C12559" s="4"/>
      <c r="D12559" s="4" t="s">
        <v>7657</v>
      </c>
      <c r="E12559" s="4" t="s">
        <v>8795</v>
      </c>
      <c r="F12559" s="4" t="s">
        <v>7657</v>
      </c>
    </row>
    <row r="12560">
      <c r="A12560" s="4">
        <v>601.0</v>
      </c>
      <c r="B12560" s="4" t="s">
        <v>22111</v>
      </c>
      <c r="C12560" s="4"/>
      <c r="D12560" s="4" t="s">
        <v>4214</v>
      </c>
      <c r="E12560" s="4" t="s">
        <v>400</v>
      </c>
      <c r="F12560" s="4" t="s">
        <v>401</v>
      </c>
    </row>
    <row r="12561">
      <c r="A12561" s="4">
        <v>602.0</v>
      </c>
      <c r="B12561" s="4" t="s">
        <v>22111</v>
      </c>
      <c r="C12561" s="4"/>
      <c r="D12561" s="4" t="s">
        <v>21853</v>
      </c>
      <c r="E12561" s="4" t="s">
        <v>12179</v>
      </c>
      <c r="F12561" s="4" t="s">
        <v>7626</v>
      </c>
    </row>
    <row r="12562">
      <c r="A12562" s="4">
        <v>603.0</v>
      </c>
      <c r="B12562" s="4" t="s">
        <v>22111</v>
      </c>
      <c r="C12562" s="4"/>
      <c r="D12562" s="4" t="s">
        <v>8880</v>
      </c>
      <c r="E12562" s="4" t="s">
        <v>15552</v>
      </c>
      <c r="F12562" s="4" t="s">
        <v>8882</v>
      </c>
      <c r="G12562" s="4"/>
      <c r="H12562" s="4" t="s">
        <v>8880</v>
      </c>
    </row>
    <row r="12563">
      <c r="A12563" s="4">
        <v>604.0</v>
      </c>
      <c r="B12563" s="4" t="s">
        <v>22111</v>
      </c>
      <c r="C12563" s="4"/>
      <c r="D12563" s="4" t="s">
        <v>1864</v>
      </c>
      <c r="E12563" s="4" t="s">
        <v>1863</v>
      </c>
      <c r="F12563" s="4" t="s">
        <v>1864</v>
      </c>
    </row>
    <row r="12564">
      <c r="A12564" s="4">
        <v>605.0</v>
      </c>
      <c r="B12564" s="4" t="s">
        <v>22111</v>
      </c>
      <c r="C12564" s="4"/>
      <c r="D12564" s="4" t="s">
        <v>21033</v>
      </c>
      <c r="E12564" s="4" t="s">
        <v>21032</v>
      </c>
      <c r="F12564" s="4" t="s">
        <v>21033</v>
      </c>
    </row>
    <row r="12565">
      <c r="A12565" s="4">
        <v>606.0</v>
      </c>
      <c r="B12565" s="4" t="s">
        <v>22111</v>
      </c>
      <c r="C12565" s="4"/>
      <c r="D12565" s="4" t="s">
        <v>4640</v>
      </c>
      <c r="E12565" s="4" t="s">
        <v>4639</v>
      </c>
      <c r="F12565" s="4" t="s">
        <v>4640</v>
      </c>
    </row>
    <row r="12566">
      <c r="A12566" s="4">
        <v>607.0</v>
      </c>
      <c r="B12566" s="4" t="s">
        <v>22111</v>
      </c>
      <c r="C12566" s="4"/>
      <c r="D12566" s="4" t="s">
        <v>4638</v>
      </c>
      <c r="E12566" s="4" t="s">
        <v>4656</v>
      </c>
      <c r="F12566" s="4" t="s">
        <v>4638</v>
      </c>
      <c r="G12566" s="4"/>
      <c r="H12566" s="4" t="s">
        <v>4641</v>
      </c>
      <c r="I12566" s="4" t="s">
        <v>4642</v>
      </c>
      <c r="J12566" s="4" t="s">
        <v>4643</v>
      </c>
      <c r="K12566" s="4" t="s">
        <v>4644</v>
      </c>
      <c r="L12566" s="4" t="s">
        <v>4645</v>
      </c>
      <c r="M12566" s="4" t="s">
        <v>4646</v>
      </c>
      <c r="N12566" s="4" t="s">
        <v>4645</v>
      </c>
      <c r="O12566" s="4" t="s">
        <v>4644</v>
      </c>
      <c r="P12566" s="4" t="s">
        <v>4646</v>
      </c>
      <c r="Q12566" s="4" t="s">
        <v>4647</v>
      </c>
      <c r="R12566" s="4" t="s">
        <v>4648</v>
      </c>
      <c r="S12566" s="4" t="s">
        <v>22023</v>
      </c>
      <c r="T12566" s="4" t="s">
        <v>22024</v>
      </c>
      <c r="U12566" s="4" t="s">
        <v>22025</v>
      </c>
      <c r="V12566" s="4" t="s">
        <v>3048</v>
      </c>
      <c r="W12566" s="4" t="s">
        <v>22026</v>
      </c>
      <c r="X12566" s="4" t="s">
        <v>4653</v>
      </c>
      <c r="Y12566" s="4" t="s">
        <v>4652</v>
      </c>
      <c r="Z12566" s="4" t="s">
        <v>4649</v>
      </c>
      <c r="AA12566" s="4" t="s">
        <v>4650</v>
      </c>
      <c r="AB12566" s="4" t="s">
        <v>4649</v>
      </c>
      <c r="AC12566" s="4" t="s">
        <v>4651</v>
      </c>
      <c r="AD12566" s="4" t="s">
        <v>4496</v>
      </c>
      <c r="AE12566" s="4" t="s">
        <v>4652</v>
      </c>
      <c r="AF12566" s="4" t="s">
        <v>3048</v>
      </c>
      <c r="AG12566" s="4" t="s">
        <v>3050</v>
      </c>
      <c r="AH12566" s="4" t="s">
        <v>4653</v>
      </c>
      <c r="AI12566" s="4" t="s">
        <v>22027</v>
      </c>
      <c r="AJ12566" s="4" t="s">
        <v>22028</v>
      </c>
      <c r="AK12566" s="4" t="s">
        <v>22029</v>
      </c>
      <c r="AL12566" s="4" t="s">
        <v>21767</v>
      </c>
      <c r="AM12566" s="4" t="s">
        <v>22030</v>
      </c>
      <c r="AN12566" s="4" t="s">
        <v>4642</v>
      </c>
      <c r="AO12566" s="4" t="s">
        <v>4652</v>
      </c>
      <c r="AP12566" s="4" t="s">
        <v>3048</v>
      </c>
      <c r="AQ12566" s="4" t="s">
        <v>4653</v>
      </c>
      <c r="AR12566" s="4" t="s">
        <v>4649</v>
      </c>
      <c r="AS12566" s="4" t="s">
        <v>4644</v>
      </c>
      <c r="AT12566" s="4" t="s">
        <v>4644</v>
      </c>
      <c r="AU12566" s="4" t="s">
        <v>4642</v>
      </c>
    </row>
    <row r="12567">
      <c r="A12567" s="4">
        <v>608.0</v>
      </c>
      <c r="B12567" s="4" t="s">
        <v>22111</v>
      </c>
      <c r="C12567" s="4"/>
      <c r="D12567" s="4" t="s">
        <v>22031</v>
      </c>
      <c r="E12567" s="4" t="s">
        <v>22032</v>
      </c>
      <c r="F12567" s="4" t="s">
        <v>22033</v>
      </c>
    </row>
    <row r="12568">
      <c r="A12568" s="4">
        <v>609.0</v>
      </c>
      <c r="B12568" s="4" t="s">
        <v>22111</v>
      </c>
      <c r="C12568" s="4"/>
      <c r="D12568" s="4" t="s">
        <v>22034</v>
      </c>
      <c r="E12568" s="4" t="s">
        <v>22035</v>
      </c>
      <c r="F12568" s="4" t="s">
        <v>22036</v>
      </c>
    </row>
    <row r="12569">
      <c r="A12569" s="4">
        <v>610.0</v>
      </c>
      <c r="B12569" s="4" t="s">
        <v>22111</v>
      </c>
      <c r="C12569" s="4"/>
      <c r="D12569" s="4" t="s">
        <v>4659</v>
      </c>
      <c r="E12569" s="4" t="s">
        <v>4639</v>
      </c>
      <c r="F12569" s="4" t="s">
        <v>4640</v>
      </c>
    </row>
    <row r="12570">
      <c r="A12570" s="4">
        <v>611.0</v>
      </c>
      <c r="B12570" s="4" t="s">
        <v>22111</v>
      </c>
      <c r="C12570" s="4"/>
      <c r="D12570" s="4" t="s">
        <v>22044</v>
      </c>
      <c r="E12570" s="4" t="s">
        <v>22045</v>
      </c>
      <c r="F12570" s="4" t="s">
        <v>22046</v>
      </c>
    </row>
    <row r="12571">
      <c r="A12571" s="4">
        <v>612.0</v>
      </c>
      <c r="B12571" s="4" t="s">
        <v>22111</v>
      </c>
      <c r="C12571" s="4"/>
      <c r="D12571" s="4" t="s">
        <v>22047</v>
      </c>
      <c r="E12571" s="4" t="s">
        <v>22048</v>
      </c>
      <c r="F12571" s="4" t="s">
        <v>22047</v>
      </c>
    </row>
    <row r="12572">
      <c r="A12572" s="4">
        <v>613.0</v>
      </c>
      <c r="B12572" s="4" t="s">
        <v>22111</v>
      </c>
      <c r="C12572" s="4"/>
      <c r="D12572" s="4" t="s">
        <v>19726</v>
      </c>
      <c r="E12572" s="4" t="s">
        <v>21047</v>
      </c>
      <c r="F12572" s="4" t="s">
        <v>19726</v>
      </c>
      <c r="G12572" s="4"/>
      <c r="H12572" s="4" t="s">
        <v>4799</v>
      </c>
      <c r="I12572" s="4" t="s">
        <v>22049</v>
      </c>
      <c r="J12572" s="4" t="s">
        <v>4799</v>
      </c>
      <c r="K12572" s="4" t="s">
        <v>22050</v>
      </c>
      <c r="L12572" s="4" t="s">
        <v>22051</v>
      </c>
      <c r="M12572" s="4" t="s">
        <v>22052</v>
      </c>
      <c r="N12572" s="4" t="s">
        <v>3085</v>
      </c>
      <c r="O12572" s="4" t="s">
        <v>4799</v>
      </c>
      <c r="P12572" s="4" t="s">
        <v>22053</v>
      </c>
      <c r="Q12572" s="4" t="s">
        <v>11348</v>
      </c>
      <c r="R12572" s="4" t="s">
        <v>22052</v>
      </c>
      <c r="S12572" s="4" t="s">
        <v>4799</v>
      </c>
      <c r="T12572" s="4" t="s">
        <v>4799</v>
      </c>
    </row>
    <row r="12573">
      <c r="A12573" s="4">
        <v>614.0</v>
      </c>
      <c r="B12573" s="4" t="s">
        <v>22111</v>
      </c>
      <c r="C12573" s="4"/>
      <c r="D12573" s="4" t="s">
        <v>22054</v>
      </c>
      <c r="E12573" s="4" t="s">
        <v>22055</v>
      </c>
      <c r="F12573" s="4" t="s">
        <v>22054</v>
      </c>
    </row>
    <row r="12574">
      <c r="A12574" s="4">
        <v>615.0</v>
      </c>
      <c r="B12574" s="4" t="s">
        <v>22111</v>
      </c>
      <c r="C12574" s="4"/>
      <c r="D12574" s="4" t="s">
        <v>22056</v>
      </c>
      <c r="E12574" s="4" t="s">
        <v>22057</v>
      </c>
      <c r="F12574" s="4" t="s">
        <v>22056</v>
      </c>
    </row>
    <row r="12575">
      <c r="A12575" s="4">
        <v>616.0</v>
      </c>
      <c r="B12575" s="4" t="s">
        <v>22111</v>
      </c>
      <c r="C12575" s="4"/>
      <c r="D12575" s="4" t="s">
        <v>22058</v>
      </c>
      <c r="E12575" s="4" t="s">
        <v>22055</v>
      </c>
      <c r="F12575" s="4" t="s">
        <v>22054</v>
      </c>
    </row>
    <row r="12576">
      <c r="A12576" s="4">
        <v>617.0</v>
      </c>
      <c r="B12576" s="4" t="s">
        <v>22111</v>
      </c>
      <c r="C12576" s="4"/>
      <c r="D12576" s="4" t="s">
        <v>22059</v>
      </c>
      <c r="E12576" s="4" t="s">
        <v>22057</v>
      </c>
      <c r="F12576" s="4" t="s">
        <v>22056</v>
      </c>
    </row>
    <row r="12577">
      <c r="A12577" s="4">
        <v>618.0</v>
      </c>
      <c r="B12577" s="4" t="s">
        <v>22111</v>
      </c>
      <c r="C12577" s="4"/>
      <c r="D12577" s="4" t="s">
        <v>22060</v>
      </c>
      <c r="E12577" s="4" t="s">
        <v>22061</v>
      </c>
      <c r="F12577" s="4" t="s">
        <v>22060</v>
      </c>
    </row>
    <row r="12578">
      <c r="A12578" s="4">
        <v>619.0</v>
      </c>
      <c r="B12578" s="4" t="s">
        <v>22111</v>
      </c>
      <c r="C12578" s="4"/>
      <c r="D12578" s="4" t="s">
        <v>22062</v>
      </c>
      <c r="E12578" s="4" t="s">
        <v>22063</v>
      </c>
      <c r="F12578" s="4" t="s">
        <v>22064</v>
      </c>
    </row>
    <row r="12579">
      <c r="A12579" s="4">
        <v>620.0</v>
      </c>
      <c r="B12579" s="4" t="s">
        <v>22111</v>
      </c>
      <c r="C12579" s="4"/>
      <c r="D12579" s="4" t="s">
        <v>22068</v>
      </c>
      <c r="E12579" s="4" t="s">
        <v>22069</v>
      </c>
      <c r="F12579" s="4" t="s">
        <v>22068</v>
      </c>
      <c r="G12579" s="4"/>
      <c r="H12579" s="4" t="s">
        <v>22070</v>
      </c>
      <c r="I12579" s="4" t="s">
        <v>22070</v>
      </c>
      <c r="J12579" s="4" t="s">
        <v>22071</v>
      </c>
    </row>
    <row r="12580">
      <c r="A12580" s="4">
        <v>621.0</v>
      </c>
      <c r="B12580" s="4" t="s">
        <v>22111</v>
      </c>
      <c r="C12580" s="4"/>
      <c r="D12580" s="4" t="s">
        <v>22072</v>
      </c>
      <c r="E12580" s="4" t="s">
        <v>22073</v>
      </c>
      <c r="F12580" s="4" t="s">
        <v>22072</v>
      </c>
      <c r="G12580" s="4"/>
      <c r="H12580" s="4" t="s">
        <v>15061</v>
      </c>
      <c r="I12580" s="4" t="s">
        <v>22074</v>
      </c>
      <c r="J12580" s="4" t="s">
        <v>8236</v>
      </c>
    </row>
    <row r="12581">
      <c r="A12581" s="4">
        <v>622.0</v>
      </c>
      <c r="B12581" s="4" t="s">
        <v>22111</v>
      </c>
      <c r="C12581" s="4"/>
      <c r="D12581" s="4" t="s">
        <v>22075</v>
      </c>
      <c r="E12581" s="4" t="s">
        <v>21127</v>
      </c>
      <c r="F12581" s="4" t="s">
        <v>21128</v>
      </c>
    </row>
    <row r="12582">
      <c r="A12582" s="4">
        <v>623.0</v>
      </c>
      <c r="B12582" s="4" t="s">
        <v>22111</v>
      </c>
      <c r="C12582" s="4"/>
      <c r="D12582" s="4" t="s">
        <v>22076</v>
      </c>
      <c r="E12582" s="4" t="s">
        <v>22077</v>
      </c>
      <c r="F12582" s="4" t="s">
        <v>22078</v>
      </c>
    </row>
    <row r="12583">
      <c r="A12583" s="4">
        <v>624.0</v>
      </c>
      <c r="B12583" s="4" t="s">
        <v>22111</v>
      </c>
      <c r="C12583" s="4"/>
      <c r="D12583" s="4" t="s">
        <v>22076</v>
      </c>
      <c r="E12583" s="4" t="s">
        <v>22079</v>
      </c>
      <c r="F12583" s="4" t="s">
        <v>22080</v>
      </c>
    </row>
    <row r="12584">
      <c r="A12584" s="4">
        <v>625.0</v>
      </c>
      <c r="B12584" s="4" t="s">
        <v>22111</v>
      </c>
      <c r="C12584" s="4"/>
      <c r="D12584" s="4" t="s">
        <v>22081</v>
      </c>
      <c r="E12584" s="4" t="s">
        <v>400</v>
      </c>
      <c r="F12584" s="4" t="s">
        <v>401</v>
      </c>
    </row>
    <row r="12585">
      <c r="A12585" s="4">
        <v>626.0</v>
      </c>
      <c r="B12585" s="4" t="s">
        <v>22111</v>
      </c>
      <c r="C12585" s="4"/>
      <c r="D12585" s="4" t="s">
        <v>22082</v>
      </c>
      <c r="E12585" s="4" t="s">
        <v>22083</v>
      </c>
      <c r="F12585" s="4" t="s">
        <v>9207</v>
      </c>
    </row>
    <row r="12586">
      <c r="A12586" s="4">
        <v>627.0</v>
      </c>
      <c r="B12586" s="4" t="s">
        <v>22111</v>
      </c>
      <c r="C12586" s="4"/>
      <c r="D12586" s="4" t="s">
        <v>22084</v>
      </c>
      <c r="E12586" s="4" t="s">
        <v>22085</v>
      </c>
      <c r="F12586" s="4" t="s">
        <v>14748</v>
      </c>
      <c r="G12586" s="4"/>
      <c r="H12586" s="4" t="s">
        <v>22086</v>
      </c>
      <c r="I12586" s="4" t="s">
        <v>22087</v>
      </c>
      <c r="J12586" s="4" t="s">
        <v>22088</v>
      </c>
      <c r="K12586" s="4" t="s">
        <v>22089</v>
      </c>
      <c r="L12586" s="4" t="s">
        <v>22090</v>
      </c>
      <c r="M12586" s="4" t="s">
        <v>22091</v>
      </c>
      <c r="N12586" s="4" t="s">
        <v>997</v>
      </c>
      <c r="O12586" s="4" t="s">
        <v>22092</v>
      </c>
      <c r="P12586" s="4" t="s">
        <v>19816</v>
      </c>
      <c r="Q12586" s="4" t="s">
        <v>22086</v>
      </c>
      <c r="R12586" s="4" t="s">
        <v>22087</v>
      </c>
      <c r="S12586" s="4" t="s">
        <v>22093</v>
      </c>
      <c r="T12586" s="4" t="s">
        <v>6967</v>
      </c>
      <c r="U12586" s="4" t="s">
        <v>3216</v>
      </c>
    </row>
    <row r="12587">
      <c r="A12587" s="4">
        <v>628.0</v>
      </c>
      <c r="B12587" s="4" t="s">
        <v>22111</v>
      </c>
      <c r="C12587" s="4"/>
      <c r="D12587" s="4" t="s">
        <v>22094</v>
      </c>
      <c r="E12587" s="4" t="s">
        <v>653</v>
      </c>
      <c r="F12587" s="4" t="s">
        <v>652</v>
      </c>
    </row>
    <row r="12588">
      <c r="A12588" s="4">
        <v>629.0</v>
      </c>
      <c r="B12588" s="4" t="s">
        <v>22111</v>
      </c>
      <c r="C12588" s="4"/>
      <c r="D12588" s="4" t="s">
        <v>16664</v>
      </c>
      <c r="E12588" s="4" t="s">
        <v>16663</v>
      </c>
      <c r="F12588" s="4" t="s">
        <v>16664</v>
      </c>
    </row>
    <row r="12589">
      <c r="A12589" s="4">
        <v>630.0</v>
      </c>
      <c r="B12589" s="4" t="s">
        <v>22111</v>
      </c>
      <c r="C12589" s="4"/>
      <c r="D12589" s="4" t="s">
        <v>22096</v>
      </c>
      <c r="E12589" s="4" t="s">
        <v>22097</v>
      </c>
      <c r="F12589" s="4" t="s">
        <v>22096</v>
      </c>
    </row>
    <row r="12590">
      <c r="A12590" s="4">
        <v>631.0</v>
      </c>
      <c r="B12590" s="4" t="s">
        <v>22111</v>
      </c>
      <c r="C12590" s="4"/>
      <c r="D12590" s="4" t="s">
        <v>18379</v>
      </c>
      <c r="E12590" s="4" t="s">
        <v>18378</v>
      </c>
      <c r="F12590" s="4" t="s">
        <v>18379</v>
      </c>
    </row>
    <row r="12591">
      <c r="A12591" s="4">
        <v>632.0</v>
      </c>
      <c r="B12591" s="4" t="s">
        <v>22111</v>
      </c>
      <c r="C12591" s="4"/>
      <c r="D12591" s="4" t="s">
        <v>22098</v>
      </c>
      <c r="E12591" s="4" t="s">
        <v>22099</v>
      </c>
      <c r="F12591" s="4" t="s">
        <v>22098</v>
      </c>
    </row>
    <row r="12592">
      <c r="A12592" s="4">
        <v>633.0</v>
      </c>
      <c r="B12592" s="4" t="s">
        <v>22111</v>
      </c>
      <c r="C12592" s="4"/>
      <c r="D12592" s="4" t="s">
        <v>3066</v>
      </c>
      <c r="E12592" s="4" t="s">
        <v>3065</v>
      </c>
      <c r="F12592" s="4" t="s">
        <v>3066</v>
      </c>
    </row>
    <row r="12593">
      <c r="A12593" s="4">
        <v>1.0</v>
      </c>
      <c r="B12593" s="4" t="s">
        <v>22112</v>
      </c>
      <c r="C12593" s="4"/>
      <c r="D12593" s="4" t="s">
        <v>20305</v>
      </c>
      <c r="E12593" s="4" t="s">
        <v>20306</v>
      </c>
      <c r="F12593" s="4" t="s">
        <v>20307</v>
      </c>
    </row>
    <row r="12594">
      <c r="A12594" s="4">
        <v>2.0</v>
      </c>
      <c r="B12594" s="4" t="s">
        <v>22112</v>
      </c>
      <c r="C12594" s="4"/>
      <c r="D12594" s="4" t="s">
        <v>20308</v>
      </c>
      <c r="E12594" s="4" t="s">
        <v>20309</v>
      </c>
      <c r="F12594" s="4" t="s">
        <v>20310</v>
      </c>
      <c r="G12594" s="4"/>
      <c r="H12594" s="4" t="s">
        <v>20311</v>
      </c>
    </row>
    <row r="12595">
      <c r="A12595" s="4">
        <v>3.0</v>
      </c>
      <c r="B12595" s="4" t="s">
        <v>22112</v>
      </c>
      <c r="C12595" s="4"/>
      <c r="D12595" s="4" t="s">
        <v>20312</v>
      </c>
      <c r="E12595" s="4" t="s">
        <v>20313</v>
      </c>
      <c r="F12595" s="4" t="s">
        <v>20314</v>
      </c>
    </row>
    <row r="12596">
      <c r="A12596" s="4">
        <v>4.0</v>
      </c>
      <c r="B12596" s="4" t="s">
        <v>22112</v>
      </c>
      <c r="C12596" s="4"/>
      <c r="D12596" s="4" t="s">
        <v>20315</v>
      </c>
      <c r="E12596" s="4" t="s">
        <v>20316</v>
      </c>
      <c r="F12596" s="4" t="s">
        <v>20317</v>
      </c>
    </row>
    <row r="12597">
      <c r="A12597" s="4">
        <v>5.0</v>
      </c>
      <c r="B12597" s="4" t="s">
        <v>22112</v>
      </c>
      <c r="C12597" s="4"/>
      <c r="D12597" s="4" t="s">
        <v>20318</v>
      </c>
      <c r="E12597" s="4" t="s">
        <v>20319</v>
      </c>
      <c r="F12597" s="4" t="s">
        <v>20320</v>
      </c>
    </row>
    <row r="12598">
      <c r="A12598" s="4">
        <v>6.0</v>
      </c>
      <c r="B12598" s="4" t="s">
        <v>22112</v>
      </c>
      <c r="C12598" s="4"/>
      <c r="D12598" s="4" t="s">
        <v>479</v>
      </c>
      <c r="E12598" s="4" t="s">
        <v>480</v>
      </c>
      <c r="F12598" s="4" t="s">
        <v>481</v>
      </c>
      <c r="G12598" s="4"/>
      <c r="H12598" s="4" t="s">
        <v>482</v>
      </c>
      <c r="I12598" s="4" t="s">
        <v>483</v>
      </c>
      <c r="J12598" s="4" t="s">
        <v>484</v>
      </c>
      <c r="K12598" s="4" t="s">
        <v>485</v>
      </c>
      <c r="L12598" s="4" t="s">
        <v>486</v>
      </c>
      <c r="M12598" s="4" t="s">
        <v>487</v>
      </c>
      <c r="N12598" s="4" t="s">
        <v>488</v>
      </c>
      <c r="O12598" s="4" t="s">
        <v>489</v>
      </c>
      <c r="P12598" s="4" t="s">
        <v>490</v>
      </c>
      <c r="Q12598" s="4" t="s">
        <v>491</v>
      </c>
      <c r="R12598" s="4" t="s">
        <v>492</v>
      </c>
      <c r="S12598" s="4" t="s">
        <v>493</v>
      </c>
      <c r="T12598" s="4" t="s">
        <v>20321</v>
      </c>
      <c r="U12598" s="4" t="s">
        <v>485</v>
      </c>
      <c r="V12598" s="4" t="s">
        <v>20322</v>
      </c>
      <c r="W12598" s="4" t="s">
        <v>20323</v>
      </c>
      <c r="X12598" s="4" t="s">
        <v>20324</v>
      </c>
      <c r="Y12598" s="4" t="s">
        <v>20325</v>
      </c>
      <c r="Z12598" s="4" t="s">
        <v>494</v>
      </c>
      <c r="AA12598" s="4" t="s">
        <v>494</v>
      </c>
      <c r="AB12598" s="4" t="s">
        <v>495</v>
      </c>
      <c r="AC12598" s="4" t="s">
        <v>496</v>
      </c>
      <c r="AD12598" s="4" t="s">
        <v>497</v>
      </c>
      <c r="AE12598" s="4" t="s">
        <v>498</v>
      </c>
      <c r="AF12598" s="4" t="s">
        <v>499</v>
      </c>
    </row>
    <row r="12599">
      <c r="A12599" s="4">
        <v>7.0</v>
      </c>
      <c r="B12599" s="4" t="s">
        <v>22112</v>
      </c>
      <c r="C12599" s="4"/>
      <c r="D12599" s="4" t="s">
        <v>20326</v>
      </c>
      <c r="E12599" s="4" t="s">
        <v>20327</v>
      </c>
      <c r="F12599" s="4" t="s">
        <v>20328</v>
      </c>
    </row>
    <row r="12600">
      <c r="A12600" s="4">
        <v>8.0</v>
      </c>
      <c r="B12600" s="4" t="s">
        <v>22112</v>
      </c>
      <c r="C12600" s="4"/>
      <c r="D12600" s="4" t="s">
        <v>20329</v>
      </c>
      <c r="E12600" s="4" t="s">
        <v>4896</v>
      </c>
      <c r="F12600" s="4" t="s">
        <v>4897</v>
      </c>
    </row>
    <row r="12601">
      <c r="A12601" s="4">
        <v>9.0</v>
      </c>
      <c r="B12601" s="4" t="s">
        <v>22112</v>
      </c>
      <c r="C12601" s="4"/>
      <c r="D12601" s="4" t="s">
        <v>20330</v>
      </c>
      <c r="E12601" s="4" t="s">
        <v>20331</v>
      </c>
      <c r="F12601" s="4" t="s">
        <v>20332</v>
      </c>
      <c r="G12601" s="4"/>
      <c r="H12601" s="4" t="s">
        <v>917</v>
      </c>
      <c r="I12601" s="4" t="s">
        <v>20333</v>
      </c>
      <c r="J12601" s="4" t="s">
        <v>917</v>
      </c>
      <c r="K12601" s="4" t="s">
        <v>20334</v>
      </c>
    </row>
    <row r="12602">
      <c r="A12602" s="4">
        <v>10.0</v>
      </c>
      <c r="B12602" s="4" t="s">
        <v>22112</v>
      </c>
      <c r="C12602" s="4"/>
      <c r="D12602" s="4" t="s">
        <v>20335</v>
      </c>
      <c r="E12602" s="4" t="s">
        <v>20336</v>
      </c>
      <c r="F12602" s="4" t="s">
        <v>20337</v>
      </c>
    </row>
    <row r="12603">
      <c r="A12603" s="4">
        <v>11.0</v>
      </c>
      <c r="B12603" s="4" t="s">
        <v>22112</v>
      </c>
      <c r="C12603" s="4"/>
      <c r="D12603" s="4" t="s">
        <v>20338</v>
      </c>
      <c r="E12603" s="4" t="s">
        <v>20339</v>
      </c>
      <c r="F12603" s="4" t="s">
        <v>20340</v>
      </c>
    </row>
    <row r="12604">
      <c r="A12604" s="4">
        <v>12.0</v>
      </c>
      <c r="B12604" s="4" t="s">
        <v>22112</v>
      </c>
      <c r="C12604" s="4"/>
      <c r="D12604" s="4" t="s">
        <v>20341</v>
      </c>
      <c r="E12604" s="4" t="s">
        <v>20336</v>
      </c>
      <c r="F12604" s="4" t="s">
        <v>20337</v>
      </c>
    </row>
    <row r="12605">
      <c r="A12605" s="4">
        <v>13.0</v>
      </c>
      <c r="B12605" s="4" t="s">
        <v>22112</v>
      </c>
      <c r="C12605" s="4"/>
      <c r="D12605" s="4" t="s">
        <v>20342</v>
      </c>
      <c r="E12605" s="4" t="s">
        <v>20339</v>
      </c>
      <c r="F12605" s="4" t="s">
        <v>20340</v>
      </c>
    </row>
    <row r="12606">
      <c r="A12606" s="4">
        <v>14.0</v>
      </c>
      <c r="B12606" s="4" t="s">
        <v>22112</v>
      </c>
      <c r="C12606" s="4"/>
      <c r="D12606" s="4" t="s">
        <v>20343</v>
      </c>
      <c r="E12606" s="4" t="s">
        <v>20344</v>
      </c>
      <c r="F12606" s="4" t="s">
        <v>20345</v>
      </c>
    </row>
    <row r="12607">
      <c r="A12607" s="4">
        <v>15.0</v>
      </c>
      <c r="B12607" s="4" t="s">
        <v>22112</v>
      </c>
      <c r="C12607" s="4"/>
      <c r="D12607" s="4" t="s">
        <v>20346</v>
      </c>
      <c r="E12607" s="4" t="s">
        <v>20347</v>
      </c>
      <c r="F12607" s="4" t="s">
        <v>20348</v>
      </c>
    </row>
    <row r="12608">
      <c r="A12608" s="4">
        <v>16.0</v>
      </c>
      <c r="B12608" s="4" t="s">
        <v>22112</v>
      </c>
      <c r="C12608" s="4"/>
      <c r="D12608" s="4" t="s">
        <v>20349</v>
      </c>
      <c r="E12608" s="4" t="s">
        <v>20350</v>
      </c>
      <c r="F12608" s="4" t="s">
        <v>20351</v>
      </c>
      <c r="G12608" s="4"/>
      <c r="H12608" s="4" t="s">
        <v>20352</v>
      </c>
      <c r="I12608" s="4" t="s">
        <v>20353</v>
      </c>
    </row>
    <row r="12609">
      <c r="A12609" s="4">
        <v>17.0</v>
      </c>
      <c r="B12609" s="4" t="s">
        <v>22112</v>
      </c>
      <c r="C12609" s="4"/>
      <c r="D12609" s="4" t="s">
        <v>14049</v>
      </c>
      <c r="E12609" s="4" t="s">
        <v>14050</v>
      </c>
      <c r="F12609" s="4" t="s">
        <v>14051</v>
      </c>
    </row>
    <row r="12610">
      <c r="A12610" s="4">
        <v>18.0</v>
      </c>
      <c r="B12610" s="4" t="s">
        <v>22112</v>
      </c>
      <c r="C12610" s="4"/>
      <c r="D12610" s="4" t="s">
        <v>20354</v>
      </c>
      <c r="E12610" s="4" t="s">
        <v>20355</v>
      </c>
      <c r="F12610" s="4" t="s">
        <v>20356</v>
      </c>
    </row>
    <row r="12611">
      <c r="A12611" s="4">
        <v>19.0</v>
      </c>
      <c r="B12611" s="4" t="s">
        <v>22112</v>
      </c>
      <c r="C12611" s="4"/>
      <c r="D12611" s="4" t="s">
        <v>20357</v>
      </c>
      <c r="E12611" s="4" t="s">
        <v>20358</v>
      </c>
      <c r="F12611" s="4" t="s">
        <v>20359</v>
      </c>
      <c r="G12611" s="4"/>
      <c r="H12611" s="4" t="s">
        <v>2700</v>
      </c>
      <c r="I12611" s="4" t="s">
        <v>7514</v>
      </c>
      <c r="J12611" s="4" t="s">
        <v>20360</v>
      </c>
      <c r="K12611" s="4" t="s">
        <v>20361</v>
      </c>
      <c r="L12611" s="4" t="s">
        <v>7519</v>
      </c>
      <c r="M12611" s="4" t="s">
        <v>20362</v>
      </c>
      <c r="N12611" s="4" t="s">
        <v>7342</v>
      </c>
      <c r="O12611" s="4" t="s">
        <v>796</v>
      </c>
      <c r="P12611" s="4" t="s">
        <v>20363</v>
      </c>
      <c r="Q12611" s="4" t="s">
        <v>20364</v>
      </c>
      <c r="R12611" s="4" t="s">
        <v>7519</v>
      </c>
      <c r="S12611" s="4" t="s">
        <v>20365</v>
      </c>
      <c r="T12611" s="4" t="s">
        <v>20366</v>
      </c>
      <c r="U12611" s="4" t="s">
        <v>16894</v>
      </c>
      <c r="V12611" s="4" t="s">
        <v>20367</v>
      </c>
      <c r="W12611" s="4" t="s">
        <v>20368</v>
      </c>
      <c r="X12611" s="4" t="s">
        <v>20369</v>
      </c>
      <c r="Y12611" s="4" t="s">
        <v>20370</v>
      </c>
      <c r="Z12611" s="4" t="s">
        <v>7520</v>
      </c>
      <c r="AA12611" s="4" t="s">
        <v>20371</v>
      </c>
      <c r="AB12611" s="4" t="s">
        <v>707</v>
      </c>
      <c r="AC12611" s="4" t="s">
        <v>1437</v>
      </c>
      <c r="AD12611" s="4" t="s">
        <v>2997</v>
      </c>
      <c r="AE12611" s="4" t="s">
        <v>20372</v>
      </c>
      <c r="AF12611" s="4" t="s">
        <v>20373</v>
      </c>
      <c r="AG12611" s="4" t="s">
        <v>20374</v>
      </c>
      <c r="AH12611" s="4" t="s">
        <v>20375</v>
      </c>
      <c r="AI12611" s="4" t="s">
        <v>8740</v>
      </c>
      <c r="AJ12611" s="4" t="s">
        <v>4519</v>
      </c>
      <c r="AK12611" s="4" t="s">
        <v>7516</v>
      </c>
      <c r="AL12611" s="4" t="s">
        <v>7517</v>
      </c>
      <c r="AM12611" s="4" t="s">
        <v>2700</v>
      </c>
      <c r="AN12611" s="4" t="s">
        <v>20374</v>
      </c>
      <c r="AO12611" s="4" t="s">
        <v>20362</v>
      </c>
      <c r="AP12611" s="4" t="s">
        <v>9056</v>
      </c>
      <c r="AQ12611" s="4" t="s">
        <v>2802</v>
      </c>
      <c r="AR12611" s="4" t="s">
        <v>20376</v>
      </c>
      <c r="AS12611" s="4" t="s">
        <v>2700</v>
      </c>
      <c r="AT12611" s="4" t="s">
        <v>7342</v>
      </c>
      <c r="AU12611" s="4" t="s">
        <v>20377</v>
      </c>
      <c r="AV12611" s="4" t="s">
        <v>6551</v>
      </c>
      <c r="AW12611" s="4" t="s">
        <v>20378</v>
      </c>
      <c r="AX12611" s="4" t="s">
        <v>6550</v>
      </c>
      <c r="AY12611" s="4" t="s">
        <v>20379</v>
      </c>
      <c r="AZ12611" s="4" t="s">
        <v>4283</v>
      </c>
      <c r="BA12611" s="4" t="s">
        <v>4447</v>
      </c>
      <c r="BB12611" s="4" t="s">
        <v>20380</v>
      </c>
      <c r="BC12611" s="4" t="s">
        <v>3493</v>
      </c>
      <c r="BD12611" s="4" t="s">
        <v>20374</v>
      </c>
      <c r="BE12611" s="4" t="s">
        <v>3493</v>
      </c>
      <c r="BF12611" s="4" t="s">
        <v>20374</v>
      </c>
      <c r="BG12611" s="4" t="s">
        <v>7342</v>
      </c>
      <c r="BH12611" s="4" t="s">
        <v>20381</v>
      </c>
      <c r="BI12611" s="4" t="s">
        <v>20365</v>
      </c>
    </row>
    <row r="12612">
      <c r="A12612" s="4">
        <v>20.0</v>
      </c>
      <c r="B12612" s="4" t="s">
        <v>22112</v>
      </c>
      <c r="C12612" s="4"/>
      <c r="D12612" s="4" t="s">
        <v>20382</v>
      </c>
      <c r="E12612" s="4" t="s">
        <v>20383</v>
      </c>
      <c r="F12612" s="4" t="s">
        <v>14051</v>
      </c>
    </row>
    <row r="12613">
      <c r="A12613" s="4">
        <v>21.0</v>
      </c>
      <c r="B12613" s="4" t="s">
        <v>22112</v>
      </c>
      <c r="C12613" s="4"/>
      <c r="D12613" s="4" t="s">
        <v>9199</v>
      </c>
      <c r="E12613" s="4" t="s">
        <v>20384</v>
      </c>
      <c r="F12613" s="4" t="s">
        <v>4747</v>
      </c>
    </row>
    <row r="12614">
      <c r="A12614" s="4">
        <v>22.0</v>
      </c>
      <c r="B12614" s="4" t="s">
        <v>22112</v>
      </c>
      <c r="C12614" s="4"/>
      <c r="D12614" s="4" t="s">
        <v>20385</v>
      </c>
      <c r="E12614" s="4" t="s">
        <v>20386</v>
      </c>
      <c r="F12614" s="4" t="s">
        <v>20387</v>
      </c>
    </row>
    <row r="12615">
      <c r="A12615" s="4">
        <v>23.0</v>
      </c>
      <c r="B12615" s="4" t="s">
        <v>22112</v>
      </c>
      <c r="C12615" s="4"/>
      <c r="D12615" s="4" t="s">
        <v>20388</v>
      </c>
      <c r="E12615" s="4" t="s">
        <v>20389</v>
      </c>
      <c r="F12615" s="4" t="s">
        <v>19893</v>
      </c>
    </row>
    <row r="12616">
      <c r="A12616" s="4">
        <v>24.0</v>
      </c>
      <c r="B12616" s="4" t="s">
        <v>22112</v>
      </c>
      <c r="C12616" s="4"/>
      <c r="D12616" s="4" t="s">
        <v>20390</v>
      </c>
      <c r="E12616" s="4" t="s">
        <v>20383</v>
      </c>
      <c r="F12616" s="4" t="s">
        <v>14051</v>
      </c>
    </row>
    <row r="12617">
      <c r="A12617" s="4">
        <v>25.0</v>
      </c>
      <c r="B12617" s="4" t="s">
        <v>22112</v>
      </c>
      <c r="C12617" s="4"/>
      <c r="D12617" s="4" t="s">
        <v>20391</v>
      </c>
      <c r="E12617" s="4" t="s">
        <v>20392</v>
      </c>
      <c r="F12617" s="4" t="s">
        <v>816</v>
      </c>
    </row>
    <row r="12618">
      <c r="A12618" s="4">
        <v>26.0</v>
      </c>
      <c r="B12618" s="4" t="s">
        <v>22112</v>
      </c>
      <c r="C12618" s="4"/>
      <c r="D12618" s="4" t="s">
        <v>813</v>
      </c>
      <c r="E12618" s="4" t="s">
        <v>812</v>
      </c>
      <c r="F12618" s="4" t="s">
        <v>813</v>
      </c>
    </row>
    <row r="12619">
      <c r="A12619" s="4">
        <v>27.0</v>
      </c>
      <c r="B12619" s="4" t="s">
        <v>22112</v>
      </c>
      <c r="C12619" s="4"/>
      <c r="D12619" s="4" t="s">
        <v>20393</v>
      </c>
      <c r="E12619" s="4" t="s">
        <v>20394</v>
      </c>
      <c r="F12619" s="4" t="s">
        <v>20395</v>
      </c>
    </row>
    <row r="12620">
      <c r="A12620" s="4">
        <v>28.0</v>
      </c>
      <c r="B12620" s="4" t="s">
        <v>22112</v>
      </c>
      <c r="C12620" s="4"/>
      <c r="D12620" s="4" t="s">
        <v>506</v>
      </c>
      <c r="E12620" s="4" t="s">
        <v>507</v>
      </c>
      <c r="F12620" s="4" t="s">
        <v>506</v>
      </c>
      <c r="G12620" s="4"/>
      <c r="H12620" s="4" t="s">
        <v>556</v>
      </c>
      <c r="I12620" s="4" t="s">
        <v>557</v>
      </c>
      <c r="J12620" s="4" t="s">
        <v>558</v>
      </c>
      <c r="K12620" s="4" t="s">
        <v>559</v>
      </c>
    </row>
    <row r="12621">
      <c r="A12621" s="4">
        <v>29.0</v>
      </c>
      <c r="B12621" s="4" t="s">
        <v>22112</v>
      </c>
      <c r="C12621" s="4"/>
      <c r="D12621" s="4" t="s">
        <v>508</v>
      </c>
      <c r="E12621" s="4" t="s">
        <v>509</v>
      </c>
      <c r="F12621" s="4" t="s">
        <v>508</v>
      </c>
      <c r="G12621" s="4"/>
      <c r="H12621" s="4" t="s">
        <v>510</v>
      </c>
      <c r="I12621" s="4" t="s">
        <v>511</v>
      </c>
      <c r="J12621" s="4" t="s">
        <v>512</v>
      </c>
      <c r="K12621" s="4" t="s">
        <v>513</v>
      </c>
      <c r="L12621" s="4" t="s">
        <v>510</v>
      </c>
      <c r="M12621" s="4" t="s">
        <v>514</v>
      </c>
      <c r="N12621" s="4" t="s">
        <v>510</v>
      </c>
      <c r="O12621" s="4" t="s">
        <v>510</v>
      </c>
      <c r="P12621" s="4" t="s">
        <v>515</v>
      </c>
      <c r="Q12621" s="4" t="s">
        <v>517</v>
      </c>
    </row>
    <row r="12622">
      <c r="A12622" s="4">
        <v>30.0</v>
      </c>
      <c r="B12622" s="4" t="s">
        <v>22112</v>
      </c>
      <c r="C12622" s="4"/>
      <c r="D12622" s="4" t="s">
        <v>20396</v>
      </c>
      <c r="E12622" s="4" t="s">
        <v>20397</v>
      </c>
      <c r="F12622" s="4" t="s">
        <v>20398</v>
      </c>
    </row>
    <row r="12623">
      <c r="A12623" s="4">
        <v>31.0</v>
      </c>
      <c r="B12623" s="4" t="s">
        <v>22112</v>
      </c>
      <c r="C12623" s="4"/>
      <c r="D12623" s="4" t="s">
        <v>20399</v>
      </c>
      <c r="E12623" s="4" t="s">
        <v>20400</v>
      </c>
      <c r="F12623" s="4" t="s">
        <v>20399</v>
      </c>
    </row>
    <row r="12624">
      <c r="A12624" s="4">
        <v>32.0</v>
      </c>
      <c r="B12624" s="4" t="s">
        <v>22112</v>
      </c>
      <c r="C12624" s="4"/>
      <c r="D12624" s="4" t="s">
        <v>20401</v>
      </c>
      <c r="E12624" s="4" t="s">
        <v>20402</v>
      </c>
      <c r="F12624" s="4" t="s">
        <v>20401</v>
      </c>
    </row>
    <row r="12625">
      <c r="A12625" s="4">
        <v>33.0</v>
      </c>
      <c r="B12625" s="4" t="s">
        <v>22112</v>
      </c>
      <c r="C12625" s="4"/>
      <c r="D12625" s="4" t="s">
        <v>20403</v>
      </c>
      <c r="E12625" s="4" t="s">
        <v>20404</v>
      </c>
      <c r="F12625" s="4" t="s">
        <v>20405</v>
      </c>
    </row>
    <row r="12626">
      <c r="A12626" s="4">
        <v>34.0</v>
      </c>
      <c r="B12626" s="4" t="s">
        <v>22112</v>
      </c>
      <c r="C12626" s="4"/>
      <c r="D12626" s="4" t="s">
        <v>4967</v>
      </c>
      <c r="E12626" s="4" t="s">
        <v>4966</v>
      </c>
      <c r="F12626" s="4" t="s">
        <v>4967</v>
      </c>
    </row>
    <row r="12627">
      <c r="A12627" s="4">
        <v>35.0</v>
      </c>
      <c r="B12627" s="4" t="s">
        <v>22112</v>
      </c>
      <c r="C12627" s="4"/>
      <c r="D12627" s="4" t="s">
        <v>20406</v>
      </c>
      <c r="E12627" s="4" t="s">
        <v>20407</v>
      </c>
      <c r="F12627" s="4" t="s">
        <v>20406</v>
      </c>
    </row>
    <row r="12628">
      <c r="A12628" s="4">
        <v>36.0</v>
      </c>
      <c r="B12628" s="4" t="s">
        <v>22112</v>
      </c>
      <c r="C12628" s="4"/>
      <c r="D12628" s="4" t="s">
        <v>17420</v>
      </c>
      <c r="E12628" s="4" t="s">
        <v>20408</v>
      </c>
      <c r="F12628" s="4" t="s">
        <v>17420</v>
      </c>
    </row>
    <row r="12629">
      <c r="A12629" s="4">
        <v>37.0</v>
      </c>
      <c r="B12629" s="4" t="s">
        <v>22112</v>
      </c>
      <c r="C12629" s="4"/>
      <c r="D12629" s="4" t="s">
        <v>14149</v>
      </c>
      <c r="E12629" s="4" t="s">
        <v>14148</v>
      </c>
      <c r="F12629" s="4" t="s">
        <v>14149</v>
      </c>
      <c r="G12629" s="4"/>
      <c r="H12629" s="4" t="s">
        <v>20409</v>
      </c>
      <c r="I12629" s="4" t="s">
        <v>14149</v>
      </c>
    </row>
    <row r="12630">
      <c r="A12630" s="4">
        <v>38.0</v>
      </c>
      <c r="B12630" s="4" t="s">
        <v>22112</v>
      </c>
      <c r="C12630" s="4"/>
      <c r="D12630" s="4" t="s">
        <v>20410</v>
      </c>
      <c r="E12630" s="4" t="s">
        <v>20411</v>
      </c>
      <c r="F12630" s="4" t="s">
        <v>20412</v>
      </c>
    </row>
    <row r="12631">
      <c r="A12631" s="4">
        <v>39.0</v>
      </c>
      <c r="B12631" s="4" t="s">
        <v>22112</v>
      </c>
      <c r="C12631" s="4"/>
      <c r="D12631" s="4" t="s">
        <v>4900</v>
      </c>
      <c r="E12631" s="4" t="s">
        <v>4899</v>
      </c>
      <c r="F12631" s="4" t="s">
        <v>4900</v>
      </c>
    </row>
    <row r="12632">
      <c r="A12632" s="4">
        <v>40.0</v>
      </c>
      <c r="B12632" s="4" t="s">
        <v>22112</v>
      </c>
      <c r="C12632" s="4"/>
      <c r="D12632" s="4" t="s">
        <v>20413</v>
      </c>
      <c r="E12632" s="4" t="s">
        <v>20414</v>
      </c>
      <c r="F12632" s="4" t="s">
        <v>20415</v>
      </c>
    </row>
    <row r="12633">
      <c r="A12633" s="4">
        <v>41.0</v>
      </c>
      <c r="B12633" s="4" t="s">
        <v>22112</v>
      </c>
      <c r="C12633" s="4"/>
      <c r="D12633" s="4" t="s">
        <v>20416</v>
      </c>
      <c r="E12633" s="4" t="s">
        <v>20417</v>
      </c>
      <c r="F12633" s="4" t="s">
        <v>14303</v>
      </c>
    </row>
    <row r="12634">
      <c r="A12634" s="4">
        <v>42.0</v>
      </c>
      <c r="B12634" s="4" t="s">
        <v>22112</v>
      </c>
      <c r="C12634" s="4"/>
      <c r="D12634" s="4" t="s">
        <v>20418</v>
      </c>
      <c r="E12634" s="4" t="s">
        <v>20419</v>
      </c>
      <c r="F12634" s="4" t="s">
        <v>20420</v>
      </c>
    </row>
    <row r="12635">
      <c r="A12635" s="4">
        <v>43.0</v>
      </c>
      <c r="B12635" s="4" t="s">
        <v>22112</v>
      </c>
      <c r="C12635" s="4"/>
      <c r="D12635" s="4" t="s">
        <v>20421</v>
      </c>
      <c r="E12635" s="4" t="s">
        <v>20422</v>
      </c>
      <c r="F12635" s="4" t="s">
        <v>20423</v>
      </c>
    </row>
    <row r="12636">
      <c r="A12636" s="4">
        <v>44.0</v>
      </c>
      <c r="B12636" s="4" t="s">
        <v>22112</v>
      </c>
      <c r="C12636" s="4"/>
      <c r="D12636" s="4" t="s">
        <v>20424</v>
      </c>
      <c r="E12636" s="4" t="s">
        <v>20411</v>
      </c>
      <c r="F12636" s="4" t="s">
        <v>20412</v>
      </c>
    </row>
    <row r="12637">
      <c r="A12637" s="4">
        <v>45.0</v>
      </c>
      <c r="B12637" s="4" t="s">
        <v>22112</v>
      </c>
      <c r="C12637" s="4"/>
      <c r="D12637" s="4" t="s">
        <v>20425</v>
      </c>
      <c r="E12637" s="4" t="s">
        <v>20426</v>
      </c>
      <c r="F12637" s="4" t="s">
        <v>20427</v>
      </c>
    </row>
    <row r="12638">
      <c r="A12638" s="4">
        <v>46.0</v>
      </c>
      <c r="B12638" s="4" t="s">
        <v>22112</v>
      </c>
      <c r="C12638" s="4"/>
      <c r="D12638" s="4" t="s">
        <v>17424</v>
      </c>
      <c r="E12638" s="4" t="s">
        <v>20428</v>
      </c>
      <c r="F12638" s="4" t="s">
        <v>20429</v>
      </c>
    </row>
    <row r="12639">
      <c r="A12639" s="4">
        <v>47.0</v>
      </c>
      <c r="B12639" s="4" t="s">
        <v>22112</v>
      </c>
      <c r="C12639" s="4"/>
      <c r="D12639" s="4" t="s">
        <v>20430</v>
      </c>
      <c r="E12639" s="4" t="s">
        <v>20431</v>
      </c>
      <c r="F12639" s="4" t="s">
        <v>20432</v>
      </c>
    </row>
    <row r="12640">
      <c r="A12640" s="4">
        <v>48.0</v>
      </c>
      <c r="B12640" s="4" t="s">
        <v>22112</v>
      </c>
      <c r="C12640" s="4"/>
      <c r="D12640" s="4" t="s">
        <v>20433</v>
      </c>
      <c r="E12640" s="4" t="s">
        <v>20434</v>
      </c>
      <c r="F12640" s="4" t="s">
        <v>20435</v>
      </c>
    </row>
    <row r="12641">
      <c r="A12641" s="4">
        <v>49.0</v>
      </c>
      <c r="B12641" s="4" t="s">
        <v>22112</v>
      </c>
      <c r="C12641" s="4"/>
      <c r="D12641" s="4" t="s">
        <v>20436</v>
      </c>
      <c r="E12641" s="4" t="s">
        <v>20437</v>
      </c>
      <c r="F12641" s="4" t="s">
        <v>20438</v>
      </c>
    </row>
    <row r="12642">
      <c r="A12642" s="4">
        <v>50.0</v>
      </c>
      <c r="B12642" s="4" t="s">
        <v>22112</v>
      </c>
      <c r="C12642" s="4"/>
      <c r="D12642" s="4" t="s">
        <v>20439</v>
      </c>
      <c r="E12642" s="4" t="s">
        <v>20440</v>
      </c>
      <c r="F12642" s="4" t="s">
        <v>20441</v>
      </c>
    </row>
    <row r="12643">
      <c r="A12643" s="4">
        <v>51.0</v>
      </c>
      <c r="B12643" s="4" t="s">
        <v>22112</v>
      </c>
      <c r="C12643" s="4"/>
      <c r="D12643" s="4" t="s">
        <v>20442</v>
      </c>
      <c r="E12643" s="4" t="s">
        <v>20434</v>
      </c>
      <c r="F12643" s="4" t="s">
        <v>20435</v>
      </c>
    </row>
    <row r="12644">
      <c r="A12644" s="4">
        <v>52.0</v>
      </c>
      <c r="B12644" s="4" t="s">
        <v>22112</v>
      </c>
      <c r="C12644" s="4"/>
      <c r="D12644" s="4" t="s">
        <v>20443</v>
      </c>
      <c r="E12644" s="4" t="s">
        <v>20440</v>
      </c>
      <c r="F12644" s="4" t="s">
        <v>20441</v>
      </c>
    </row>
    <row r="12645">
      <c r="A12645" s="4">
        <v>53.0</v>
      </c>
      <c r="B12645" s="4" t="s">
        <v>22112</v>
      </c>
      <c r="C12645" s="4"/>
      <c r="D12645" s="4" t="s">
        <v>20444</v>
      </c>
      <c r="E12645" s="4" t="s">
        <v>20445</v>
      </c>
      <c r="F12645" s="4" t="s">
        <v>20446</v>
      </c>
    </row>
    <row r="12646">
      <c r="A12646" s="4">
        <v>54.0</v>
      </c>
      <c r="B12646" s="4" t="s">
        <v>22112</v>
      </c>
      <c r="C12646" s="4"/>
      <c r="D12646" s="4" t="s">
        <v>20447</v>
      </c>
      <c r="E12646" s="4" t="s">
        <v>20448</v>
      </c>
      <c r="F12646" s="4" t="s">
        <v>20447</v>
      </c>
    </row>
    <row r="12647">
      <c r="A12647" s="4">
        <v>55.0</v>
      </c>
      <c r="B12647" s="4" t="s">
        <v>22112</v>
      </c>
      <c r="C12647" s="4"/>
      <c r="D12647" s="4" t="s">
        <v>20449</v>
      </c>
      <c r="E12647" s="4" t="s">
        <v>20450</v>
      </c>
      <c r="F12647" s="4" t="s">
        <v>20449</v>
      </c>
    </row>
    <row r="12648">
      <c r="A12648" s="4">
        <v>56.0</v>
      </c>
      <c r="B12648" s="4" t="s">
        <v>22112</v>
      </c>
      <c r="C12648" s="4"/>
      <c r="D12648" s="4" t="s">
        <v>20451</v>
      </c>
      <c r="E12648" s="4" t="s">
        <v>20452</v>
      </c>
      <c r="F12648" s="4" t="s">
        <v>20453</v>
      </c>
    </row>
    <row r="12649">
      <c r="A12649" s="4">
        <v>57.0</v>
      </c>
      <c r="B12649" s="4" t="s">
        <v>22112</v>
      </c>
      <c r="C12649" s="4"/>
      <c r="D12649" s="4" t="s">
        <v>20454</v>
      </c>
      <c r="E12649" s="4" t="s">
        <v>20455</v>
      </c>
      <c r="F12649" s="4" t="s">
        <v>20454</v>
      </c>
    </row>
    <row r="12650">
      <c r="A12650" s="4">
        <v>58.0</v>
      </c>
      <c r="B12650" s="4" t="s">
        <v>22112</v>
      </c>
      <c r="C12650" s="4"/>
      <c r="D12650" s="4" t="s">
        <v>20456</v>
      </c>
      <c r="E12650" s="4" t="s">
        <v>20457</v>
      </c>
      <c r="F12650" s="4" t="s">
        <v>20456</v>
      </c>
    </row>
    <row r="12651">
      <c r="A12651" s="4">
        <v>59.0</v>
      </c>
      <c r="B12651" s="4" t="s">
        <v>22112</v>
      </c>
      <c r="C12651" s="4"/>
      <c r="D12651" s="4" t="s">
        <v>11621</v>
      </c>
      <c r="E12651" s="4" t="s">
        <v>11622</v>
      </c>
      <c r="F12651" s="4" t="s">
        <v>11621</v>
      </c>
      <c r="G12651" s="4"/>
      <c r="H12651" s="4" t="s">
        <v>20458</v>
      </c>
    </row>
    <row r="12652">
      <c r="A12652" s="4">
        <v>60.0</v>
      </c>
      <c r="B12652" s="4" t="s">
        <v>22112</v>
      </c>
      <c r="C12652" s="4"/>
      <c r="D12652" s="4" t="s">
        <v>20459</v>
      </c>
      <c r="E12652" s="4" t="s">
        <v>20460</v>
      </c>
      <c r="F12652" s="4" t="s">
        <v>20461</v>
      </c>
    </row>
    <row r="12653">
      <c r="A12653" s="4">
        <v>61.0</v>
      </c>
      <c r="B12653" s="4" t="s">
        <v>22112</v>
      </c>
      <c r="C12653" s="4"/>
      <c r="D12653" s="4" t="s">
        <v>20462</v>
      </c>
      <c r="E12653" s="4" t="s">
        <v>20463</v>
      </c>
      <c r="F12653" s="4" t="s">
        <v>20462</v>
      </c>
    </row>
    <row r="12654">
      <c r="A12654" s="4">
        <v>62.0</v>
      </c>
      <c r="B12654" s="4" t="s">
        <v>22112</v>
      </c>
      <c r="C12654" s="4"/>
      <c r="D12654" s="4" t="s">
        <v>20464</v>
      </c>
      <c r="E12654" s="4" t="s">
        <v>20465</v>
      </c>
      <c r="F12654" s="4" t="s">
        <v>20464</v>
      </c>
    </row>
    <row r="12655">
      <c r="A12655" s="4">
        <v>63.0</v>
      </c>
      <c r="B12655" s="4" t="s">
        <v>22112</v>
      </c>
      <c r="C12655" s="4"/>
      <c r="D12655" s="4" t="s">
        <v>18935</v>
      </c>
      <c r="E12655" s="4" t="s">
        <v>509</v>
      </c>
      <c r="F12655" s="4" t="s">
        <v>508</v>
      </c>
      <c r="G12655" s="4"/>
      <c r="H12655" s="4" t="s">
        <v>18936</v>
      </c>
    </row>
    <row r="12656">
      <c r="A12656" s="4">
        <v>64.0</v>
      </c>
      <c r="B12656" s="4" t="s">
        <v>22112</v>
      </c>
      <c r="C12656" s="4"/>
      <c r="D12656" s="4" t="s">
        <v>20466</v>
      </c>
      <c r="E12656" s="4" t="s">
        <v>20467</v>
      </c>
      <c r="F12656" s="4" t="s">
        <v>20468</v>
      </c>
    </row>
    <row r="12657">
      <c r="A12657" s="4">
        <v>65.0</v>
      </c>
      <c r="B12657" s="4" t="s">
        <v>22112</v>
      </c>
      <c r="C12657" s="4"/>
      <c r="D12657" s="4" t="s">
        <v>20469</v>
      </c>
      <c r="E12657" s="4" t="s">
        <v>20470</v>
      </c>
      <c r="F12657" s="4" t="s">
        <v>20471</v>
      </c>
    </row>
    <row r="12658">
      <c r="A12658" s="4">
        <v>66.0</v>
      </c>
      <c r="B12658" s="4" t="s">
        <v>22112</v>
      </c>
      <c r="C12658" s="4"/>
      <c r="D12658" s="4" t="s">
        <v>566</v>
      </c>
      <c r="E12658" s="4" t="s">
        <v>567</v>
      </c>
      <c r="F12658" s="4" t="s">
        <v>566</v>
      </c>
      <c r="G12658" s="4"/>
      <c r="H12658" s="4" t="s">
        <v>20472</v>
      </c>
      <c r="I12658" s="4" t="s">
        <v>20473</v>
      </c>
      <c r="J12658" s="4" t="s">
        <v>20474</v>
      </c>
      <c r="K12658" s="4" t="s">
        <v>17249</v>
      </c>
    </row>
    <row r="12659">
      <c r="A12659" s="4">
        <v>67.0</v>
      </c>
      <c r="B12659" s="4" t="s">
        <v>22112</v>
      </c>
      <c r="C12659" s="4"/>
      <c r="D12659" s="4" t="s">
        <v>20475</v>
      </c>
      <c r="E12659" s="4" t="s">
        <v>20476</v>
      </c>
      <c r="F12659" s="4" t="s">
        <v>20475</v>
      </c>
    </row>
    <row r="12660">
      <c r="A12660" s="4">
        <v>68.0</v>
      </c>
      <c r="B12660" s="4" t="s">
        <v>22112</v>
      </c>
      <c r="C12660" s="4"/>
      <c r="D12660" s="4" t="s">
        <v>298</v>
      </c>
      <c r="E12660" s="4" t="s">
        <v>297</v>
      </c>
      <c r="F12660" s="4" t="s">
        <v>298</v>
      </c>
    </row>
    <row r="12661">
      <c r="A12661" s="4">
        <v>69.0</v>
      </c>
      <c r="B12661" s="4" t="s">
        <v>22112</v>
      </c>
      <c r="C12661" s="4"/>
      <c r="D12661" s="4" t="s">
        <v>20477</v>
      </c>
      <c r="E12661" s="4" t="s">
        <v>20478</v>
      </c>
      <c r="F12661" s="4" t="s">
        <v>20479</v>
      </c>
    </row>
    <row r="12662">
      <c r="A12662" s="4">
        <v>70.0</v>
      </c>
      <c r="B12662" s="4" t="s">
        <v>22112</v>
      </c>
      <c r="C12662" s="4"/>
      <c r="D12662" s="4" t="s">
        <v>570</v>
      </c>
      <c r="E12662" s="4" t="s">
        <v>571</v>
      </c>
      <c r="F12662" s="4" t="s">
        <v>570</v>
      </c>
      <c r="G12662" s="4"/>
      <c r="H12662" s="4" t="s">
        <v>572</v>
      </c>
    </row>
    <row r="12663">
      <c r="A12663" s="4">
        <v>71.0</v>
      </c>
      <c r="B12663" s="4" t="s">
        <v>22112</v>
      </c>
      <c r="C12663" s="4"/>
      <c r="D12663" s="4" t="s">
        <v>573</v>
      </c>
      <c r="E12663" s="4" t="s">
        <v>574</v>
      </c>
      <c r="F12663" s="4" t="s">
        <v>573</v>
      </c>
    </row>
    <row r="12664">
      <c r="A12664" s="4">
        <v>72.0</v>
      </c>
      <c r="B12664" s="4" t="s">
        <v>22112</v>
      </c>
      <c r="C12664" s="4"/>
      <c r="D12664" s="4" t="s">
        <v>575</v>
      </c>
      <c r="E12664" s="4" t="s">
        <v>576</v>
      </c>
      <c r="F12664" s="4" t="s">
        <v>575</v>
      </c>
    </row>
    <row r="12665">
      <c r="A12665" s="4">
        <v>73.0</v>
      </c>
      <c r="B12665" s="4" t="s">
        <v>22112</v>
      </c>
      <c r="C12665" s="4"/>
      <c r="D12665" s="4" t="s">
        <v>20480</v>
      </c>
      <c r="E12665" s="4" t="s">
        <v>20481</v>
      </c>
      <c r="F12665" s="4" t="s">
        <v>20480</v>
      </c>
    </row>
    <row r="12666">
      <c r="A12666" s="4">
        <v>74.0</v>
      </c>
      <c r="B12666" s="4" t="s">
        <v>22112</v>
      </c>
      <c r="C12666" s="4"/>
      <c r="D12666" s="4" t="s">
        <v>14312</v>
      </c>
      <c r="E12666" s="4" t="s">
        <v>14313</v>
      </c>
      <c r="F12666" s="4" t="s">
        <v>14312</v>
      </c>
      <c r="G12666" s="4"/>
      <c r="H12666" s="4" t="s">
        <v>20482</v>
      </c>
      <c r="I12666" s="4" t="s">
        <v>6611</v>
      </c>
    </row>
    <row r="12667">
      <c r="A12667" s="4">
        <v>75.0</v>
      </c>
      <c r="B12667" s="4" t="s">
        <v>22112</v>
      </c>
      <c r="C12667" s="4"/>
      <c r="D12667" s="4" t="s">
        <v>20483</v>
      </c>
      <c r="E12667" s="4" t="s">
        <v>20484</v>
      </c>
      <c r="F12667" s="4" t="s">
        <v>20485</v>
      </c>
    </row>
    <row r="12668">
      <c r="A12668" s="4">
        <v>76.0</v>
      </c>
      <c r="B12668" s="4" t="s">
        <v>22112</v>
      </c>
      <c r="C12668" s="4"/>
      <c r="D12668" s="4" t="s">
        <v>14077</v>
      </c>
      <c r="E12668" s="4" t="s">
        <v>14078</v>
      </c>
      <c r="F12668" s="4" t="s">
        <v>14077</v>
      </c>
    </row>
    <row r="12669">
      <c r="A12669" s="4">
        <v>77.0</v>
      </c>
      <c r="B12669" s="4" t="s">
        <v>22112</v>
      </c>
      <c r="C12669" s="4"/>
      <c r="D12669" s="4" t="s">
        <v>11659</v>
      </c>
      <c r="E12669" s="4" t="s">
        <v>11660</v>
      </c>
      <c r="F12669" s="4" t="s">
        <v>11661</v>
      </c>
    </row>
    <row r="12670">
      <c r="A12670" s="4">
        <v>78.0</v>
      </c>
      <c r="B12670" s="4" t="s">
        <v>22112</v>
      </c>
      <c r="C12670" s="4"/>
      <c r="D12670" s="4" t="s">
        <v>20486</v>
      </c>
      <c r="E12670" s="4" t="s">
        <v>20487</v>
      </c>
      <c r="F12670" s="4" t="s">
        <v>20486</v>
      </c>
    </row>
    <row r="12671">
      <c r="A12671" s="4">
        <v>79.0</v>
      </c>
      <c r="B12671" s="4" t="s">
        <v>22112</v>
      </c>
      <c r="C12671" s="4"/>
      <c r="D12671" s="4" t="s">
        <v>20488</v>
      </c>
      <c r="E12671" s="4" t="s">
        <v>20489</v>
      </c>
      <c r="F12671" s="4" t="s">
        <v>20488</v>
      </c>
    </row>
    <row r="12672">
      <c r="A12672" s="4">
        <v>80.0</v>
      </c>
      <c r="B12672" s="4" t="s">
        <v>22112</v>
      </c>
      <c r="C12672" s="4"/>
      <c r="D12672" s="4" t="s">
        <v>608</v>
      </c>
      <c r="E12672" s="4" t="s">
        <v>609</v>
      </c>
      <c r="F12672" s="4" t="s">
        <v>608</v>
      </c>
    </row>
    <row r="12673">
      <c r="A12673" s="4">
        <v>81.0</v>
      </c>
      <c r="B12673" s="4" t="s">
        <v>22112</v>
      </c>
      <c r="C12673" s="4"/>
      <c r="D12673" s="4" t="s">
        <v>20490</v>
      </c>
      <c r="E12673" s="4" t="s">
        <v>20491</v>
      </c>
      <c r="F12673" s="4" t="s">
        <v>20490</v>
      </c>
    </row>
    <row r="12674">
      <c r="A12674" s="4">
        <v>82.0</v>
      </c>
      <c r="B12674" s="4" t="s">
        <v>22112</v>
      </c>
      <c r="C12674" s="4"/>
      <c r="D12674" s="4" t="s">
        <v>5823</v>
      </c>
      <c r="E12674" s="4" t="s">
        <v>20492</v>
      </c>
      <c r="F12674" s="4" t="s">
        <v>5823</v>
      </c>
    </row>
    <row r="12675">
      <c r="A12675" s="4">
        <v>83.0</v>
      </c>
      <c r="B12675" s="4" t="s">
        <v>22112</v>
      </c>
      <c r="C12675" s="4"/>
      <c r="D12675" s="4" t="s">
        <v>20493</v>
      </c>
      <c r="E12675" s="4" t="s">
        <v>20478</v>
      </c>
      <c r="F12675" s="4" t="s">
        <v>20479</v>
      </c>
    </row>
    <row r="12676">
      <c r="A12676" s="4">
        <v>84.0</v>
      </c>
      <c r="B12676" s="4" t="s">
        <v>22112</v>
      </c>
      <c r="C12676" s="4"/>
      <c r="D12676" s="4" t="s">
        <v>20494</v>
      </c>
      <c r="E12676" s="4" t="s">
        <v>297</v>
      </c>
      <c r="F12676" s="4" t="s">
        <v>298</v>
      </c>
    </row>
    <row r="12677">
      <c r="A12677" s="4">
        <v>85.0</v>
      </c>
      <c r="B12677" s="4" t="s">
        <v>22112</v>
      </c>
      <c r="C12677" s="4"/>
      <c r="D12677" s="4" t="s">
        <v>20495</v>
      </c>
      <c r="E12677" s="4" t="s">
        <v>297</v>
      </c>
      <c r="F12677" s="4" t="s">
        <v>298</v>
      </c>
    </row>
    <row r="12678">
      <c r="A12678" s="4">
        <v>86.0</v>
      </c>
      <c r="B12678" s="4" t="s">
        <v>22112</v>
      </c>
      <c r="C12678" s="4"/>
      <c r="D12678" s="4" t="s">
        <v>20496</v>
      </c>
      <c r="E12678" s="4" t="s">
        <v>20497</v>
      </c>
      <c r="F12678" s="4" t="s">
        <v>20498</v>
      </c>
    </row>
    <row r="12679">
      <c r="A12679" s="4">
        <v>87.0</v>
      </c>
      <c r="B12679" s="4" t="s">
        <v>22112</v>
      </c>
      <c r="C12679" s="4"/>
      <c r="D12679" s="4" t="s">
        <v>20499</v>
      </c>
      <c r="E12679" s="4" t="s">
        <v>20500</v>
      </c>
      <c r="F12679" s="4" t="s">
        <v>20501</v>
      </c>
    </row>
    <row r="12680">
      <c r="A12680" s="4">
        <v>88.0</v>
      </c>
      <c r="B12680" s="4" t="s">
        <v>22112</v>
      </c>
      <c r="C12680" s="4"/>
      <c r="D12680" s="4" t="s">
        <v>741</v>
      </c>
      <c r="E12680" s="4" t="s">
        <v>740</v>
      </c>
      <c r="F12680" s="4" t="s">
        <v>741</v>
      </c>
    </row>
    <row r="12681">
      <c r="A12681" s="4">
        <v>89.0</v>
      </c>
      <c r="B12681" s="4" t="s">
        <v>22112</v>
      </c>
      <c r="C12681" s="4"/>
      <c r="D12681" s="4" t="s">
        <v>622</v>
      </c>
      <c r="E12681" s="4" t="s">
        <v>623</v>
      </c>
      <c r="F12681" s="4" t="s">
        <v>622</v>
      </c>
      <c r="G12681" s="4"/>
      <c r="H12681" s="4" t="s">
        <v>622</v>
      </c>
    </row>
    <row r="12682">
      <c r="A12682" s="4">
        <v>90.0</v>
      </c>
      <c r="B12682" s="4" t="s">
        <v>22112</v>
      </c>
      <c r="C12682" s="4"/>
      <c r="D12682" s="4" t="s">
        <v>631</v>
      </c>
      <c r="E12682" s="4" t="s">
        <v>632</v>
      </c>
      <c r="F12682" s="4" t="s">
        <v>633</v>
      </c>
    </row>
    <row r="12683">
      <c r="A12683" s="4">
        <v>91.0</v>
      </c>
      <c r="B12683" s="4" t="s">
        <v>22112</v>
      </c>
      <c r="C12683" s="4"/>
      <c r="D12683" s="4" t="s">
        <v>20502</v>
      </c>
      <c r="E12683" s="4" t="s">
        <v>20503</v>
      </c>
      <c r="F12683" s="4" t="s">
        <v>20502</v>
      </c>
    </row>
    <row r="12684">
      <c r="A12684" s="4">
        <v>92.0</v>
      </c>
      <c r="B12684" s="4" t="s">
        <v>22112</v>
      </c>
      <c r="C12684" s="4"/>
      <c r="D12684" s="4" t="s">
        <v>20504</v>
      </c>
      <c r="E12684" s="4" t="s">
        <v>5023</v>
      </c>
      <c r="F12684" s="4" t="s">
        <v>5024</v>
      </c>
    </row>
    <row r="12685">
      <c r="A12685" s="4">
        <v>93.0</v>
      </c>
      <c r="B12685" s="4" t="s">
        <v>22112</v>
      </c>
      <c r="C12685" s="4"/>
      <c r="D12685" s="4" t="s">
        <v>20505</v>
      </c>
      <c r="E12685" s="4" t="s">
        <v>4810</v>
      </c>
      <c r="F12685" s="4" t="s">
        <v>3547</v>
      </c>
    </row>
    <row r="12686">
      <c r="A12686" s="4">
        <v>94.0</v>
      </c>
      <c r="B12686" s="4" t="s">
        <v>22112</v>
      </c>
      <c r="C12686" s="4"/>
      <c r="D12686" s="4" t="s">
        <v>20506</v>
      </c>
      <c r="E12686" s="4" t="s">
        <v>20507</v>
      </c>
      <c r="F12686" s="4" t="s">
        <v>20506</v>
      </c>
    </row>
    <row r="12687">
      <c r="A12687" s="4">
        <v>95.0</v>
      </c>
      <c r="B12687" s="4" t="s">
        <v>22112</v>
      </c>
      <c r="C12687" s="4"/>
      <c r="D12687" s="4" t="s">
        <v>20508</v>
      </c>
      <c r="E12687" s="4" t="s">
        <v>20509</v>
      </c>
      <c r="F12687" s="4" t="s">
        <v>20508</v>
      </c>
    </row>
    <row r="12688">
      <c r="A12688" s="4">
        <v>96.0</v>
      </c>
      <c r="B12688" s="4" t="s">
        <v>22112</v>
      </c>
      <c r="C12688" s="4"/>
      <c r="D12688" s="4" t="s">
        <v>17442</v>
      </c>
      <c r="E12688" s="4" t="s">
        <v>18937</v>
      </c>
      <c r="F12688" s="4" t="s">
        <v>17442</v>
      </c>
      <c r="G12688" s="4"/>
      <c r="H12688" s="4" t="s">
        <v>17445</v>
      </c>
      <c r="I12688" s="4" t="s">
        <v>17446</v>
      </c>
      <c r="J12688" s="4" t="s">
        <v>17447</v>
      </c>
      <c r="K12688" s="4" t="s">
        <v>17448</v>
      </c>
    </row>
    <row r="12689">
      <c r="A12689" s="4">
        <v>97.0</v>
      </c>
      <c r="B12689" s="4" t="s">
        <v>22112</v>
      </c>
      <c r="C12689" s="4"/>
      <c r="D12689" s="4" t="s">
        <v>652</v>
      </c>
      <c r="E12689" s="4" t="s">
        <v>653</v>
      </c>
      <c r="F12689" s="4" t="s">
        <v>652</v>
      </c>
    </row>
    <row r="12690">
      <c r="A12690" s="4">
        <v>98.0</v>
      </c>
      <c r="B12690" s="4" t="s">
        <v>22112</v>
      </c>
      <c r="C12690" s="4"/>
      <c r="D12690" s="4" t="s">
        <v>654</v>
      </c>
      <c r="E12690" s="4" t="s">
        <v>655</v>
      </c>
      <c r="F12690" s="4" t="s">
        <v>654</v>
      </c>
      <c r="G12690" s="4"/>
      <c r="H12690" s="4" t="s">
        <v>654</v>
      </c>
      <c r="I12690" s="4" t="s">
        <v>656</v>
      </c>
      <c r="J12690" s="4" t="s">
        <v>657</v>
      </c>
      <c r="K12690" s="4" t="s">
        <v>658</v>
      </c>
      <c r="L12690" s="4" t="s">
        <v>659</v>
      </c>
      <c r="M12690" s="4" t="s">
        <v>660</v>
      </c>
      <c r="N12690" s="4" t="s">
        <v>657</v>
      </c>
      <c r="O12690" s="4" t="s">
        <v>664</v>
      </c>
      <c r="P12690" s="4" t="s">
        <v>665</v>
      </c>
      <c r="Q12690" s="4" t="s">
        <v>658</v>
      </c>
      <c r="R12690" s="4" t="s">
        <v>666</v>
      </c>
      <c r="S12690" s="4" t="s">
        <v>667</v>
      </c>
      <c r="T12690" s="4" t="s">
        <v>668</v>
      </c>
      <c r="U12690" s="4" t="s">
        <v>669</v>
      </c>
      <c r="V12690" s="4" t="s">
        <v>670</v>
      </c>
      <c r="W12690" s="4" t="s">
        <v>671</v>
      </c>
      <c r="X12690" s="4" t="s">
        <v>672</v>
      </c>
      <c r="Y12690" s="4" t="s">
        <v>673</v>
      </c>
      <c r="Z12690" s="4" t="s">
        <v>674</v>
      </c>
      <c r="AA12690" s="4" t="s">
        <v>675</v>
      </c>
      <c r="AB12690" s="4" t="s">
        <v>676</v>
      </c>
      <c r="AC12690" s="4" t="s">
        <v>677</v>
      </c>
      <c r="AD12690" s="4" t="s">
        <v>678</v>
      </c>
      <c r="AE12690" s="4" t="s">
        <v>679</v>
      </c>
    </row>
    <row r="12691">
      <c r="A12691" s="4">
        <v>99.0</v>
      </c>
      <c r="B12691" s="4" t="s">
        <v>22112</v>
      </c>
      <c r="C12691" s="4"/>
      <c r="D12691" s="4" t="s">
        <v>680</v>
      </c>
      <c r="E12691" s="4" t="s">
        <v>681</v>
      </c>
      <c r="F12691" s="4" t="s">
        <v>680</v>
      </c>
      <c r="G12691" s="4"/>
      <c r="H12691" s="4" t="s">
        <v>682</v>
      </c>
      <c r="I12691" s="4" t="s">
        <v>683</v>
      </c>
      <c r="J12691" s="4" t="s">
        <v>684</v>
      </c>
      <c r="K12691" s="4" t="s">
        <v>685</v>
      </c>
      <c r="L12691" s="4" t="s">
        <v>686</v>
      </c>
      <c r="M12691" s="4" t="s">
        <v>687</v>
      </c>
      <c r="N12691" s="4" t="s">
        <v>688</v>
      </c>
      <c r="O12691" s="4" t="s">
        <v>689</v>
      </c>
      <c r="P12691" s="4" t="s">
        <v>690</v>
      </c>
      <c r="Q12691" s="4" t="s">
        <v>4751</v>
      </c>
      <c r="R12691" s="4" t="s">
        <v>19744</v>
      </c>
      <c r="S12691" s="4" t="s">
        <v>19745</v>
      </c>
      <c r="T12691" s="4" t="s">
        <v>598</v>
      </c>
      <c r="U12691" s="4" t="s">
        <v>695</v>
      </c>
      <c r="V12691" s="4" t="s">
        <v>696</v>
      </c>
      <c r="W12691" s="4" t="s">
        <v>690</v>
      </c>
      <c r="X12691" s="4" t="s">
        <v>16894</v>
      </c>
      <c r="Y12691" s="4" t="s">
        <v>1800</v>
      </c>
      <c r="Z12691" s="4" t="s">
        <v>3887</v>
      </c>
      <c r="AA12691" s="4" t="s">
        <v>697</v>
      </c>
      <c r="AB12691" s="4" t="s">
        <v>698</v>
      </c>
      <c r="AC12691" s="4" t="s">
        <v>699</v>
      </c>
      <c r="AD12691" s="4" t="s">
        <v>700</v>
      </c>
      <c r="AE12691" s="4" t="s">
        <v>700</v>
      </c>
      <c r="AF12691" s="4" t="s">
        <v>20510</v>
      </c>
      <c r="AG12691" s="4" t="s">
        <v>19746</v>
      </c>
      <c r="AH12691" s="4" t="s">
        <v>9437</v>
      </c>
      <c r="AI12691" s="4" t="s">
        <v>20511</v>
      </c>
      <c r="AJ12691" s="4" t="s">
        <v>20512</v>
      </c>
      <c r="AK12691" s="4" t="s">
        <v>20513</v>
      </c>
      <c r="AL12691" s="4" t="s">
        <v>684</v>
      </c>
      <c r="AM12691" s="4" t="s">
        <v>700</v>
      </c>
      <c r="AN12691" s="4" t="s">
        <v>701</v>
      </c>
      <c r="AO12691" s="4" t="s">
        <v>703</v>
      </c>
      <c r="AP12691" s="4" t="s">
        <v>704</v>
      </c>
      <c r="AQ12691" s="4" t="s">
        <v>705</v>
      </c>
      <c r="AR12691" s="4" t="s">
        <v>706</v>
      </c>
      <c r="AS12691" s="4" t="s">
        <v>8083</v>
      </c>
      <c r="AT12691" s="4" t="s">
        <v>19746</v>
      </c>
      <c r="AU12691" s="4" t="s">
        <v>690</v>
      </c>
      <c r="AV12691" s="4" t="s">
        <v>689</v>
      </c>
      <c r="AW12691" s="4" t="s">
        <v>686</v>
      </c>
      <c r="AX12691" s="4" t="s">
        <v>19747</v>
      </c>
      <c r="AY12691" s="4" t="s">
        <v>700</v>
      </c>
      <c r="AZ12691" s="4" t="s">
        <v>20514</v>
      </c>
      <c r="BA12691" s="4" t="s">
        <v>20515</v>
      </c>
      <c r="BB12691" s="4" t="s">
        <v>20516</v>
      </c>
      <c r="BC12691" s="4" t="s">
        <v>699</v>
      </c>
      <c r="BD12691" s="4" t="s">
        <v>718</v>
      </c>
      <c r="BE12691" s="4" t="s">
        <v>719</v>
      </c>
    </row>
    <row r="12692">
      <c r="A12692" s="4">
        <v>100.0</v>
      </c>
      <c r="B12692" s="4" t="s">
        <v>22112</v>
      </c>
      <c r="C12692" s="4"/>
      <c r="D12692" s="4" t="s">
        <v>20517</v>
      </c>
      <c r="E12692" s="4" t="s">
        <v>20518</v>
      </c>
      <c r="F12692" s="4" t="s">
        <v>20517</v>
      </c>
    </row>
    <row r="12693">
      <c r="A12693" s="4">
        <v>101.0</v>
      </c>
      <c r="B12693" s="4" t="s">
        <v>22112</v>
      </c>
      <c r="C12693" s="4"/>
      <c r="D12693" s="4" t="s">
        <v>20519</v>
      </c>
      <c r="E12693" s="4" t="s">
        <v>20520</v>
      </c>
      <c r="F12693" s="4" t="s">
        <v>20519</v>
      </c>
    </row>
    <row r="12694">
      <c r="A12694" s="4">
        <v>102.0</v>
      </c>
      <c r="B12694" s="4" t="s">
        <v>22112</v>
      </c>
      <c r="C12694" s="4"/>
      <c r="D12694" s="4" t="s">
        <v>20521</v>
      </c>
      <c r="E12694" s="4" t="s">
        <v>20518</v>
      </c>
      <c r="F12694" s="4" t="s">
        <v>20517</v>
      </c>
    </row>
    <row r="12695">
      <c r="A12695" s="4">
        <v>103.0</v>
      </c>
      <c r="B12695" s="4" t="s">
        <v>22112</v>
      </c>
      <c r="C12695" s="4"/>
      <c r="D12695" s="4" t="s">
        <v>20522</v>
      </c>
      <c r="E12695" s="4" t="s">
        <v>20520</v>
      </c>
      <c r="F12695" s="4" t="s">
        <v>20519</v>
      </c>
    </row>
    <row r="12696">
      <c r="A12696" s="4">
        <v>104.0</v>
      </c>
      <c r="B12696" s="4" t="s">
        <v>22112</v>
      </c>
      <c r="C12696" s="4"/>
      <c r="D12696" s="4" t="s">
        <v>11683</v>
      </c>
      <c r="E12696" s="4" t="s">
        <v>11682</v>
      </c>
      <c r="F12696" s="4" t="s">
        <v>11683</v>
      </c>
    </row>
    <row r="12697">
      <c r="A12697" s="4">
        <v>105.0</v>
      </c>
      <c r="B12697" s="4" t="s">
        <v>22112</v>
      </c>
      <c r="C12697" s="4"/>
      <c r="D12697" s="4" t="s">
        <v>20523</v>
      </c>
      <c r="E12697" s="4" t="s">
        <v>20524</v>
      </c>
      <c r="F12697" s="4" t="s">
        <v>20525</v>
      </c>
      <c r="G12697" s="4"/>
      <c r="H12697" s="4" t="s">
        <v>20526</v>
      </c>
      <c r="I12697" s="4" t="s">
        <v>20527</v>
      </c>
      <c r="J12697" s="4" t="s">
        <v>20528</v>
      </c>
      <c r="K12697" s="4" t="s">
        <v>20529</v>
      </c>
    </row>
    <row r="12698">
      <c r="A12698" s="4">
        <v>106.0</v>
      </c>
      <c r="B12698" s="4" t="s">
        <v>22112</v>
      </c>
      <c r="C12698" s="4"/>
      <c r="D12698" s="4" t="s">
        <v>20530</v>
      </c>
      <c r="E12698" s="4" t="s">
        <v>20531</v>
      </c>
      <c r="F12698" s="4" t="s">
        <v>20530</v>
      </c>
    </row>
    <row r="12699">
      <c r="A12699" s="4">
        <v>107.0</v>
      </c>
      <c r="B12699" s="4" t="s">
        <v>22112</v>
      </c>
      <c r="C12699" s="4"/>
      <c r="D12699" s="4" t="s">
        <v>9294</v>
      </c>
      <c r="E12699" s="4" t="s">
        <v>11686</v>
      </c>
      <c r="F12699" s="4" t="s">
        <v>9294</v>
      </c>
    </row>
    <row r="12700">
      <c r="A12700" s="4">
        <v>108.0</v>
      </c>
      <c r="B12700" s="4" t="s">
        <v>22112</v>
      </c>
      <c r="C12700" s="4"/>
      <c r="D12700" s="4" t="s">
        <v>20532</v>
      </c>
      <c r="E12700" s="4" t="s">
        <v>20533</v>
      </c>
      <c r="F12700" s="4" t="s">
        <v>20532</v>
      </c>
    </row>
    <row r="12701">
      <c r="A12701" s="4">
        <v>109.0</v>
      </c>
      <c r="B12701" s="4" t="s">
        <v>22112</v>
      </c>
      <c r="C12701" s="4"/>
      <c r="D12701" s="4" t="s">
        <v>20534</v>
      </c>
      <c r="E12701" s="4" t="s">
        <v>20535</v>
      </c>
      <c r="F12701" s="4" t="s">
        <v>20534</v>
      </c>
      <c r="G12701" s="4"/>
      <c r="H12701" s="4" t="s">
        <v>19930</v>
      </c>
      <c r="I12701" s="4" t="s">
        <v>3045</v>
      </c>
      <c r="J12701" s="4" t="s">
        <v>2297</v>
      </c>
      <c r="K12701" s="4" t="s">
        <v>8984</v>
      </c>
      <c r="L12701" s="4" t="s">
        <v>8985</v>
      </c>
      <c r="M12701" s="4" t="s">
        <v>19934</v>
      </c>
      <c r="N12701" s="4" t="s">
        <v>20536</v>
      </c>
      <c r="O12701" s="4" t="s">
        <v>20537</v>
      </c>
      <c r="P12701" s="4" t="s">
        <v>6431</v>
      </c>
      <c r="Q12701" s="4" t="s">
        <v>20538</v>
      </c>
      <c r="R12701" s="4" t="s">
        <v>20539</v>
      </c>
      <c r="S12701" s="4" t="s">
        <v>20540</v>
      </c>
      <c r="T12701" s="4" t="s">
        <v>20541</v>
      </c>
      <c r="U12701" s="4" t="s">
        <v>20542</v>
      </c>
      <c r="V12701" s="4" t="s">
        <v>20543</v>
      </c>
      <c r="W12701" s="4" t="s">
        <v>20544</v>
      </c>
      <c r="X12701" s="4" t="s">
        <v>19931</v>
      </c>
      <c r="Y12701" s="4" t="s">
        <v>1800</v>
      </c>
      <c r="Z12701" s="4" t="s">
        <v>20545</v>
      </c>
      <c r="AA12701" s="4" t="s">
        <v>20543</v>
      </c>
      <c r="AB12701" s="4" t="s">
        <v>20546</v>
      </c>
      <c r="AC12701" s="4" t="s">
        <v>20540</v>
      </c>
      <c r="AD12701" s="4" t="s">
        <v>20547</v>
      </c>
      <c r="AE12701" s="4" t="s">
        <v>20548</v>
      </c>
      <c r="AF12701" s="4" t="s">
        <v>15699</v>
      </c>
      <c r="AG12701" s="4" t="s">
        <v>15700</v>
      </c>
      <c r="AH12701" s="4" t="s">
        <v>15700</v>
      </c>
      <c r="AI12701" s="4" t="s">
        <v>20549</v>
      </c>
      <c r="AJ12701" s="4" t="s">
        <v>19930</v>
      </c>
      <c r="AK12701" s="4" t="s">
        <v>19931</v>
      </c>
      <c r="AL12701" s="4" t="s">
        <v>19932</v>
      </c>
      <c r="AM12701" s="4" t="s">
        <v>3045</v>
      </c>
      <c r="AN12701" s="4" t="s">
        <v>19933</v>
      </c>
      <c r="AO12701" s="4" t="s">
        <v>19934</v>
      </c>
      <c r="AP12701" s="4" t="s">
        <v>20541</v>
      </c>
      <c r="AQ12701" s="4" t="s">
        <v>3346</v>
      </c>
      <c r="AR12701" s="4" t="s">
        <v>20549</v>
      </c>
      <c r="AS12701" s="4" t="s">
        <v>8965</v>
      </c>
      <c r="AT12701" s="4" t="s">
        <v>20550</v>
      </c>
      <c r="AU12701" s="4" t="s">
        <v>20551</v>
      </c>
    </row>
    <row r="12702">
      <c r="A12702" s="4">
        <v>110.0</v>
      </c>
      <c r="B12702" s="4" t="s">
        <v>22112</v>
      </c>
      <c r="C12702" s="4"/>
      <c r="D12702" s="4" t="s">
        <v>20552</v>
      </c>
      <c r="E12702" s="4" t="s">
        <v>20553</v>
      </c>
      <c r="F12702" s="4" t="s">
        <v>14817</v>
      </c>
      <c r="G12702" s="4"/>
      <c r="H12702" s="4" t="s">
        <v>4998</v>
      </c>
      <c r="I12702" s="4" t="s">
        <v>20554</v>
      </c>
      <c r="J12702" s="4" t="s">
        <v>20555</v>
      </c>
      <c r="K12702" s="4" t="s">
        <v>4998</v>
      </c>
      <c r="L12702" s="4" t="s">
        <v>4999</v>
      </c>
      <c r="M12702" s="4" t="s">
        <v>4998</v>
      </c>
      <c r="N12702" s="4" t="s">
        <v>4998</v>
      </c>
    </row>
    <row r="12703">
      <c r="A12703" s="4">
        <v>111.0</v>
      </c>
      <c r="B12703" s="4" t="s">
        <v>22112</v>
      </c>
      <c r="C12703" s="4"/>
      <c r="D12703" s="4" t="s">
        <v>745</v>
      </c>
      <c r="E12703" s="4" t="s">
        <v>746</v>
      </c>
      <c r="F12703" s="4" t="s">
        <v>747</v>
      </c>
      <c r="G12703" s="4"/>
      <c r="H12703" s="4" t="s">
        <v>751</v>
      </c>
      <c r="I12703" s="4" t="s">
        <v>752</v>
      </c>
    </row>
    <row r="12704">
      <c r="A12704" s="4">
        <v>112.0</v>
      </c>
      <c r="B12704" s="4" t="s">
        <v>22112</v>
      </c>
      <c r="C12704" s="4"/>
      <c r="D12704" s="4" t="s">
        <v>755</v>
      </c>
      <c r="E12704" s="4" t="s">
        <v>756</v>
      </c>
      <c r="F12704" s="4" t="s">
        <v>755</v>
      </c>
    </row>
    <row r="12705">
      <c r="A12705" s="4">
        <v>113.0</v>
      </c>
      <c r="B12705" s="4" t="s">
        <v>22112</v>
      </c>
      <c r="C12705" s="4"/>
      <c r="D12705" s="4" t="s">
        <v>20556</v>
      </c>
      <c r="E12705" s="4" t="s">
        <v>20557</v>
      </c>
      <c r="F12705" s="4" t="s">
        <v>20556</v>
      </c>
    </row>
    <row r="12706">
      <c r="A12706" s="4">
        <v>114.0</v>
      </c>
      <c r="B12706" s="4" t="s">
        <v>22112</v>
      </c>
      <c r="C12706" s="4"/>
      <c r="D12706" s="4" t="s">
        <v>20558</v>
      </c>
      <c r="E12706" s="4" t="s">
        <v>20559</v>
      </c>
      <c r="F12706" s="4" t="s">
        <v>20558</v>
      </c>
      <c r="G12706" s="4"/>
      <c r="H12706" s="4" t="s">
        <v>20560</v>
      </c>
      <c r="I12706" s="4" t="s">
        <v>20561</v>
      </c>
      <c r="J12706" s="4" t="s">
        <v>20562</v>
      </c>
    </row>
    <row r="12707">
      <c r="A12707" s="4">
        <v>115.0</v>
      </c>
      <c r="B12707" s="4" t="s">
        <v>22112</v>
      </c>
      <c r="C12707" s="4"/>
      <c r="D12707" s="4" t="s">
        <v>20563</v>
      </c>
      <c r="E12707" s="4" t="s">
        <v>20564</v>
      </c>
      <c r="F12707" s="4" t="s">
        <v>20563</v>
      </c>
    </row>
    <row r="12708">
      <c r="A12708" s="4">
        <v>116.0</v>
      </c>
      <c r="B12708" s="4" t="s">
        <v>22112</v>
      </c>
      <c r="C12708" s="4"/>
      <c r="D12708" s="4" t="s">
        <v>20565</v>
      </c>
      <c r="E12708" s="4" t="s">
        <v>20566</v>
      </c>
      <c r="F12708" s="4" t="s">
        <v>20565</v>
      </c>
    </row>
    <row r="12709">
      <c r="A12709" s="4">
        <v>117.0</v>
      </c>
      <c r="B12709" s="4" t="s">
        <v>22112</v>
      </c>
      <c r="C12709" s="4"/>
      <c r="D12709" s="4" t="s">
        <v>20567</v>
      </c>
      <c r="E12709" s="4" t="s">
        <v>20568</v>
      </c>
      <c r="F12709" s="4" t="s">
        <v>20567</v>
      </c>
    </row>
    <row r="12710">
      <c r="A12710" s="4">
        <v>118.0</v>
      </c>
      <c r="B12710" s="4" t="s">
        <v>22112</v>
      </c>
      <c r="C12710" s="4"/>
      <c r="D12710" s="4" t="s">
        <v>20569</v>
      </c>
      <c r="E12710" s="4" t="s">
        <v>20566</v>
      </c>
      <c r="F12710" s="4" t="s">
        <v>20565</v>
      </c>
    </row>
    <row r="12711">
      <c r="A12711" s="4">
        <v>119.0</v>
      </c>
      <c r="B12711" s="4" t="s">
        <v>22112</v>
      </c>
      <c r="C12711" s="4"/>
      <c r="D12711" s="4" t="s">
        <v>20570</v>
      </c>
      <c r="E12711" s="4" t="s">
        <v>20568</v>
      </c>
      <c r="F12711" s="4" t="s">
        <v>20567</v>
      </c>
    </row>
    <row r="12712">
      <c r="A12712" s="4">
        <v>120.0</v>
      </c>
      <c r="B12712" s="4" t="s">
        <v>22112</v>
      </c>
      <c r="C12712" s="4"/>
      <c r="D12712" s="4" t="s">
        <v>20571</v>
      </c>
      <c r="E12712" s="4" t="s">
        <v>20572</v>
      </c>
      <c r="F12712" s="4" t="s">
        <v>20571</v>
      </c>
    </row>
    <row r="12713">
      <c r="A12713" s="4">
        <v>121.0</v>
      </c>
      <c r="B12713" s="4" t="s">
        <v>22112</v>
      </c>
      <c r="C12713" s="4"/>
      <c r="D12713" s="4" t="s">
        <v>20573</v>
      </c>
      <c r="E12713" s="4" t="s">
        <v>20574</v>
      </c>
      <c r="F12713" s="4" t="s">
        <v>20573</v>
      </c>
    </row>
    <row r="12714">
      <c r="A12714" s="4">
        <v>122.0</v>
      </c>
      <c r="B12714" s="4" t="s">
        <v>22112</v>
      </c>
      <c r="C12714" s="4"/>
      <c r="D12714" s="4" t="s">
        <v>14082</v>
      </c>
      <c r="E12714" s="4" t="s">
        <v>14083</v>
      </c>
      <c r="F12714" s="4" t="s">
        <v>14082</v>
      </c>
    </row>
    <row r="12715">
      <c r="A12715" s="4">
        <v>123.0</v>
      </c>
      <c r="B12715" s="4" t="s">
        <v>22112</v>
      </c>
      <c r="C12715" s="4"/>
      <c r="D12715" s="4" t="s">
        <v>20575</v>
      </c>
      <c r="E12715" s="4" t="s">
        <v>20576</v>
      </c>
      <c r="F12715" s="4" t="s">
        <v>20577</v>
      </c>
    </row>
    <row r="12716">
      <c r="A12716" s="4">
        <v>124.0</v>
      </c>
      <c r="B12716" s="4" t="s">
        <v>22112</v>
      </c>
      <c r="C12716" s="4"/>
      <c r="D12716" s="4" t="s">
        <v>20578</v>
      </c>
      <c r="E12716" s="4" t="s">
        <v>20579</v>
      </c>
      <c r="F12716" s="4" t="s">
        <v>20578</v>
      </c>
    </row>
    <row r="12717">
      <c r="A12717" s="4">
        <v>125.0</v>
      </c>
      <c r="B12717" s="4" t="s">
        <v>22112</v>
      </c>
      <c r="C12717" s="4"/>
      <c r="D12717" s="4" t="s">
        <v>774</v>
      </c>
      <c r="E12717" s="4" t="s">
        <v>773</v>
      </c>
      <c r="F12717" s="4" t="s">
        <v>774</v>
      </c>
      <c r="G12717" s="4"/>
      <c r="H12717" s="4" t="s">
        <v>781</v>
      </c>
      <c r="I12717" s="4" t="s">
        <v>782</v>
      </c>
    </row>
    <row r="12718">
      <c r="A12718" s="4">
        <v>126.0</v>
      </c>
      <c r="B12718" s="4" t="s">
        <v>22112</v>
      </c>
      <c r="C12718" s="4"/>
      <c r="D12718" s="4" t="s">
        <v>784</v>
      </c>
      <c r="E12718" s="4" t="s">
        <v>474</v>
      </c>
      <c r="F12718" s="4" t="s">
        <v>475</v>
      </c>
    </row>
    <row r="12719">
      <c r="A12719" s="4">
        <v>127.0</v>
      </c>
      <c r="B12719" s="4" t="s">
        <v>22112</v>
      </c>
      <c r="C12719" s="4"/>
      <c r="D12719" s="4" t="s">
        <v>791</v>
      </c>
      <c r="E12719" s="4" t="s">
        <v>792</v>
      </c>
      <c r="F12719" s="4" t="s">
        <v>791</v>
      </c>
    </row>
    <row r="12720">
      <c r="A12720" s="4">
        <v>128.0</v>
      </c>
      <c r="B12720" s="4" t="s">
        <v>22112</v>
      </c>
      <c r="C12720" s="4"/>
      <c r="D12720" s="4" t="s">
        <v>793</v>
      </c>
      <c r="E12720" s="4" t="s">
        <v>794</v>
      </c>
      <c r="F12720" s="4" t="s">
        <v>793</v>
      </c>
      <c r="G12720" s="4"/>
      <c r="H12720" s="4" t="s">
        <v>15159</v>
      </c>
      <c r="I12720" s="4" t="s">
        <v>795</v>
      </c>
      <c r="J12720" s="4" t="s">
        <v>796</v>
      </c>
    </row>
    <row r="12721">
      <c r="A12721" s="4">
        <v>129.0</v>
      </c>
      <c r="B12721" s="4" t="s">
        <v>22112</v>
      </c>
      <c r="C12721" s="4"/>
      <c r="D12721" s="4" t="s">
        <v>20580</v>
      </c>
      <c r="E12721" s="4" t="s">
        <v>20581</v>
      </c>
      <c r="F12721" s="4" t="s">
        <v>20580</v>
      </c>
    </row>
    <row r="12722">
      <c r="A12722" s="4">
        <v>130.0</v>
      </c>
      <c r="B12722" s="4" t="s">
        <v>22112</v>
      </c>
      <c r="C12722" s="4"/>
      <c r="D12722" s="4" t="s">
        <v>20582</v>
      </c>
      <c r="E12722" s="4" t="s">
        <v>20583</v>
      </c>
      <c r="F12722" s="4" t="s">
        <v>20582</v>
      </c>
    </row>
    <row r="12723">
      <c r="A12723" s="4">
        <v>131.0</v>
      </c>
      <c r="B12723" s="4" t="s">
        <v>22112</v>
      </c>
      <c r="C12723" s="4"/>
      <c r="D12723" s="4" t="s">
        <v>20584</v>
      </c>
      <c r="E12723" s="4" t="s">
        <v>20581</v>
      </c>
      <c r="F12723" s="4" t="s">
        <v>20580</v>
      </c>
    </row>
    <row r="12724">
      <c r="A12724" s="4">
        <v>132.0</v>
      </c>
      <c r="B12724" s="4" t="s">
        <v>22112</v>
      </c>
      <c r="C12724" s="4"/>
      <c r="D12724" s="4" t="s">
        <v>20585</v>
      </c>
      <c r="E12724" s="4" t="s">
        <v>20583</v>
      </c>
      <c r="F12724" s="4" t="s">
        <v>20582</v>
      </c>
    </row>
    <row r="12725">
      <c r="A12725" s="4">
        <v>133.0</v>
      </c>
      <c r="B12725" s="4" t="s">
        <v>22112</v>
      </c>
      <c r="C12725" s="4"/>
      <c r="D12725" s="4" t="s">
        <v>20586</v>
      </c>
      <c r="E12725" s="4" t="s">
        <v>20587</v>
      </c>
      <c r="F12725" s="4" t="s">
        <v>20586</v>
      </c>
    </row>
    <row r="12726">
      <c r="A12726" s="4">
        <v>134.0</v>
      </c>
      <c r="B12726" s="4" t="s">
        <v>22112</v>
      </c>
      <c r="C12726" s="4"/>
      <c r="D12726" s="4" t="s">
        <v>787</v>
      </c>
      <c r="E12726" s="4" t="s">
        <v>786</v>
      </c>
      <c r="F12726" s="4" t="s">
        <v>787</v>
      </c>
      <c r="G12726" s="4"/>
      <c r="H12726" s="4" t="s">
        <v>789</v>
      </c>
      <c r="I12726" s="4" t="s">
        <v>3488</v>
      </c>
      <c r="J12726" s="4" t="s">
        <v>788</v>
      </c>
      <c r="K12726" s="4" t="s">
        <v>3489</v>
      </c>
      <c r="L12726" s="4" t="s">
        <v>3490</v>
      </c>
      <c r="M12726" s="4" t="s">
        <v>788</v>
      </c>
      <c r="N12726" s="4" t="s">
        <v>789</v>
      </c>
      <c r="O12726" s="4" t="s">
        <v>3727</v>
      </c>
    </row>
    <row r="12727">
      <c r="A12727" s="4">
        <v>135.0</v>
      </c>
      <c r="B12727" s="4" t="s">
        <v>22112</v>
      </c>
      <c r="C12727" s="4"/>
      <c r="D12727" s="4" t="s">
        <v>20588</v>
      </c>
      <c r="E12727" s="4" t="s">
        <v>20589</v>
      </c>
      <c r="F12727" s="4" t="s">
        <v>20590</v>
      </c>
    </row>
    <row r="12728">
      <c r="A12728" s="4">
        <v>136.0</v>
      </c>
      <c r="B12728" s="4" t="s">
        <v>22112</v>
      </c>
      <c r="C12728" s="4"/>
      <c r="D12728" s="4" t="s">
        <v>814</v>
      </c>
      <c r="E12728" s="4" t="s">
        <v>815</v>
      </c>
      <c r="F12728" s="4" t="s">
        <v>816</v>
      </c>
    </row>
    <row r="12729">
      <c r="A12729" s="4">
        <v>137.0</v>
      </c>
      <c r="B12729" s="4" t="s">
        <v>22112</v>
      </c>
      <c r="C12729" s="4"/>
      <c r="D12729" s="4" t="s">
        <v>817</v>
      </c>
      <c r="E12729" s="4" t="s">
        <v>818</v>
      </c>
      <c r="F12729" s="4" t="s">
        <v>817</v>
      </c>
      <c r="G12729" s="4"/>
      <c r="H12729" s="4" t="s">
        <v>20591</v>
      </c>
      <c r="I12729" s="4" t="s">
        <v>20592</v>
      </c>
      <c r="J12729" s="4" t="s">
        <v>20591</v>
      </c>
    </row>
    <row r="12730">
      <c r="A12730" s="4">
        <v>138.0</v>
      </c>
      <c r="B12730" s="4" t="s">
        <v>22112</v>
      </c>
      <c r="C12730" s="4"/>
      <c r="D12730" s="4" t="s">
        <v>20593</v>
      </c>
      <c r="E12730" s="4" t="s">
        <v>20594</v>
      </c>
      <c r="F12730" s="4" t="s">
        <v>20593</v>
      </c>
    </row>
    <row r="12731">
      <c r="A12731" s="4">
        <v>139.0</v>
      </c>
      <c r="B12731" s="4" t="s">
        <v>22112</v>
      </c>
      <c r="C12731" s="4"/>
      <c r="D12731" s="4" t="s">
        <v>20595</v>
      </c>
      <c r="E12731" s="4" t="s">
        <v>20596</v>
      </c>
      <c r="F12731" s="4" t="s">
        <v>20595</v>
      </c>
    </row>
    <row r="12732">
      <c r="A12732" s="4">
        <v>140.0</v>
      </c>
      <c r="B12732" s="4" t="s">
        <v>22112</v>
      </c>
      <c r="C12732" s="4"/>
      <c r="D12732" s="4" t="s">
        <v>20597</v>
      </c>
      <c r="E12732" s="4" t="s">
        <v>20598</v>
      </c>
      <c r="F12732" s="4" t="s">
        <v>20599</v>
      </c>
    </row>
    <row r="12733">
      <c r="A12733" s="4">
        <v>141.0</v>
      </c>
      <c r="B12733" s="4" t="s">
        <v>22112</v>
      </c>
      <c r="C12733" s="4"/>
      <c r="D12733" s="4" t="s">
        <v>824</v>
      </c>
      <c r="E12733" s="4" t="s">
        <v>823</v>
      </c>
      <c r="F12733" s="4" t="s">
        <v>824</v>
      </c>
      <c r="G12733" s="4"/>
      <c r="H12733" s="4" t="s">
        <v>825</v>
      </c>
    </row>
    <row r="12734">
      <c r="A12734" s="4">
        <v>142.0</v>
      </c>
      <c r="B12734" s="4" t="s">
        <v>22112</v>
      </c>
      <c r="C12734" s="4"/>
      <c r="D12734" s="4" t="s">
        <v>20600</v>
      </c>
      <c r="E12734" s="4" t="s">
        <v>20601</v>
      </c>
      <c r="F12734" s="4" t="s">
        <v>20600</v>
      </c>
      <c r="G12734" s="4"/>
      <c r="H12734" s="4" t="s">
        <v>20602</v>
      </c>
      <c r="I12734" s="4" t="s">
        <v>12577</v>
      </c>
      <c r="J12734" s="4" t="s">
        <v>20603</v>
      </c>
      <c r="K12734" s="4" t="s">
        <v>19611</v>
      </c>
      <c r="L12734" s="4" t="s">
        <v>20604</v>
      </c>
      <c r="M12734" s="4" t="s">
        <v>6284</v>
      </c>
    </row>
    <row r="12735">
      <c r="A12735" s="4">
        <v>143.0</v>
      </c>
      <c r="B12735" s="4" t="s">
        <v>22112</v>
      </c>
      <c r="C12735" s="4"/>
      <c r="D12735" s="4" t="s">
        <v>20605</v>
      </c>
      <c r="E12735" s="4" t="s">
        <v>20606</v>
      </c>
      <c r="F12735" s="4" t="s">
        <v>20605</v>
      </c>
    </row>
    <row r="12736">
      <c r="A12736" s="4">
        <v>144.0</v>
      </c>
      <c r="B12736" s="4" t="s">
        <v>22112</v>
      </c>
      <c r="C12736" s="4"/>
      <c r="D12736" s="4" t="s">
        <v>20607</v>
      </c>
      <c r="E12736" s="4" t="s">
        <v>20608</v>
      </c>
      <c r="F12736" s="4" t="s">
        <v>20609</v>
      </c>
    </row>
    <row r="12737">
      <c r="A12737" s="4">
        <v>145.0</v>
      </c>
      <c r="B12737" s="4" t="s">
        <v>22112</v>
      </c>
      <c r="C12737" s="4"/>
      <c r="D12737" s="4" t="s">
        <v>20610</v>
      </c>
      <c r="E12737" s="4" t="s">
        <v>20611</v>
      </c>
      <c r="F12737" s="4" t="s">
        <v>20610</v>
      </c>
    </row>
    <row r="12738">
      <c r="A12738" s="4">
        <v>146.0</v>
      </c>
      <c r="B12738" s="4" t="s">
        <v>22112</v>
      </c>
      <c r="C12738" s="4"/>
      <c r="D12738" s="4" t="s">
        <v>20612</v>
      </c>
      <c r="E12738" s="4" t="s">
        <v>20613</v>
      </c>
      <c r="F12738" s="4" t="s">
        <v>20614</v>
      </c>
    </row>
    <row r="12739">
      <c r="A12739" s="4">
        <v>147.0</v>
      </c>
      <c r="B12739" s="4" t="s">
        <v>22112</v>
      </c>
      <c r="C12739" s="4"/>
      <c r="D12739" s="4" t="s">
        <v>295</v>
      </c>
      <c r="E12739" s="4" t="s">
        <v>294</v>
      </c>
      <c r="F12739" s="4" t="s">
        <v>295</v>
      </c>
      <c r="G12739" s="4"/>
      <c r="H12739" s="4" t="s">
        <v>833</v>
      </c>
      <c r="I12739" s="4" t="s">
        <v>833</v>
      </c>
      <c r="J12739" s="4" t="s">
        <v>834</v>
      </c>
      <c r="K12739" s="4" t="s">
        <v>605</v>
      </c>
      <c r="L12739" s="4" t="s">
        <v>835</v>
      </c>
      <c r="M12739" s="4" t="s">
        <v>836</v>
      </c>
      <c r="N12739" s="4" t="s">
        <v>837</v>
      </c>
      <c r="O12739" s="4" t="s">
        <v>838</v>
      </c>
      <c r="P12739" s="4" t="s">
        <v>839</v>
      </c>
      <c r="Q12739" s="4" t="s">
        <v>840</v>
      </c>
      <c r="R12739" s="4" t="s">
        <v>841</v>
      </c>
      <c r="S12739" s="4" t="s">
        <v>842</v>
      </c>
      <c r="T12739" s="4" t="s">
        <v>843</v>
      </c>
      <c r="U12739" s="4" t="s">
        <v>844</v>
      </c>
      <c r="V12739" s="4" t="s">
        <v>845</v>
      </c>
      <c r="W12739" s="4" t="s">
        <v>846</v>
      </c>
    </row>
    <row r="12740">
      <c r="A12740" s="4">
        <v>148.0</v>
      </c>
      <c r="B12740" s="4" t="s">
        <v>22112</v>
      </c>
      <c r="C12740" s="4"/>
      <c r="D12740" s="4" t="s">
        <v>14086</v>
      </c>
      <c r="E12740" s="4" t="s">
        <v>14087</v>
      </c>
      <c r="F12740" s="4" t="s">
        <v>14086</v>
      </c>
      <c r="G12740" s="4"/>
      <c r="H12740" s="4" t="s">
        <v>2426</v>
      </c>
      <c r="I12740" s="4" t="s">
        <v>11321</v>
      </c>
      <c r="J12740" s="4" t="s">
        <v>14088</v>
      </c>
      <c r="K12740" s="4" t="s">
        <v>313</v>
      </c>
    </row>
    <row r="12741">
      <c r="A12741" s="4">
        <v>149.0</v>
      </c>
      <c r="B12741" s="4" t="s">
        <v>22112</v>
      </c>
      <c r="C12741" s="4"/>
      <c r="D12741" s="4" t="s">
        <v>9342</v>
      </c>
      <c r="E12741" s="4" t="s">
        <v>15648</v>
      </c>
      <c r="F12741" s="4" t="s">
        <v>9342</v>
      </c>
      <c r="G12741" s="4"/>
      <c r="H12741" s="4" t="s">
        <v>9342</v>
      </c>
    </row>
    <row r="12742">
      <c r="A12742" s="4">
        <v>150.0</v>
      </c>
      <c r="B12742" s="4" t="s">
        <v>22112</v>
      </c>
      <c r="C12742" s="4"/>
      <c r="D12742" s="4" t="s">
        <v>14089</v>
      </c>
      <c r="E12742" s="4" t="s">
        <v>14090</v>
      </c>
      <c r="F12742" s="4" t="s">
        <v>14089</v>
      </c>
    </row>
    <row r="12743">
      <c r="A12743" s="4">
        <v>151.0</v>
      </c>
      <c r="B12743" s="4" t="s">
        <v>22112</v>
      </c>
      <c r="C12743" s="4"/>
      <c r="D12743" s="4" t="s">
        <v>20615</v>
      </c>
      <c r="E12743" s="4" t="s">
        <v>20616</v>
      </c>
      <c r="F12743" s="4" t="s">
        <v>20615</v>
      </c>
    </row>
    <row r="12744">
      <c r="A12744" s="4">
        <v>152.0</v>
      </c>
      <c r="B12744" s="4" t="s">
        <v>22112</v>
      </c>
      <c r="C12744" s="4"/>
      <c r="D12744" s="4" t="s">
        <v>20617</v>
      </c>
      <c r="E12744" s="4" t="s">
        <v>20618</v>
      </c>
      <c r="F12744" s="4" t="s">
        <v>20617</v>
      </c>
    </row>
    <row r="12745">
      <c r="A12745" s="4">
        <v>153.0</v>
      </c>
      <c r="B12745" s="4" t="s">
        <v>22112</v>
      </c>
      <c r="C12745" s="4"/>
      <c r="D12745" s="4" t="s">
        <v>20619</v>
      </c>
      <c r="E12745" s="4" t="s">
        <v>20616</v>
      </c>
      <c r="F12745" s="4" t="s">
        <v>20615</v>
      </c>
    </row>
    <row r="12746">
      <c r="A12746" s="4">
        <v>154.0</v>
      </c>
      <c r="B12746" s="4" t="s">
        <v>22112</v>
      </c>
      <c r="C12746" s="4"/>
      <c r="D12746" s="4" t="s">
        <v>20620</v>
      </c>
      <c r="E12746" s="4" t="s">
        <v>20618</v>
      </c>
      <c r="F12746" s="4" t="s">
        <v>20617</v>
      </c>
    </row>
    <row r="12747">
      <c r="A12747" s="4">
        <v>155.0</v>
      </c>
      <c r="B12747" s="4" t="s">
        <v>22112</v>
      </c>
      <c r="C12747" s="4"/>
      <c r="D12747" s="4" t="s">
        <v>15649</v>
      </c>
      <c r="E12747" s="4" t="s">
        <v>15650</v>
      </c>
      <c r="F12747" s="4" t="s">
        <v>15649</v>
      </c>
    </row>
    <row r="12748">
      <c r="A12748" s="4">
        <v>156.0</v>
      </c>
      <c r="B12748" s="4" t="s">
        <v>22112</v>
      </c>
      <c r="C12748" s="4"/>
      <c r="D12748" s="4" t="s">
        <v>20621</v>
      </c>
      <c r="E12748" s="4" t="s">
        <v>20622</v>
      </c>
      <c r="F12748" s="4" t="s">
        <v>20621</v>
      </c>
      <c r="G12748" s="4"/>
      <c r="H12748" s="4" t="s">
        <v>486</v>
      </c>
    </row>
    <row r="12749">
      <c r="A12749" s="4">
        <v>157.0</v>
      </c>
      <c r="B12749" s="4" t="s">
        <v>22112</v>
      </c>
      <c r="C12749" s="4"/>
      <c r="D12749" s="4" t="s">
        <v>875</v>
      </c>
      <c r="E12749" s="4" t="s">
        <v>874</v>
      </c>
      <c r="F12749" s="4" t="s">
        <v>875</v>
      </c>
      <c r="G12749" s="4"/>
      <c r="H12749" s="4" t="s">
        <v>876</v>
      </c>
      <c r="I12749" s="4" t="s">
        <v>877</v>
      </c>
      <c r="J12749" s="4" t="s">
        <v>877</v>
      </c>
      <c r="K12749" s="4" t="s">
        <v>878</v>
      </c>
      <c r="L12749" s="4" t="s">
        <v>876</v>
      </c>
      <c r="M12749" s="4" t="s">
        <v>879</v>
      </c>
      <c r="N12749" s="4" t="s">
        <v>486</v>
      </c>
      <c r="O12749" s="4" t="s">
        <v>878</v>
      </c>
    </row>
    <row r="12750">
      <c r="A12750" s="4">
        <v>158.0</v>
      </c>
      <c r="B12750" s="4" t="s">
        <v>22112</v>
      </c>
      <c r="C12750" s="4"/>
      <c r="D12750" s="4" t="s">
        <v>20623</v>
      </c>
      <c r="E12750" s="4" t="s">
        <v>20624</v>
      </c>
      <c r="F12750" s="4" t="s">
        <v>20623</v>
      </c>
    </row>
    <row r="12751">
      <c r="A12751" s="4">
        <v>159.0</v>
      </c>
      <c r="B12751" s="4" t="s">
        <v>22112</v>
      </c>
      <c r="C12751" s="4"/>
      <c r="D12751" s="4" t="s">
        <v>20625</v>
      </c>
      <c r="E12751" s="4" t="s">
        <v>20626</v>
      </c>
      <c r="F12751" s="4" t="s">
        <v>20625</v>
      </c>
    </row>
    <row r="12752">
      <c r="A12752" s="4">
        <v>160.0</v>
      </c>
      <c r="B12752" s="4" t="s">
        <v>22112</v>
      </c>
      <c r="C12752" s="4"/>
      <c r="D12752" s="4" t="s">
        <v>20627</v>
      </c>
      <c r="E12752" s="4" t="s">
        <v>20628</v>
      </c>
      <c r="F12752" s="4" t="s">
        <v>20627</v>
      </c>
      <c r="G12752" s="4"/>
      <c r="H12752" s="4" t="s">
        <v>20629</v>
      </c>
      <c r="I12752" s="4" t="s">
        <v>20630</v>
      </c>
      <c r="J12752" s="4" t="s">
        <v>20631</v>
      </c>
      <c r="K12752" s="4" t="s">
        <v>11322</v>
      </c>
      <c r="L12752" s="4" t="s">
        <v>20632</v>
      </c>
      <c r="M12752" s="4" t="s">
        <v>20633</v>
      </c>
      <c r="N12752" s="4" t="s">
        <v>20633</v>
      </c>
      <c r="O12752" s="4" t="s">
        <v>11321</v>
      </c>
      <c r="P12752" s="4" t="s">
        <v>15189</v>
      </c>
      <c r="Q12752" s="4" t="s">
        <v>5742</v>
      </c>
      <c r="R12752" s="4" t="s">
        <v>11321</v>
      </c>
    </row>
    <row r="12753">
      <c r="A12753" s="4">
        <v>161.0</v>
      </c>
      <c r="B12753" s="4" t="s">
        <v>22112</v>
      </c>
      <c r="C12753" s="4"/>
      <c r="D12753" s="4" t="s">
        <v>9347</v>
      </c>
      <c r="E12753" s="4" t="s">
        <v>15678</v>
      </c>
      <c r="F12753" s="4" t="s">
        <v>9347</v>
      </c>
    </row>
    <row r="12754">
      <c r="A12754" s="4">
        <v>162.0</v>
      </c>
      <c r="B12754" s="4" t="s">
        <v>22112</v>
      </c>
      <c r="C12754" s="4"/>
      <c r="D12754" s="4" t="s">
        <v>882</v>
      </c>
      <c r="E12754" s="4" t="s">
        <v>881</v>
      </c>
      <c r="F12754" s="4" t="s">
        <v>882</v>
      </c>
      <c r="G12754" s="4"/>
      <c r="H12754" s="4" t="s">
        <v>883</v>
      </c>
      <c r="I12754" s="4" t="s">
        <v>884</v>
      </c>
      <c r="J12754" s="4" t="s">
        <v>885</v>
      </c>
      <c r="K12754" s="4" t="s">
        <v>886</v>
      </c>
      <c r="L12754" s="4" t="s">
        <v>887</v>
      </c>
      <c r="M12754" s="4" t="s">
        <v>878</v>
      </c>
      <c r="N12754" s="4" t="s">
        <v>888</v>
      </c>
      <c r="O12754" s="4" t="s">
        <v>15684</v>
      </c>
      <c r="P12754" s="4" t="s">
        <v>888</v>
      </c>
      <c r="Q12754" s="4" t="s">
        <v>7917</v>
      </c>
      <c r="R12754" s="4" t="s">
        <v>883</v>
      </c>
      <c r="S12754" s="4" t="s">
        <v>883</v>
      </c>
      <c r="T12754" s="4" t="s">
        <v>885</v>
      </c>
      <c r="U12754" s="4" t="s">
        <v>886</v>
      </c>
      <c r="V12754" s="4" t="s">
        <v>888</v>
      </c>
      <c r="W12754" s="4" t="s">
        <v>3086</v>
      </c>
      <c r="X12754" s="4" t="s">
        <v>887</v>
      </c>
      <c r="Y12754" s="4" t="s">
        <v>3082</v>
      </c>
    </row>
    <row r="12755">
      <c r="A12755" s="4">
        <v>163.0</v>
      </c>
      <c r="B12755" s="4" t="s">
        <v>22112</v>
      </c>
      <c r="C12755" s="4"/>
      <c r="D12755" s="4" t="s">
        <v>20634</v>
      </c>
      <c r="E12755" s="4" t="s">
        <v>14087</v>
      </c>
      <c r="F12755" s="4" t="s">
        <v>14086</v>
      </c>
    </row>
    <row r="12756">
      <c r="A12756" s="4">
        <v>164.0</v>
      </c>
      <c r="B12756" s="4" t="s">
        <v>22112</v>
      </c>
      <c r="C12756" s="4"/>
      <c r="D12756" s="4" t="s">
        <v>20635</v>
      </c>
      <c r="E12756" s="4" t="s">
        <v>501</v>
      </c>
      <c r="F12756" s="4" t="s">
        <v>502</v>
      </c>
    </row>
    <row r="12757">
      <c r="A12757" s="4">
        <v>165.0</v>
      </c>
      <c r="B12757" s="4" t="s">
        <v>22112</v>
      </c>
      <c r="C12757" s="4"/>
      <c r="D12757" s="4" t="s">
        <v>20636</v>
      </c>
      <c r="E12757" s="4" t="s">
        <v>890</v>
      </c>
      <c r="F12757" s="4" t="s">
        <v>891</v>
      </c>
    </row>
    <row r="12758">
      <c r="A12758" s="4">
        <v>166.0</v>
      </c>
      <c r="B12758" s="4" t="s">
        <v>22112</v>
      </c>
      <c r="C12758" s="4"/>
      <c r="D12758" s="4" t="s">
        <v>19539</v>
      </c>
      <c r="E12758" s="4" t="s">
        <v>19540</v>
      </c>
      <c r="F12758" s="4" t="s">
        <v>19539</v>
      </c>
    </row>
    <row r="12759">
      <c r="A12759" s="4">
        <v>167.0</v>
      </c>
      <c r="B12759" s="4" t="s">
        <v>22112</v>
      </c>
      <c r="C12759" s="4"/>
      <c r="D12759" s="4" t="s">
        <v>20637</v>
      </c>
      <c r="E12759" s="4" t="s">
        <v>20638</v>
      </c>
      <c r="F12759" s="4" t="s">
        <v>20639</v>
      </c>
    </row>
    <row r="12760">
      <c r="A12760" s="4">
        <v>168.0</v>
      </c>
      <c r="B12760" s="4" t="s">
        <v>22112</v>
      </c>
      <c r="C12760" s="4"/>
      <c r="D12760" s="4" t="s">
        <v>911</v>
      </c>
      <c r="E12760" s="4" t="s">
        <v>912</v>
      </c>
      <c r="F12760" s="4" t="s">
        <v>913</v>
      </c>
      <c r="G12760" s="4"/>
      <c r="H12760" s="4" t="s">
        <v>895</v>
      </c>
      <c r="I12760" s="4" t="s">
        <v>895</v>
      </c>
      <c r="J12760" s="4" t="s">
        <v>3618</v>
      </c>
      <c r="K12760" s="4" t="s">
        <v>914</v>
      </c>
      <c r="L12760" s="4" t="s">
        <v>19971</v>
      </c>
      <c r="M12760" s="4" t="s">
        <v>19972</v>
      </c>
      <c r="N12760" s="4" t="s">
        <v>915</v>
      </c>
      <c r="O12760" s="4" t="s">
        <v>895</v>
      </c>
      <c r="P12760" s="4" t="s">
        <v>19973</v>
      </c>
      <c r="Q12760" s="4" t="s">
        <v>895</v>
      </c>
      <c r="R12760" s="4" t="s">
        <v>914</v>
      </c>
      <c r="S12760" s="4" t="s">
        <v>914</v>
      </c>
      <c r="T12760" s="4" t="s">
        <v>915</v>
      </c>
      <c r="U12760" s="4" t="s">
        <v>916</v>
      </c>
      <c r="V12760" s="4" t="s">
        <v>895</v>
      </c>
    </row>
    <row r="12761">
      <c r="A12761" s="4">
        <v>169.0</v>
      </c>
      <c r="B12761" s="4" t="s">
        <v>22112</v>
      </c>
      <c r="C12761" s="4"/>
      <c r="D12761" s="4" t="s">
        <v>20640</v>
      </c>
      <c r="E12761" s="4" t="s">
        <v>20641</v>
      </c>
      <c r="F12761" s="4" t="s">
        <v>913</v>
      </c>
      <c r="G12761" s="4"/>
      <c r="H12761" s="4" t="s">
        <v>20642</v>
      </c>
      <c r="I12761" s="4" t="s">
        <v>932</v>
      </c>
      <c r="J12761" s="4" t="s">
        <v>20643</v>
      </c>
      <c r="K12761" s="4" t="s">
        <v>20644</v>
      </c>
      <c r="L12761" s="4" t="s">
        <v>20645</v>
      </c>
      <c r="M12761" s="4" t="s">
        <v>20646</v>
      </c>
      <c r="N12761" s="4" t="s">
        <v>20647</v>
      </c>
      <c r="O12761" s="4" t="s">
        <v>20648</v>
      </c>
      <c r="P12761" s="4" t="s">
        <v>20649</v>
      </c>
      <c r="Q12761" s="4" t="s">
        <v>20650</v>
      </c>
      <c r="R12761" s="4" t="s">
        <v>20651</v>
      </c>
      <c r="S12761" s="4" t="s">
        <v>20652</v>
      </c>
      <c r="T12761" s="4" t="s">
        <v>20653</v>
      </c>
      <c r="U12761" s="4" t="s">
        <v>19933</v>
      </c>
      <c r="V12761" s="4" t="s">
        <v>20654</v>
      </c>
    </row>
    <row r="12762">
      <c r="A12762" s="4">
        <v>170.0</v>
      </c>
      <c r="B12762" s="4" t="s">
        <v>22112</v>
      </c>
      <c r="C12762" s="4"/>
      <c r="D12762" s="4" t="s">
        <v>20655</v>
      </c>
      <c r="E12762" s="4" t="s">
        <v>20656</v>
      </c>
      <c r="F12762" s="4" t="s">
        <v>20657</v>
      </c>
    </row>
    <row r="12763">
      <c r="A12763" s="4">
        <v>171.0</v>
      </c>
      <c r="B12763" s="4" t="s">
        <v>22112</v>
      </c>
      <c r="C12763" s="4"/>
      <c r="D12763" s="4" t="s">
        <v>14093</v>
      </c>
      <c r="E12763" s="4" t="s">
        <v>14094</v>
      </c>
      <c r="F12763" s="4" t="s">
        <v>14093</v>
      </c>
      <c r="G12763" s="4"/>
      <c r="H12763" s="4" t="s">
        <v>20658</v>
      </c>
      <c r="I12763" s="4" t="s">
        <v>20659</v>
      </c>
      <c r="J12763" s="4" t="s">
        <v>20660</v>
      </c>
      <c r="K12763" s="4" t="s">
        <v>3050</v>
      </c>
      <c r="L12763" s="4" t="s">
        <v>19642</v>
      </c>
      <c r="M12763" s="4" t="s">
        <v>20660</v>
      </c>
      <c r="N12763" s="4" t="s">
        <v>20661</v>
      </c>
      <c r="O12763" s="4" t="s">
        <v>19642</v>
      </c>
      <c r="P12763" s="4" t="s">
        <v>20662</v>
      </c>
      <c r="Q12763" s="4" t="s">
        <v>2145</v>
      </c>
      <c r="R12763" s="4" t="s">
        <v>19642</v>
      </c>
      <c r="S12763" s="4" t="s">
        <v>20659</v>
      </c>
      <c r="T12763" s="4" t="s">
        <v>19584</v>
      </c>
      <c r="U12763" s="4" t="s">
        <v>20663</v>
      </c>
      <c r="V12763" s="4" t="s">
        <v>9189</v>
      </c>
      <c r="W12763" s="4" t="s">
        <v>19642</v>
      </c>
      <c r="X12763" s="4" t="s">
        <v>3169</v>
      </c>
      <c r="Y12763" s="4" t="s">
        <v>20664</v>
      </c>
      <c r="Z12763" s="4" t="s">
        <v>3050</v>
      </c>
    </row>
    <row r="12764">
      <c r="A12764" s="4">
        <v>172.0</v>
      </c>
      <c r="B12764" s="4" t="s">
        <v>22112</v>
      </c>
      <c r="C12764" s="4"/>
      <c r="D12764" s="4" t="s">
        <v>20665</v>
      </c>
      <c r="E12764" s="4" t="s">
        <v>20666</v>
      </c>
      <c r="F12764" s="4" t="s">
        <v>20665</v>
      </c>
    </row>
    <row r="12765">
      <c r="A12765" s="4">
        <v>173.0</v>
      </c>
      <c r="B12765" s="4" t="s">
        <v>22112</v>
      </c>
      <c r="C12765" s="4"/>
      <c r="D12765" s="4" t="s">
        <v>20667</v>
      </c>
      <c r="E12765" s="4" t="s">
        <v>20668</v>
      </c>
      <c r="F12765" s="4" t="s">
        <v>20667</v>
      </c>
    </row>
    <row r="12766">
      <c r="A12766" s="4">
        <v>174.0</v>
      </c>
      <c r="B12766" s="4" t="s">
        <v>22112</v>
      </c>
      <c r="C12766" s="4"/>
      <c r="D12766" s="4" t="s">
        <v>20669</v>
      </c>
      <c r="E12766" s="4" t="s">
        <v>20666</v>
      </c>
      <c r="F12766" s="4" t="s">
        <v>20665</v>
      </c>
    </row>
    <row r="12767">
      <c r="A12767" s="4">
        <v>175.0</v>
      </c>
      <c r="B12767" s="4" t="s">
        <v>22112</v>
      </c>
      <c r="C12767" s="4"/>
      <c r="D12767" s="4" t="s">
        <v>20670</v>
      </c>
      <c r="E12767" s="4" t="s">
        <v>20668</v>
      </c>
      <c r="F12767" s="4" t="s">
        <v>20667</v>
      </c>
    </row>
    <row r="12768">
      <c r="A12768" s="4">
        <v>176.0</v>
      </c>
      <c r="B12768" s="4" t="s">
        <v>22112</v>
      </c>
      <c r="C12768" s="4"/>
      <c r="D12768" s="4" t="s">
        <v>20671</v>
      </c>
      <c r="E12768" s="4" t="s">
        <v>20672</v>
      </c>
      <c r="F12768" s="4" t="s">
        <v>20671</v>
      </c>
    </row>
    <row r="12769">
      <c r="A12769" s="4">
        <v>177.0</v>
      </c>
      <c r="B12769" s="4" t="s">
        <v>22112</v>
      </c>
      <c r="C12769" s="4"/>
      <c r="D12769" s="4" t="s">
        <v>20673</v>
      </c>
      <c r="E12769" s="4" t="s">
        <v>20674</v>
      </c>
      <c r="F12769" s="4" t="s">
        <v>20673</v>
      </c>
      <c r="G12769" s="4"/>
      <c r="H12769" s="4" t="s">
        <v>15341</v>
      </c>
      <c r="I12769" s="4" t="s">
        <v>20675</v>
      </c>
    </row>
    <row r="12770">
      <c r="A12770" s="4">
        <v>178.0</v>
      </c>
      <c r="B12770" s="4" t="s">
        <v>22112</v>
      </c>
      <c r="C12770" s="4"/>
      <c r="D12770" s="4" t="s">
        <v>936</v>
      </c>
      <c r="E12770" s="4" t="s">
        <v>937</v>
      </c>
      <c r="F12770" s="4" t="s">
        <v>936</v>
      </c>
    </row>
    <row r="12771">
      <c r="A12771" s="4">
        <v>179.0</v>
      </c>
      <c r="B12771" s="4" t="s">
        <v>22112</v>
      </c>
      <c r="C12771" s="4"/>
      <c r="D12771" s="4" t="s">
        <v>938</v>
      </c>
      <c r="E12771" s="4" t="s">
        <v>939</v>
      </c>
      <c r="F12771" s="4" t="s">
        <v>938</v>
      </c>
    </row>
    <row r="12772">
      <c r="A12772" s="4">
        <v>180.0</v>
      </c>
      <c r="B12772" s="4" t="s">
        <v>22112</v>
      </c>
      <c r="C12772" s="4"/>
      <c r="D12772" s="4" t="s">
        <v>20676</v>
      </c>
      <c r="E12772" s="4" t="s">
        <v>20677</v>
      </c>
      <c r="F12772" s="4" t="s">
        <v>20676</v>
      </c>
      <c r="G12772" s="4"/>
      <c r="H12772" s="4" t="s">
        <v>9351</v>
      </c>
      <c r="I12772" s="4" t="s">
        <v>20678</v>
      </c>
      <c r="J12772" s="4" t="s">
        <v>7539</v>
      </c>
      <c r="K12772" s="4" t="s">
        <v>20679</v>
      </c>
      <c r="L12772" s="4" t="s">
        <v>20680</v>
      </c>
      <c r="M12772" s="4" t="s">
        <v>20681</v>
      </c>
      <c r="N12772" s="4" t="s">
        <v>20682</v>
      </c>
    </row>
    <row r="12773">
      <c r="A12773" s="4">
        <v>181.0</v>
      </c>
      <c r="B12773" s="4" t="s">
        <v>22112</v>
      </c>
      <c r="C12773" s="4"/>
      <c r="D12773" s="4" t="s">
        <v>20683</v>
      </c>
      <c r="E12773" s="4" t="s">
        <v>19540</v>
      </c>
      <c r="F12773" s="4" t="s">
        <v>19539</v>
      </c>
    </row>
    <row r="12774">
      <c r="A12774" s="4">
        <v>182.0</v>
      </c>
      <c r="B12774" s="4" t="s">
        <v>22112</v>
      </c>
      <c r="C12774" s="4"/>
      <c r="D12774" s="4" t="s">
        <v>20684</v>
      </c>
      <c r="E12774" s="4" t="s">
        <v>4781</v>
      </c>
      <c r="F12774" s="4" t="s">
        <v>4782</v>
      </c>
    </row>
    <row r="12775">
      <c r="A12775" s="4">
        <v>183.0</v>
      </c>
      <c r="B12775" s="4" t="s">
        <v>22112</v>
      </c>
      <c r="C12775" s="4"/>
      <c r="D12775" s="4" t="s">
        <v>17441</v>
      </c>
      <c r="E12775" s="4" t="s">
        <v>17440</v>
      </c>
      <c r="F12775" s="4" t="s">
        <v>17441</v>
      </c>
    </row>
    <row r="12776">
      <c r="A12776" s="4">
        <v>184.0</v>
      </c>
      <c r="B12776" s="4" t="s">
        <v>22112</v>
      </c>
      <c r="C12776" s="4"/>
      <c r="D12776" s="4" t="s">
        <v>20685</v>
      </c>
      <c r="E12776" s="4" t="s">
        <v>20686</v>
      </c>
      <c r="F12776" s="4" t="s">
        <v>20685</v>
      </c>
    </row>
    <row r="12777">
      <c r="A12777" s="4">
        <v>185.0</v>
      </c>
      <c r="B12777" s="4" t="s">
        <v>22112</v>
      </c>
      <c r="C12777" s="4"/>
      <c r="D12777" s="4" t="s">
        <v>20687</v>
      </c>
      <c r="E12777" s="4" t="s">
        <v>20688</v>
      </c>
      <c r="F12777" s="4" t="s">
        <v>20687</v>
      </c>
    </row>
    <row r="12778">
      <c r="A12778" s="4">
        <v>186.0</v>
      </c>
      <c r="B12778" s="4" t="s">
        <v>22112</v>
      </c>
      <c r="C12778" s="4"/>
      <c r="D12778" s="4" t="s">
        <v>960</v>
      </c>
      <c r="E12778" s="4" t="s">
        <v>961</v>
      </c>
      <c r="F12778" s="4" t="s">
        <v>962</v>
      </c>
    </row>
    <row r="12779">
      <c r="A12779" s="4">
        <v>187.0</v>
      </c>
      <c r="B12779" s="4" t="s">
        <v>22112</v>
      </c>
      <c r="C12779" s="4"/>
      <c r="D12779" s="4" t="s">
        <v>20689</v>
      </c>
      <c r="E12779" s="4" t="s">
        <v>20690</v>
      </c>
      <c r="F12779" s="4" t="s">
        <v>9073</v>
      </c>
      <c r="G12779" s="4"/>
      <c r="H12779" s="4" t="s">
        <v>20691</v>
      </c>
      <c r="I12779" s="4" t="s">
        <v>1301</v>
      </c>
      <c r="J12779" s="4" t="s">
        <v>20692</v>
      </c>
      <c r="K12779" s="4" t="s">
        <v>20693</v>
      </c>
      <c r="L12779" s="4" t="s">
        <v>20694</v>
      </c>
      <c r="M12779" s="4" t="s">
        <v>20695</v>
      </c>
      <c r="N12779" s="4" t="s">
        <v>10333</v>
      </c>
      <c r="O12779" s="4" t="s">
        <v>11925</v>
      </c>
      <c r="P12779" s="4" t="s">
        <v>1337</v>
      </c>
      <c r="Q12779" s="4" t="s">
        <v>11924</v>
      </c>
      <c r="R12779" s="4" t="s">
        <v>20696</v>
      </c>
      <c r="S12779" s="4" t="s">
        <v>20697</v>
      </c>
      <c r="T12779" s="4" t="s">
        <v>20691</v>
      </c>
    </row>
    <row r="12780">
      <c r="A12780" s="4">
        <v>188.0</v>
      </c>
      <c r="B12780" s="4" t="s">
        <v>22112</v>
      </c>
      <c r="C12780" s="4"/>
      <c r="D12780" s="4" t="s">
        <v>20698</v>
      </c>
      <c r="E12780" s="4" t="s">
        <v>20699</v>
      </c>
      <c r="F12780" s="4" t="s">
        <v>20700</v>
      </c>
    </row>
    <row r="12781">
      <c r="A12781" s="4">
        <v>189.0</v>
      </c>
      <c r="B12781" s="4" t="s">
        <v>22112</v>
      </c>
      <c r="C12781" s="4"/>
      <c r="D12781" s="4" t="s">
        <v>20701</v>
      </c>
      <c r="E12781" s="4" t="s">
        <v>20702</v>
      </c>
      <c r="F12781" s="4" t="s">
        <v>20703</v>
      </c>
      <c r="G12781" s="4"/>
      <c r="H12781" s="4" t="s">
        <v>20704</v>
      </c>
    </row>
    <row r="12782">
      <c r="A12782" s="4">
        <v>190.0</v>
      </c>
      <c r="B12782" s="4" t="s">
        <v>22112</v>
      </c>
      <c r="C12782" s="4"/>
      <c r="D12782" s="4" t="s">
        <v>976</v>
      </c>
      <c r="E12782" s="4" t="s">
        <v>977</v>
      </c>
      <c r="F12782" s="4" t="s">
        <v>978</v>
      </c>
      <c r="G12782" s="4"/>
      <c r="H12782" s="4" t="s">
        <v>20705</v>
      </c>
      <c r="I12782" s="4" t="s">
        <v>20706</v>
      </c>
    </row>
    <row r="12783">
      <c r="A12783" s="4">
        <v>191.0</v>
      </c>
      <c r="B12783" s="4" t="s">
        <v>22112</v>
      </c>
      <c r="C12783" s="4"/>
      <c r="D12783" s="4" t="s">
        <v>20707</v>
      </c>
      <c r="E12783" s="4" t="s">
        <v>20708</v>
      </c>
      <c r="F12783" s="4" t="s">
        <v>20709</v>
      </c>
    </row>
    <row r="12784">
      <c r="A12784" s="4">
        <v>192.0</v>
      </c>
      <c r="B12784" s="4" t="s">
        <v>22112</v>
      </c>
      <c r="C12784" s="4"/>
      <c r="D12784" s="4" t="s">
        <v>20710</v>
      </c>
      <c r="E12784" s="4" t="s">
        <v>20711</v>
      </c>
      <c r="F12784" s="4" t="s">
        <v>20712</v>
      </c>
    </row>
    <row r="12785">
      <c r="A12785" s="4">
        <v>193.0</v>
      </c>
      <c r="B12785" s="4" t="s">
        <v>22112</v>
      </c>
      <c r="C12785" s="4"/>
      <c r="D12785" s="4" t="s">
        <v>984</v>
      </c>
      <c r="E12785" s="4" t="s">
        <v>985</v>
      </c>
      <c r="F12785" s="4" t="s">
        <v>986</v>
      </c>
    </row>
    <row r="12786">
      <c r="A12786" s="4">
        <v>194.0</v>
      </c>
      <c r="B12786" s="4" t="s">
        <v>22112</v>
      </c>
      <c r="C12786" s="4"/>
      <c r="D12786" s="4" t="s">
        <v>990</v>
      </c>
      <c r="E12786" s="4" t="s">
        <v>991</v>
      </c>
      <c r="F12786" s="4" t="s">
        <v>992</v>
      </c>
      <c r="G12786" s="4"/>
      <c r="H12786" s="4" t="s">
        <v>993</v>
      </c>
      <c r="I12786" s="4" t="s">
        <v>994</v>
      </c>
      <c r="J12786" s="4" t="s">
        <v>2798</v>
      </c>
      <c r="K12786" s="4" t="s">
        <v>20713</v>
      </c>
      <c r="L12786" s="4" t="s">
        <v>3632</v>
      </c>
      <c r="M12786" s="4" t="s">
        <v>940</v>
      </c>
    </row>
    <row r="12787">
      <c r="A12787" s="4">
        <v>195.0</v>
      </c>
      <c r="B12787" s="4" t="s">
        <v>22112</v>
      </c>
      <c r="C12787" s="4"/>
      <c r="D12787" s="4" t="s">
        <v>20714</v>
      </c>
      <c r="E12787" s="4" t="s">
        <v>1004</v>
      </c>
      <c r="F12787" s="4" t="s">
        <v>1005</v>
      </c>
    </row>
    <row r="12788">
      <c r="A12788" s="4">
        <v>196.0</v>
      </c>
      <c r="B12788" s="4" t="s">
        <v>22112</v>
      </c>
      <c r="C12788" s="4"/>
      <c r="D12788" s="4" t="s">
        <v>20715</v>
      </c>
      <c r="E12788" s="4" t="s">
        <v>1007</v>
      </c>
      <c r="F12788" s="4" t="s">
        <v>1008</v>
      </c>
    </row>
    <row r="12789">
      <c r="A12789" s="4">
        <v>197.0</v>
      </c>
      <c r="B12789" s="4" t="s">
        <v>22112</v>
      </c>
      <c r="C12789" s="4"/>
      <c r="D12789" s="4" t="s">
        <v>20716</v>
      </c>
      <c r="E12789" s="4" t="s">
        <v>1004</v>
      </c>
      <c r="F12789" s="4" t="s">
        <v>1005</v>
      </c>
    </row>
    <row r="12790">
      <c r="A12790" s="4">
        <v>198.0</v>
      </c>
      <c r="B12790" s="4" t="s">
        <v>22112</v>
      </c>
      <c r="C12790" s="4"/>
      <c r="D12790" s="4" t="s">
        <v>20717</v>
      </c>
      <c r="E12790" s="4" t="s">
        <v>1007</v>
      </c>
      <c r="F12790" s="4" t="s">
        <v>1008</v>
      </c>
    </row>
    <row r="12791">
      <c r="A12791" s="4">
        <v>199.0</v>
      </c>
      <c r="B12791" s="4" t="s">
        <v>22112</v>
      </c>
      <c r="C12791" s="4"/>
      <c r="D12791" s="4" t="s">
        <v>11822</v>
      </c>
      <c r="E12791" s="4" t="s">
        <v>11824</v>
      </c>
      <c r="F12791" s="4" t="s">
        <v>11825</v>
      </c>
    </row>
    <row r="12792">
      <c r="A12792" s="4">
        <v>200.0</v>
      </c>
      <c r="B12792" s="4" t="s">
        <v>22112</v>
      </c>
      <c r="C12792" s="4"/>
      <c r="D12792" s="4" t="s">
        <v>5931</v>
      </c>
      <c r="E12792" s="4" t="s">
        <v>5147</v>
      </c>
      <c r="F12792" s="4" t="s">
        <v>5148</v>
      </c>
    </row>
    <row r="12793">
      <c r="A12793" s="4">
        <v>201.0</v>
      </c>
      <c r="B12793" s="4" t="s">
        <v>22112</v>
      </c>
      <c r="C12793" s="4"/>
      <c r="D12793" s="4" t="s">
        <v>1040</v>
      </c>
      <c r="E12793" s="4" t="s">
        <v>1041</v>
      </c>
      <c r="F12793" s="4" t="s">
        <v>1042</v>
      </c>
      <c r="G12793" s="4"/>
      <c r="H12793" s="4" t="s">
        <v>1241</v>
      </c>
    </row>
    <row r="12794">
      <c r="A12794" s="4">
        <v>202.0</v>
      </c>
      <c r="B12794" s="4" t="s">
        <v>22112</v>
      </c>
      <c r="C12794" s="4"/>
      <c r="D12794" s="4" t="s">
        <v>20718</v>
      </c>
      <c r="E12794" s="4" t="s">
        <v>20719</v>
      </c>
      <c r="F12794" s="4" t="s">
        <v>20720</v>
      </c>
    </row>
    <row r="12795">
      <c r="A12795" s="4">
        <v>203.0</v>
      </c>
      <c r="B12795" s="4" t="s">
        <v>22112</v>
      </c>
      <c r="C12795" s="4"/>
      <c r="D12795" s="4" t="s">
        <v>1053</v>
      </c>
      <c r="E12795" s="4" t="s">
        <v>1054</v>
      </c>
      <c r="F12795" s="4" t="s">
        <v>1055</v>
      </c>
      <c r="G12795" s="4"/>
      <c r="H12795" s="4" t="s">
        <v>1056</v>
      </c>
      <c r="I12795" s="4" t="s">
        <v>20721</v>
      </c>
      <c r="J12795" s="4" t="s">
        <v>1056</v>
      </c>
      <c r="K12795" s="4" t="s">
        <v>1057</v>
      </c>
      <c r="L12795" s="4" t="s">
        <v>1056</v>
      </c>
    </row>
    <row r="12796">
      <c r="A12796" s="4">
        <v>204.0</v>
      </c>
      <c r="B12796" s="4" t="s">
        <v>22112</v>
      </c>
      <c r="C12796" s="4"/>
      <c r="D12796" s="4" t="s">
        <v>20722</v>
      </c>
      <c r="E12796" s="4" t="s">
        <v>20723</v>
      </c>
      <c r="F12796" s="4" t="s">
        <v>20724</v>
      </c>
      <c r="G12796" s="4"/>
      <c r="H12796" s="4" t="s">
        <v>641</v>
      </c>
      <c r="I12796" s="4" t="s">
        <v>20725</v>
      </c>
      <c r="J12796" s="4" t="s">
        <v>1057</v>
      </c>
      <c r="K12796" s="4" t="s">
        <v>20726</v>
      </c>
    </row>
    <row r="12797">
      <c r="A12797" s="4">
        <v>205.0</v>
      </c>
      <c r="B12797" s="4" t="s">
        <v>22112</v>
      </c>
      <c r="C12797" s="4"/>
      <c r="D12797" s="4" t="s">
        <v>20727</v>
      </c>
      <c r="E12797" s="4" t="s">
        <v>15796</v>
      </c>
      <c r="F12797" s="4" t="s">
        <v>5056</v>
      </c>
      <c r="G12797" s="4"/>
      <c r="H12797" s="4" t="s">
        <v>20728</v>
      </c>
    </row>
    <row r="12798">
      <c r="A12798" s="4">
        <v>206.0</v>
      </c>
      <c r="B12798" s="4" t="s">
        <v>22112</v>
      </c>
      <c r="C12798" s="4"/>
      <c r="D12798" s="4" t="s">
        <v>20729</v>
      </c>
      <c r="E12798" s="4" t="s">
        <v>20730</v>
      </c>
      <c r="F12798" s="4" t="s">
        <v>20731</v>
      </c>
    </row>
    <row r="12799">
      <c r="A12799" s="4">
        <v>207.0</v>
      </c>
      <c r="B12799" s="4" t="s">
        <v>22112</v>
      </c>
      <c r="C12799" s="4"/>
      <c r="D12799" s="4" t="s">
        <v>16603</v>
      </c>
      <c r="E12799" s="4" t="s">
        <v>16604</v>
      </c>
      <c r="F12799" s="4" t="s">
        <v>16605</v>
      </c>
    </row>
    <row r="12800">
      <c r="A12800" s="4">
        <v>208.0</v>
      </c>
      <c r="B12800" s="4" t="s">
        <v>22112</v>
      </c>
      <c r="C12800" s="4"/>
      <c r="D12800" s="4" t="s">
        <v>1120</v>
      </c>
      <c r="E12800" s="4" t="s">
        <v>1121</v>
      </c>
      <c r="F12800" s="4" t="s">
        <v>1122</v>
      </c>
      <c r="G12800" s="4"/>
      <c r="H12800" s="4" t="s">
        <v>963</v>
      </c>
      <c r="I12800" s="4" t="s">
        <v>964</v>
      </c>
      <c r="J12800" s="4" t="s">
        <v>965</v>
      </c>
    </row>
    <row r="12801">
      <c r="A12801" s="4">
        <v>209.0</v>
      </c>
      <c r="B12801" s="4" t="s">
        <v>22112</v>
      </c>
      <c r="C12801" s="4"/>
      <c r="D12801" s="4" t="s">
        <v>1123</v>
      </c>
      <c r="E12801" s="4" t="s">
        <v>1124</v>
      </c>
      <c r="F12801" s="4" t="s">
        <v>1125</v>
      </c>
      <c r="G12801" s="4"/>
      <c r="H12801" s="4" t="s">
        <v>20732</v>
      </c>
      <c r="I12801" s="4" t="s">
        <v>20733</v>
      </c>
    </row>
    <row r="12802">
      <c r="A12802" s="4">
        <v>210.0</v>
      </c>
      <c r="B12802" s="4" t="s">
        <v>22112</v>
      </c>
      <c r="C12802" s="4"/>
      <c r="D12802" s="4" t="s">
        <v>1126</v>
      </c>
      <c r="E12802" s="4" t="s">
        <v>1127</v>
      </c>
      <c r="F12802" s="4" t="s">
        <v>1128</v>
      </c>
      <c r="G12802" s="4"/>
      <c r="H12802" s="4" t="s">
        <v>1126</v>
      </c>
      <c r="I12802" s="4" t="s">
        <v>1136</v>
      </c>
      <c r="J12802" s="4" t="s">
        <v>19760</v>
      </c>
      <c r="K12802" s="4" t="s">
        <v>19761</v>
      </c>
      <c r="L12802" s="4" t="s">
        <v>1129</v>
      </c>
      <c r="M12802" s="4" t="s">
        <v>1130</v>
      </c>
      <c r="N12802" s="4" t="s">
        <v>1131</v>
      </c>
      <c r="O12802" s="4" t="s">
        <v>1132</v>
      </c>
      <c r="P12802" s="4" t="s">
        <v>1133</v>
      </c>
      <c r="Q12802" s="4" t="s">
        <v>1134</v>
      </c>
      <c r="R12802" s="4" t="s">
        <v>20734</v>
      </c>
      <c r="S12802" s="4" t="s">
        <v>1130</v>
      </c>
      <c r="T12802" s="4" t="s">
        <v>1135</v>
      </c>
      <c r="U12802" s="4" t="s">
        <v>1126</v>
      </c>
      <c r="V12802" s="4" t="s">
        <v>1136</v>
      </c>
      <c r="W12802" s="4" t="s">
        <v>1136</v>
      </c>
      <c r="X12802" s="4" t="s">
        <v>1137</v>
      </c>
      <c r="Y12802" s="4" t="s">
        <v>1136</v>
      </c>
    </row>
    <row r="12803">
      <c r="A12803" s="4">
        <v>211.0</v>
      </c>
      <c r="B12803" s="4" t="s">
        <v>22112</v>
      </c>
      <c r="C12803" s="4"/>
      <c r="D12803" s="4" t="s">
        <v>1161</v>
      </c>
      <c r="E12803" s="4" t="s">
        <v>1162</v>
      </c>
      <c r="F12803" s="4" t="s">
        <v>1163</v>
      </c>
      <c r="G12803" s="4"/>
      <c r="H12803" s="4" t="s">
        <v>20735</v>
      </c>
      <c r="I12803" s="4" t="s">
        <v>20736</v>
      </c>
    </row>
    <row r="12804">
      <c r="A12804" s="4">
        <v>212.0</v>
      </c>
      <c r="B12804" s="4" t="s">
        <v>22112</v>
      </c>
      <c r="C12804" s="4"/>
      <c r="D12804" s="4" t="s">
        <v>20737</v>
      </c>
      <c r="E12804" s="4" t="s">
        <v>20738</v>
      </c>
      <c r="F12804" s="4" t="s">
        <v>20739</v>
      </c>
    </row>
    <row r="12805">
      <c r="A12805" s="4">
        <v>213.0</v>
      </c>
      <c r="B12805" s="4" t="s">
        <v>22112</v>
      </c>
      <c r="C12805" s="4"/>
      <c r="D12805" s="4" t="s">
        <v>20740</v>
      </c>
      <c r="E12805" s="4" t="s">
        <v>1206</v>
      </c>
      <c r="F12805" s="4" t="s">
        <v>1207</v>
      </c>
    </row>
    <row r="12806">
      <c r="A12806" s="4">
        <v>214.0</v>
      </c>
      <c r="B12806" s="4" t="s">
        <v>22112</v>
      </c>
      <c r="C12806" s="4"/>
      <c r="D12806" s="4" t="s">
        <v>20741</v>
      </c>
      <c r="E12806" s="4" t="s">
        <v>20742</v>
      </c>
      <c r="F12806" s="4" t="s">
        <v>20743</v>
      </c>
      <c r="G12806" s="4"/>
      <c r="H12806" s="4" t="s">
        <v>20744</v>
      </c>
      <c r="I12806" s="4" t="s">
        <v>20745</v>
      </c>
    </row>
    <row r="12807">
      <c r="A12807" s="4">
        <v>215.0</v>
      </c>
      <c r="B12807" s="4" t="s">
        <v>22112</v>
      </c>
      <c r="C12807" s="4"/>
      <c r="D12807" s="4" t="s">
        <v>1176</v>
      </c>
      <c r="E12807" s="4" t="s">
        <v>1177</v>
      </c>
      <c r="F12807" s="4" t="s">
        <v>1178</v>
      </c>
    </row>
    <row r="12808">
      <c r="A12808" s="4">
        <v>216.0</v>
      </c>
      <c r="B12808" s="4" t="s">
        <v>22112</v>
      </c>
      <c r="C12808" s="4"/>
      <c r="D12808" s="4" t="s">
        <v>20746</v>
      </c>
      <c r="E12808" s="4" t="s">
        <v>20747</v>
      </c>
      <c r="F12808" s="4" t="s">
        <v>20748</v>
      </c>
    </row>
    <row r="12809">
      <c r="A12809" s="4">
        <v>217.0</v>
      </c>
      <c r="B12809" s="4" t="s">
        <v>22112</v>
      </c>
      <c r="C12809" s="4"/>
      <c r="D12809" s="4" t="s">
        <v>20749</v>
      </c>
      <c r="E12809" s="4" t="s">
        <v>20750</v>
      </c>
      <c r="F12809" s="4" t="s">
        <v>20751</v>
      </c>
    </row>
    <row r="12810">
      <c r="A12810" s="4">
        <v>218.0</v>
      </c>
      <c r="B12810" s="4" t="s">
        <v>22112</v>
      </c>
      <c r="C12810" s="4"/>
      <c r="D12810" s="4" t="s">
        <v>20752</v>
      </c>
      <c r="E12810" s="4" t="s">
        <v>19992</v>
      </c>
      <c r="F12810" s="4" t="s">
        <v>19993</v>
      </c>
      <c r="G12810" s="4"/>
      <c r="H12810" s="4" t="s">
        <v>20753</v>
      </c>
      <c r="I12810" s="4" t="s">
        <v>20754</v>
      </c>
      <c r="J12810" s="4" t="s">
        <v>20755</v>
      </c>
      <c r="K12810" s="4" t="s">
        <v>20756</v>
      </c>
    </row>
    <row r="12811">
      <c r="A12811" s="4">
        <v>219.0</v>
      </c>
      <c r="B12811" s="4" t="s">
        <v>22112</v>
      </c>
      <c r="C12811" s="4"/>
      <c r="D12811" s="4" t="s">
        <v>1231</v>
      </c>
      <c r="E12811" s="4" t="s">
        <v>1232</v>
      </c>
      <c r="F12811" s="4" t="s">
        <v>1233</v>
      </c>
      <c r="G12811" s="4"/>
      <c r="H12811" s="4" t="s">
        <v>1234</v>
      </c>
      <c r="I12811" s="4" t="s">
        <v>1235</v>
      </c>
      <c r="J12811" s="4" t="s">
        <v>1236</v>
      </c>
      <c r="K12811" s="4" t="s">
        <v>1237</v>
      </c>
      <c r="L12811" s="4" t="s">
        <v>1241</v>
      </c>
      <c r="M12811" s="4" t="s">
        <v>1217</v>
      </c>
      <c r="N12811" s="4" t="s">
        <v>1243</v>
      </c>
      <c r="O12811" s="4" t="s">
        <v>1238</v>
      </c>
      <c r="P12811" s="4" t="s">
        <v>1235</v>
      </c>
      <c r="Q12811" s="4" t="s">
        <v>1239</v>
      </c>
      <c r="R12811" s="4" t="s">
        <v>1240</v>
      </c>
      <c r="S12811" s="4" t="s">
        <v>1237</v>
      </c>
      <c r="T12811" s="4" t="s">
        <v>1241</v>
      </c>
      <c r="U12811" s="4" t="s">
        <v>1237</v>
      </c>
      <c r="V12811" s="4" t="s">
        <v>1242</v>
      </c>
      <c r="W12811" s="4" t="s">
        <v>1243</v>
      </c>
      <c r="X12811" s="4" t="s">
        <v>20757</v>
      </c>
    </row>
    <row r="12812">
      <c r="A12812" s="4">
        <v>220.0</v>
      </c>
      <c r="B12812" s="4" t="s">
        <v>22112</v>
      </c>
      <c r="C12812" s="4"/>
      <c r="D12812" s="4" t="s">
        <v>1244</v>
      </c>
      <c r="E12812" s="4" t="s">
        <v>1245</v>
      </c>
      <c r="F12812" s="4" t="s">
        <v>1246</v>
      </c>
      <c r="G12812" s="4"/>
      <c r="H12812" s="4" t="s">
        <v>20758</v>
      </c>
      <c r="I12812" s="4" t="s">
        <v>20759</v>
      </c>
      <c r="J12812" s="4" t="s">
        <v>20760</v>
      </c>
      <c r="K12812" s="4" t="s">
        <v>20761</v>
      </c>
      <c r="L12812" s="4" t="s">
        <v>20762</v>
      </c>
      <c r="M12812" s="4" t="s">
        <v>20763</v>
      </c>
      <c r="N12812" s="4" t="s">
        <v>6078</v>
      </c>
    </row>
    <row r="12813">
      <c r="A12813" s="4">
        <v>221.0</v>
      </c>
      <c r="B12813" s="4" t="s">
        <v>22112</v>
      </c>
      <c r="C12813" s="4"/>
      <c r="D12813" s="4" t="s">
        <v>20764</v>
      </c>
      <c r="E12813" s="4" t="s">
        <v>20765</v>
      </c>
      <c r="F12813" s="4" t="s">
        <v>20766</v>
      </c>
    </row>
    <row r="12814">
      <c r="A12814" s="4">
        <v>222.0</v>
      </c>
      <c r="B12814" s="4" t="s">
        <v>22112</v>
      </c>
      <c r="C12814" s="4"/>
      <c r="D12814" s="4" t="s">
        <v>20767</v>
      </c>
      <c r="E12814" s="4" t="s">
        <v>20768</v>
      </c>
      <c r="F12814" s="4" t="s">
        <v>20769</v>
      </c>
    </row>
    <row r="12815">
      <c r="A12815" s="4">
        <v>223.0</v>
      </c>
      <c r="B12815" s="4" t="s">
        <v>22112</v>
      </c>
      <c r="C12815" s="4"/>
      <c r="D12815" s="4" t="s">
        <v>1274</v>
      </c>
      <c r="E12815" s="4" t="s">
        <v>1275</v>
      </c>
      <c r="F12815" s="4" t="s">
        <v>1276</v>
      </c>
      <c r="G12815" s="4"/>
      <c r="H12815" s="4" t="s">
        <v>1274</v>
      </c>
      <c r="I12815" s="4" t="s">
        <v>1277</v>
      </c>
      <c r="J12815" s="4" t="s">
        <v>1278</v>
      </c>
      <c r="K12815" s="4" t="s">
        <v>1279</v>
      </c>
      <c r="L12815" s="4" t="s">
        <v>11898</v>
      </c>
      <c r="M12815" s="4" t="s">
        <v>20770</v>
      </c>
      <c r="N12815" s="4" t="s">
        <v>1274</v>
      </c>
      <c r="O12815" s="4" t="s">
        <v>1280</v>
      </c>
      <c r="P12815" s="4" t="s">
        <v>1274</v>
      </c>
      <c r="Q12815" s="4" t="s">
        <v>1274</v>
      </c>
      <c r="R12815" s="4" t="s">
        <v>11899</v>
      </c>
      <c r="S12815" s="4" t="s">
        <v>1281</v>
      </c>
    </row>
    <row r="12816">
      <c r="A12816" s="4">
        <v>224.0</v>
      </c>
      <c r="B12816" s="4" t="s">
        <v>22112</v>
      </c>
      <c r="C12816" s="4"/>
      <c r="D12816" s="4" t="s">
        <v>1282</v>
      </c>
      <c r="E12816" s="4" t="s">
        <v>1283</v>
      </c>
      <c r="F12816" s="4" t="s">
        <v>1284</v>
      </c>
    </row>
    <row r="12817">
      <c r="A12817" s="4">
        <v>225.0</v>
      </c>
      <c r="B12817" s="4" t="s">
        <v>22112</v>
      </c>
      <c r="C12817" s="4"/>
      <c r="D12817" s="4" t="s">
        <v>1288</v>
      </c>
      <c r="E12817" s="4" t="s">
        <v>1289</v>
      </c>
      <c r="F12817" s="4" t="s">
        <v>1290</v>
      </c>
    </row>
    <row r="12818">
      <c r="A12818" s="4">
        <v>226.0</v>
      </c>
      <c r="B12818" s="4" t="s">
        <v>22112</v>
      </c>
      <c r="C12818" s="4"/>
      <c r="D12818" s="4" t="s">
        <v>20771</v>
      </c>
      <c r="E12818" s="4" t="s">
        <v>15031</v>
      </c>
      <c r="F12818" s="4" t="s">
        <v>5986</v>
      </c>
      <c r="G12818" s="4"/>
      <c r="H12818" s="4" t="s">
        <v>1221</v>
      </c>
      <c r="I12818" s="4" t="s">
        <v>1294</v>
      </c>
      <c r="J12818" s="4" t="s">
        <v>1221</v>
      </c>
      <c r="K12818" s="4" t="s">
        <v>1287</v>
      </c>
      <c r="L12818" s="4" t="s">
        <v>1221</v>
      </c>
      <c r="M12818" s="4" t="s">
        <v>20772</v>
      </c>
      <c r="N12818" s="4" t="s">
        <v>20773</v>
      </c>
      <c r="O12818" s="4" t="s">
        <v>1221</v>
      </c>
      <c r="P12818" s="4" t="s">
        <v>20774</v>
      </c>
      <c r="Q12818" s="4" t="s">
        <v>617</v>
      </c>
      <c r="R12818" s="4" t="s">
        <v>1221</v>
      </c>
      <c r="S12818" s="4" t="s">
        <v>1286</v>
      </c>
      <c r="T12818" s="4" t="s">
        <v>1287</v>
      </c>
    </row>
    <row r="12819">
      <c r="A12819" s="4">
        <v>227.0</v>
      </c>
      <c r="B12819" s="4" t="s">
        <v>22112</v>
      </c>
      <c r="C12819" s="4"/>
      <c r="D12819" s="4" t="s">
        <v>20775</v>
      </c>
      <c r="E12819" s="4" t="s">
        <v>1232</v>
      </c>
      <c r="F12819" s="4" t="s">
        <v>1233</v>
      </c>
    </row>
    <row r="12820">
      <c r="A12820" s="4">
        <v>228.0</v>
      </c>
      <c r="B12820" s="4" t="s">
        <v>22112</v>
      </c>
      <c r="C12820" s="4"/>
      <c r="D12820" s="4" t="s">
        <v>1295</v>
      </c>
      <c r="E12820" s="4" t="s">
        <v>1296</v>
      </c>
      <c r="F12820" s="4" t="s">
        <v>1297</v>
      </c>
      <c r="G12820" s="4"/>
      <c r="H12820" s="4" t="s">
        <v>20776</v>
      </c>
    </row>
    <row r="12821">
      <c r="A12821" s="4">
        <v>229.0</v>
      </c>
      <c r="B12821" s="4" t="s">
        <v>22112</v>
      </c>
      <c r="C12821" s="4"/>
      <c r="D12821" s="4" t="s">
        <v>20777</v>
      </c>
      <c r="E12821" s="4" t="s">
        <v>20778</v>
      </c>
      <c r="F12821" s="4" t="s">
        <v>20700</v>
      </c>
    </row>
    <row r="12822">
      <c r="A12822" s="4">
        <v>230.0</v>
      </c>
      <c r="B12822" s="4" t="s">
        <v>22112</v>
      </c>
      <c r="C12822" s="4"/>
      <c r="D12822" s="4" t="s">
        <v>1305</v>
      </c>
      <c r="E12822" s="4" t="s">
        <v>1306</v>
      </c>
      <c r="F12822" s="4" t="s">
        <v>1307</v>
      </c>
      <c r="G12822" s="4"/>
      <c r="H12822" s="4" t="s">
        <v>1310</v>
      </c>
      <c r="I12822" s="4" t="s">
        <v>1209</v>
      </c>
      <c r="J12822" s="4" t="s">
        <v>515</v>
      </c>
      <c r="K12822" s="4" t="s">
        <v>1308</v>
      </c>
      <c r="L12822" s="4" t="s">
        <v>1309</v>
      </c>
      <c r="M12822" s="4" t="s">
        <v>1310</v>
      </c>
      <c r="N12822" s="4" t="s">
        <v>1311</v>
      </c>
      <c r="O12822" s="4" t="s">
        <v>1312</v>
      </c>
      <c r="P12822" s="4" t="s">
        <v>1313</v>
      </c>
      <c r="Q12822" s="4" t="s">
        <v>1310</v>
      </c>
      <c r="R12822" s="4" t="s">
        <v>1314</v>
      </c>
      <c r="S12822" s="4" t="s">
        <v>3491</v>
      </c>
      <c r="T12822" s="4" t="s">
        <v>1310</v>
      </c>
      <c r="U12822" s="4" t="s">
        <v>1315</v>
      </c>
      <c r="V12822" s="4" t="s">
        <v>1310</v>
      </c>
      <c r="W12822" s="4" t="s">
        <v>20779</v>
      </c>
      <c r="X12822" s="4" t="s">
        <v>1310</v>
      </c>
      <c r="Y12822" s="4" t="s">
        <v>515</v>
      </c>
      <c r="Z12822" s="4" t="s">
        <v>1310</v>
      </c>
      <c r="AA12822" s="4" t="s">
        <v>950</v>
      </c>
      <c r="AB12822" s="4" t="s">
        <v>1310</v>
      </c>
    </row>
    <row r="12823">
      <c r="A12823" s="4">
        <v>231.0</v>
      </c>
      <c r="B12823" s="4" t="s">
        <v>22112</v>
      </c>
      <c r="C12823" s="4"/>
      <c r="D12823" s="4" t="s">
        <v>20780</v>
      </c>
      <c r="E12823" s="4" t="s">
        <v>20781</v>
      </c>
      <c r="F12823" s="4" t="s">
        <v>20782</v>
      </c>
    </row>
    <row r="12824">
      <c r="A12824" s="4">
        <v>232.0</v>
      </c>
      <c r="B12824" s="4" t="s">
        <v>22112</v>
      </c>
      <c r="C12824" s="4"/>
      <c r="D12824" s="4" t="s">
        <v>20783</v>
      </c>
      <c r="E12824" s="4" t="s">
        <v>20784</v>
      </c>
      <c r="F12824" s="4" t="s">
        <v>20785</v>
      </c>
    </row>
    <row r="12825">
      <c r="A12825" s="4">
        <v>233.0</v>
      </c>
      <c r="B12825" s="4" t="s">
        <v>22112</v>
      </c>
      <c r="C12825" s="4"/>
      <c r="D12825" s="4" t="s">
        <v>20786</v>
      </c>
      <c r="E12825" s="4" t="s">
        <v>20787</v>
      </c>
      <c r="F12825" s="4" t="s">
        <v>20788</v>
      </c>
    </row>
    <row r="12826">
      <c r="A12826" s="4">
        <v>234.0</v>
      </c>
      <c r="B12826" s="4" t="s">
        <v>22112</v>
      </c>
      <c r="C12826" s="4"/>
      <c r="D12826" s="4" t="s">
        <v>20789</v>
      </c>
      <c r="E12826" s="4" t="s">
        <v>20790</v>
      </c>
      <c r="F12826" s="4" t="s">
        <v>20791</v>
      </c>
    </row>
    <row r="12827">
      <c r="A12827" s="4">
        <v>235.0</v>
      </c>
      <c r="B12827" s="4" t="s">
        <v>22112</v>
      </c>
      <c r="C12827" s="4"/>
      <c r="D12827" s="4" t="s">
        <v>1322</v>
      </c>
      <c r="E12827" s="4" t="s">
        <v>1323</v>
      </c>
      <c r="F12827" s="4" t="s">
        <v>1324</v>
      </c>
      <c r="G12827" s="4"/>
      <c r="H12827" s="4" t="s">
        <v>20792</v>
      </c>
      <c r="I12827" s="4" t="s">
        <v>20793</v>
      </c>
      <c r="J12827" s="4" t="s">
        <v>20794</v>
      </c>
      <c r="K12827" s="4" t="s">
        <v>14828</v>
      </c>
      <c r="L12827" s="4" t="s">
        <v>14831</v>
      </c>
    </row>
    <row r="12828">
      <c r="A12828" s="4">
        <v>236.0</v>
      </c>
      <c r="B12828" s="4" t="s">
        <v>22112</v>
      </c>
      <c r="C12828" s="4"/>
      <c r="D12828" s="4" t="s">
        <v>1328</v>
      </c>
      <c r="E12828" s="4" t="s">
        <v>1329</v>
      </c>
      <c r="F12828" s="4" t="s">
        <v>1330</v>
      </c>
    </row>
    <row r="12829">
      <c r="A12829" s="4">
        <v>237.0</v>
      </c>
      <c r="B12829" s="4" t="s">
        <v>22112</v>
      </c>
      <c r="C12829" s="4"/>
      <c r="D12829" s="4" t="s">
        <v>20795</v>
      </c>
      <c r="E12829" s="4" t="s">
        <v>20796</v>
      </c>
      <c r="F12829" s="4" t="s">
        <v>20797</v>
      </c>
    </row>
    <row r="12830">
      <c r="A12830" s="4">
        <v>238.0</v>
      </c>
      <c r="B12830" s="4" t="s">
        <v>22112</v>
      </c>
      <c r="C12830" s="4"/>
      <c r="D12830" s="4" t="s">
        <v>19025</v>
      </c>
      <c r="E12830" s="4" t="s">
        <v>1306</v>
      </c>
      <c r="F12830" s="4" t="s">
        <v>1307</v>
      </c>
    </row>
    <row r="12831">
      <c r="A12831" s="4">
        <v>239.0</v>
      </c>
      <c r="B12831" s="4" t="s">
        <v>22112</v>
      </c>
      <c r="C12831" s="4"/>
      <c r="D12831" s="4" t="s">
        <v>20798</v>
      </c>
      <c r="E12831" s="4" t="s">
        <v>20799</v>
      </c>
      <c r="F12831" s="4" t="s">
        <v>20800</v>
      </c>
    </row>
    <row r="12832">
      <c r="A12832" s="4">
        <v>240.0</v>
      </c>
      <c r="B12832" s="4" t="s">
        <v>22112</v>
      </c>
      <c r="C12832" s="4"/>
      <c r="D12832" s="4" t="s">
        <v>1334</v>
      </c>
      <c r="E12832" s="4" t="s">
        <v>1335</v>
      </c>
      <c r="F12832" s="4" t="s">
        <v>1336</v>
      </c>
    </row>
    <row r="12833">
      <c r="A12833" s="4">
        <v>241.0</v>
      </c>
      <c r="B12833" s="4" t="s">
        <v>22112</v>
      </c>
      <c r="C12833" s="4"/>
      <c r="D12833" s="4" t="s">
        <v>16624</v>
      </c>
      <c r="E12833" s="4" t="s">
        <v>1358</v>
      </c>
      <c r="F12833" s="4" t="s">
        <v>1359</v>
      </c>
      <c r="G12833" s="4"/>
      <c r="H12833" s="4" t="s">
        <v>20801</v>
      </c>
      <c r="I12833" s="4" t="s">
        <v>20802</v>
      </c>
      <c r="J12833" s="4" t="s">
        <v>20803</v>
      </c>
      <c r="K12833" s="4" t="s">
        <v>20804</v>
      </c>
      <c r="L12833" s="4" t="s">
        <v>20805</v>
      </c>
      <c r="M12833" s="4" t="s">
        <v>3573</v>
      </c>
      <c r="N12833" s="4" t="s">
        <v>2125</v>
      </c>
      <c r="O12833" s="4" t="s">
        <v>3574</v>
      </c>
      <c r="P12833" s="4" t="s">
        <v>3575</v>
      </c>
      <c r="Q12833" s="4" t="s">
        <v>3576</v>
      </c>
      <c r="R12833" s="4" t="s">
        <v>3577</v>
      </c>
      <c r="S12833" s="4" t="s">
        <v>2130</v>
      </c>
      <c r="T12833" s="4" t="s">
        <v>2130</v>
      </c>
      <c r="U12833" s="4" t="s">
        <v>2547</v>
      </c>
      <c r="V12833" s="4" t="s">
        <v>2130</v>
      </c>
      <c r="W12833" s="4" t="s">
        <v>20806</v>
      </c>
      <c r="X12833" s="4" t="s">
        <v>20807</v>
      </c>
      <c r="Y12833" s="4" t="s">
        <v>20808</v>
      </c>
      <c r="Z12833" s="4" t="s">
        <v>20809</v>
      </c>
      <c r="AA12833" s="4" t="s">
        <v>2128</v>
      </c>
      <c r="AB12833" s="4" t="s">
        <v>2129</v>
      </c>
      <c r="AC12833" s="4" t="s">
        <v>2130</v>
      </c>
      <c r="AD12833" s="4" t="s">
        <v>2125</v>
      </c>
      <c r="AE12833" s="4" t="s">
        <v>2131</v>
      </c>
      <c r="AF12833" s="4" t="s">
        <v>2130</v>
      </c>
      <c r="AG12833" s="4" t="s">
        <v>2125</v>
      </c>
      <c r="AH12833" s="4" t="s">
        <v>2125</v>
      </c>
      <c r="AI12833" s="4" t="s">
        <v>11158</v>
      </c>
      <c r="AJ12833" s="4" t="s">
        <v>2125</v>
      </c>
    </row>
    <row r="12834">
      <c r="A12834" s="4">
        <v>242.0</v>
      </c>
      <c r="B12834" s="4" t="s">
        <v>22112</v>
      </c>
      <c r="C12834" s="4"/>
      <c r="D12834" s="4" t="s">
        <v>20810</v>
      </c>
      <c r="E12834" s="4" t="s">
        <v>20811</v>
      </c>
      <c r="F12834" s="4" t="s">
        <v>20812</v>
      </c>
    </row>
    <row r="12835">
      <c r="A12835" s="4">
        <v>243.0</v>
      </c>
      <c r="B12835" s="4" t="s">
        <v>22112</v>
      </c>
      <c r="C12835" s="4"/>
      <c r="D12835" s="4" t="s">
        <v>14129</v>
      </c>
      <c r="E12835" s="4" t="s">
        <v>14130</v>
      </c>
      <c r="F12835" s="4" t="s">
        <v>14131</v>
      </c>
    </row>
    <row r="12836">
      <c r="A12836" s="4">
        <v>244.0</v>
      </c>
      <c r="B12836" s="4" t="s">
        <v>22112</v>
      </c>
      <c r="C12836" s="4"/>
      <c r="D12836" s="4" t="s">
        <v>20813</v>
      </c>
      <c r="E12836" s="4" t="s">
        <v>20814</v>
      </c>
      <c r="F12836" s="4" t="s">
        <v>20815</v>
      </c>
    </row>
    <row r="12837">
      <c r="A12837" s="4">
        <v>245.0</v>
      </c>
      <c r="B12837" s="4" t="s">
        <v>22112</v>
      </c>
      <c r="C12837" s="4"/>
      <c r="D12837" s="4" t="s">
        <v>14354</v>
      </c>
      <c r="E12837" s="4" t="s">
        <v>1371</v>
      </c>
      <c r="F12837" s="4" t="s">
        <v>1372</v>
      </c>
      <c r="G12837" s="4"/>
      <c r="H12837" s="4" t="s">
        <v>7722</v>
      </c>
      <c r="I12837" s="4" t="s">
        <v>12852</v>
      </c>
      <c r="J12837" s="4" t="s">
        <v>20816</v>
      </c>
      <c r="K12837" s="4" t="s">
        <v>20817</v>
      </c>
      <c r="L12837" s="4" t="s">
        <v>20818</v>
      </c>
      <c r="M12837" s="4" t="s">
        <v>7722</v>
      </c>
      <c r="N12837" s="4" t="s">
        <v>20819</v>
      </c>
      <c r="O12837" s="4" t="s">
        <v>20820</v>
      </c>
      <c r="P12837" s="4" t="s">
        <v>3050</v>
      </c>
      <c r="Q12837" s="4" t="s">
        <v>20821</v>
      </c>
      <c r="R12837" s="4" t="s">
        <v>650</v>
      </c>
      <c r="S12837" s="4" t="s">
        <v>637</v>
      </c>
      <c r="T12837" s="4" t="s">
        <v>651</v>
      </c>
    </row>
    <row r="12838">
      <c r="A12838" s="4">
        <v>246.0</v>
      </c>
      <c r="B12838" s="4" t="s">
        <v>22112</v>
      </c>
      <c r="C12838" s="4"/>
      <c r="D12838" s="4" t="s">
        <v>20822</v>
      </c>
      <c r="E12838" s="4" t="s">
        <v>20823</v>
      </c>
      <c r="F12838" s="4" t="s">
        <v>20824</v>
      </c>
    </row>
    <row r="12839">
      <c r="A12839" s="4">
        <v>247.0</v>
      </c>
      <c r="B12839" s="4" t="s">
        <v>22112</v>
      </c>
      <c r="C12839" s="4"/>
      <c r="D12839" s="4" t="s">
        <v>20825</v>
      </c>
      <c r="E12839" s="4" t="s">
        <v>20826</v>
      </c>
      <c r="F12839" s="4" t="s">
        <v>20827</v>
      </c>
    </row>
    <row r="12840">
      <c r="A12840" s="4">
        <v>248.0</v>
      </c>
      <c r="B12840" s="4" t="s">
        <v>22112</v>
      </c>
      <c r="C12840" s="4"/>
      <c r="D12840" s="4" t="s">
        <v>20828</v>
      </c>
      <c r="E12840" s="4" t="s">
        <v>20823</v>
      </c>
      <c r="F12840" s="4" t="s">
        <v>20824</v>
      </c>
    </row>
    <row r="12841">
      <c r="A12841" s="4">
        <v>249.0</v>
      </c>
      <c r="B12841" s="4" t="s">
        <v>22112</v>
      </c>
      <c r="C12841" s="4"/>
      <c r="D12841" s="4" t="s">
        <v>20829</v>
      </c>
      <c r="E12841" s="4" t="s">
        <v>20826</v>
      </c>
      <c r="F12841" s="4" t="s">
        <v>20827</v>
      </c>
    </row>
    <row r="12842">
      <c r="A12842" s="4">
        <v>250.0</v>
      </c>
      <c r="B12842" s="4" t="s">
        <v>22112</v>
      </c>
      <c r="C12842" s="4"/>
      <c r="D12842" s="4" t="s">
        <v>20830</v>
      </c>
      <c r="E12842" s="4" t="s">
        <v>20831</v>
      </c>
      <c r="F12842" s="4" t="s">
        <v>20832</v>
      </c>
    </row>
    <row r="12843">
      <c r="A12843" s="4">
        <v>251.0</v>
      </c>
      <c r="B12843" s="4" t="s">
        <v>22112</v>
      </c>
      <c r="C12843" s="4"/>
      <c r="D12843" s="4" t="s">
        <v>20833</v>
      </c>
      <c r="E12843" s="4" t="s">
        <v>11937</v>
      </c>
      <c r="F12843" s="4" t="s">
        <v>8121</v>
      </c>
    </row>
    <row r="12844">
      <c r="A12844" s="4">
        <v>252.0</v>
      </c>
      <c r="B12844" s="4" t="s">
        <v>22112</v>
      </c>
      <c r="C12844" s="4"/>
      <c r="D12844" s="4" t="s">
        <v>20834</v>
      </c>
      <c r="E12844" s="4" t="s">
        <v>16631</v>
      </c>
      <c r="F12844" s="4" t="s">
        <v>16632</v>
      </c>
    </row>
    <row r="12845">
      <c r="A12845" s="4">
        <v>253.0</v>
      </c>
      <c r="B12845" s="4" t="s">
        <v>22112</v>
      </c>
      <c r="C12845" s="4"/>
      <c r="D12845" s="4" t="s">
        <v>11941</v>
      </c>
      <c r="E12845" s="4" t="s">
        <v>5161</v>
      </c>
      <c r="F12845" s="4" t="s">
        <v>5162</v>
      </c>
    </row>
    <row r="12846">
      <c r="A12846" s="4">
        <v>254.0</v>
      </c>
      <c r="B12846" s="4" t="s">
        <v>22112</v>
      </c>
      <c r="C12846" s="4"/>
      <c r="D12846" s="4" t="s">
        <v>1340</v>
      </c>
      <c r="E12846" s="4" t="s">
        <v>1341</v>
      </c>
      <c r="F12846" s="4" t="s">
        <v>1342</v>
      </c>
    </row>
    <row r="12847">
      <c r="A12847" s="4">
        <v>255.0</v>
      </c>
      <c r="B12847" s="4" t="s">
        <v>22112</v>
      </c>
      <c r="C12847" s="4"/>
      <c r="D12847" s="4" t="s">
        <v>20835</v>
      </c>
      <c r="E12847" s="4" t="s">
        <v>20836</v>
      </c>
      <c r="F12847" s="4" t="s">
        <v>20837</v>
      </c>
    </row>
    <row r="12848">
      <c r="A12848" s="4">
        <v>256.0</v>
      </c>
      <c r="B12848" s="4" t="s">
        <v>22112</v>
      </c>
      <c r="C12848" s="4"/>
      <c r="D12848" s="4" t="s">
        <v>20838</v>
      </c>
      <c r="E12848" s="4" t="s">
        <v>1344</v>
      </c>
      <c r="F12848" s="4" t="s">
        <v>1345</v>
      </c>
    </row>
    <row r="12849">
      <c r="A12849" s="4">
        <v>257.0</v>
      </c>
      <c r="B12849" s="4" t="s">
        <v>22112</v>
      </c>
      <c r="C12849" s="4"/>
      <c r="D12849" s="4" t="s">
        <v>20839</v>
      </c>
      <c r="E12849" s="4" t="s">
        <v>11943</v>
      </c>
      <c r="F12849" s="4" t="s">
        <v>11944</v>
      </c>
      <c r="G12849" s="4"/>
      <c r="H12849" s="4" t="s">
        <v>1350</v>
      </c>
      <c r="I12849" s="4" t="s">
        <v>1350</v>
      </c>
      <c r="J12849" s="4" t="s">
        <v>1350</v>
      </c>
    </row>
    <row r="12850">
      <c r="A12850" s="4">
        <v>258.0</v>
      </c>
      <c r="B12850" s="4" t="s">
        <v>22112</v>
      </c>
      <c r="C12850" s="4"/>
      <c r="D12850" s="4" t="s">
        <v>1354</v>
      </c>
      <c r="E12850" s="4" t="s">
        <v>1355</v>
      </c>
      <c r="F12850" s="4" t="s">
        <v>1356</v>
      </c>
    </row>
    <row r="12851">
      <c r="A12851" s="4">
        <v>259.0</v>
      </c>
      <c r="B12851" s="4" t="s">
        <v>22112</v>
      </c>
      <c r="C12851" s="4"/>
      <c r="D12851" s="4" t="s">
        <v>20840</v>
      </c>
      <c r="E12851" s="4" t="s">
        <v>20841</v>
      </c>
      <c r="F12851" s="4" t="s">
        <v>20842</v>
      </c>
    </row>
    <row r="12852">
      <c r="A12852" s="4">
        <v>260.0</v>
      </c>
      <c r="B12852" s="4" t="s">
        <v>22112</v>
      </c>
      <c r="C12852" s="4"/>
      <c r="D12852" s="4" t="s">
        <v>20843</v>
      </c>
      <c r="E12852" s="4" t="s">
        <v>20844</v>
      </c>
      <c r="F12852" s="4" t="s">
        <v>20845</v>
      </c>
    </row>
    <row r="12853">
      <c r="A12853" s="4">
        <v>261.0</v>
      </c>
      <c r="B12853" s="4" t="s">
        <v>22112</v>
      </c>
      <c r="C12853" s="4"/>
      <c r="D12853" s="4" t="s">
        <v>20846</v>
      </c>
      <c r="E12853" s="4" t="s">
        <v>20847</v>
      </c>
      <c r="F12853" s="4" t="s">
        <v>20848</v>
      </c>
    </row>
    <row r="12854">
      <c r="A12854" s="4">
        <v>262.0</v>
      </c>
      <c r="B12854" s="4" t="s">
        <v>22112</v>
      </c>
      <c r="C12854" s="4"/>
      <c r="D12854" s="4" t="s">
        <v>14132</v>
      </c>
      <c r="E12854" s="4" t="s">
        <v>5164</v>
      </c>
      <c r="F12854" s="4" t="s">
        <v>5165</v>
      </c>
      <c r="G12854" s="4"/>
      <c r="H12854" s="4" t="s">
        <v>20849</v>
      </c>
      <c r="I12854" s="4" t="s">
        <v>15571</v>
      </c>
      <c r="J12854" s="4" t="s">
        <v>20850</v>
      </c>
      <c r="K12854" s="4" t="s">
        <v>10503</v>
      </c>
      <c r="L12854" s="4" t="s">
        <v>10503</v>
      </c>
    </row>
    <row r="12855">
      <c r="A12855" s="4">
        <v>263.0</v>
      </c>
      <c r="B12855" s="4" t="s">
        <v>22112</v>
      </c>
      <c r="C12855" s="4"/>
      <c r="D12855" s="4" t="s">
        <v>20851</v>
      </c>
      <c r="E12855" s="4" t="s">
        <v>20852</v>
      </c>
      <c r="F12855" s="4" t="s">
        <v>20853</v>
      </c>
    </row>
    <row r="12856">
      <c r="A12856" s="4">
        <v>264.0</v>
      </c>
      <c r="B12856" s="4" t="s">
        <v>22112</v>
      </c>
      <c r="C12856" s="4"/>
      <c r="D12856" s="4" t="s">
        <v>20854</v>
      </c>
      <c r="E12856" s="4" t="s">
        <v>20855</v>
      </c>
      <c r="F12856" s="4" t="s">
        <v>20856</v>
      </c>
    </row>
    <row r="12857">
      <c r="A12857" s="4">
        <v>265.0</v>
      </c>
      <c r="B12857" s="4" t="s">
        <v>22112</v>
      </c>
      <c r="C12857" s="4"/>
      <c r="D12857" s="4" t="s">
        <v>20857</v>
      </c>
      <c r="E12857" s="4" t="s">
        <v>20858</v>
      </c>
      <c r="F12857" s="4" t="s">
        <v>20859</v>
      </c>
    </row>
    <row r="12858">
      <c r="A12858" s="4">
        <v>266.0</v>
      </c>
      <c r="B12858" s="4" t="s">
        <v>22112</v>
      </c>
      <c r="C12858" s="4"/>
      <c r="D12858" s="4" t="s">
        <v>20860</v>
      </c>
      <c r="E12858" s="4" t="s">
        <v>20852</v>
      </c>
      <c r="F12858" s="4" t="s">
        <v>20853</v>
      </c>
    </row>
    <row r="12859">
      <c r="A12859" s="4">
        <v>267.0</v>
      </c>
      <c r="B12859" s="4" t="s">
        <v>22112</v>
      </c>
      <c r="C12859" s="4"/>
      <c r="D12859" s="4" t="s">
        <v>20861</v>
      </c>
      <c r="E12859" s="4" t="s">
        <v>20855</v>
      </c>
      <c r="F12859" s="4" t="s">
        <v>20856</v>
      </c>
    </row>
    <row r="12860">
      <c r="A12860" s="4">
        <v>268.0</v>
      </c>
      <c r="B12860" s="4" t="s">
        <v>22112</v>
      </c>
      <c r="C12860" s="4"/>
      <c r="D12860" s="4" t="s">
        <v>20862</v>
      </c>
      <c r="E12860" s="4" t="s">
        <v>20863</v>
      </c>
      <c r="F12860" s="4" t="s">
        <v>20864</v>
      </c>
    </row>
    <row r="12861">
      <c r="A12861" s="4">
        <v>269.0</v>
      </c>
      <c r="B12861" s="4" t="s">
        <v>22112</v>
      </c>
      <c r="C12861" s="4"/>
      <c r="D12861" s="4" t="s">
        <v>11949</v>
      </c>
      <c r="E12861" s="4" t="s">
        <v>20865</v>
      </c>
      <c r="F12861" s="4" t="s">
        <v>20866</v>
      </c>
    </row>
    <row r="12862">
      <c r="A12862" s="4">
        <v>270.0</v>
      </c>
      <c r="B12862" s="4" t="s">
        <v>22112</v>
      </c>
      <c r="C12862" s="4"/>
      <c r="D12862" s="4" t="s">
        <v>20867</v>
      </c>
      <c r="E12862" s="4" t="s">
        <v>20868</v>
      </c>
      <c r="F12862" s="4" t="s">
        <v>20869</v>
      </c>
    </row>
    <row r="12863">
      <c r="A12863" s="4">
        <v>271.0</v>
      </c>
      <c r="B12863" s="4" t="s">
        <v>22112</v>
      </c>
      <c r="C12863" s="4"/>
      <c r="D12863" s="4" t="s">
        <v>20870</v>
      </c>
      <c r="E12863" s="4" t="s">
        <v>20871</v>
      </c>
      <c r="F12863" s="4" t="s">
        <v>20872</v>
      </c>
    </row>
    <row r="12864">
      <c r="A12864" s="4">
        <v>272.0</v>
      </c>
      <c r="B12864" s="4" t="s">
        <v>22112</v>
      </c>
      <c r="C12864" s="4"/>
      <c r="D12864" s="4" t="s">
        <v>20873</v>
      </c>
      <c r="E12864" s="4" t="s">
        <v>1185</v>
      </c>
      <c r="F12864" s="4" t="s">
        <v>1186</v>
      </c>
      <c r="G12864" s="4"/>
      <c r="H12864" s="4" t="s">
        <v>1044</v>
      </c>
      <c r="I12864" s="4" t="s">
        <v>1187</v>
      </c>
      <c r="J12864" s="4" t="s">
        <v>1188</v>
      </c>
      <c r="K12864" s="4" t="s">
        <v>11871</v>
      </c>
      <c r="L12864" s="4" t="s">
        <v>1189</v>
      </c>
    </row>
    <row r="12865">
      <c r="A12865" s="4">
        <v>273.0</v>
      </c>
      <c r="B12865" s="4" t="s">
        <v>22112</v>
      </c>
      <c r="C12865" s="4"/>
      <c r="D12865" s="4" t="s">
        <v>20874</v>
      </c>
      <c r="E12865" s="4" t="s">
        <v>20875</v>
      </c>
      <c r="F12865" s="4" t="s">
        <v>20876</v>
      </c>
    </row>
    <row r="12866">
      <c r="A12866" s="4">
        <v>274.0</v>
      </c>
      <c r="B12866" s="4" t="s">
        <v>22112</v>
      </c>
      <c r="C12866" s="4"/>
      <c r="D12866" s="4" t="s">
        <v>20877</v>
      </c>
      <c r="E12866" s="4" t="s">
        <v>20878</v>
      </c>
      <c r="F12866" s="4" t="s">
        <v>20879</v>
      </c>
    </row>
    <row r="12867">
      <c r="A12867" s="4">
        <v>275.0</v>
      </c>
      <c r="B12867" s="4" t="s">
        <v>22112</v>
      </c>
      <c r="C12867" s="4"/>
      <c r="D12867" s="4" t="s">
        <v>20880</v>
      </c>
      <c r="E12867" s="4" t="s">
        <v>20881</v>
      </c>
      <c r="F12867" s="4" t="s">
        <v>20882</v>
      </c>
    </row>
    <row r="12868">
      <c r="A12868" s="4">
        <v>276.0</v>
      </c>
      <c r="B12868" s="4" t="s">
        <v>22112</v>
      </c>
      <c r="C12868" s="4"/>
      <c r="D12868" s="4" t="s">
        <v>20883</v>
      </c>
      <c r="E12868" s="4" t="s">
        <v>20884</v>
      </c>
      <c r="F12868" s="4" t="s">
        <v>20885</v>
      </c>
    </row>
    <row r="12869">
      <c r="A12869" s="4">
        <v>277.0</v>
      </c>
      <c r="B12869" s="4" t="s">
        <v>22112</v>
      </c>
      <c r="C12869" s="4"/>
      <c r="D12869" s="4" t="s">
        <v>20886</v>
      </c>
      <c r="E12869" s="4" t="s">
        <v>17710</v>
      </c>
      <c r="F12869" s="4" t="s">
        <v>17711</v>
      </c>
    </row>
    <row r="12870">
      <c r="A12870" s="4">
        <v>278.0</v>
      </c>
      <c r="B12870" s="4" t="s">
        <v>22112</v>
      </c>
      <c r="C12870" s="4"/>
      <c r="D12870" s="4" t="s">
        <v>1554</v>
      </c>
      <c r="E12870" s="4" t="s">
        <v>1555</v>
      </c>
      <c r="F12870" s="4" t="s">
        <v>1556</v>
      </c>
      <c r="G12870" s="4"/>
      <c r="H12870" s="4" t="s">
        <v>1554</v>
      </c>
    </row>
    <row r="12871">
      <c r="A12871" s="4">
        <v>279.0</v>
      </c>
      <c r="B12871" s="4" t="s">
        <v>22112</v>
      </c>
      <c r="C12871" s="4"/>
      <c r="D12871" s="4" t="s">
        <v>12185</v>
      </c>
      <c r="E12871" s="4" t="s">
        <v>1600</v>
      </c>
      <c r="F12871" s="4" t="s">
        <v>1601</v>
      </c>
    </row>
    <row r="12872">
      <c r="A12872" s="4">
        <v>280.0</v>
      </c>
      <c r="B12872" s="4" t="s">
        <v>22112</v>
      </c>
      <c r="C12872" s="4"/>
      <c r="D12872" s="4" t="s">
        <v>1580</v>
      </c>
      <c r="E12872" s="4" t="s">
        <v>1581</v>
      </c>
      <c r="F12872" s="4" t="s">
        <v>1582</v>
      </c>
    </row>
    <row r="12873">
      <c r="A12873" s="4">
        <v>281.0</v>
      </c>
      <c r="B12873" s="4" t="s">
        <v>22112</v>
      </c>
      <c r="C12873" s="4"/>
      <c r="D12873" s="4" t="s">
        <v>20887</v>
      </c>
      <c r="E12873" s="4" t="s">
        <v>17817</v>
      </c>
      <c r="F12873" s="4" t="s">
        <v>10111</v>
      </c>
    </row>
    <row r="12874">
      <c r="A12874" s="4">
        <v>282.0</v>
      </c>
      <c r="B12874" s="4" t="s">
        <v>22112</v>
      </c>
      <c r="C12874" s="4"/>
      <c r="D12874" s="4" t="s">
        <v>20888</v>
      </c>
      <c r="E12874" s="4" t="s">
        <v>20889</v>
      </c>
      <c r="F12874" s="4" t="s">
        <v>20890</v>
      </c>
    </row>
    <row r="12875">
      <c r="A12875" s="4">
        <v>283.0</v>
      </c>
      <c r="B12875" s="4" t="s">
        <v>22112</v>
      </c>
      <c r="C12875" s="4"/>
      <c r="D12875" s="4" t="s">
        <v>20891</v>
      </c>
      <c r="E12875" s="4" t="s">
        <v>20892</v>
      </c>
      <c r="F12875" s="4" t="s">
        <v>20893</v>
      </c>
    </row>
    <row r="12876">
      <c r="A12876" s="4">
        <v>284.0</v>
      </c>
      <c r="B12876" s="4" t="s">
        <v>22112</v>
      </c>
      <c r="C12876" s="4"/>
      <c r="D12876" s="4" t="s">
        <v>1628</v>
      </c>
      <c r="E12876" s="4" t="s">
        <v>1629</v>
      </c>
      <c r="F12876" s="4" t="s">
        <v>1630</v>
      </c>
    </row>
    <row r="12877">
      <c r="A12877" s="4">
        <v>285.0</v>
      </c>
      <c r="B12877" s="4" t="s">
        <v>22112</v>
      </c>
      <c r="C12877" s="4"/>
      <c r="D12877" s="4" t="s">
        <v>20894</v>
      </c>
      <c r="E12877" s="4" t="s">
        <v>20895</v>
      </c>
      <c r="F12877" s="4" t="s">
        <v>20896</v>
      </c>
    </row>
    <row r="12878">
      <c r="A12878" s="4">
        <v>286.0</v>
      </c>
      <c r="B12878" s="4" t="s">
        <v>22112</v>
      </c>
      <c r="C12878" s="4"/>
      <c r="D12878" s="4" t="s">
        <v>20897</v>
      </c>
      <c r="E12878" s="4" t="s">
        <v>17847</v>
      </c>
      <c r="F12878" s="4" t="s">
        <v>17846</v>
      </c>
    </row>
    <row r="12879">
      <c r="A12879" s="4">
        <v>287.0</v>
      </c>
      <c r="B12879" s="4" t="s">
        <v>22112</v>
      </c>
      <c r="C12879" s="4"/>
      <c r="D12879" s="4" t="s">
        <v>20898</v>
      </c>
      <c r="E12879" s="4" t="s">
        <v>20899</v>
      </c>
      <c r="F12879" s="4" t="s">
        <v>20900</v>
      </c>
    </row>
    <row r="12880">
      <c r="A12880" s="4">
        <v>288.0</v>
      </c>
      <c r="B12880" s="4" t="s">
        <v>22112</v>
      </c>
      <c r="C12880" s="4"/>
      <c r="D12880" s="4" t="s">
        <v>20901</v>
      </c>
      <c r="E12880" s="4" t="s">
        <v>20902</v>
      </c>
      <c r="F12880" s="4" t="s">
        <v>20903</v>
      </c>
    </row>
    <row r="12881">
      <c r="A12881" s="4">
        <v>289.0</v>
      </c>
      <c r="B12881" s="4" t="s">
        <v>22112</v>
      </c>
      <c r="C12881" s="4"/>
      <c r="D12881" s="4" t="s">
        <v>16660</v>
      </c>
      <c r="E12881" s="4" t="s">
        <v>15066</v>
      </c>
      <c r="F12881" s="4" t="s">
        <v>10135</v>
      </c>
      <c r="G12881" s="4"/>
      <c r="H12881" s="4" t="s">
        <v>20904</v>
      </c>
      <c r="I12881" s="4" t="s">
        <v>20905</v>
      </c>
      <c r="J12881" s="4" t="s">
        <v>20906</v>
      </c>
      <c r="K12881" s="4" t="s">
        <v>17157</v>
      </c>
      <c r="L12881" s="4" t="s">
        <v>9239</v>
      </c>
      <c r="M12881" s="4" t="s">
        <v>20907</v>
      </c>
      <c r="N12881" s="4" t="s">
        <v>20908</v>
      </c>
      <c r="O12881" s="4" t="s">
        <v>20904</v>
      </c>
      <c r="P12881" s="4" t="s">
        <v>20909</v>
      </c>
      <c r="Q12881" s="4" t="s">
        <v>20910</v>
      </c>
      <c r="R12881" s="4" t="s">
        <v>20911</v>
      </c>
      <c r="S12881" s="4" t="s">
        <v>2125</v>
      </c>
    </row>
    <row r="12882">
      <c r="A12882" s="4">
        <v>290.0</v>
      </c>
      <c r="B12882" s="4" t="s">
        <v>22112</v>
      </c>
      <c r="C12882" s="4"/>
      <c r="D12882" s="4" t="s">
        <v>1646</v>
      </c>
      <c r="E12882" s="4" t="s">
        <v>1647</v>
      </c>
      <c r="F12882" s="4" t="s">
        <v>1648</v>
      </c>
      <c r="G12882" s="4"/>
      <c r="H12882" s="4" t="s">
        <v>1656</v>
      </c>
      <c r="I12882" s="4" t="s">
        <v>1657</v>
      </c>
      <c r="J12882" s="4" t="s">
        <v>1658</v>
      </c>
      <c r="K12882" s="4" t="s">
        <v>1659</v>
      </c>
      <c r="L12882" s="4" t="s">
        <v>20912</v>
      </c>
      <c r="M12882" s="4" t="s">
        <v>1661</v>
      </c>
    </row>
    <row r="12883">
      <c r="A12883" s="4">
        <v>291.0</v>
      </c>
      <c r="B12883" s="4" t="s">
        <v>22112</v>
      </c>
      <c r="C12883" s="4"/>
      <c r="D12883" s="4" t="s">
        <v>1662</v>
      </c>
      <c r="E12883" s="4" t="s">
        <v>1665</v>
      </c>
      <c r="F12883" s="4" t="s">
        <v>1666</v>
      </c>
      <c r="G12883" s="4"/>
      <c r="H12883" s="4" t="s">
        <v>1663</v>
      </c>
      <c r="I12883" s="4" t="s">
        <v>1658</v>
      </c>
      <c r="J12883" s="4" t="s">
        <v>1664</v>
      </c>
      <c r="K12883" s="4" t="s">
        <v>20913</v>
      </c>
      <c r="L12883" s="4" t="s">
        <v>1664</v>
      </c>
      <c r="M12883" s="4" t="s">
        <v>1658</v>
      </c>
    </row>
    <row r="12884">
      <c r="A12884" s="4">
        <v>292.0</v>
      </c>
      <c r="B12884" s="4" t="s">
        <v>22112</v>
      </c>
      <c r="C12884" s="4"/>
      <c r="D12884" s="4" t="s">
        <v>20914</v>
      </c>
      <c r="E12884" s="4" t="s">
        <v>20915</v>
      </c>
      <c r="F12884" s="4" t="s">
        <v>20916</v>
      </c>
    </row>
    <row r="12885">
      <c r="A12885" s="4">
        <v>293.0</v>
      </c>
      <c r="B12885" s="4" t="s">
        <v>22112</v>
      </c>
      <c r="C12885" s="4"/>
      <c r="D12885" s="4" t="s">
        <v>1690</v>
      </c>
      <c r="E12885" s="4" t="s">
        <v>1674</v>
      </c>
      <c r="F12885" s="4" t="s">
        <v>1675</v>
      </c>
    </row>
    <row r="12886">
      <c r="A12886" s="4">
        <v>294.0</v>
      </c>
      <c r="B12886" s="4" t="s">
        <v>22112</v>
      </c>
      <c r="C12886" s="4"/>
      <c r="D12886" s="4" t="s">
        <v>20917</v>
      </c>
      <c r="E12886" s="4" t="s">
        <v>20918</v>
      </c>
      <c r="F12886" s="4" t="s">
        <v>20919</v>
      </c>
    </row>
    <row r="12887">
      <c r="A12887" s="4">
        <v>295.0</v>
      </c>
      <c r="B12887" s="4" t="s">
        <v>22112</v>
      </c>
      <c r="C12887" s="4"/>
      <c r="D12887" s="4" t="s">
        <v>20920</v>
      </c>
      <c r="E12887" s="4" t="s">
        <v>20921</v>
      </c>
      <c r="F12887" s="4" t="s">
        <v>20922</v>
      </c>
      <c r="G12887" s="4"/>
      <c r="H12887" s="4" t="s">
        <v>20920</v>
      </c>
      <c r="I12887" s="4" t="s">
        <v>20923</v>
      </c>
      <c r="J12887" s="4" t="s">
        <v>20924</v>
      </c>
      <c r="K12887" s="4" t="s">
        <v>1696</v>
      </c>
    </row>
    <row r="12888">
      <c r="A12888" s="4">
        <v>296.0</v>
      </c>
      <c r="B12888" s="4" t="s">
        <v>22112</v>
      </c>
      <c r="C12888" s="4"/>
      <c r="D12888" s="4" t="s">
        <v>20925</v>
      </c>
      <c r="E12888" s="4" t="s">
        <v>20926</v>
      </c>
      <c r="F12888" s="4" t="s">
        <v>20927</v>
      </c>
      <c r="G12888" s="4"/>
      <c r="H12888" s="4" t="s">
        <v>20928</v>
      </c>
      <c r="I12888" s="4" t="s">
        <v>20929</v>
      </c>
      <c r="J12888" s="4" t="s">
        <v>20930</v>
      </c>
    </row>
    <row r="12889">
      <c r="A12889" s="4">
        <v>297.0</v>
      </c>
      <c r="B12889" s="4" t="s">
        <v>22112</v>
      </c>
      <c r="C12889" s="4"/>
      <c r="D12889" s="4" t="s">
        <v>20931</v>
      </c>
      <c r="E12889" s="4" t="s">
        <v>5223</v>
      </c>
      <c r="F12889" s="4" t="s">
        <v>5224</v>
      </c>
      <c r="G12889" s="4"/>
      <c r="H12889" s="4" t="s">
        <v>20932</v>
      </c>
      <c r="I12889" s="4" t="s">
        <v>20933</v>
      </c>
      <c r="J12889" s="4" t="s">
        <v>20934</v>
      </c>
    </row>
    <row r="12890">
      <c r="A12890" s="4">
        <v>298.0</v>
      </c>
      <c r="B12890" s="4" t="s">
        <v>22112</v>
      </c>
      <c r="C12890" s="4"/>
      <c r="D12890" s="4" t="s">
        <v>20935</v>
      </c>
      <c r="E12890" s="4" t="s">
        <v>20936</v>
      </c>
      <c r="F12890" s="4" t="s">
        <v>20937</v>
      </c>
    </row>
    <row r="12891">
      <c r="A12891" s="4">
        <v>299.0</v>
      </c>
      <c r="B12891" s="4" t="s">
        <v>22112</v>
      </c>
      <c r="C12891" s="4"/>
      <c r="D12891" s="4" t="s">
        <v>20938</v>
      </c>
      <c r="E12891" s="4" t="s">
        <v>20939</v>
      </c>
      <c r="F12891" s="4" t="s">
        <v>20940</v>
      </c>
      <c r="G12891" s="4"/>
      <c r="H12891" s="4" t="s">
        <v>20941</v>
      </c>
      <c r="I12891" s="4" t="s">
        <v>20942</v>
      </c>
      <c r="J12891" s="4" t="s">
        <v>13584</v>
      </c>
      <c r="K12891" s="4" t="s">
        <v>20943</v>
      </c>
      <c r="L12891" s="4" t="s">
        <v>20944</v>
      </c>
      <c r="M12891" s="4" t="s">
        <v>20945</v>
      </c>
      <c r="N12891" s="4" t="s">
        <v>20941</v>
      </c>
      <c r="O12891" s="4" t="s">
        <v>13584</v>
      </c>
      <c r="P12891" s="4" t="s">
        <v>2130</v>
      </c>
      <c r="Q12891" s="4" t="s">
        <v>13584</v>
      </c>
      <c r="R12891" s="4" t="s">
        <v>20946</v>
      </c>
      <c r="S12891" s="4" t="s">
        <v>20947</v>
      </c>
      <c r="T12891" s="4" t="s">
        <v>20948</v>
      </c>
    </row>
    <row r="12892">
      <c r="A12892" s="4">
        <v>300.0</v>
      </c>
      <c r="B12892" s="4" t="s">
        <v>22112</v>
      </c>
      <c r="C12892" s="4"/>
      <c r="D12892" s="4" t="s">
        <v>20949</v>
      </c>
      <c r="E12892" s="4" t="s">
        <v>20950</v>
      </c>
      <c r="F12892" s="4" t="s">
        <v>20951</v>
      </c>
    </row>
    <row r="12893">
      <c r="A12893" s="4">
        <v>301.0</v>
      </c>
      <c r="B12893" s="4" t="s">
        <v>22112</v>
      </c>
      <c r="C12893" s="4"/>
      <c r="D12893" s="4" t="s">
        <v>20952</v>
      </c>
      <c r="E12893" s="4" t="s">
        <v>1558</v>
      </c>
      <c r="F12893" s="4" t="s">
        <v>1559</v>
      </c>
      <c r="G12893" s="4"/>
      <c r="H12893" s="4" t="s">
        <v>20953</v>
      </c>
      <c r="I12893" s="4" t="s">
        <v>5920</v>
      </c>
      <c r="J12893" s="4" t="s">
        <v>5920</v>
      </c>
      <c r="K12893" s="4" t="s">
        <v>20954</v>
      </c>
      <c r="L12893" s="4" t="s">
        <v>20955</v>
      </c>
    </row>
    <row r="12894">
      <c r="A12894" s="4">
        <v>302.0</v>
      </c>
      <c r="B12894" s="4" t="s">
        <v>22112</v>
      </c>
      <c r="C12894" s="4"/>
      <c r="D12894" s="4" t="s">
        <v>17085</v>
      </c>
      <c r="E12894" s="4" t="s">
        <v>17539</v>
      </c>
      <c r="F12894" s="4" t="s">
        <v>3801</v>
      </c>
    </row>
    <row r="12895">
      <c r="A12895" s="4">
        <v>303.0</v>
      </c>
      <c r="B12895" s="4" t="s">
        <v>22112</v>
      </c>
      <c r="C12895" s="4"/>
      <c r="D12895" s="4" t="s">
        <v>20956</v>
      </c>
      <c r="E12895" s="4" t="s">
        <v>20957</v>
      </c>
      <c r="F12895" s="4" t="s">
        <v>10035</v>
      </c>
    </row>
    <row r="12896">
      <c r="A12896" s="4">
        <v>304.0</v>
      </c>
      <c r="B12896" s="4" t="s">
        <v>22112</v>
      </c>
      <c r="C12896" s="4"/>
      <c r="D12896" s="4" t="s">
        <v>20958</v>
      </c>
      <c r="E12896" s="4" t="s">
        <v>20959</v>
      </c>
      <c r="F12896" s="4" t="s">
        <v>20960</v>
      </c>
    </row>
    <row r="12897">
      <c r="A12897" s="4">
        <v>305.0</v>
      </c>
      <c r="B12897" s="4" t="s">
        <v>22112</v>
      </c>
      <c r="C12897" s="4"/>
      <c r="D12897" s="4" t="s">
        <v>20961</v>
      </c>
      <c r="E12897" s="4" t="s">
        <v>20962</v>
      </c>
      <c r="F12897" s="4" t="s">
        <v>20963</v>
      </c>
      <c r="G12897" s="4"/>
      <c r="H12897" s="4" t="s">
        <v>9055</v>
      </c>
      <c r="I12897" s="4" t="s">
        <v>3424</v>
      </c>
      <c r="J12897" s="4" t="s">
        <v>15181</v>
      </c>
      <c r="K12897" s="4" t="s">
        <v>15181</v>
      </c>
      <c r="L12897" s="4" t="s">
        <v>20964</v>
      </c>
      <c r="M12897" s="4" t="s">
        <v>14041</v>
      </c>
      <c r="N12897" s="4" t="s">
        <v>1088</v>
      </c>
      <c r="O12897" s="4" t="s">
        <v>20965</v>
      </c>
      <c r="P12897" s="4" t="s">
        <v>6564</v>
      </c>
      <c r="Q12897" s="4" t="s">
        <v>20966</v>
      </c>
      <c r="R12897" s="4" t="s">
        <v>20967</v>
      </c>
      <c r="S12897" s="4" t="s">
        <v>20968</v>
      </c>
      <c r="T12897" s="4" t="s">
        <v>7212</v>
      </c>
      <c r="U12897" s="4" t="s">
        <v>20969</v>
      </c>
      <c r="V12897" s="4" t="s">
        <v>20970</v>
      </c>
      <c r="W12897" s="4" t="s">
        <v>20971</v>
      </c>
      <c r="X12897" s="4" t="s">
        <v>7115</v>
      </c>
      <c r="Y12897" s="4" t="s">
        <v>14501</v>
      </c>
      <c r="Z12897" s="4" t="s">
        <v>20972</v>
      </c>
      <c r="AA12897" s="4" t="s">
        <v>7115</v>
      </c>
      <c r="AB12897" s="4" t="s">
        <v>7890</v>
      </c>
      <c r="AC12897" s="4" t="s">
        <v>20973</v>
      </c>
      <c r="AD12897" s="4" t="s">
        <v>20970</v>
      </c>
      <c r="AE12897" s="4" t="s">
        <v>15181</v>
      </c>
      <c r="AF12897" s="4" t="s">
        <v>3424</v>
      </c>
      <c r="AG12897" s="4" t="s">
        <v>15181</v>
      </c>
      <c r="AH12897" s="4" t="s">
        <v>15181</v>
      </c>
      <c r="AI12897" s="4" t="s">
        <v>20974</v>
      </c>
      <c r="AJ12897" s="4" t="s">
        <v>20975</v>
      </c>
    </row>
    <row r="12898">
      <c r="A12898" s="4">
        <v>306.0</v>
      </c>
      <c r="B12898" s="4" t="s">
        <v>22112</v>
      </c>
      <c r="C12898" s="4"/>
      <c r="D12898" s="4" t="s">
        <v>20976</v>
      </c>
      <c r="E12898" s="4" t="s">
        <v>20977</v>
      </c>
      <c r="F12898" s="4" t="s">
        <v>20978</v>
      </c>
    </row>
    <row r="12899">
      <c r="A12899" s="4">
        <v>307.0</v>
      </c>
      <c r="B12899" s="4" t="s">
        <v>22112</v>
      </c>
      <c r="C12899" s="4"/>
      <c r="D12899" s="4" t="s">
        <v>20979</v>
      </c>
      <c r="E12899" s="4" t="s">
        <v>20980</v>
      </c>
      <c r="F12899" s="4" t="s">
        <v>6469</v>
      </c>
    </row>
    <row r="12900">
      <c r="A12900" s="4">
        <v>308.0</v>
      </c>
      <c r="B12900" s="4" t="s">
        <v>22112</v>
      </c>
      <c r="C12900" s="4"/>
      <c r="D12900" s="4" t="s">
        <v>20981</v>
      </c>
      <c r="E12900" s="4" t="s">
        <v>20982</v>
      </c>
      <c r="F12900" s="4" t="s">
        <v>20983</v>
      </c>
    </row>
    <row r="12901">
      <c r="A12901" s="4">
        <v>309.0</v>
      </c>
      <c r="B12901" s="4" t="s">
        <v>22112</v>
      </c>
      <c r="C12901" s="4"/>
      <c r="D12901" s="4" t="s">
        <v>1777</v>
      </c>
      <c r="E12901" s="4" t="s">
        <v>509</v>
      </c>
      <c r="F12901" s="4" t="s">
        <v>508</v>
      </c>
    </row>
    <row r="12902">
      <c r="A12902" s="4">
        <v>310.0</v>
      </c>
      <c r="B12902" s="4" t="s">
        <v>22112</v>
      </c>
      <c r="C12902" s="4"/>
      <c r="D12902" s="4" t="s">
        <v>14147</v>
      </c>
      <c r="E12902" s="4" t="s">
        <v>14148</v>
      </c>
      <c r="F12902" s="4" t="s">
        <v>14149</v>
      </c>
    </row>
    <row r="12903">
      <c r="A12903" s="4">
        <v>311.0</v>
      </c>
      <c r="B12903" s="4" t="s">
        <v>22112</v>
      </c>
      <c r="C12903" s="4"/>
      <c r="D12903" s="4" t="s">
        <v>20984</v>
      </c>
      <c r="E12903" s="4" t="s">
        <v>11622</v>
      </c>
      <c r="F12903" s="4" t="s">
        <v>11621</v>
      </c>
      <c r="G12903" s="4"/>
      <c r="H12903" s="4" t="s">
        <v>20985</v>
      </c>
      <c r="I12903" s="4" t="s">
        <v>20986</v>
      </c>
    </row>
    <row r="12904">
      <c r="A12904" s="4">
        <v>312.0</v>
      </c>
      <c r="B12904" s="4" t="s">
        <v>22112</v>
      </c>
      <c r="C12904" s="4"/>
      <c r="D12904" s="4" t="s">
        <v>20987</v>
      </c>
      <c r="E12904" s="4" t="s">
        <v>20988</v>
      </c>
      <c r="F12904" s="4" t="s">
        <v>20989</v>
      </c>
    </row>
    <row r="12905">
      <c r="A12905" s="4">
        <v>313.0</v>
      </c>
      <c r="B12905" s="4" t="s">
        <v>22112</v>
      </c>
      <c r="C12905" s="4"/>
      <c r="D12905" s="4" t="s">
        <v>20990</v>
      </c>
      <c r="E12905" s="4" t="s">
        <v>20991</v>
      </c>
      <c r="F12905" s="4" t="s">
        <v>20992</v>
      </c>
    </row>
    <row r="12906">
      <c r="A12906" s="4">
        <v>314.0</v>
      </c>
      <c r="B12906" s="4" t="s">
        <v>22112</v>
      </c>
      <c r="C12906" s="4"/>
      <c r="D12906" s="4" t="s">
        <v>1786</v>
      </c>
      <c r="E12906" s="4" t="s">
        <v>593</v>
      </c>
      <c r="F12906" s="4" t="s">
        <v>594</v>
      </c>
    </row>
    <row r="12907">
      <c r="A12907" s="4">
        <v>315.0</v>
      </c>
      <c r="B12907" s="4" t="s">
        <v>22112</v>
      </c>
      <c r="C12907" s="4"/>
      <c r="D12907" s="4" t="s">
        <v>20993</v>
      </c>
      <c r="E12907" s="4" t="s">
        <v>20994</v>
      </c>
      <c r="F12907" s="4" t="s">
        <v>20995</v>
      </c>
    </row>
    <row r="12908">
      <c r="A12908" s="4">
        <v>316.0</v>
      </c>
      <c r="B12908" s="4" t="s">
        <v>22112</v>
      </c>
      <c r="C12908" s="4"/>
      <c r="D12908" s="4" t="s">
        <v>20993</v>
      </c>
      <c r="E12908" s="4" t="s">
        <v>20996</v>
      </c>
      <c r="F12908" s="4" t="s">
        <v>20997</v>
      </c>
    </row>
    <row r="12909">
      <c r="A12909" s="4">
        <v>317.0</v>
      </c>
      <c r="B12909" s="4" t="s">
        <v>22112</v>
      </c>
      <c r="C12909" s="4"/>
      <c r="D12909" s="4" t="s">
        <v>20998</v>
      </c>
      <c r="E12909" s="4" t="s">
        <v>20999</v>
      </c>
      <c r="F12909" s="4" t="s">
        <v>21000</v>
      </c>
    </row>
    <row r="12910">
      <c r="A12910" s="4">
        <v>318.0</v>
      </c>
      <c r="B12910" s="4" t="s">
        <v>22112</v>
      </c>
      <c r="C12910" s="4"/>
      <c r="D12910" s="4" t="s">
        <v>21001</v>
      </c>
      <c r="E12910" s="4" t="s">
        <v>21002</v>
      </c>
      <c r="F12910" s="4" t="s">
        <v>21003</v>
      </c>
      <c r="G12910" s="4"/>
      <c r="H12910" s="4" t="s">
        <v>21004</v>
      </c>
    </row>
    <row r="12911">
      <c r="A12911" s="4">
        <v>319.0</v>
      </c>
      <c r="B12911" s="4" t="s">
        <v>22112</v>
      </c>
      <c r="C12911" s="4"/>
      <c r="D12911" s="4" t="s">
        <v>21005</v>
      </c>
      <c r="E12911" s="4" t="s">
        <v>21006</v>
      </c>
      <c r="F12911" s="4" t="s">
        <v>21007</v>
      </c>
    </row>
    <row r="12912">
      <c r="A12912" s="4">
        <v>320.0</v>
      </c>
      <c r="B12912" s="4" t="s">
        <v>22112</v>
      </c>
      <c r="C12912" s="4"/>
      <c r="D12912" s="4" t="s">
        <v>21008</v>
      </c>
      <c r="E12912" s="4" t="s">
        <v>818</v>
      </c>
      <c r="F12912" s="4" t="s">
        <v>817</v>
      </c>
    </row>
    <row r="12913">
      <c r="A12913" s="4">
        <v>321.0</v>
      </c>
      <c r="B12913" s="4" t="s">
        <v>22112</v>
      </c>
      <c r="C12913" s="4"/>
      <c r="D12913" s="4" t="s">
        <v>21009</v>
      </c>
      <c r="E12913" s="4" t="s">
        <v>821</v>
      </c>
      <c r="F12913" s="4" t="s">
        <v>820</v>
      </c>
    </row>
    <row r="12914">
      <c r="A12914" s="4">
        <v>322.0</v>
      </c>
      <c r="B12914" s="4" t="s">
        <v>22112</v>
      </c>
      <c r="C12914" s="4"/>
      <c r="D12914" s="4" t="s">
        <v>21010</v>
      </c>
      <c r="E12914" s="4" t="s">
        <v>20613</v>
      </c>
      <c r="F12914" s="4" t="s">
        <v>20614</v>
      </c>
    </row>
    <row r="12915">
      <c r="A12915" s="4">
        <v>323.0</v>
      </c>
      <c r="B12915" s="4" t="s">
        <v>22112</v>
      </c>
      <c r="C12915" s="4"/>
      <c r="D12915" s="4" t="s">
        <v>1787</v>
      </c>
      <c r="E12915" s="4" t="s">
        <v>294</v>
      </c>
      <c r="F12915" s="4" t="s">
        <v>295</v>
      </c>
    </row>
    <row r="12916">
      <c r="A12916" s="4">
        <v>324.0</v>
      </c>
      <c r="B12916" s="4" t="s">
        <v>22112</v>
      </c>
      <c r="C12916" s="4"/>
      <c r="D12916" s="4" t="s">
        <v>21011</v>
      </c>
      <c r="E12916" s="4" t="s">
        <v>5089</v>
      </c>
      <c r="F12916" s="4" t="s">
        <v>5090</v>
      </c>
      <c r="G12916" s="4"/>
      <c r="H12916" s="4" t="s">
        <v>4701</v>
      </c>
      <c r="I12916" s="4" t="s">
        <v>4702</v>
      </c>
      <c r="J12916" s="4" t="s">
        <v>14809</v>
      </c>
      <c r="K12916" s="4" t="s">
        <v>6861</v>
      </c>
    </row>
    <row r="12917">
      <c r="A12917" s="4">
        <v>325.0</v>
      </c>
      <c r="B12917" s="4" t="s">
        <v>22112</v>
      </c>
      <c r="C12917" s="4"/>
      <c r="D12917" s="4" t="s">
        <v>21012</v>
      </c>
      <c r="E12917" s="4" t="s">
        <v>21013</v>
      </c>
      <c r="F12917" s="4" t="s">
        <v>21014</v>
      </c>
    </row>
    <row r="12918">
      <c r="A12918" s="4">
        <v>326.0</v>
      </c>
      <c r="B12918" s="4" t="s">
        <v>22112</v>
      </c>
      <c r="C12918" s="4"/>
      <c r="D12918" s="4" t="s">
        <v>21015</v>
      </c>
      <c r="E12918" s="4" t="s">
        <v>21016</v>
      </c>
      <c r="F12918" s="4" t="s">
        <v>21017</v>
      </c>
      <c r="G12918" s="4"/>
      <c r="H12918" s="4" t="s">
        <v>8976</v>
      </c>
      <c r="I12918" s="4" t="s">
        <v>20970</v>
      </c>
      <c r="J12918" s="4" t="s">
        <v>7901</v>
      </c>
      <c r="K12918" s="4" t="s">
        <v>7897</v>
      </c>
    </row>
    <row r="12919">
      <c r="A12919" s="4">
        <v>327.0</v>
      </c>
      <c r="B12919" s="4" t="s">
        <v>22112</v>
      </c>
      <c r="C12919" s="4"/>
      <c r="D12919" s="4" t="s">
        <v>21018</v>
      </c>
      <c r="E12919" s="4" t="s">
        <v>21019</v>
      </c>
      <c r="F12919" s="4" t="s">
        <v>21020</v>
      </c>
    </row>
    <row r="12920">
      <c r="A12920" s="4">
        <v>328.0</v>
      </c>
      <c r="B12920" s="4" t="s">
        <v>22112</v>
      </c>
      <c r="C12920" s="4"/>
      <c r="D12920" s="4" t="s">
        <v>6251</v>
      </c>
      <c r="E12920" s="4" t="s">
        <v>21021</v>
      </c>
      <c r="F12920" s="4" t="s">
        <v>15902</v>
      </c>
    </row>
    <row r="12921">
      <c r="A12921" s="4">
        <v>329.0</v>
      </c>
      <c r="B12921" s="4" t="s">
        <v>22112</v>
      </c>
      <c r="C12921" s="4"/>
      <c r="D12921" s="4" t="s">
        <v>1805</v>
      </c>
      <c r="E12921" s="4" t="s">
        <v>1806</v>
      </c>
      <c r="F12921" s="4" t="s">
        <v>1807</v>
      </c>
    </row>
    <row r="12922">
      <c r="A12922" s="4">
        <v>330.0</v>
      </c>
      <c r="B12922" s="4" t="s">
        <v>22112</v>
      </c>
      <c r="C12922" s="4"/>
      <c r="D12922" s="4" t="s">
        <v>20015</v>
      </c>
      <c r="E12922" s="4" t="s">
        <v>1843</v>
      </c>
      <c r="F12922" s="4" t="s">
        <v>1844</v>
      </c>
    </row>
    <row r="12923">
      <c r="A12923" s="4">
        <v>331.0</v>
      </c>
      <c r="B12923" s="4" t="s">
        <v>22112</v>
      </c>
      <c r="C12923" s="4"/>
      <c r="D12923" s="4" t="s">
        <v>1815</v>
      </c>
      <c r="E12923" s="4" t="s">
        <v>1816</v>
      </c>
      <c r="F12923" s="4" t="s">
        <v>1817</v>
      </c>
    </row>
    <row r="12924">
      <c r="A12924" s="4">
        <v>332.0</v>
      </c>
      <c r="B12924" s="4" t="s">
        <v>22112</v>
      </c>
      <c r="C12924" s="4"/>
      <c r="D12924" s="4" t="s">
        <v>21022</v>
      </c>
      <c r="E12924" s="4" t="s">
        <v>21023</v>
      </c>
      <c r="F12924" s="4" t="s">
        <v>21024</v>
      </c>
    </row>
    <row r="12925">
      <c r="A12925" s="4">
        <v>333.0</v>
      </c>
      <c r="B12925" s="4" t="s">
        <v>22112</v>
      </c>
      <c r="C12925" s="4"/>
      <c r="D12925" s="4" t="s">
        <v>21025</v>
      </c>
      <c r="E12925" s="4" t="s">
        <v>21026</v>
      </c>
      <c r="F12925" s="4" t="s">
        <v>21027</v>
      </c>
    </row>
    <row r="12926">
      <c r="A12926" s="4">
        <v>334.0</v>
      </c>
      <c r="B12926" s="4" t="s">
        <v>22112</v>
      </c>
      <c r="C12926" s="4"/>
      <c r="D12926" s="4" t="s">
        <v>21028</v>
      </c>
      <c r="E12926" s="4" t="s">
        <v>21029</v>
      </c>
      <c r="F12926" s="4" t="s">
        <v>21030</v>
      </c>
    </row>
    <row r="12927">
      <c r="A12927" s="4">
        <v>335.0</v>
      </c>
      <c r="B12927" s="4" t="s">
        <v>22112</v>
      </c>
      <c r="C12927" s="4"/>
      <c r="D12927" s="4" t="s">
        <v>1862</v>
      </c>
      <c r="E12927" s="4" t="s">
        <v>1863</v>
      </c>
      <c r="F12927" s="4" t="s">
        <v>1864</v>
      </c>
    </row>
    <row r="12928">
      <c r="A12928" s="4">
        <v>336.0</v>
      </c>
      <c r="B12928" s="4" t="s">
        <v>22112</v>
      </c>
      <c r="C12928" s="4"/>
      <c r="D12928" s="4" t="s">
        <v>21031</v>
      </c>
      <c r="E12928" s="4" t="s">
        <v>21032</v>
      </c>
      <c r="F12928" s="4" t="s">
        <v>21033</v>
      </c>
    </row>
    <row r="12929">
      <c r="A12929" s="4">
        <v>337.0</v>
      </c>
      <c r="B12929" s="4" t="s">
        <v>22112</v>
      </c>
      <c r="C12929" s="4"/>
      <c r="D12929" s="4" t="s">
        <v>21034</v>
      </c>
      <c r="E12929" s="4" t="s">
        <v>21035</v>
      </c>
      <c r="F12929" s="4" t="s">
        <v>21036</v>
      </c>
    </row>
    <row r="12930">
      <c r="A12930" s="4">
        <v>338.0</v>
      </c>
      <c r="B12930" s="4" t="s">
        <v>22112</v>
      </c>
      <c r="C12930" s="4"/>
      <c r="D12930" s="4" t="s">
        <v>21037</v>
      </c>
      <c r="E12930" s="4" t="s">
        <v>21038</v>
      </c>
      <c r="F12930" s="4" t="s">
        <v>21039</v>
      </c>
    </row>
    <row r="12931">
      <c r="A12931" s="4">
        <v>339.0</v>
      </c>
      <c r="B12931" s="4" t="s">
        <v>22112</v>
      </c>
      <c r="C12931" s="4"/>
      <c r="D12931" s="4" t="s">
        <v>21040</v>
      </c>
      <c r="E12931" s="4" t="s">
        <v>21041</v>
      </c>
      <c r="F12931" s="4" t="s">
        <v>21042</v>
      </c>
    </row>
    <row r="12932">
      <c r="A12932" s="4">
        <v>340.0</v>
      </c>
      <c r="B12932" s="4" t="s">
        <v>22112</v>
      </c>
      <c r="C12932" s="4"/>
      <c r="D12932" s="4" t="s">
        <v>21043</v>
      </c>
      <c r="E12932" s="4" t="s">
        <v>21044</v>
      </c>
      <c r="F12932" s="4" t="s">
        <v>21045</v>
      </c>
    </row>
    <row r="12933">
      <c r="A12933" s="4">
        <v>341.0</v>
      </c>
      <c r="B12933" s="4" t="s">
        <v>22112</v>
      </c>
      <c r="C12933" s="4"/>
      <c r="D12933" s="4" t="s">
        <v>21046</v>
      </c>
      <c r="E12933" s="4" t="s">
        <v>21047</v>
      </c>
      <c r="F12933" s="4" t="s">
        <v>19726</v>
      </c>
      <c r="G12933" s="4"/>
      <c r="H12933" s="4" t="s">
        <v>21048</v>
      </c>
    </row>
    <row r="12934">
      <c r="A12934" s="4">
        <v>342.0</v>
      </c>
      <c r="B12934" s="4" t="s">
        <v>22112</v>
      </c>
      <c r="C12934" s="4"/>
      <c r="D12934" s="4" t="s">
        <v>21049</v>
      </c>
      <c r="E12934" s="4" t="s">
        <v>21050</v>
      </c>
      <c r="F12934" s="4" t="s">
        <v>14405</v>
      </c>
    </row>
    <row r="12935">
      <c r="A12935" s="4">
        <v>343.0</v>
      </c>
      <c r="B12935" s="4" t="s">
        <v>22112</v>
      </c>
      <c r="C12935" s="4"/>
      <c r="D12935" s="4" t="s">
        <v>21051</v>
      </c>
      <c r="E12935" s="4" t="s">
        <v>21052</v>
      </c>
      <c r="F12935" s="4" t="s">
        <v>21051</v>
      </c>
    </row>
    <row r="12936">
      <c r="A12936" s="4">
        <v>344.0</v>
      </c>
      <c r="B12936" s="4" t="s">
        <v>22112</v>
      </c>
      <c r="C12936" s="4"/>
      <c r="D12936" s="4" t="s">
        <v>19622</v>
      </c>
      <c r="E12936" s="4" t="s">
        <v>19623</v>
      </c>
      <c r="F12936" s="4" t="s">
        <v>19622</v>
      </c>
      <c r="G12936" s="4"/>
      <c r="H12936" s="4" t="s">
        <v>997</v>
      </c>
      <c r="I12936" s="4" t="s">
        <v>19624</v>
      </c>
      <c r="J12936" s="4" t="s">
        <v>19625</v>
      </c>
      <c r="K12936" s="4" t="s">
        <v>995</v>
      </c>
      <c r="L12936" s="4" t="s">
        <v>19626</v>
      </c>
      <c r="M12936" s="4" t="s">
        <v>21053</v>
      </c>
      <c r="N12936" s="4" t="s">
        <v>21054</v>
      </c>
      <c r="O12936" s="4" t="s">
        <v>4502</v>
      </c>
      <c r="P12936" s="4" t="s">
        <v>997</v>
      </c>
    </row>
    <row r="12937">
      <c r="A12937" s="4">
        <v>345.0</v>
      </c>
      <c r="B12937" s="4" t="s">
        <v>22112</v>
      </c>
      <c r="C12937" s="4"/>
      <c r="D12937" s="4" t="s">
        <v>21055</v>
      </c>
      <c r="E12937" s="4" t="s">
        <v>21056</v>
      </c>
      <c r="F12937" s="4" t="s">
        <v>21057</v>
      </c>
    </row>
    <row r="12938">
      <c r="A12938" s="4">
        <v>346.0</v>
      </c>
      <c r="B12938" s="4" t="s">
        <v>22112</v>
      </c>
      <c r="C12938" s="4"/>
      <c r="D12938" s="4" t="s">
        <v>21058</v>
      </c>
      <c r="E12938" s="4" t="s">
        <v>21059</v>
      </c>
      <c r="F12938" s="4" t="s">
        <v>21060</v>
      </c>
      <c r="G12938" s="4"/>
      <c r="H12938" s="4" t="s">
        <v>21061</v>
      </c>
      <c r="I12938" s="4" t="s">
        <v>21062</v>
      </c>
      <c r="J12938" s="4" t="s">
        <v>21063</v>
      </c>
      <c r="K12938" s="4" t="s">
        <v>21064</v>
      </c>
      <c r="L12938" s="4" t="s">
        <v>6694</v>
      </c>
      <c r="M12938" s="4" t="s">
        <v>15341</v>
      </c>
      <c r="N12938" s="4" t="s">
        <v>21064</v>
      </c>
      <c r="O12938" s="4" t="s">
        <v>21065</v>
      </c>
      <c r="P12938" s="4" t="s">
        <v>21066</v>
      </c>
      <c r="Q12938" s="4" t="s">
        <v>21067</v>
      </c>
      <c r="R12938" s="4" t="s">
        <v>21061</v>
      </c>
    </row>
    <row r="12939">
      <c r="A12939" s="4">
        <v>347.0</v>
      </c>
      <c r="B12939" s="4" t="s">
        <v>22112</v>
      </c>
      <c r="C12939" s="4"/>
      <c r="D12939" s="4" t="s">
        <v>21068</v>
      </c>
      <c r="E12939" s="4" t="s">
        <v>21069</v>
      </c>
      <c r="F12939" s="4" t="s">
        <v>21070</v>
      </c>
    </row>
    <row r="12940">
      <c r="A12940" s="4">
        <v>348.0</v>
      </c>
      <c r="B12940" s="4" t="s">
        <v>22112</v>
      </c>
      <c r="C12940" s="4"/>
      <c r="D12940" s="4" t="s">
        <v>21071</v>
      </c>
      <c r="E12940" s="4" t="s">
        <v>21072</v>
      </c>
      <c r="F12940" s="4" t="s">
        <v>21073</v>
      </c>
    </row>
    <row r="12941">
      <c r="A12941" s="4">
        <v>349.0</v>
      </c>
      <c r="B12941" s="4" t="s">
        <v>22112</v>
      </c>
      <c r="C12941" s="4"/>
      <c r="D12941" s="4" t="s">
        <v>21074</v>
      </c>
      <c r="E12941" s="4" t="s">
        <v>21069</v>
      </c>
      <c r="F12941" s="4" t="s">
        <v>21070</v>
      </c>
    </row>
    <row r="12942">
      <c r="A12942" s="4">
        <v>350.0</v>
      </c>
      <c r="B12942" s="4" t="s">
        <v>22112</v>
      </c>
      <c r="C12942" s="4"/>
      <c r="D12942" s="4" t="s">
        <v>21075</v>
      </c>
      <c r="E12942" s="4" t="s">
        <v>21072</v>
      </c>
      <c r="F12942" s="4" t="s">
        <v>21073</v>
      </c>
    </row>
    <row r="12943">
      <c r="A12943" s="4">
        <v>351.0</v>
      </c>
      <c r="B12943" s="4" t="s">
        <v>22112</v>
      </c>
      <c r="C12943" s="4"/>
      <c r="D12943" s="4" t="s">
        <v>21076</v>
      </c>
      <c r="E12943" s="4" t="s">
        <v>21077</v>
      </c>
      <c r="F12943" s="4" t="s">
        <v>21078</v>
      </c>
    </row>
    <row r="12944">
      <c r="A12944" s="4">
        <v>352.0</v>
      </c>
      <c r="B12944" s="4" t="s">
        <v>22112</v>
      </c>
      <c r="C12944" s="4"/>
      <c r="D12944" s="4" t="s">
        <v>310</v>
      </c>
      <c r="E12944" s="4" t="s">
        <v>309</v>
      </c>
      <c r="F12944" s="4" t="s">
        <v>310</v>
      </c>
    </row>
    <row r="12945">
      <c r="A12945" s="4">
        <v>353.0</v>
      </c>
      <c r="B12945" s="4" t="s">
        <v>22112</v>
      </c>
      <c r="C12945" s="4"/>
      <c r="D12945" s="4" t="s">
        <v>310</v>
      </c>
      <c r="E12945" s="4" t="s">
        <v>1902</v>
      </c>
      <c r="F12945" s="4" t="s">
        <v>1903</v>
      </c>
    </row>
    <row r="12946">
      <c r="A12946" s="4">
        <v>354.0</v>
      </c>
      <c r="B12946" s="4" t="s">
        <v>22112</v>
      </c>
      <c r="C12946" s="4"/>
      <c r="D12946" s="4" t="s">
        <v>21079</v>
      </c>
      <c r="E12946" s="4" t="s">
        <v>21080</v>
      </c>
      <c r="F12946" s="4" t="s">
        <v>21079</v>
      </c>
    </row>
    <row r="12947">
      <c r="A12947" s="4">
        <v>355.0</v>
      </c>
      <c r="B12947" s="4" t="s">
        <v>22112</v>
      </c>
      <c r="C12947" s="4"/>
      <c r="D12947" s="4" t="s">
        <v>1905</v>
      </c>
      <c r="E12947" s="4" t="s">
        <v>1912</v>
      </c>
      <c r="F12947" s="4" t="s">
        <v>1905</v>
      </c>
      <c r="G12947" s="4"/>
      <c r="H12947" s="4" t="s">
        <v>21081</v>
      </c>
      <c r="I12947" s="4" t="s">
        <v>21082</v>
      </c>
      <c r="J12947" s="4" t="s">
        <v>21083</v>
      </c>
      <c r="K12947" s="4" t="s">
        <v>1908</v>
      </c>
      <c r="L12947" s="4" t="s">
        <v>1909</v>
      </c>
      <c r="M12947" s="4" t="s">
        <v>1910</v>
      </c>
      <c r="N12947" s="4" t="s">
        <v>1911</v>
      </c>
      <c r="O12947" s="4" t="s">
        <v>1909</v>
      </c>
      <c r="P12947" s="4" t="s">
        <v>2617</v>
      </c>
    </row>
    <row r="12948">
      <c r="A12948" s="4">
        <v>356.0</v>
      </c>
      <c r="B12948" s="4" t="s">
        <v>22112</v>
      </c>
      <c r="C12948" s="4"/>
      <c r="D12948" s="4" t="s">
        <v>21084</v>
      </c>
      <c r="E12948" s="4" t="s">
        <v>1902</v>
      </c>
      <c r="F12948" s="4" t="s">
        <v>1903</v>
      </c>
      <c r="G12948" s="4"/>
      <c r="H12948" s="4" t="s">
        <v>1904</v>
      </c>
      <c r="I12948" s="4" t="s">
        <v>310</v>
      </c>
      <c r="J12948" s="4" t="s">
        <v>1900</v>
      </c>
    </row>
    <row r="12949">
      <c r="A12949" s="4">
        <v>357.0</v>
      </c>
      <c r="B12949" s="4" t="s">
        <v>22112</v>
      </c>
      <c r="C12949" s="4"/>
      <c r="D12949" s="4" t="s">
        <v>1913</v>
      </c>
      <c r="E12949" s="4" t="s">
        <v>1914</v>
      </c>
      <c r="F12949" s="4" t="s">
        <v>1915</v>
      </c>
      <c r="G12949" s="4"/>
      <c r="H12949" s="4" t="s">
        <v>21085</v>
      </c>
      <c r="I12949" s="4" t="s">
        <v>6270</v>
      </c>
    </row>
    <row r="12950">
      <c r="A12950" s="4">
        <v>358.0</v>
      </c>
      <c r="B12950" s="4" t="s">
        <v>22112</v>
      </c>
      <c r="C12950" s="4"/>
      <c r="D12950" s="4" t="s">
        <v>1916</v>
      </c>
      <c r="E12950" s="4" t="s">
        <v>1917</v>
      </c>
      <c r="F12950" s="4" t="s">
        <v>1918</v>
      </c>
    </row>
    <row r="12951">
      <c r="A12951" s="4">
        <v>359.0</v>
      </c>
      <c r="B12951" s="4" t="s">
        <v>22112</v>
      </c>
      <c r="C12951" s="4"/>
      <c r="D12951" s="4" t="s">
        <v>21086</v>
      </c>
      <c r="E12951" s="4" t="s">
        <v>21087</v>
      </c>
      <c r="F12951" s="4" t="s">
        <v>21088</v>
      </c>
    </row>
    <row r="12952">
      <c r="A12952" s="4">
        <v>360.0</v>
      </c>
      <c r="B12952" s="4" t="s">
        <v>22112</v>
      </c>
      <c r="C12952" s="4"/>
      <c r="D12952" s="4" t="s">
        <v>1919</v>
      </c>
      <c r="E12952" s="4" t="s">
        <v>1922</v>
      </c>
      <c r="F12952" s="4" t="s">
        <v>1923</v>
      </c>
    </row>
    <row r="12953">
      <c r="A12953" s="4">
        <v>361.0</v>
      </c>
      <c r="B12953" s="4" t="s">
        <v>22112</v>
      </c>
      <c r="C12953" s="4"/>
      <c r="D12953" s="4" t="s">
        <v>21089</v>
      </c>
      <c r="E12953" s="4" t="s">
        <v>21090</v>
      </c>
      <c r="F12953" s="4" t="s">
        <v>21091</v>
      </c>
    </row>
    <row r="12954">
      <c r="A12954" s="4">
        <v>362.0</v>
      </c>
      <c r="B12954" s="4" t="s">
        <v>22112</v>
      </c>
      <c r="C12954" s="4"/>
      <c r="D12954" s="4" t="s">
        <v>1940</v>
      </c>
      <c r="E12954" s="4" t="s">
        <v>1941</v>
      </c>
      <c r="F12954" s="4" t="s">
        <v>1940</v>
      </c>
      <c r="G12954" s="4"/>
      <c r="H12954" s="4" t="s">
        <v>1942</v>
      </c>
    </row>
    <row r="12955">
      <c r="A12955" s="4">
        <v>363.0</v>
      </c>
      <c r="B12955" s="4" t="s">
        <v>22112</v>
      </c>
      <c r="C12955" s="4"/>
      <c r="D12955" s="4" t="s">
        <v>1943</v>
      </c>
      <c r="E12955" s="4" t="s">
        <v>1944</v>
      </c>
      <c r="F12955" s="4" t="s">
        <v>1945</v>
      </c>
      <c r="G12955" s="4"/>
      <c r="H12955" s="4" t="s">
        <v>1946</v>
      </c>
      <c r="I12955" s="4" t="s">
        <v>1947</v>
      </c>
      <c r="J12955" s="4" t="s">
        <v>1948</v>
      </c>
      <c r="K12955" s="4" t="s">
        <v>1949</v>
      </c>
      <c r="L12955" s="4" t="s">
        <v>1950</v>
      </c>
      <c r="M12955" s="4" t="s">
        <v>1951</v>
      </c>
      <c r="N12955" s="4" t="s">
        <v>1952</v>
      </c>
      <c r="O12955" s="4" t="s">
        <v>1953</v>
      </c>
      <c r="P12955" s="4" t="s">
        <v>1954</v>
      </c>
      <c r="Q12955" s="4" t="s">
        <v>1955</v>
      </c>
      <c r="R12955" s="4" t="s">
        <v>1956</v>
      </c>
      <c r="S12955" s="4" t="s">
        <v>1957</v>
      </c>
      <c r="T12955" s="4" t="s">
        <v>1958</v>
      </c>
      <c r="U12955" s="4" t="s">
        <v>1959</v>
      </c>
      <c r="V12955" s="4" t="s">
        <v>1960</v>
      </c>
      <c r="W12955" s="4" t="s">
        <v>1961</v>
      </c>
      <c r="X12955" s="4" t="s">
        <v>1962</v>
      </c>
      <c r="Y12955" s="4" t="s">
        <v>1963</v>
      </c>
      <c r="Z12955" s="4" t="s">
        <v>1964</v>
      </c>
      <c r="AA12955" s="4" t="s">
        <v>1965</v>
      </c>
      <c r="AB12955" s="4" t="s">
        <v>1966</v>
      </c>
      <c r="AC12955" s="4" t="s">
        <v>1962</v>
      </c>
      <c r="AD12955" s="4" t="s">
        <v>1950</v>
      </c>
      <c r="AE12955" s="4" t="s">
        <v>1967</v>
      </c>
      <c r="AF12955" s="4" t="s">
        <v>1968</v>
      </c>
      <c r="AG12955" s="4" t="s">
        <v>1967</v>
      </c>
      <c r="AH12955" s="4" t="s">
        <v>1969</v>
      </c>
      <c r="AI12955" s="4" t="s">
        <v>1970</v>
      </c>
      <c r="AJ12955" s="4" t="s">
        <v>1971</v>
      </c>
      <c r="AK12955" s="4" t="s">
        <v>1972</v>
      </c>
      <c r="AL12955" s="4" t="s">
        <v>1973</v>
      </c>
    </row>
    <row r="12956">
      <c r="A12956" s="4">
        <v>364.0</v>
      </c>
      <c r="B12956" s="4" t="s">
        <v>22112</v>
      </c>
      <c r="C12956" s="4"/>
      <c r="D12956" s="4" t="s">
        <v>21092</v>
      </c>
      <c r="E12956" s="4" t="s">
        <v>21093</v>
      </c>
      <c r="F12956" s="4" t="s">
        <v>21092</v>
      </c>
      <c r="G12956" s="4"/>
      <c r="H12956" s="4" t="s">
        <v>636</v>
      </c>
      <c r="I12956" s="4" t="s">
        <v>637</v>
      </c>
      <c r="J12956" s="4" t="s">
        <v>638</v>
      </c>
      <c r="K12956" s="4" t="s">
        <v>637</v>
      </c>
      <c r="L12956" s="4" t="s">
        <v>639</v>
      </c>
      <c r="M12956" s="4" t="s">
        <v>640</v>
      </c>
      <c r="N12956" s="4" t="s">
        <v>642</v>
      </c>
      <c r="O12956" s="4" t="s">
        <v>643</v>
      </c>
      <c r="P12956" s="4" t="s">
        <v>644</v>
      </c>
      <c r="Q12956" s="4" t="s">
        <v>645</v>
      </c>
      <c r="R12956" s="4" t="s">
        <v>637</v>
      </c>
      <c r="S12956" s="4" t="s">
        <v>636</v>
      </c>
      <c r="T12956" s="4" t="s">
        <v>639</v>
      </c>
      <c r="U12956" s="4" t="s">
        <v>6684</v>
      </c>
      <c r="V12956" s="4" t="s">
        <v>21094</v>
      </c>
      <c r="W12956" s="4" t="s">
        <v>20679</v>
      </c>
      <c r="X12956" s="4" t="s">
        <v>15196</v>
      </c>
      <c r="Y12956" s="4" t="s">
        <v>15474</v>
      </c>
      <c r="Z12956" s="4" t="s">
        <v>4146</v>
      </c>
      <c r="AA12956" s="4" t="s">
        <v>21095</v>
      </c>
      <c r="AB12956" s="4" t="s">
        <v>646</v>
      </c>
      <c r="AC12956" s="4" t="s">
        <v>637</v>
      </c>
      <c r="AD12956" s="4" t="s">
        <v>647</v>
      </c>
      <c r="AE12956" s="4" t="s">
        <v>648</v>
      </c>
      <c r="AF12956" s="4" t="s">
        <v>649</v>
      </c>
      <c r="AG12956" s="4" t="s">
        <v>637</v>
      </c>
      <c r="AH12956" s="4" t="s">
        <v>648</v>
      </c>
      <c r="AI12956" s="4" t="s">
        <v>650</v>
      </c>
      <c r="AJ12956" s="4" t="s">
        <v>637</v>
      </c>
      <c r="AK12956" s="4" t="s">
        <v>651</v>
      </c>
      <c r="AL12956" s="4" t="s">
        <v>21096</v>
      </c>
      <c r="AM12956" s="4" t="s">
        <v>11016</v>
      </c>
      <c r="AN12956" s="4" t="s">
        <v>16226</v>
      </c>
      <c r="AO12956" s="4" t="s">
        <v>646</v>
      </c>
      <c r="AP12956" s="4" t="s">
        <v>1266</v>
      </c>
    </row>
    <row r="12957">
      <c r="A12957" s="4">
        <v>365.0</v>
      </c>
      <c r="B12957" s="4" t="s">
        <v>22112</v>
      </c>
      <c r="C12957" s="4"/>
      <c r="D12957" s="4" t="s">
        <v>1983</v>
      </c>
      <c r="E12957" s="4" t="s">
        <v>1984</v>
      </c>
      <c r="F12957" s="4" t="s">
        <v>1983</v>
      </c>
      <c r="G12957" s="4"/>
      <c r="H12957" s="4" t="s">
        <v>1985</v>
      </c>
      <c r="I12957" s="4" t="s">
        <v>1986</v>
      </c>
      <c r="J12957" s="4" t="s">
        <v>1987</v>
      </c>
      <c r="K12957" s="4" t="s">
        <v>1983</v>
      </c>
      <c r="L12957" s="4" t="s">
        <v>1986</v>
      </c>
      <c r="M12957" s="4" t="s">
        <v>1988</v>
      </c>
      <c r="N12957" s="4" t="s">
        <v>1987</v>
      </c>
      <c r="O12957" s="4" t="s">
        <v>1986</v>
      </c>
      <c r="P12957" s="4" t="s">
        <v>1989</v>
      </c>
    </row>
    <row r="12958">
      <c r="A12958" s="4">
        <v>366.0</v>
      </c>
      <c r="B12958" s="4" t="s">
        <v>22112</v>
      </c>
      <c r="C12958" s="4"/>
      <c r="D12958" s="4" t="s">
        <v>1997</v>
      </c>
      <c r="E12958" s="4" t="s">
        <v>1996</v>
      </c>
      <c r="F12958" s="4" t="s">
        <v>1997</v>
      </c>
    </row>
    <row r="12959">
      <c r="A12959" s="4">
        <v>367.0</v>
      </c>
      <c r="B12959" s="4" t="s">
        <v>22112</v>
      </c>
      <c r="C12959" s="4"/>
      <c r="D12959" s="4" t="s">
        <v>21097</v>
      </c>
      <c r="E12959" s="4" t="s">
        <v>21098</v>
      </c>
      <c r="F12959" s="4" t="s">
        <v>21097</v>
      </c>
    </row>
    <row r="12960">
      <c r="A12960" s="4">
        <v>368.0</v>
      </c>
      <c r="B12960" s="4" t="s">
        <v>22112</v>
      </c>
      <c r="C12960" s="4"/>
      <c r="D12960" s="4" t="s">
        <v>21099</v>
      </c>
      <c r="E12960" s="4" t="s">
        <v>21100</v>
      </c>
      <c r="F12960" s="4" t="s">
        <v>21101</v>
      </c>
    </row>
    <row r="12961">
      <c r="A12961" s="4">
        <v>369.0</v>
      </c>
      <c r="B12961" s="4" t="s">
        <v>22112</v>
      </c>
      <c r="C12961" s="4"/>
      <c r="D12961" s="4" t="s">
        <v>21102</v>
      </c>
      <c r="E12961" s="4" t="s">
        <v>21098</v>
      </c>
      <c r="F12961" s="4" t="s">
        <v>21097</v>
      </c>
    </row>
    <row r="12962">
      <c r="A12962" s="4">
        <v>370.0</v>
      </c>
      <c r="B12962" s="4" t="s">
        <v>22112</v>
      </c>
      <c r="C12962" s="4"/>
      <c r="D12962" s="4" t="s">
        <v>21103</v>
      </c>
      <c r="E12962" s="4" t="s">
        <v>21098</v>
      </c>
      <c r="F12962" s="4" t="s">
        <v>21097</v>
      </c>
    </row>
    <row r="12963">
      <c r="A12963" s="4">
        <v>371.0</v>
      </c>
      <c r="B12963" s="4" t="s">
        <v>22112</v>
      </c>
      <c r="C12963" s="4"/>
      <c r="D12963" s="4" t="s">
        <v>21104</v>
      </c>
      <c r="E12963" s="4" t="s">
        <v>21105</v>
      </c>
      <c r="F12963" s="4" t="s">
        <v>21104</v>
      </c>
    </row>
    <row r="12964">
      <c r="A12964" s="4">
        <v>372.0</v>
      </c>
      <c r="B12964" s="4" t="s">
        <v>22112</v>
      </c>
      <c r="C12964" s="4"/>
      <c r="D12964" s="4" t="s">
        <v>2002</v>
      </c>
      <c r="E12964" s="4" t="s">
        <v>2003</v>
      </c>
      <c r="F12964" s="4" t="s">
        <v>2002</v>
      </c>
    </row>
    <row r="12965">
      <c r="A12965" s="4">
        <v>373.0</v>
      </c>
      <c r="B12965" s="4" t="s">
        <v>22112</v>
      </c>
      <c r="C12965" s="4"/>
      <c r="D12965" s="4" t="s">
        <v>19110</v>
      </c>
      <c r="E12965" s="4" t="s">
        <v>1984</v>
      </c>
      <c r="F12965" s="4" t="s">
        <v>1983</v>
      </c>
    </row>
    <row r="12966">
      <c r="A12966" s="4">
        <v>374.0</v>
      </c>
      <c r="B12966" s="4" t="s">
        <v>22112</v>
      </c>
      <c r="C12966" s="4"/>
      <c r="D12966" s="4" t="s">
        <v>21106</v>
      </c>
      <c r="E12966" s="4" t="s">
        <v>1991</v>
      </c>
      <c r="F12966" s="4" t="s">
        <v>1990</v>
      </c>
    </row>
    <row r="12967">
      <c r="A12967" s="4">
        <v>375.0</v>
      </c>
      <c r="B12967" s="4" t="s">
        <v>22112</v>
      </c>
      <c r="C12967" s="4"/>
      <c r="D12967" s="4" t="s">
        <v>1798</v>
      </c>
      <c r="E12967" s="4" t="s">
        <v>1797</v>
      </c>
      <c r="F12967" s="4" t="s">
        <v>1798</v>
      </c>
    </row>
    <row r="12968">
      <c r="A12968" s="4">
        <v>376.0</v>
      </c>
      <c r="B12968" s="4" t="s">
        <v>22112</v>
      </c>
      <c r="C12968" s="4"/>
      <c r="D12968" s="4" t="s">
        <v>21107</v>
      </c>
      <c r="E12968" s="4" t="s">
        <v>21108</v>
      </c>
      <c r="F12968" s="4" t="s">
        <v>21109</v>
      </c>
    </row>
    <row r="12969">
      <c r="A12969" s="4">
        <v>377.0</v>
      </c>
      <c r="B12969" s="4" t="s">
        <v>22112</v>
      </c>
      <c r="C12969" s="4"/>
      <c r="D12969" s="4" t="s">
        <v>5675</v>
      </c>
      <c r="E12969" s="4" t="s">
        <v>5674</v>
      </c>
      <c r="F12969" s="4" t="s">
        <v>5675</v>
      </c>
      <c r="G12969" s="4"/>
      <c r="H12969" s="4" t="s">
        <v>21110</v>
      </c>
    </row>
    <row r="12970">
      <c r="A12970" s="4">
        <v>378.0</v>
      </c>
      <c r="B12970" s="4" t="s">
        <v>22112</v>
      </c>
      <c r="C12970" s="4"/>
      <c r="D12970" s="4" t="s">
        <v>21111</v>
      </c>
      <c r="E12970" s="4" t="s">
        <v>21112</v>
      </c>
      <c r="F12970" s="4" t="s">
        <v>21111</v>
      </c>
    </row>
    <row r="12971">
      <c r="A12971" s="4">
        <v>379.0</v>
      </c>
      <c r="B12971" s="4" t="s">
        <v>22112</v>
      </c>
      <c r="C12971" s="4"/>
      <c r="D12971" s="4" t="s">
        <v>2009</v>
      </c>
      <c r="E12971" s="4" t="s">
        <v>17506</v>
      </c>
      <c r="F12971" s="4" t="s">
        <v>962</v>
      </c>
    </row>
    <row r="12972">
      <c r="A12972" s="4">
        <v>380.0</v>
      </c>
      <c r="B12972" s="4" t="s">
        <v>22112</v>
      </c>
      <c r="C12972" s="4"/>
      <c r="D12972" s="4" t="s">
        <v>21113</v>
      </c>
      <c r="E12972" s="4" t="s">
        <v>9072</v>
      </c>
      <c r="F12972" s="4" t="s">
        <v>9073</v>
      </c>
    </row>
    <row r="12973">
      <c r="A12973" s="4">
        <v>381.0</v>
      </c>
      <c r="B12973" s="4" t="s">
        <v>22112</v>
      </c>
      <c r="C12973" s="4"/>
      <c r="D12973" s="4" t="s">
        <v>21114</v>
      </c>
      <c r="E12973" s="4" t="s">
        <v>21115</v>
      </c>
      <c r="F12973" s="4" t="s">
        <v>21116</v>
      </c>
    </row>
    <row r="12974">
      <c r="A12974" s="4">
        <v>382.0</v>
      </c>
      <c r="B12974" s="4" t="s">
        <v>22112</v>
      </c>
      <c r="C12974" s="4"/>
      <c r="D12974" s="4" t="s">
        <v>21117</v>
      </c>
      <c r="E12974" s="4" t="s">
        <v>21118</v>
      </c>
      <c r="F12974" s="4" t="s">
        <v>21119</v>
      </c>
    </row>
    <row r="12975">
      <c r="A12975" s="4">
        <v>383.0</v>
      </c>
      <c r="B12975" s="4" t="s">
        <v>22112</v>
      </c>
      <c r="C12975" s="4"/>
      <c r="D12975" s="4" t="s">
        <v>17581</v>
      </c>
      <c r="E12975" s="4" t="s">
        <v>21120</v>
      </c>
      <c r="F12975" s="4" t="s">
        <v>9073</v>
      </c>
    </row>
    <row r="12976">
      <c r="A12976" s="4">
        <v>384.0</v>
      </c>
      <c r="B12976" s="4" t="s">
        <v>22112</v>
      </c>
      <c r="C12976" s="4"/>
      <c r="D12976" s="4" t="s">
        <v>21121</v>
      </c>
      <c r="E12976" s="4" t="s">
        <v>21122</v>
      </c>
      <c r="F12976" s="4" t="s">
        <v>21123</v>
      </c>
    </row>
    <row r="12977">
      <c r="A12977" s="4">
        <v>385.0</v>
      </c>
      <c r="B12977" s="4" t="s">
        <v>22112</v>
      </c>
      <c r="C12977" s="4"/>
      <c r="D12977" s="4" t="s">
        <v>21124</v>
      </c>
      <c r="E12977" s="4" t="s">
        <v>21122</v>
      </c>
      <c r="F12977" s="4" t="s">
        <v>21123</v>
      </c>
    </row>
    <row r="12978">
      <c r="A12978" s="4">
        <v>386.0</v>
      </c>
      <c r="B12978" s="4" t="s">
        <v>22112</v>
      </c>
      <c r="C12978" s="4"/>
      <c r="D12978" s="4" t="s">
        <v>21125</v>
      </c>
      <c r="E12978" s="4" t="s">
        <v>21120</v>
      </c>
      <c r="F12978" s="4" t="s">
        <v>9073</v>
      </c>
    </row>
    <row r="12979">
      <c r="A12979" s="4">
        <v>387.0</v>
      </c>
      <c r="B12979" s="4" t="s">
        <v>22112</v>
      </c>
      <c r="C12979" s="4"/>
      <c r="D12979" s="4" t="s">
        <v>21126</v>
      </c>
      <c r="E12979" s="4" t="s">
        <v>21127</v>
      </c>
      <c r="F12979" s="4" t="s">
        <v>21128</v>
      </c>
    </row>
    <row r="12980">
      <c r="A12980" s="4">
        <v>388.0</v>
      </c>
      <c r="B12980" s="4" t="s">
        <v>22112</v>
      </c>
      <c r="C12980" s="4"/>
      <c r="D12980" s="4" t="s">
        <v>21129</v>
      </c>
      <c r="E12980" s="4" t="s">
        <v>21130</v>
      </c>
      <c r="F12980" s="4" t="s">
        <v>992</v>
      </c>
      <c r="G12980" s="4"/>
      <c r="H12980" s="4" t="s">
        <v>7334</v>
      </c>
      <c r="I12980" s="4" t="s">
        <v>6291</v>
      </c>
      <c r="J12980" s="4" t="s">
        <v>21131</v>
      </c>
      <c r="K12980" s="4" t="s">
        <v>21132</v>
      </c>
      <c r="L12980" s="4" t="s">
        <v>21133</v>
      </c>
      <c r="M12980" s="4" t="s">
        <v>4433</v>
      </c>
    </row>
    <row r="12981">
      <c r="A12981" s="4">
        <v>389.0</v>
      </c>
      <c r="B12981" s="4" t="s">
        <v>22112</v>
      </c>
      <c r="C12981" s="4"/>
      <c r="D12981" s="4" t="s">
        <v>21134</v>
      </c>
      <c r="E12981" s="4" t="s">
        <v>17518</v>
      </c>
      <c r="F12981" s="4" t="s">
        <v>978</v>
      </c>
      <c r="G12981" s="4"/>
      <c r="H12981" s="4" t="s">
        <v>12300</v>
      </c>
      <c r="I12981" s="4" t="s">
        <v>12301</v>
      </c>
    </row>
    <row r="12982">
      <c r="A12982" s="4">
        <v>390.0</v>
      </c>
      <c r="B12982" s="4" t="s">
        <v>22112</v>
      </c>
      <c r="C12982" s="4"/>
      <c r="D12982" s="4" t="s">
        <v>21135</v>
      </c>
      <c r="E12982" s="4" t="s">
        <v>21136</v>
      </c>
      <c r="F12982" s="4" t="s">
        <v>21137</v>
      </c>
    </row>
    <row r="12983">
      <c r="A12983" s="4">
        <v>391.0</v>
      </c>
      <c r="B12983" s="4" t="s">
        <v>22112</v>
      </c>
      <c r="C12983" s="4"/>
      <c r="D12983" s="4" t="s">
        <v>9778</v>
      </c>
      <c r="E12983" s="4" t="s">
        <v>21138</v>
      </c>
      <c r="F12983" s="4" t="s">
        <v>1178</v>
      </c>
    </row>
    <row r="12984">
      <c r="A12984" s="4">
        <v>392.0</v>
      </c>
      <c r="B12984" s="4" t="s">
        <v>22112</v>
      </c>
      <c r="C12984" s="4"/>
      <c r="D12984" s="4" t="s">
        <v>21139</v>
      </c>
      <c r="E12984" s="4" t="s">
        <v>5637</v>
      </c>
      <c r="F12984" s="4" t="s">
        <v>5638</v>
      </c>
    </row>
    <row r="12985">
      <c r="A12985" s="4">
        <v>393.0</v>
      </c>
      <c r="B12985" s="4" t="s">
        <v>22112</v>
      </c>
      <c r="C12985" s="4"/>
      <c r="D12985" s="4" t="s">
        <v>21140</v>
      </c>
      <c r="E12985" s="4" t="s">
        <v>21141</v>
      </c>
      <c r="F12985" s="4" t="s">
        <v>21142</v>
      </c>
    </row>
    <row r="12986">
      <c r="A12986" s="4">
        <v>394.0</v>
      </c>
      <c r="B12986" s="4" t="s">
        <v>22112</v>
      </c>
      <c r="C12986" s="4"/>
      <c r="D12986" s="4" t="s">
        <v>21143</v>
      </c>
      <c r="E12986" s="4" t="s">
        <v>21144</v>
      </c>
      <c r="F12986" s="4" t="s">
        <v>20700</v>
      </c>
    </row>
    <row r="12987">
      <c r="A12987" s="4">
        <v>395.0</v>
      </c>
      <c r="B12987" s="4" t="s">
        <v>22112</v>
      </c>
      <c r="C12987" s="4"/>
      <c r="D12987" s="4" t="s">
        <v>21145</v>
      </c>
      <c r="E12987" s="4" t="s">
        <v>21146</v>
      </c>
      <c r="F12987" s="4" t="s">
        <v>1307</v>
      </c>
    </row>
    <row r="12988">
      <c r="A12988" s="4">
        <v>396.0</v>
      </c>
      <c r="B12988" s="4" t="s">
        <v>22112</v>
      </c>
      <c r="C12988" s="4"/>
      <c r="D12988" s="4" t="s">
        <v>21147</v>
      </c>
      <c r="E12988" s="4" t="s">
        <v>21148</v>
      </c>
      <c r="F12988" s="4" t="s">
        <v>21149</v>
      </c>
      <c r="G12988" s="4"/>
      <c r="H12988" s="4" t="s">
        <v>21150</v>
      </c>
      <c r="I12988" s="4" t="s">
        <v>21151</v>
      </c>
      <c r="J12988" s="4" t="s">
        <v>21152</v>
      </c>
      <c r="K12988" s="4" t="s">
        <v>21153</v>
      </c>
    </row>
    <row r="12989">
      <c r="A12989" s="4">
        <v>397.0</v>
      </c>
      <c r="B12989" s="4" t="s">
        <v>22112</v>
      </c>
      <c r="C12989" s="4"/>
      <c r="D12989" s="4" t="s">
        <v>17035</v>
      </c>
      <c r="E12989" s="4" t="s">
        <v>17483</v>
      </c>
      <c r="F12989" s="4" t="s">
        <v>2014</v>
      </c>
    </row>
    <row r="12990">
      <c r="A12990" s="4">
        <v>398.0</v>
      </c>
      <c r="B12990" s="4" t="s">
        <v>22112</v>
      </c>
      <c r="C12990" s="4"/>
      <c r="D12990" s="4" t="s">
        <v>21154</v>
      </c>
      <c r="E12990" s="4" t="s">
        <v>21155</v>
      </c>
      <c r="F12990" s="4" t="s">
        <v>21156</v>
      </c>
    </row>
    <row r="12991">
      <c r="A12991" s="4">
        <v>399.0</v>
      </c>
      <c r="B12991" s="4" t="s">
        <v>22112</v>
      </c>
      <c r="C12991" s="4"/>
      <c r="D12991" s="4" t="s">
        <v>21157</v>
      </c>
      <c r="E12991" s="4" t="s">
        <v>21158</v>
      </c>
      <c r="F12991" s="4" t="s">
        <v>21159</v>
      </c>
    </row>
    <row r="12992">
      <c r="A12992" s="4">
        <v>400.0</v>
      </c>
      <c r="B12992" s="4" t="s">
        <v>22112</v>
      </c>
      <c r="C12992" s="4"/>
      <c r="D12992" s="4" t="s">
        <v>21160</v>
      </c>
      <c r="E12992" s="4" t="s">
        <v>21161</v>
      </c>
      <c r="F12992" s="4" t="s">
        <v>21162</v>
      </c>
    </row>
    <row r="12993">
      <c r="A12993" s="4">
        <v>401.0</v>
      </c>
      <c r="B12993" s="4" t="s">
        <v>22112</v>
      </c>
      <c r="C12993" s="4"/>
      <c r="D12993" s="4" t="s">
        <v>17656</v>
      </c>
      <c r="E12993" s="4" t="s">
        <v>21163</v>
      </c>
      <c r="F12993" s="4" t="s">
        <v>17846</v>
      </c>
    </row>
    <row r="12994">
      <c r="A12994" s="4">
        <v>402.0</v>
      </c>
      <c r="B12994" s="4" t="s">
        <v>22112</v>
      </c>
      <c r="C12994" s="4"/>
      <c r="D12994" s="4" t="s">
        <v>21164</v>
      </c>
      <c r="E12994" s="4" t="s">
        <v>21165</v>
      </c>
      <c r="F12994" s="4" t="s">
        <v>21166</v>
      </c>
    </row>
    <row r="12995">
      <c r="A12995" s="4">
        <v>403.0</v>
      </c>
      <c r="B12995" s="4" t="s">
        <v>22112</v>
      </c>
      <c r="C12995" s="4"/>
      <c r="D12995" s="4" t="s">
        <v>21167</v>
      </c>
      <c r="E12995" s="4" t="s">
        <v>21168</v>
      </c>
      <c r="F12995" s="4" t="s">
        <v>1648</v>
      </c>
    </row>
    <row r="12996">
      <c r="A12996" s="4">
        <v>404.0</v>
      </c>
      <c r="B12996" s="4" t="s">
        <v>22112</v>
      </c>
      <c r="C12996" s="4"/>
      <c r="D12996" s="4" t="s">
        <v>21169</v>
      </c>
      <c r="E12996" s="4" t="s">
        <v>21170</v>
      </c>
      <c r="F12996" s="4" t="s">
        <v>1666</v>
      </c>
      <c r="G12996" s="4"/>
      <c r="H12996" s="4" t="s">
        <v>21171</v>
      </c>
      <c r="I12996" s="4" t="s">
        <v>19172</v>
      </c>
      <c r="J12996" s="4" t="s">
        <v>21172</v>
      </c>
      <c r="K12996" s="4" t="s">
        <v>21173</v>
      </c>
      <c r="L12996" s="4" t="s">
        <v>21174</v>
      </c>
      <c r="M12996" s="4" t="s">
        <v>21175</v>
      </c>
      <c r="N12996" s="4" t="s">
        <v>18957</v>
      </c>
      <c r="O12996" s="4" t="s">
        <v>21176</v>
      </c>
      <c r="P12996" s="4" t="s">
        <v>21173</v>
      </c>
    </row>
    <row r="12997">
      <c r="A12997" s="4">
        <v>405.0</v>
      </c>
      <c r="B12997" s="4" t="s">
        <v>22112</v>
      </c>
      <c r="C12997" s="4"/>
      <c r="D12997" s="4" t="s">
        <v>21177</v>
      </c>
      <c r="E12997" s="4" t="s">
        <v>21178</v>
      </c>
      <c r="F12997" s="4" t="s">
        <v>21179</v>
      </c>
    </row>
    <row r="12998">
      <c r="A12998" s="4">
        <v>406.0</v>
      </c>
      <c r="B12998" s="4" t="s">
        <v>22112</v>
      </c>
      <c r="C12998" s="4"/>
      <c r="D12998" s="4" t="s">
        <v>21180</v>
      </c>
      <c r="E12998" s="4" t="s">
        <v>21181</v>
      </c>
      <c r="F12998" s="4" t="s">
        <v>21182</v>
      </c>
    </row>
    <row r="12999">
      <c r="A12999" s="4">
        <v>407.0</v>
      </c>
      <c r="B12999" s="4" t="s">
        <v>22112</v>
      </c>
      <c r="C12999" s="4"/>
      <c r="D12999" s="4" t="s">
        <v>21183</v>
      </c>
      <c r="E12999" s="4" t="s">
        <v>21184</v>
      </c>
      <c r="F12999" s="4" t="s">
        <v>21185</v>
      </c>
    </row>
    <row r="13000">
      <c r="A13000" s="4">
        <v>408.0</v>
      </c>
      <c r="B13000" s="4" t="s">
        <v>22112</v>
      </c>
      <c r="C13000" s="4"/>
      <c r="D13000" s="4" t="s">
        <v>21186</v>
      </c>
      <c r="E13000" s="4" t="s">
        <v>21187</v>
      </c>
      <c r="F13000" s="4" t="s">
        <v>21188</v>
      </c>
    </row>
    <row r="13001">
      <c r="A13001" s="4">
        <v>409.0</v>
      </c>
      <c r="B13001" s="4" t="s">
        <v>22112</v>
      </c>
      <c r="C13001" s="4"/>
      <c r="D13001" s="4" t="s">
        <v>962</v>
      </c>
      <c r="E13001" s="4" t="s">
        <v>961</v>
      </c>
      <c r="F13001" s="4" t="s">
        <v>962</v>
      </c>
    </row>
    <row r="13002">
      <c r="A13002" s="4">
        <v>410.0</v>
      </c>
      <c r="B13002" s="4" t="s">
        <v>22112</v>
      </c>
      <c r="C13002" s="4"/>
      <c r="D13002" s="4" t="s">
        <v>12448</v>
      </c>
      <c r="E13002" s="4" t="s">
        <v>1232</v>
      </c>
      <c r="F13002" s="4" t="s">
        <v>1233</v>
      </c>
    </row>
    <row r="13003">
      <c r="A13003" s="4">
        <v>411.0</v>
      </c>
      <c r="B13003" s="4" t="s">
        <v>22112</v>
      </c>
      <c r="C13003" s="4"/>
      <c r="D13003" s="4" t="s">
        <v>19097</v>
      </c>
      <c r="E13003" s="4" t="s">
        <v>19096</v>
      </c>
      <c r="F13003" s="4" t="s">
        <v>19097</v>
      </c>
    </row>
    <row r="13004">
      <c r="A13004" s="4">
        <v>412.0</v>
      </c>
      <c r="B13004" s="4" t="s">
        <v>22112</v>
      </c>
      <c r="C13004" s="4"/>
      <c r="D13004" s="4" t="s">
        <v>1336</v>
      </c>
      <c r="E13004" s="4" t="s">
        <v>1335</v>
      </c>
      <c r="F13004" s="4" t="s">
        <v>1336</v>
      </c>
    </row>
    <row r="13005">
      <c r="A13005" s="4">
        <v>413.0</v>
      </c>
      <c r="B13005" s="4" t="s">
        <v>22112</v>
      </c>
      <c r="C13005" s="4"/>
      <c r="D13005" s="4" t="s">
        <v>21189</v>
      </c>
      <c r="E13005" s="4" t="s">
        <v>21190</v>
      </c>
      <c r="F13005" s="4" t="s">
        <v>21189</v>
      </c>
    </row>
    <row r="13006">
      <c r="A13006" s="4">
        <v>414.0</v>
      </c>
      <c r="B13006" s="4" t="s">
        <v>22112</v>
      </c>
      <c r="C13006" s="4"/>
      <c r="D13006" s="4" t="s">
        <v>10135</v>
      </c>
      <c r="E13006" s="4" t="s">
        <v>15066</v>
      </c>
      <c r="F13006" s="4" t="s">
        <v>10135</v>
      </c>
    </row>
    <row r="13007">
      <c r="A13007" s="4">
        <v>415.0</v>
      </c>
      <c r="B13007" s="4" t="s">
        <v>22112</v>
      </c>
      <c r="C13007" s="4"/>
      <c r="D13007" s="4" t="s">
        <v>21191</v>
      </c>
      <c r="E13007" s="4" t="s">
        <v>21192</v>
      </c>
      <c r="F13007" s="4" t="s">
        <v>21191</v>
      </c>
    </row>
    <row r="13008">
      <c r="A13008" s="4">
        <v>416.0</v>
      </c>
      <c r="B13008" s="4" t="s">
        <v>22112</v>
      </c>
      <c r="C13008" s="4"/>
      <c r="D13008" s="4" t="s">
        <v>2015</v>
      </c>
      <c r="E13008" s="4" t="s">
        <v>2016</v>
      </c>
      <c r="F13008" s="4" t="s">
        <v>2015</v>
      </c>
      <c r="G13008" s="4"/>
      <c r="H13008" s="4" t="s">
        <v>2015</v>
      </c>
      <c r="I13008" s="4" t="s">
        <v>2017</v>
      </c>
    </row>
    <row r="13009">
      <c r="A13009" s="4">
        <v>417.0</v>
      </c>
      <c r="B13009" s="4" t="s">
        <v>22112</v>
      </c>
      <c r="C13009" s="4"/>
      <c r="D13009" s="4" t="s">
        <v>21193</v>
      </c>
      <c r="E13009" s="4" t="s">
        <v>21194</v>
      </c>
      <c r="F13009" s="4" t="s">
        <v>14160</v>
      </c>
    </row>
    <row r="13010">
      <c r="A13010" s="4">
        <v>418.0</v>
      </c>
      <c r="B13010" s="4" t="s">
        <v>22112</v>
      </c>
      <c r="C13010" s="4"/>
      <c r="D13010" s="4" t="s">
        <v>21195</v>
      </c>
      <c r="E13010" s="4" t="s">
        <v>21196</v>
      </c>
      <c r="F13010" s="4" t="s">
        <v>17182</v>
      </c>
    </row>
    <row r="13011">
      <c r="A13011" s="4">
        <v>419.0</v>
      </c>
      <c r="B13011" s="4" t="s">
        <v>22112</v>
      </c>
      <c r="C13011" s="4"/>
      <c r="D13011" s="4" t="s">
        <v>21197</v>
      </c>
      <c r="E13011" s="4" t="s">
        <v>21198</v>
      </c>
      <c r="F13011" s="4" t="s">
        <v>21197</v>
      </c>
    </row>
    <row r="13012">
      <c r="A13012" s="4">
        <v>420.0</v>
      </c>
      <c r="B13012" s="4" t="s">
        <v>22112</v>
      </c>
      <c r="C13012" s="4"/>
      <c r="D13012" s="4" t="s">
        <v>2260</v>
      </c>
      <c r="E13012" s="4" t="s">
        <v>2259</v>
      </c>
      <c r="F13012" s="4" t="s">
        <v>2260</v>
      </c>
    </row>
    <row r="13013">
      <c r="A13013" s="4">
        <v>421.0</v>
      </c>
      <c r="B13013" s="4" t="s">
        <v>22112</v>
      </c>
      <c r="C13013" s="4"/>
      <c r="D13013" s="4" t="s">
        <v>2024</v>
      </c>
      <c r="E13013" s="4" t="s">
        <v>2025</v>
      </c>
      <c r="F13013" s="4" t="s">
        <v>2024</v>
      </c>
    </row>
    <row r="13014">
      <c r="A13014" s="4">
        <v>422.0</v>
      </c>
      <c r="B13014" s="4" t="s">
        <v>22112</v>
      </c>
      <c r="C13014" s="4"/>
      <c r="D13014" s="4" t="s">
        <v>21199</v>
      </c>
      <c r="E13014" s="4" t="s">
        <v>21200</v>
      </c>
      <c r="F13014" s="4" t="s">
        <v>21199</v>
      </c>
    </row>
    <row r="13015">
      <c r="A13015" s="4">
        <v>423.0</v>
      </c>
      <c r="B13015" s="4" t="s">
        <v>22112</v>
      </c>
      <c r="C13015" s="4"/>
      <c r="D13015" s="4" t="s">
        <v>21201</v>
      </c>
      <c r="E13015" s="4" t="s">
        <v>21202</v>
      </c>
      <c r="F13015" s="4" t="s">
        <v>21201</v>
      </c>
    </row>
    <row r="13016">
      <c r="A13016" s="4">
        <v>424.0</v>
      </c>
      <c r="B13016" s="4" t="s">
        <v>22112</v>
      </c>
      <c r="C13016" s="4"/>
      <c r="D13016" s="4" t="s">
        <v>21203</v>
      </c>
      <c r="E13016" s="4" t="s">
        <v>21200</v>
      </c>
      <c r="F13016" s="4" t="s">
        <v>21199</v>
      </c>
    </row>
    <row r="13017">
      <c r="A13017" s="4">
        <v>425.0</v>
      </c>
      <c r="B13017" s="4" t="s">
        <v>22112</v>
      </c>
      <c r="C13017" s="4"/>
      <c r="D13017" s="4" t="s">
        <v>21204</v>
      </c>
      <c r="E13017" s="4" t="s">
        <v>21202</v>
      </c>
      <c r="F13017" s="4" t="s">
        <v>21201</v>
      </c>
    </row>
    <row r="13018">
      <c r="A13018" s="4">
        <v>426.0</v>
      </c>
      <c r="B13018" s="4" t="s">
        <v>22112</v>
      </c>
      <c r="C13018" s="4"/>
      <c r="D13018" s="4" t="s">
        <v>21205</v>
      </c>
      <c r="E13018" s="4" t="s">
        <v>21206</v>
      </c>
      <c r="F13018" s="4" t="s">
        <v>21205</v>
      </c>
    </row>
    <row r="13019">
      <c r="A13019" s="4">
        <v>427.0</v>
      </c>
      <c r="B13019" s="4" t="s">
        <v>22112</v>
      </c>
      <c r="C13019" s="4"/>
      <c r="D13019" s="4" t="s">
        <v>10257</v>
      </c>
      <c r="E13019" s="4" t="s">
        <v>12506</v>
      </c>
      <c r="F13019" s="4" t="s">
        <v>10257</v>
      </c>
    </row>
    <row r="13020">
      <c r="A13020" s="4">
        <v>428.0</v>
      </c>
      <c r="B13020" s="4" t="s">
        <v>22112</v>
      </c>
      <c r="C13020" s="4"/>
      <c r="D13020" s="4" t="s">
        <v>21207</v>
      </c>
      <c r="E13020" s="4" t="s">
        <v>21208</v>
      </c>
      <c r="F13020" s="4" t="s">
        <v>21207</v>
      </c>
    </row>
    <row r="13021">
      <c r="A13021" s="4">
        <v>429.0</v>
      </c>
      <c r="B13021" s="4" t="s">
        <v>22112</v>
      </c>
      <c r="C13021" s="4"/>
      <c r="D13021" s="4" t="s">
        <v>21209</v>
      </c>
      <c r="E13021" s="4" t="s">
        <v>21210</v>
      </c>
      <c r="F13021" s="4" t="s">
        <v>21209</v>
      </c>
    </row>
    <row r="13022">
      <c r="A13022" s="4">
        <v>430.0</v>
      </c>
      <c r="B13022" s="4" t="s">
        <v>22112</v>
      </c>
      <c r="C13022" s="4"/>
      <c r="D13022" s="4" t="s">
        <v>6517</v>
      </c>
      <c r="E13022" s="4" t="s">
        <v>12529</v>
      </c>
      <c r="F13022" s="4" t="s">
        <v>6517</v>
      </c>
    </row>
    <row r="13023">
      <c r="A13023" s="4">
        <v>431.0</v>
      </c>
      <c r="B13023" s="4" t="s">
        <v>22112</v>
      </c>
      <c r="C13023" s="4"/>
      <c r="D13023" s="4" t="s">
        <v>21211</v>
      </c>
      <c r="E13023" s="4" t="s">
        <v>21212</v>
      </c>
      <c r="F13023" s="4" t="s">
        <v>21211</v>
      </c>
      <c r="G13023" s="4"/>
      <c r="H13023" s="4" t="s">
        <v>21213</v>
      </c>
      <c r="I13023" s="4" t="s">
        <v>21214</v>
      </c>
    </row>
    <row r="13024">
      <c r="A13024" s="4">
        <v>432.0</v>
      </c>
      <c r="B13024" s="4" t="s">
        <v>22112</v>
      </c>
      <c r="C13024" s="4"/>
      <c r="D13024" s="4" t="s">
        <v>15927</v>
      </c>
      <c r="E13024" s="4" t="s">
        <v>15928</v>
      </c>
      <c r="F13024" s="4" t="s">
        <v>15927</v>
      </c>
      <c r="G13024" s="4"/>
      <c r="H13024" s="4" t="s">
        <v>1120</v>
      </c>
      <c r="I13024" s="4" t="s">
        <v>5944</v>
      </c>
      <c r="J13024" s="4" t="s">
        <v>5945</v>
      </c>
      <c r="K13024" s="4" t="s">
        <v>4438</v>
      </c>
      <c r="L13024" s="4" t="s">
        <v>19642</v>
      </c>
      <c r="M13024" s="4" t="s">
        <v>9618</v>
      </c>
      <c r="N13024" s="4" t="s">
        <v>12767</v>
      </c>
      <c r="O13024" s="4" t="s">
        <v>12768</v>
      </c>
      <c r="P13024" s="4" t="s">
        <v>12769</v>
      </c>
      <c r="Q13024" s="4" t="s">
        <v>21215</v>
      </c>
    </row>
    <row r="13025">
      <c r="A13025" s="4">
        <v>433.0</v>
      </c>
      <c r="B13025" s="4" t="s">
        <v>22112</v>
      </c>
      <c r="C13025" s="4"/>
      <c r="D13025" s="4" t="s">
        <v>17991</v>
      </c>
      <c r="E13025" s="4" t="s">
        <v>17992</v>
      </c>
      <c r="F13025" s="4" t="s">
        <v>17991</v>
      </c>
    </row>
    <row r="13026">
      <c r="A13026" s="4">
        <v>434.0</v>
      </c>
      <c r="B13026" s="4" t="s">
        <v>22112</v>
      </c>
      <c r="C13026" s="4"/>
      <c r="D13026" s="4" t="s">
        <v>10275</v>
      </c>
      <c r="E13026" s="4" t="s">
        <v>16717</v>
      </c>
      <c r="F13026" s="4" t="s">
        <v>10275</v>
      </c>
    </row>
    <row r="13027">
      <c r="A13027" s="4">
        <v>435.0</v>
      </c>
      <c r="B13027" s="4" t="s">
        <v>22112</v>
      </c>
      <c r="C13027" s="4"/>
      <c r="D13027" s="4" t="s">
        <v>21216</v>
      </c>
      <c r="E13027" s="4" t="s">
        <v>21217</v>
      </c>
      <c r="F13027" s="4" t="s">
        <v>21216</v>
      </c>
    </row>
    <row r="13028">
      <c r="A13028" s="4">
        <v>436.0</v>
      </c>
      <c r="B13028" s="4" t="s">
        <v>22112</v>
      </c>
      <c r="C13028" s="4"/>
      <c r="D13028" s="4" t="s">
        <v>21218</v>
      </c>
      <c r="E13028" s="4" t="s">
        <v>21219</v>
      </c>
      <c r="F13028" s="4" t="s">
        <v>21218</v>
      </c>
    </row>
    <row r="13029">
      <c r="A13029" s="4">
        <v>437.0</v>
      </c>
      <c r="B13029" s="4" t="s">
        <v>22112</v>
      </c>
      <c r="C13029" s="4"/>
      <c r="D13029" s="4" t="s">
        <v>21220</v>
      </c>
      <c r="E13029" s="4" t="s">
        <v>21221</v>
      </c>
      <c r="F13029" s="4" t="s">
        <v>21220</v>
      </c>
    </row>
    <row r="13030">
      <c r="A13030" s="4">
        <v>438.0</v>
      </c>
      <c r="B13030" s="4" t="s">
        <v>22112</v>
      </c>
      <c r="C13030" s="4"/>
      <c r="D13030" s="4" t="s">
        <v>21222</v>
      </c>
      <c r="E13030" s="4" t="s">
        <v>21219</v>
      </c>
      <c r="F13030" s="4" t="s">
        <v>21218</v>
      </c>
    </row>
    <row r="13031">
      <c r="A13031" s="4">
        <v>439.0</v>
      </c>
      <c r="B13031" s="4" t="s">
        <v>22112</v>
      </c>
      <c r="C13031" s="4"/>
      <c r="D13031" s="4" t="s">
        <v>21223</v>
      </c>
      <c r="E13031" s="4" t="s">
        <v>21221</v>
      </c>
      <c r="F13031" s="4" t="s">
        <v>21220</v>
      </c>
    </row>
    <row r="13032">
      <c r="A13032" s="4">
        <v>440.0</v>
      </c>
      <c r="B13032" s="4" t="s">
        <v>22112</v>
      </c>
      <c r="C13032" s="4"/>
      <c r="D13032" s="4" t="s">
        <v>21224</v>
      </c>
      <c r="E13032" s="4" t="s">
        <v>21225</v>
      </c>
      <c r="F13032" s="4" t="s">
        <v>21224</v>
      </c>
    </row>
    <row r="13033">
      <c r="A13033" s="4">
        <v>441.0</v>
      </c>
      <c r="B13033" s="4" t="s">
        <v>22112</v>
      </c>
      <c r="C13033" s="4"/>
      <c r="D13033" s="4" t="s">
        <v>14419</v>
      </c>
      <c r="E13033" s="4" t="s">
        <v>14420</v>
      </c>
      <c r="F13033" s="4" t="s">
        <v>14419</v>
      </c>
      <c r="G13033" s="4"/>
      <c r="H13033" s="4" t="s">
        <v>3493</v>
      </c>
      <c r="I13033" s="4" t="s">
        <v>21226</v>
      </c>
      <c r="J13033" s="4" t="s">
        <v>10124</v>
      </c>
      <c r="K13033" s="4" t="s">
        <v>11518</v>
      </c>
      <c r="L13033" s="4" t="s">
        <v>11516</v>
      </c>
      <c r="M13033" s="4" t="s">
        <v>13433</v>
      </c>
      <c r="N13033" s="4" t="s">
        <v>6407</v>
      </c>
      <c r="O13033" s="4" t="s">
        <v>13433</v>
      </c>
    </row>
    <row r="13034">
      <c r="A13034" s="4">
        <v>442.0</v>
      </c>
      <c r="B13034" s="4" t="s">
        <v>22112</v>
      </c>
      <c r="C13034" s="4"/>
      <c r="D13034" s="4" t="s">
        <v>21227</v>
      </c>
      <c r="E13034" s="4" t="s">
        <v>21228</v>
      </c>
      <c r="F13034" s="4" t="s">
        <v>21227</v>
      </c>
    </row>
    <row r="13035">
      <c r="A13035" s="4">
        <v>443.0</v>
      </c>
      <c r="B13035" s="4" t="s">
        <v>22112</v>
      </c>
      <c r="C13035" s="4"/>
      <c r="D13035" s="4" t="s">
        <v>21229</v>
      </c>
      <c r="E13035" s="4" t="s">
        <v>12531</v>
      </c>
      <c r="F13035" s="4" t="s">
        <v>6589</v>
      </c>
      <c r="G13035" s="4"/>
      <c r="H13035" s="4" t="s">
        <v>2141</v>
      </c>
    </row>
    <row r="13036">
      <c r="A13036" s="4">
        <v>444.0</v>
      </c>
      <c r="B13036" s="4" t="s">
        <v>22112</v>
      </c>
      <c r="C13036" s="4"/>
      <c r="D13036" s="4" t="s">
        <v>21230</v>
      </c>
      <c r="E13036" s="4" t="s">
        <v>21231</v>
      </c>
      <c r="F13036" s="4" t="s">
        <v>21232</v>
      </c>
    </row>
    <row r="13037">
      <c r="A13037" s="4">
        <v>445.0</v>
      </c>
      <c r="B13037" s="4" t="s">
        <v>22112</v>
      </c>
      <c r="C13037" s="4"/>
      <c r="D13037" s="4" t="s">
        <v>21233</v>
      </c>
      <c r="E13037" s="4" t="s">
        <v>18007</v>
      </c>
      <c r="F13037" s="4" t="s">
        <v>10297</v>
      </c>
    </row>
    <row r="13038">
      <c r="A13038" s="4">
        <v>446.0</v>
      </c>
      <c r="B13038" s="4" t="s">
        <v>22112</v>
      </c>
      <c r="C13038" s="4"/>
      <c r="D13038" s="4" t="s">
        <v>21234</v>
      </c>
      <c r="E13038" s="4" t="s">
        <v>21235</v>
      </c>
      <c r="F13038" s="4" t="s">
        <v>19641</v>
      </c>
      <c r="G13038" s="4"/>
      <c r="H13038" s="4" t="s">
        <v>21236</v>
      </c>
      <c r="I13038" s="4" t="s">
        <v>4853</v>
      </c>
    </row>
    <row r="13039">
      <c r="A13039" s="4">
        <v>447.0</v>
      </c>
      <c r="B13039" s="4" t="s">
        <v>22112</v>
      </c>
      <c r="C13039" s="4"/>
      <c r="D13039" s="4" t="s">
        <v>2045</v>
      </c>
      <c r="E13039" s="4" t="s">
        <v>2046</v>
      </c>
      <c r="F13039" s="4" t="s">
        <v>2045</v>
      </c>
    </row>
    <row r="13040">
      <c r="A13040" s="4">
        <v>448.0</v>
      </c>
      <c r="B13040" s="4" t="s">
        <v>22112</v>
      </c>
      <c r="C13040" s="4"/>
      <c r="D13040" s="4" t="s">
        <v>10313</v>
      </c>
      <c r="E13040" s="4" t="s">
        <v>12589</v>
      </c>
      <c r="F13040" s="4" t="s">
        <v>10313</v>
      </c>
    </row>
    <row r="13041">
      <c r="A13041" s="4">
        <v>449.0</v>
      </c>
      <c r="B13041" s="4" t="s">
        <v>22112</v>
      </c>
      <c r="C13041" s="4"/>
      <c r="D13041" s="4" t="s">
        <v>21237</v>
      </c>
      <c r="E13041" s="4" t="s">
        <v>21238</v>
      </c>
      <c r="F13041" s="4" t="s">
        <v>21237</v>
      </c>
    </row>
    <row r="13042">
      <c r="A13042" s="4">
        <v>450.0</v>
      </c>
      <c r="B13042" s="4" t="s">
        <v>22112</v>
      </c>
      <c r="C13042" s="4"/>
      <c r="D13042" s="4" t="s">
        <v>21239</v>
      </c>
      <c r="E13042" s="4" t="s">
        <v>21240</v>
      </c>
      <c r="F13042" s="4" t="s">
        <v>21239</v>
      </c>
    </row>
    <row r="13043">
      <c r="A13043" s="4">
        <v>451.0</v>
      </c>
      <c r="B13043" s="4" t="s">
        <v>22112</v>
      </c>
      <c r="C13043" s="4"/>
      <c r="D13043" s="4" t="s">
        <v>2051</v>
      </c>
      <c r="E13043" s="4" t="s">
        <v>2077</v>
      </c>
      <c r="F13043" s="4" t="s">
        <v>2051</v>
      </c>
      <c r="G13043" s="4"/>
      <c r="H13043" s="4" t="s">
        <v>2055</v>
      </c>
      <c r="I13043" s="4" t="s">
        <v>2056</v>
      </c>
      <c r="J13043" s="4" t="s">
        <v>2057</v>
      </c>
      <c r="K13043" s="4" t="s">
        <v>2058</v>
      </c>
      <c r="L13043" s="4" t="s">
        <v>2059</v>
      </c>
      <c r="M13043" s="4" t="s">
        <v>2060</v>
      </c>
      <c r="N13043" s="4" t="s">
        <v>2061</v>
      </c>
      <c r="O13043" s="4" t="s">
        <v>2058</v>
      </c>
      <c r="P13043" s="4" t="s">
        <v>2062</v>
      </c>
      <c r="Q13043" s="4" t="s">
        <v>2060</v>
      </c>
      <c r="R13043" s="4" t="s">
        <v>2055</v>
      </c>
      <c r="S13043" s="4" t="s">
        <v>2059</v>
      </c>
      <c r="T13043" s="4" t="s">
        <v>2065</v>
      </c>
    </row>
    <row r="13044">
      <c r="A13044" s="4">
        <v>452.0</v>
      </c>
      <c r="B13044" s="4" t="s">
        <v>22112</v>
      </c>
      <c r="C13044" s="4"/>
      <c r="D13044" s="4" t="s">
        <v>21241</v>
      </c>
      <c r="E13044" s="4" t="s">
        <v>21242</v>
      </c>
      <c r="F13044" s="4" t="s">
        <v>21241</v>
      </c>
    </row>
    <row r="13045">
      <c r="A13045" s="4">
        <v>453.0</v>
      </c>
      <c r="B13045" s="4" t="s">
        <v>22112</v>
      </c>
      <c r="C13045" s="4"/>
      <c r="D13045" s="4" t="s">
        <v>21243</v>
      </c>
      <c r="E13045" s="4" t="s">
        <v>21244</v>
      </c>
      <c r="F13045" s="4" t="s">
        <v>21243</v>
      </c>
      <c r="G13045" s="4"/>
      <c r="H13045" s="4" t="s">
        <v>21245</v>
      </c>
    </row>
    <row r="13046">
      <c r="A13046" s="4">
        <v>454.0</v>
      </c>
      <c r="B13046" s="4" t="s">
        <v>22112</v>
      </c>
      <c r="C13046" s="4"/>
      <c r="D13046" s="4" t="s">
        <v>21246</v>
      </c>
      <c r="E13046" s="4" t="s">
        <v>18027</v>
      </c>
      <c r="F13046" s="4" t="s">
        <v>18026</v>
      </c>
    </row>
    <row r="13047">
      <c r="A13047" s="4">
        <v>455.0</v>
      </c>
      <c r="B13047" s="4" t="s">
        <v>22112</v>
      </c>
      <c r="C13047" s="4"/>
      <c r="D13047" s="4" t="s">
        <v>2078</v>
      </c>
      <c r="E13047" s="4" t="s">
        <v>2079</v>
      </c>
      <c r="F13047" s="4" t="s">
        <v>2078</v>
      </c>
      <c r="G13047" s="4"/>
      <c r="H13047" s="4" t="s">
        <v>2080</v>
      </c>
      <c r="I13047" s="4" t="s">
        <v>2078</v>
      </c>
      <c r="J13047" s="4" t="s">
        <v>2082</v>
      </c>
    </row>
    <row r="13048">
      <c r="A13048" s="4">
        <v>456.0</v>
      </c>
      <c r="B13048" s="4" t="s">
        <v>22112</v>
      </c>
      <c r="C13048" s="4"/>
      <c r="D13048" s="4" t="s">
        <v>5308</v>
      </c>
      <c r="E13048" s="4" t="s">
        <v>5307</v>
      </c>
      <c r="F13048" s="4" t="s">
        <v>5308</v>
      </c>
      <c r="G13048" s="4"/>
      <c r="H13048" s="4" t="s">
        <v>21247</v>
      </c>
      <c r="I13048" s="4" t="s">
        <v>21248</v>
      </c>
      <c r="J13048" s="4" t="s">
        <v>21249</v>
      </c>
      <c r="K13048" s="4" t="s">
        <v>21250</v>
      </c>
    </row>
    <row r="13049">
      <c r="A13049" s="4">
        <v>457.0</v>
      </c>
      <c r="B13049" s="4" t="s">
        <v>22112</v>
      </c>
      <c r="C13049" s="4"/>
      <c r="D13049" s="4" t="s">
        <v>21251</v>
      </c>
      <c r="E13049" s="4" t="s">
        <v>21252</v>
      </c>
      <c r="F13049" s="4" t="s">
        <v>21251</v>
      </c>
    </row>
    <row r="13050">
      <c r="A13050" s="4">
        <v>458.0</v>
      </c>
      <c r="B13050" s="4" t="s">
        <v>22112</v>
      </c>
      <c r="C13050" s="4"/>
      <c r="D13050" s="4" t="s">
        <v>21253</v>
      </c>
      <c r="E13050" s="4" t="s">
        <v>21254</v>
      </c>
      <c r="F13050" s="4" t="s">
        <v>21253</v>
      </c>
    </row>
    <row r="13051">
      <c r="A13051" s="4">
        <v>459.0</v>
      </c>
      <c r="B13051" s="4" t="s">
        <v>22112</v>
      </c>
      <c r="C13051" s="4"/>
      <c r="D13051" s="4" t="s">
        <v>6669</v>
      </c>
      <c r="E13051" s="4" t="s">
        <v>12633</v>
      </c>
      <c r="F13051" s="4" t="s">
        <v>6671</v>
      </c>
    </row>
    <row r="13052">
      <c r="A13052" s="4">
        <v>460.0</v>
      </c>
      <c r="B13052" s="4" t="s">
        <v>22112</v>
      </c>
      <c r="C13052" s="4"/>
      <c r="D13052" s="4" t="s">
        <v>16732</v>
      </c>
      <c r="E13052" s="4" t="s">
        <v>16733</v>
      </c>
      <c r="F13052" s="4" t="s">
        <v>10387</v>
      </c>
    </row>
    <row r="13053">
      <c r="A13053" s="4">
        <v>461.0</v>
      </c>
      <c r="B13053" s="4" t="s">
        <v>22112</v>
      </c>
      <c r="C13053" s="4"/>
      <c r="D13053" s="4" t="s">
        <v>21255</v>
      </c>
      <c r="E13053" s="4" t="s">
        <v>21256</v>
      </c>
      <c r="F13053" s="4" t="s">
        <v>21257</v>
      </c>
    </row>
    <row r="13054">
      <c r="A13054" s="4">
        <v>462.0</v>
      </c>
      <c r="B13054" s="4" t="s">
        <v>22112</v>
      </c>
      <c r="C13054" s="4"/>
      <c r="D13054" s="4" t="s">
        <v>21258</v>
      </c>
      <c r="E13054" s="4" t="s">
        <v>21259</v>
      </c>
      <c r="F13054" s="4" t="s">
        <v>21258</v>
      </c>
    </row>
    <row r="13055">
      <c r="A13055" s="4">
        <v>463.0</v>
      </c>
      <c r="B13055" s="4" t="s">
        <v>22112</v>
      </c>
      <c r="C13055" s="4"/>
      <c r="D13055" s="4" t="s">
        <v>2249</v>
      </c>
      <c r="E13055" s="4" t="s">
        <v>2248</v>
      </c>
      <c r="F13055" s="4" t="s">
        <v>2249</v>
      </c>
      <c r="G13055" s="4"/>
      <c r="H13055" s="4" t="s">
        <v>2213</v>
      </c>
      <c r="I13055" s="4" t="s">
        <v>2212</v>
      </c>
      <c r="J13055" s="4" t="s">
        <v>2212</v>
      </c>
      <c r="K13055" s="4" t="s">
        <v>21260</v>
      </c>
      <c r="L13055" s="4" t="s">
        <v>2214</v>
      </c>
      <c r="M13055" s="4" t="s">
        <v>2212</v>
      </c>
      <c r="N13055" s="4" t="s">
        <v>2215</v>
      </c>
      <c r="O13055" s="4" t="s">
        <v>2216</v>
      </c>
    </row>
    <row r="13056">
      <c r="A13056" s="4">
        <v>464.0</v>
      </c>
      <c r="B13056" s="4" t="s">
        <v>22112</v>
      </c>
      <c r="C13056" s="4"/>
      <c r="D13056" s="4" t="s">
        <v>2247</v>
      </c>
      <c r="E13056" s="4" t="s">
        <v>2250</v>
      </c>
      <c r="F13056" s="4" t="s">
        <v>2247</v>
      </c>
    </row>
    <row r="13057">
      <c r="A13057" s="4">
        <v>465.0</v>
      </c>
      <c r="B13057" s="4" t="s">
        <v>22112</v>
      </c>
      <c r="C13057" s="4"/>
      <c r="D13057" s="4" t="s">
        <v>21261</v>
      </c>
      <c r="E13057" s="4" t="s">
        <v>21262</v>
      </c>
      <c r="F13057" s="4" t="s">
        <v>21261</v>
      </c>
    </row>
    <row r="13058">
      <c r="A13058" s="4">
        <v>466.0</v>
      </c>
      <c r="B13058" s="4" t="s">
        <v>22112</v>
      </c>
      <c r="C13058" s="4"/>
      <c r="D13058" s="4" t="s">
        <v>2256</v>
      </c>
      <c r="E13058" s="4" t="s">
        <v>2257</v>
      </c>
      <c r="F13058" s="4" t="s">
        <v>2256</v>
      </c>
      <c r="G13058" s="4"/>
      <c r="H13058" s="4" t="s">
        <v>11296</v>
      </c>
    </row>
    <row r="13059">
      <c r="A13059" s="4">
        <v>467.0</v>
      </c>
      <c r="B13059" s="4" t="s">
        <v>22112</v>
      </c>
      <c r="C13059" s="4"/>
      <c r="D13059" s="4" t="s">
        <v>21263</v>
      </c>
      <c r="E13059" s="4" t="s">
        <v>21264</v>
      </c>
      <c r="F13059" s="4" t="s">
        <v>21263</v>
      </c>
    </row>
    <row r="13060">
      <c r="A13060" s="4">
        <v>468.0</v>
      </c>
      <c r="B13060" s="4" t="s">
        <v>22112</v>
      </c>
      <c r="C13060" s="4"/>
      <c r="D13060" s="4" t="s">
        <v>21265</v>
      </c>
      <c r="E13060" s="4" t="s">
        <v>2259</v>
      </c>
      <c r="F13060" s="4" t="s">
        <v>2260</v>
      </c>
      <c r="G13060" s="4"/>
      <c r="H13060" s="4" t="s">
        <v>2261</v>
      </c>
      <c r="I13060" s="4" t="s">
        <v>2262</v>
      </c>
      <c r="J13060" s="4" t="s">
        <v>2263</v>
      </c>
      <c r="K13060" s="4" t="s">
        <v>2264</v>
      </c>
      <c r="L13060" s="4" t="s">
        <v>2265</v>
      </c>
    </row>
    <row r="13061">
      <c r="A13061" s="4">
        <v>469.0</v>
      </c>
      <c r="B13061" s="4" t="s">
        <v>22112</v>
      </c>
      <c r="C13061" s="4"/>
      <c r="D13061" s="4" t="s">
        <v>21266</v>
      </c>
      <c r="E13061" s="4" t="s">
        <v>21208</v>
      </c>
      <c r="F13061" s="4" t="s">
        <v>21207</v>
      </c>
    </row>
    <row r="13062">
      <c r="A13062" s="4">
        <v>470.0</v>
      </c>
      <c r="B13062" s="4" t="s">
        <v>22112</v>
      </c>
      <c r="C13062" s="4"/>
      <c r="D13062" s="4" t="s">
        <v>2269</v>
      </c>
      <c r="E13062" s="4" t="s">
        <v>2270</v>
      </c>
      <c r="F13062" s="4" t="s">
        <v>2271</v>
      </c>
    </row>
    <row r="13063">
      <c r="A13063" s="4">
        <v>471.0</v>
      </c>
      <c r="B13063" s="4" t="s">
        <v>22112</v>
      </c>
      <c r="C13063" s="4"/>
      <c r="D13063" s="4" t="s">
        <v>2275</v>
      </c>
      <c r="E13063" s="4" t="s">
        <v>2276</v>
      </c>
      <c r="F13063" s="4" t="s">
        <v>2277</v>
      </c>
    </row>
    <row r="13064">
      <c r="A13064" s="4">
        <v>472.0</v>
      </c>
      <c r="B13064" s="4" t="s">
        <v>22112</v>
      </c>
      <c r="C13064" s="4"/>
      <c r="D13064" s="4" t="s">
        <v>21267</v>
      </c>
      <c r="E13064" s="4" t="s">
        <v>21268</v>
      </c>
      <c r="F13064" s="4" t="s">
        <v>21269</v>
      </c>
    </row>
    <row r="13065">
      <c r="A13065" s="4">
        <v>473.0</v>
      </c>
      <c r="B13065" s="4" t="s">
        <v>22112</v>
      </c>
      <c r="C13065" s="4"/>
      <c r="D13065" s="4" t="s">
        <v>21270</v>
      </c>
      <c r="E13065" s="4" t="s">
        <v>21271</v>
      </c>
      <c r="F13065" s="4" t="s">
        <v>21272</v>
      </c>
    </row>
    <row r="13066">
      <c r="A13066" s="4">
        <v>474.0</v>
      </c>
      <c r="B13066" s="4" t="s">
        <v>22112</v>
      </c>
      <c r="C13066" s="4"/>
      <c r="D13066" s="4" t="s">
        <v>21273</v>
      </c>
      <c r="E13066" s="4" t="s">
        <v>14643</v>
      </c>
      <c r="F13066" s="4" t="s">
        <v>2601</v>
      </c>
    </row>
    <row r="13067">
      <c r="A13067" s="4">
        <v>475.0</v>
      </c>
      <c r="B13067" s="4" t="s">
        <v>22112</v>
      </c>
      <c r="C13067" s="4"/>
      <c r="D13067" s="4" t="s">
        <v>2280</v>
      </c>
      <c r="E13067" s="4" t="s">
        <v>2281</v>
      </c>
      <c r="F13067" s="4" t="s">
        <v>2282</v>
      </c>
    </row>
    <row r="13068">
      <c r="A13068" s="4">
        <v>476.0</v>
      </c>
      <c r="B13068" s="4" t="s">
        <v>22112</v>
      </c>
      <c r="C13068" s="4"/>
      <c r="D13068" s="4" t="s">
        <v>21274</v>
      </c>
      <c r="E13068" s="4" t="s">
        <v>21275</v>
      </c>
      <c r="F13068" s="4" t="s">
        <v>21276</v>
      </c>
      <c r="G13068" s="4"/>
      <c r="H13068" s="4" t="s">
        <v>18141</v>
      </c>
      <c r="I13068" s="4" t="s">
        <v>18142</v>
      </c>
    </row>
    <row r="13069">
      <c r="A13069" s="4">
        <v>477.0</v>
      </c>
      <c r="B13069" s="4" t="s">
        <v>22112</v>
      </c>
      <c r="C13069" s="4"/>
      <c r="D13069" s="4" t="s">
        <v>21277</v>
      </c>
      <c r="E13069" s="4" t="s">
        <v>21278</v>
      </c>
      <c r="F13069" s="4" t="s">
        <v>21279</v>
      </c>
    </row>
    <row r="13070">
      <c r="A13070" s="4">
        <v>478.0</v>
      </c>
      <c r="B13070" s="4" t="s">
        <v>22112</v>
      </c>
      <c r="C13070" s="4"/>
      <c r="D13070" s="4" t="s">
        <v>21280</v>
      </c>
      <c r="E13070" s="4" t="s">
        <v>21281</v>
      </c>
      <c r="F13070" s="4" t="s">
        <v>18115</v>
      </c>
    </row>
    <row r="13071">
      <c r="A13071" s="4">
        <v>479.0</v>
      </c>
      <c r="B13071" s="4" t="s">
        <v>22112</v>
      </c>
      <c r="C13071" s="4"/>
      <c r="D13071" s="4" t="s">
        <v>21282</v>
      </c>
      <c r="E13071" s="4" t="s">
        <v>21283</v>
      </c>
      <c r="F13071" s="4" t="s">
        <v>21284</v>
      </c>
    </row>
    <row r="13072">
      <c r="A13072" s="4">
        <v>480.0</v>
      </c>
      <c r="B13072" s="4" t="s">
        <v>22112</v>
      </c>
      <c r="C13072" s="4"/>
      <c r="D13072" s="4" t="s">
        <v>21285</v>
      </c>
      <c r="E13072" s="4" t="s">
        <v>21286</v>
      </c>
      <c r="F13072" s="4" t="s">
        <v>21287</v>
      </c>
    </row>
    <row r="13073">
      <c r="A13073" s="4">
        <v>481.0</v>
      </c>
      <c r="B13073" s="4" t="s">
        <v>22112</v>
      </c>
      <c r="C13073" s="4"/>
      <c r="D13073" s="4" t="s">
        <v>2290</v>
      </c>
      <c r="E13073" s="4" t="s">
        <v>2291</v>
      </c>
      <c r="F13073" s="4" t="s">
        <v>2292</v>
      </c>
    </row>
    <row r="13074">
      <c r="A13074" s="4">
        <v>482.0</v>
      </c>
      <c r="B13074" s="4" t="s">
        <v>22112</v>
      </c>
      <c r="C13074" s="4"/>
      <c r="D13074" s="4" t="s">
        <v>21288</v>
      </c>
      <c r="E13074" s="4" t="s">
        <v>2281</v>
      </c>
      <c r="F13074" s="4" t="s">
        <v>2282</v>
      </c>
    </row>
    <row r="13075">
      <c r="A13075" s="4">
        <v>483.0</v>
      </c>
      <c r="B13075" s="4" t="s">
        <v>22112</v>
      </c>
      <c r="C13075" s="4"/>
      <c r="D13075" s="4" t="s">
        <v>10493</v>
      </c>
      <c r="E13075" s="4" t="s">
        <v>18104</v>
      </c>
      <c r="F13075" s="4" t="s">
        <v>2282</v>
      </c>
      <c r="G13075" s="4"/>
      <c r="H13075" s="4" t="s">
        <v>21289</v>
      </c>
      <c r="I13075" s="4" t="s">
        <v>21290</v>
      </c>
      <c r="J13075" s="4" t="s">
        <v>21291</v>
      </c>
      <c r="K13075" s="4" t="s">
        <v>21292</v>
      </c>
    </row>
    <row r="13076">
      <c r="A13076" s="4">
        <v>484.0</v>
      </c>
      <c r="B13076" s="4" t="s">
        <v>22112</v>
      </c>
      <c r="C13076" s="4"/>
      <c r="D13076" s="4" t="s">
        <v>21293</v>
      </c>
      <c r="E13076" s="4" t="s">
        <v>21294</v>
      </c>
      <c r="F13076" s="4" t="s">
        <v>21295</v>
      </c>
      <c r="G13076" s="4"/>
      <c r="H13076" s="4" t="s">
        <v>3481</v>
      </c>
      <c r="I13076" s="4" t="s">
        <v>775</v>
      </c>
      <c r="J13076" s="4" t="s">
        <v>6774</v>
      </c>
    </row>
    <row r="13077">
      <c r="A13077" s="4">
        <v>485.0</v>
      </c>
      <c r="B13077" s="4" t="s">
        <v>22112</v>
      </c>
      <c r="C13077" s="4"/>
      <c r="D13077" s="4" t="s">
        <v>21296</v>
      </c>
      <c r="E13077" s="4" t="s">
        <v>21297</v>
      </c>
      <c r="F13077" s="4" t="s">
        <v>21284</v>
      </c>
    </row>
    <row r="13078">
      <c r="A13078" s="4">
        <v>486.0</v>
      </c>
      <c r="B13078" s="4" t="s">
        <v>22112</v>
      </c>
      <c r="C13078" s="4"/>
      <c r="D13078" s="4" t="s">
        <v>2322</v>
      </c>
      <c r="E13078" s="4" t="s">
        <v>2323</v>
      </c>
      <c r="F13078" s="4" t="s">
        <v>2322</v>
      </c>
      <c r="G13078" s="4"/>
      <c r="H13078" s="4" t="s">
        <v>21298</v>
      </c>
      <c r="I13078" s="4" t="s">
        <v>21299</v>
      </c>
      <c r="J13078" s="4" t="s">
        <v>2345</v>
      </c>
      <c r="K13078" s="4" t="s">
        <v>6344</v>
      </c>
      <c r="L13078" s="4" t="s">
        <v>6344</v>
      </c>
      <c r="M13078" s="4" t="s">
        <v>12749</v>
      </c>
      <c r="N13078" s="4" t="s">
        <v>6344</v>
      </c>
      <c r="O13078" s="4" t="s">
        <v>12755</v>
      </c>
      <c r="P13078" s="4" t="s">
        <v>2324</v>
      </c>
      <c r="Q13078" s="4" t="s">
        <v>2325</v>
      </c>
      <c r="R13078" s="4" t="s">
        <v>2326</v>
      </c>
      <c r="S13078" s="4" t="s">
        <v>2327</v>
      </c>
      <c r="T13078" s="4" t="s">
        <v>2332</v>
      </c>
      <c r="U13078" s="4" t="s">
        <v>10835</v>
      </c>
      <c r="V13078" s="4" t="s">
        <v>2332</v>
      </c>
      <c r="W13078" s="4" t="s">
        <v>2342</v>
      </c>
      <c r="X13078" s="4" t="s">
        <v>2326</v>
      </c>
    </row>
    <row r="13079">
      <c r="A13079" s="4">
        <v>487.0</v>
      </c>
      <c r="B13079" s="4" t="s">
        <v>22112</v>
      </c>
      <c r="C13079" s="4"/>
      <c r="D13079" s="4" t="s">
        <v>2351</v>
      </c>
      <c r="E13079" s="4" t="s">
        <v>2352</v>
      </c>
      <c r="F13079" s="4" t="s">
        <v>2351</v>
      </c>
    </row>
    <row r="13080">
      <c r="A13080" s="4">
        <v>488.0</v>
      </c>
      <c r="B13080" s="4" t="s">
        <v>22112</v>
      </c>
      <c r="C13080" s="4"/>
      <c r="D13080" s="4" t="s">
        <v>21300</v>
      </c>
      <c r="E13080" s="4" t="s">
        <v>21301</v>
      </c>
      <c r="F13080" s="4" t="s">
        <v>21302</v>
      </c>
    </row>
    <row r="13081">
      <c r="A13081" s="4">
        <v>489.0</v>
      </c>
      <c r="B13081" s="4" t="s">
        <v>22112</v>
      </c>
      <c r="C13081" s="4"/>
      <c r="D13081" s="4" t="s">
        <v>2361</v>
      </c>
      <c r="E13081" s="4" t="s">
        <v>2362</v>
      </c>
      <c r="F13081" s="4" t="s">
        <v>2363</v>
      </c>
    </row>
    <row r="13082">
      <c r="A13082" s="4">
        <v>490.0</v>
      </c>
      <c r="B13082" s="4" t="s">
        <v>22112</v>
      </c>
      <c r="C13082" s="4"/>
      <c r="D13082" s="4" t="s">
        <v>21303</v>
      </c>
      <c r="E13082" s="4" t="s">
        <v>21304</v>
      </c>
      <c r="F13082" s="4" t="s">
        <v>21303</v>
      </c>
    </row>
    <row r="13083">
      <c r="A13083" s="4">
        <v>491.0</v>
      </c>
      <c r="B13083" s="4" t="s">
        <v>22112</v>
      </c>
      <c r="C13083" s="4"/>
      <c r="D13083" s="4" t="s">
        <v>21305</v>
      </c>
      <c r="E13083" s="4" t="s">
        <v>5313</v>
      </c>
      <c r="F13083" s="4" t="s">
        <v>5314</v>
      </c>
    </row>
    <row r="13084">
      <c r="A13084" s="4">
        <v>492.0</v>
      </c>
      <c r="B13084" s="4" t="s">
        <v>22112</v>
      </c>
      <c r="C13084" s="4"/>
      <c r="D13084" s="4" t="s">
        <v>2381</v>
      </c>
      <c r="E13084" s="4" t="s">
        <v>2382</v>
      </c>
      <c r="F13084" s="4" t="s">
        <v>2381</v>
      </c>
      <c r="G13084" s="4"/>
      <c r="H13084" s="4" t="s">
        <v>10770</v>
      </c>
      <c r="I13084" s="4" t="s">
        <v>2383</v>
      </c>
      <c r="J13084" s="4" t="s">
        <v>2384</v>
      </c>
      <c r="K13084" s="4" t="s">
        <v>2278</v>
      </c>
      <c r="L13084" s="4" t="s">
        <v>2381</v>
      </c>
      <c r="M13084" s="4" t="s">
        <v>2384</v>
      </c>
      <c r="N13084" s="4" t="s">
        <v>2385</v>
      </c>
      <c r="O13084" s="4" t="s">
        <v>2386</v>
      </c>
      <c r="P13084" s="4" t="s">
        <v>2387</v>
      </c>
      <c r="Q13084" s="4" t="s">
        <v>2388</v>
      </c>
      <c r="R13084" s="4" t="s">
        <v>2389</v>
      </c>
      <c r="S13084" s="4" t="s">
        <v>2390</v>
      </c>
    </row>
    <row r="13085">
      <c r="A13085" s="4">
        <v>493.0</v>
      </c>
      <c r="B13085" s="4" t="s">
        <v>22112</v>
      </c>
      <c r="C13085" s="4"/>
      <c r="D13085" s="4" t="s">
        <v>2391</v>
      </c>
      <c r="E13085" s="4" t="s">
        <v>2392</v>
      </c>
      <c r="F13085" s="4" t="s">
        <v>2391</v>
      </c>
      <c r="G13085" s="4"/>
      <c r="H13085" s="4" t="s">
        <v>21306</v>
      </c>
    </row>
    <row r="13086">
      <c r="A13086" s="4">
        <v>494.0</v>
      </c>
      <c r="B13086" s="4" t="s">
        <v>22112</v>
      </c>
      <c r="C13086" s="4"/>
      <c r="D13086" s="4" t="s">
        <v>21307</v>
      </c>
      <c r="E13086" s="4" t="s">
        <v>21308</v>
      </c>
      <c r="F13086" s="4" t="s">
        <v>21307</v>
      </c>
    </row>
    <row r="13087">
      <c r="A13087" s="4">
        <v>495.0</v>
      </c>
      <c r="B13087" s="4" t="s">
        <v>22112</v>
      </c>
      <c r="C13087" s="4"/>
      <c r="D13087" s="4" t="s">
        <v>12789</v>
      </c>
      <c r="E13087" s="4" t="s">
        <v>12788</v>
      </c>
      <c r="F13087" s="4" t="s">
        <v>12789</v>
      </c>
    </row>
    <row r="13088">
      <c r="A13088" s="4">
        <v>496.0</v>
      </c>
      <c r="B13088" s="4" t="s">
        <v>22112</v>
      </c>
      <c r="C13088" s="4"/>
      <c r="D13088" s="4" t="s">
        <v>21309</v>
      </c>
      <c r="E13088" s="4" t="s">
        <v>21310</v>
      </c>
      <c r="F13088" s="4" t="s">
        <v>21309</v>
      </c>
    </row>
    <row r="13089">
      <c r="A13089" s="4">
        <v>497.0</v>
      </c>
      <c r="B13089" s="4" t="s">
        <v>22112</v>
      </c>
      <c r="C13089" s="4"/>
      <c r="D13089" s="4" t="s">
        <v>21311</v>
      </c>
      <c r="E13089" s="4" t="s">
        <v>21312</v>
      </c>
      <c r="F13089" s="4" t="s">
        <v>21311</v>
      </c>
    </row>
    <row r="13090">
      <c r="A13090" s="4">
        <v>498.0</v>
      </c>
      <c r="B13090" s="4" t="s">
        <v>22112</v>
      </c>
      <c r="C13090" s="4"/>
      <c r="D13090" s="4" t="s">
        <v>14465</v>
      </c>
      <c r="E13090" s="4" t="s">
        <v>2382</v>
      </c>
      <c r="F13090" s="4" t="s">
        <v>2381</v>
      </c>
      <c r="G13090" s="4"/>
      <c r="H13090" s="4" t="s">
        <v>2278</v>
      </c>
      <c r="I13090" s="4" t="s">
        <v>2381</v>
      </c>
      <c r="J13090" s="4" t="s">
        <v>2384</v>
      </c>
      <c r="K13090" s="4" t="s">
        <v>2385</v>
      </c>
      <c r="L13090" s="4" t="s">
        <v>2386</v>
      </c>
      <c r="M13090" s="4" t="s">
        <v>2387</v>
      </c>
      <c r="N13090" s="4" t="s">
        <v>2388</v>
      </c>
      <c r="O13090" s="4" t="s">
        <v>2389</v>
      </c>
      <c r="P13090" s="4" t="s">
        <v>2390</v>
      </c>
    </row>
    <row r="13091">
      <c r="A13091" s="4">
        <v>499.0</v>
      </c>
      <c r="B13091" s="4" t="s">
        <v>22112</v>
      </c>
      <c r="C13091" s="4"/>
      <c r="D13091" s="4" t="s">
        <v>1856</v>
      </c>
      <c r="E13091" s="4" t="s">
        <v>4841</v>
      </c>
      <c r="F13091" s="4" t="s">
        <v>1856</v>
      </c>
      <c r="G13091" s="4"/>
      <c r="H13091" s="4" t="s">
        <v>6747</v>
      </c>
      <c r="I13091" s="4" t="s">
        <v>6748</v>
      </c>
    </row>
    <row r="13092">
      <c r="A13092" s="4">
        <v>500.0</v>
      </c>
      <c r="B13092" s="4" t="s">
        <v>22112</v>
      </c>
      <c r="C13092" s="4"/>
      <c r="D13092" s="4" t="s">
        <v>2401</v>
      </c>
      <c r="E13092" s="4" t="s">
        <v>2402</v>
      </c>
      <c r="F13092" s="4" t="s">
        <v>2401</v>
      </c>
    </row>
    <row r="13093">
      <c r="A13093" s="4">
        <v>501.0</v>
      </c>
      <c r="B13093" s="4" t="s">
        <v>22112</v>
      </c>
      <c r="C13093" s="4"/>
      <c r="D13093" s="4" t="s">
        <v>2403</v>
      </c>
      <c r="E13093" s="4" t="s">
        <v>2404</v>
      </c>
      <c r="F13093" s="4" t="s">
        <v>2403</v>
      </c>
      <c r="G13093" s="4"/>
      <c r="H13093" s="4" t="s">
        <v>11392</v>
      </c>
      <c r="I13093" s="4" t="s">
        <v>8375</v>
      </c>
    </row>
    <row r="13094">
      <c r="A13094" s="4">
        <v>502.0</v>
      </c>
      <c r="B13094" s="4" t="s">
        <v>22112</v>
      </c>
      <c r="C13094" s="4"/>
      <c r="D13094" s="4" t="s">
        <v>21313</v>
      </c>
      <c r="E13094" s="4" t="s">
        <v>21314</v>
      </c>
      <c r="F13094" s="4" t="s">
        <v>21315</v>
      </c>
    </row>
    <row r="13095">
      <c r="A13095" s="4">
        <v>503.0</v>
      </c>
      <c r="B13095" s="4" t="s">
        <v>22112</v>
      </c>
      <c r="C13095" s="4"/>
      <c r="D13095" s="4" t="s">
        <v>2414</v>
      </c>
      <c r="E13095" s="4" t="s">
        <v>2415</v>
      </c>
      <c r="F13095" s="4" t="s">
        <v>2414</v>
      </c>
    </row>
    <row r="13096">
      <c r="A13096" s="4">
        <v>504.0</v>
      </c>
      <c r="B13096" s="4" t="s">
        <v>22112</v>
      </c>
      <c r="C13096" s="4"/>
      <c r="D13096" s="4" t="s">
        <v>12811</v>
      </c>
      <c r="E13096" s="4" t="s">
        <v>20248</v>
      </c>
      <c r="F13096" s="4" t="s">
        <v>12811</v>
      </c>
    </row>
    <row r="13097">
      <c r="A13097" s="4">
        <v>505.0</v>
      </c>
      <c r="B13097" s="4" t="s">
        <v>22112</v>
      </c>
      <c r="C13097" s="4"/>
      <c r="D13097" s="4" t="s">
        <v>2420</v>
      </c>
      <c r="E13097" s="4" t="s">
        <v>2421</v>
      </c>
      <c r="F13097" s="4" t="s">
        <v>2420</v>
      </c>
    </row>
    <row r="13098">
      <c r="A13098" s="4">
        <v>506.0</v>
      </c>
      <c r="B13098" s="4" t="s">
        <v>22112</v>
      </c>
      <c r="C13098" s="4"/>
      <c r="D13098" s="4" t="s">
        <v>2422</v>
      </c>
      <c r="E13098" s="4" t="s">
        <v>2423</v>
      </c>
      <c r="F13098" s="4" t="s">
        <v>2422</v>
      </c>
      <c r="G13098" s="4"/>
      <c r="H13098" s="4" t="s">
        <v>2424</v>
      </c>
      <c r="I13098" s="4" t="s">
        <v>2425</v>
      </c>
      <c r="J13098" s="4" t="s">
        <v>2426</v>
      </c>
      <c r="K13098" s="4" t="s">
        <v>2427</v>
      </c>
      <c r="L13098" s="4" t="s">
        <v>2424</v>
      </c>
      <c r="M13098" s="4" t="s">
        <v>21316</v>
      </c>
      <c r="N13098" s="4" t="s">
        <v>2072</v>
      </c>
      <c r="O13098" s="4" t="s">
        <v>9359</v>
      </c>
      <c r="P13098" s="4" t="s">
        <v>2424</v>
      </c>
      <c r="Q13098" s="4" t="s">
        <v>6084</v>
      </c>
      <c r="R13098" s="4" t="s">
        <v>21317</v>
      </c>
      <c r="S13098" s="4" t="s">
        <v>2427</v>
      </c>
      <c r="T13098" s="4" t="s">
        <v>2424</v>
      </c>
      <c r="U13098" s="4" t="s">
        <v>2428</v>
      </c>
      <c r="V13098" s="4" t="s">
        <v>2429</v>
      </c>
      <c r="W13098" s="4" t="s">
        <v>6081</v>
      </c>
      <c r="X13098" s="4" t="s">
        <v>2424</v>
      </c>
      <c r="Y13098" s="4" t="s">
        <v>6082</v>
      </c>
      <c r="Z13098" s="4" t="s">
        <v>6083</v>
      </c>
      <c r="AA13098" s="4" t="s">
        <v>6072</v>
      </c>
      <c r="AB13098" s="4" t="s">
        <v>6084</v>
      </c>
      <c r="AC13098" s="4" t="s">
        <v>6085</v>
      </c>
    </row>
    <row r="13099">
      <c r="A13099" s="4">
        <v>507.0</v>
      </c>
      <c r="B13099" s="4" t="s">
        <v>22112</v>
      </c>
      <c r="C13099" s="4"/>
      <c r="D13099" s="4" t="s">
        <v>21318</v>
      </c>
      <c r="E13099" s="4" t="s">
        <v>21319</v>
      </c>
      <c r="F13099" s="4" t="s">
        <v>21318</v>
      </c>
    </row>
    <row r="13100">
      <c r="A13100" s="4">
        <v>508.0</v>
      </c>
      <c r="B13100" s="4" t="s">
        <v>22112</v>
      </c>
      <c r="C13100" s="4"/>
      <c r="D13100" s="4" t="s">
        <v>21320</v>
      </c>
      <c r="E13100" s="4" t="s">
        <v>21321</v>
      </c>
      <c r="F13100" s="4" t="s">
        <v>21320</v>
      </c>
    </row>
    <row r="13101">
      <c r="A13101" s="4">
        <v>509.0</v>
      </c>
      <c r="B13101" s="4" t="s">
        <v>22112</v>
      </c>
      <c r="C13101" s="4"/>
      <c r="D13101" s="4" t="s">
        <v>21322</v>
      </c>
      <c r="E13101" s="4" t="s">
        <v>21319</v>
      </c>
      <c r="F13101" s="4" t="s">
        <v>21318</v>
      </c>
    </row>
    <row r="13102">
      <c r="A13102" s="4">
        <v>510.0</v>
      </c>
      <c r="B13102" s="4" t="s">
        <v>22112</v>
      </c>
      <c r="C13102" s="4"/>
      <c r="D13102" s="4" t="s">
        <v>21323</v>
      </c>
      <c r="E13102" s="4" t="s">
        <v>21321</v>
      </c>
      <c r="F13102" s="4" t="s">
        <v>21320</v>
      </c>
    </row>
    <row r="13103">
      <c r="A13103" s="4">
        <v>511.0</v>
      </c>
      <c r="B13103" s="4" t="s">
        <v>22112</v>
      </c>
      <c r="C13103" s="4"/>
      <c r="D13103" s="4" t="s">
        <v>21324</v>
      </c>
      <c r="E13103" s="4" t="s">
        <v>21325</v>
      </c>
      <c r="F13103" s="4" t="s">
        <v>21324</v>
      </c>
    </row>
    <row r="13104">
      <c r="A13104" s="4">
        <v>512.0</v>
      </c>
      <c r="B13104" s="4" t="s">
        <v>22112</v>
      </c>
      <c r="C13104" s="4"/>
      <c r="D13104" s="4" t="s">
        <v>2430</v>
      </c>
      <c r="E13104" s="4" t="s">
        <v>2431</v>
      </c>
      <c r="F13104" s="4" t="s">
        <v>2432</v>
      </c>
    </row>
    <row r="13105">
      <c r="A13105" s="4">
        <v>513.0</v>
      </c>
      <c r="B13105" s="4" t="s">
        <v>22112</v>
      </c>
      <c r="C13105" s="4"/>
      <c r="D13105" s="4" t="s">
        <v>21326</v>
      </c>
      <c r="E13105" s="4" t="s">
        <v>21327</v>
      </c>
      <c r="F13105" s="4" t="s">
        <v>21326</v>
      </c>
    </row>
    <row r="13106">
      <c r="A13106" s="4">
        <v>514.0</v>
      </c>
      <c r="B13106" s="4" t="s">
        <v>22112</v>
      </c>
      <c r="C13106" s="4"/>
      <c r="D13106" s="4" t="s">
        <v>21328</v>
      </c>
      <c r="E13106" s="4" t="s">
        <v>2402</v>
      </c>
      <c r="F13106" s="4" t="s">
        <v>2401</v>
      </c>
      <c r="G13106" s="4"/>
      <c r="H13106" s="4" t="s">
        <v>12820</v>
      </c>
      <c r="I13106" s="4" t="s">
        <v>12821</v>
      </c>
      <c r="J13106" s="4" t="s">
        <v>11310</v>
      </c>
    </row>
    <row r="13107">
      <c r="A13107" s="4">
        <v>515.0</v>
      </c>
      <c r="B13107" s="4" t="s">
        <v>22112</v>
      </c>
      <c r="C13107" s="4"/>
      <c r="D13107" s="4" t="s">
        <v>21329</v>
      </c>
      <c r="E13107" s="4" t="s">
        <v>2415</v>
      </c>
      <c r="F13107" s="4" t="s">
        <v>2414</v>
      </c>
    </row>
    <row r="13108">
      <c r="A13108" s="4">
        <v>516.0</v>
      </c>
      <c r="B13108" s="4" t="s">
        <v>22112</v>
      </c>
      <c r="C13108" s="4"/>
      <c r="D13108" s="4" t="s">
        <v>2458</v>
      </c>
      <c r="E13108" s="4" t="s">
        <v>2459</v>
      </c>
      <c r="F13108" s="4" t="s">
        <v>2458</v>
      </c>
      <c r="G13108" s="4"/>
      <c r="H13108" s="4" t="s">
        <v>2460</v>
      </c>
    </row>
    <row r="13109">
      <c r="A13109" s="4">
        <v>517.0</v>
      </c>
      <c r="B13109" s="4" t="s">
        <v>22112</v>
      </c>
      <c r="C13109" s="4"/>
      <c r="D13109" s="4" t="s">
        <v>21330</v>
      </c>
      <c r="E13109" s="4" t="s">
        <v>21331</v>
      </c>
      <c r="F13109" s="4" t="s">
        <v>10642</v>
      </c>
    </row>
    <row r="13110">
      <c r="A13110" s="4">
        <v>518.0</v>
      </c>
      <c r="B13110" s="4" t="s">
        <v>22112</v>
      </c>
      <c r="C13110" s="4"/>
      <c r="D13110" s="4" t="s">
        <v>21332</v>
      </c>
      <c r="E13110" s="4" t="s">
        <v>21333</v>
      </c>
      <c r="F13110" s="4" t="s">
        <v>21334</v>
      </c>
    </row>
    <row r="13111">
      <c r="A13111" s="4">
        <v>519.0</v>
      </c>
      <c r="B13111" s="4" t="s">
        <v>22112</v>
      </c>
      <c r="C13111" s="4"/>
      <c r="D13111" s="4" t="s">
        <v>21335</v>
      </c>
      <c r="E13111" s="4" t="s">
        <v>21336</v>
      </c>
      <c r="F13111" s="4" t="s">
        <v>21337</v>
      </c>
    </row>
    <row r="13112">
      <c r="A13112" s="4">
        <v>520.0</v>
      </c>
      <c r="B13112" s="4" t="s">
        <v>22112</v>
      </c>
      <c r="C13112" s="4"/>
      <c r="D13112" s="4" t="s">
        <v>21338</v>
      </c>
      <c r="E13112" s="4" t="s">
        <v>21339</v>
      </c>
      <c r="F13112" s="4" t="s">
        <v>21340</v>
      </c>
      <c r="G13112" s="4"/>
      <c r="H13112" s="4" t="s">
        <v>21341</v>
      </c>
      <c r="I13112" s="4" t="s">
        <v>21342</v>
      </c>
    </row>
    <row r="13113">
      <c r="A13113" s="4">
        <v>521.0</v>
      </c>
      <c r="B13113" s="4" t="s">
        <v>22112</v>
      </c>
      <c r="C13113" s="4"/>
      <c r="D13113" s="4" t="s">
        <v>21343</v>
      </c>
      <c r="E13113" s="4" t="s">
        <v>21344</v>
      </c>
      <c r="F13113" s="4" t="s">
        <v>21345</v>
      </c>
    </row>
    <row r="13114">
      <c r="A13114" s="4">
        <v>522.0</v>
      </c>
      <c r="B13114" s="4" t="s">
        <v>22112</v>
      </c>
      <c r="C13114" s="4"/>
      <c r="D13114" s="4" t="s">
        <v>2293</v>
      </c>
      <c r="E13114" s="4" t="s">
        <v>2473</v>
      </c>
      <c r="F13114" s="4" t="s">
        <v>2293</v>
      </c>
      <c r="G13114" s="4"/>
      <c r="H13114" s="4" t="s">
        <v>2474</v>
      </c>
      <c r="I13114" s="4" t="s">
        <v>2475</v>
      </c>
      <c r="J13114" s="4" t="s">
        <v>2474</v>
      </c>
    </row>
    <row r="13115">
      <c r="A13115" s="4">
        <v>523.0</v>
      </c>
      <c r="B13115" s="4" t="s">
        <v>22112</v>
      </c>
      <c r="C13115" s="4"/>
      <c r="D13115" s="4" t="s">
        <v>21346</v>
      </c>
      <c r="E13115" s="4" t="s">
        <v>21347</v>
      </c>
      <c r="F13115" s="4" t="s">
        <v>21346</v>
      </c>
      <c r="G13115" s="4"/>
      <c r="H13115" s="4" t="s">
        <v>21348</v>
      </c>
      <c r="I13115" s="4" t="s">
        <v>15342</v>
      </c>
      <c r="J13115" s="4" t="s">
        <v>21349</v>
      </c>
    </row>
    <row r="13116">
      <c r="A13116" s="4">
        <v>524.0</v>
      </c>
      <c r="B13116" s="4" t="s">
        <v>22112</v>
      </c>
      <c r="C13116" s="4"/>
      <c r="D13116" s="4" t="s">
        <v>21350</v>
      </c>
      <c r="E13116" s="4" t="s">
        <v>21351</v>
      </c>
      <c r="F13116" s="4" t="s">
        <v>21350</v>
      </c>
    </row>
    <row r="13117">
      <c r="A13117" s="4">
        <v>525.0</v>
      </c>
      <c r="B13117" s="4" t="s">
        <v>22112</v>
      </c>
      <c r="C13117" s="4"/>
      <c r="D13117" s="4" t="s">
        <v>2499</v>
      </c>
      <c r="E13117" s="4" t="s">
        <v>2498</v>
      </c>
      <c r="F13117" s="4" t="s">
        <v>2499</v>
      </c>
    </row>
    <row r="13118">
      <c r="A13118" s="4">
        <v>526.0</v>
      </c>
      <c r="B13118" s="4" t="s">
        <v>22112</v>
      </c>
      <c r="C13118" s="4"/>
      <c r="D13118" s="4" t="s">
        <v>2479</v>
      </c>
      <c r="E13118" s="4" t="s">
        <v>2480</v>
      </c>
      <c r="F13118" s="4" t="s">
        <v>2481</v>
      </c>
    </row>
    <row r="13119">
      <c r="A13119" s="4">
        <v>527.0</v>
      </c>
      <c r="B13119" s="4" t="s">
        <v>22112</v>
      </c>
      <c r="C13119" s="4"/>
      <c r="D13119" s="4" t="s">
        <v>21352</v>
      </c>
      <c r="E13119" s="4" t="s">
        <v>21353</v>
      </c>
      <c r="F13119" s="4" t="s">
        <v>21354</v>
      </c>
    </row>
    <row r="13120">
      <c r="A13120" s="4">
        <v>528.0</v>
      </c>
      <c r="B13120" s="4" t="s">
        <v>22112</v>
      </c>
      <c r="C13120" s="4"/>
      <c r="D13120" s="4" t="s">
        <v>2493</v>
      </c>
      <c r="E13120" s="4" t="s">
        <v>2494</v>
      </c>
      <c r="F13120" s="4" t="s">
        <v>2493</v>
      </c>
    </row>
    <row r="13121">
      <c r="A13121" s="4">
        <v>529.0</v>
      </c>
      <c r="B13121" s="4" t="s">
        <v>22112</v>
      </c>
      <c r="C13121" s="4"/>
      <c r="D13121" s="4" t="s">
        <v>21355</v>
      </c>
      <c r="E13121" s="4" t="s">
        <v>21356</v>
      </c>
      <c r="F13121" s="4" t="s">
        <v>21355</v>
      </c>
    </row>
    <row r="13122">
      <c r="A13122" s="4">
        <v>530.0</v>
      </c>
      <c r="B13122" s="4" t="s">
        <v>22112</v>
      </c>
      <c r="C13122" s="4"/>
      <c r="D13122" s="4" t="s">
        <v>21357</v>
      </c>
      <c r="E13122" s="4" t="s">
        <v>21358</v>
      </c>
      <c r="F13122" s="4" t="s">
        <v>21359</v>
      </c>
    </row>
    <row r="13123">
      <c r="A13123" s="4">
        <v>531.0</v>
      </c>
      <c r="B13123" s="4" t="s">
        <v>22112</v>
      </c>
      <c r="C13123" s="4"/>
      <c r="D13123" s="4" t="s">
        <v>21360</v>
      </c>
      <c r="E13123" s="4" t="s">
        <v>21361</v>
      </c>
      <c r="F13123" s="4" t="s">
        <v>21362</v>
      </c>
    </row>
    <row r="13124">
      <c r="A13124" s="4">
        <v>532.0</v>
      </c>
      <c r="B13124" s="4" t="s">
        <v>22112</v>
      </c>
      <c r="C13124" s="4"/>
      <c r="D13124" s="4" t="s">
        <v>339</v>
      </c>
      <c r="E13124" s="4" t="s">
        <v>338</v>
      </c>
      <c r="F13124" s="4" t="s">
        <v>339</v>
      </c>
    </row>
    <row r="13125">
      <c r="A13125" s="4">
        <v>533.0</v>
      </c>
      <c r="B13125" s="4" t="s">
        <v>22112</v>
      </c>
      <c r="C13125" s="4"/>
      <c r="D13125" s="4" t="s">
        <v>2525</v>
      </c>
      <c r="E13125" s="4" t="s">
        <v>2524</v>
      </c>
      <c r="F13125" s="4" t="s">
        <v>2525</v>
      </c>
      <c r="G13125" s="4"/>
      <c r="H13125" s="4" t="s">
        <v>1743</v>
      </c>
      <c r="I13125" s="4" t="s">
        <v>2526</v>
      </c>
      <c r="J13125" s="4" t="s">
        <v>1743</v>
      </c>
      <c r="K13125" s="4" t="s">
        <v>2527</v>
      </c>
      <c r="L13125" s="4" t="s">
        <v>2528</v>
      </c>
      <c r="M13125" s="4" t="s">
        <v>2529</v>
      </c>
      <c r="N13125" s="4" t="s">
        <v>2530</v>
      </c>
      <c r="O13125" s="4" t="s">
        <v>2531</v>
      </c>
      <c r="P13125" s="4" t="s">
        <v>2532</v>
      </c>
      <c r="Q13125" s="4" t="s">
        <v>2533</v>
      </c>
      <c r="R13125" s="4" t="s">
        <v>1743</v>
      </c>
      <c r="S13125" s="4" t="s">
        <v>2534</v>
      </c>
      <c r="T13125" s="4" t="s">
        <v>2535</v>
      </c>
      <c r="U13125" s="4" t="s">
        <v>2536</v>
      </c>
      <c r="V13125" s="4" t="s">
        <v>781</v>
      </c>
      <c r="W13125" s="4" t="s">
        <v>2539</v>
      </c>
      <c r="X13125" s="4" t="s">
        <v>783</v>
      </c>
      <c r="Y13125" s="4" t="s">
        <v>1743</v>
      </c>
      <c r="Z13125" s="4" t="s">
        <v>2540</v>
      </c>
      <c r="AA13125" s="4" t="s">
        <v>2541</v>
      </c>
      <c r="AB13125" s="4" t="s">
        <v>2532</v>
      </c>
      <c r="AC13125" s="4" t="s">
        <v>2542</v>
      </c>
      <c r="AD13125" s="4" t="s">
        <v>2543</v>
      </c>
    </row>
    <row r="13126">
      <c r="A13126" s="4">
        <v>534.0</v>
      </c>
      <c r="B13126" s="4" t="s">
        <v>22112</v>
      </c>
      <c r="C13126" s="4"/>
      <c r="D13126" s="4" t="s">
        <v>21363</v>
      </c>
      <c r="E13126" s="4" t="s">
        <v>21364</v>
      </c>
      <c r="F13126" s="4" t="s">
        <v>21363</v>
      </c>
    </row>
    <row r="13127">
      <c r="A13127" s="4">
        <v>535.0</v>
      </c>
      <c r="B13127" s="4" t="s">
        <v>22112</v>
      </c>
      <c r="C13127" s="4"/>
      <c r="D13127" s="4" t="s">
        <v>21365</v>
      </c>
      <c r="E13127" s="4" t="s">
        <v>21366</v>
      </c>
      <c r="F13127" s="4" t="s">
        <v>21367</v>
      </c>
      <c r="G13127" s="4"/>
      <c r="H13127" s="4" t="s">
        <v>13030</v>
      </c>
    </row>
    <row r="13128">
      <c r="A13128" s="4">
        <v>536.0</v>
      </c>
      <c r="B13128" s="4" t="s">
        <v>22112</v>
      </c>
      <c r="C13128" s="4"/>
      <c r="D13128" s="4" t="s">
        <v>21368</v>
      </c>
      <c r="E13128" s="4" t="s">
        <v>21369</v>
      </c>
      <c r="F13128" s="4" t="s">
        <v>21368</v>
      </c>
    </row>
    <row r="13129">
      <c r="A13129" s="4">
        <v>537.0</v>
      </c>
      <c r="B13129" s="4" t="s">
        <v>22112</v>
      </c>
      <c r="C13129" s="4"/>
      <c r="D13129" s="4" t="s">
        <v>2566</v>
      </c>
      <c r="E13129" s="4" t="s">
        <v>2567</v>
      </c>
      <c r="F13129" s="4" t="s">
        <v>2566</v>
      </c>
      <c r="G13129" s="4"/>
      <c r="H13129" s="4" t="s">
        <v>2569</v>
      </c>
      <c r="I13129" s="4" t="s">
        <v>2570</v>
      </c>
      <c r="J13129" s="4" t="s">
        <v>2570</v>
      </c>
      <c r="K13129" s="4" t="s">
        <v>2570</v>
      </c>
      <c r="L13129" s="4" t="s">
        <v>2570</v>
      </c>
      <c r="M13129" s="4" t="s">
        <v>15148</v>
      </c>
      <c r="N13129" s="4" t="s">
        <v>14028</v>
      </c>
      <c r="O13129" s="4" t="s">
        <v>2570</v>
      </c>
    </row>
    <row r="13130">
      <c r="A13130" s="4">
        <v>538.0</v>
      </c>
      <c r="B13130" s="4" t="s">
        <v>22112</v>
      </c>
      <c r="C13130" s="4"/>
      <c r="D13130" s="4" t="s">
        <v>10680</v>
      </c>
      <c r="E13130" s="4" t="s">
        <v>21370</v>
      </c>
      <c r="F13130" s="4" t="s">
        <v>10680</v>
      </c>
    </row>
    <row r="13131">
      <c r="A13131" s="4">
        <v>539.0</v>
      </c>
      <c r="B13131" s="4" t="s">
        <v>22112</v>
      </c>
      <c r="C13131" s="4"/>
      <c r="D13131" s="4" t="s">
        <v>20249</v>
      </c>
      <c r="E13131" s="4" t="s">
        <v>20250</v>
      </c>
      <c r="F13131" s="4" t="s">
        <v>20249</v>
      </c>
    </row>
    <row r="13132">
      <c r="A13132" s="4">
        <v>540.0</v>
      </c>
      <c r="B13132" s="4" t="s">
        <v>22112</v>
      </c>
      <c r="C13132" s="4"/>
      <c r="D13132" s="4" t="s">
        <v>21371</v>
      </c>
      <c r="E13132" s="4" t="s">
        <v>21372</v>
      </c>
      <c r="F13132" s="4" t="s">
        <v>21371</v>
      </c>
    </row>
    <row r="13133">
      <c r="A13133" s="4">
        <v>541.0</v>
      </c>
      <c r="B13133" s="4" t="s">
        <v>22112</v>
      </c>
      <c r="C13133" s="4"/>
      <c r="D13133" s="4" t="s">
        <v>2445</v>
      </c>
      <c r="E13133" s="4" t="s">
        <v>2444</v>
      </c>
      <c r="F13133" s="4" t="s">
        <v>2445</v>
      </c>
    </row>
    <row r="13134">
      <c r="A13134" s="4">
        <v>542.0</v>
      </c>
      <c r="B13134" s="4" t="s">
        <v>22112</v>
      </c>
      <c r="C13134" s="4"/>
      <c r="D13134" s="4" t="s">
        <v>21373</v>
      </c>
      <c r="E13134" s="4" t="s">
        <v>21374</v>
      </c>
      <c r="F13134" s="4" t="s">
        <v>21373</v>
      </c>
      <c r="G13134" s="4"/>
      <c r="H13134" s="4" t="s">
        <v>21375</v>
      </c>
      <c r="I13134" s="4" t="s">
        <v>2576</v>
      </c>
      <c r="J13134" s="4" t="s">
        <v>2577</v>
      </c>
      <c r="K13134" s="4" t="s">
        <v>2578</v>
      </c>
      <c r="L13134" s="4" t="s">
        <v>2579</v>
      </c>
      <c r="M13134" s="4" t="s">
        <v>21375</v>
      </c>
    </row>
    <row r="13135">
      <c r="A13135" s="4">
        <v>543.0</v>
      </c>
      <c r="B13135" s="4" t="s">
        <v>22112</v>
      </c>
      <c r="C13135" s="4"/>
      <c r="D13135" s="4" t="s">
        <v>21376</v>
      </c>
      <c r="E13135" s="4" t="s">
        <v>21377</v>
      </c>
      <c r="F13135" s="4" t="s">
        <v>21376</v>
      </c>
    </row>
    <row r="13136">
      <c r="A13136" s="4">
        <v>544.0</v>
      </c>
      <c r="B13136" s="4" t="s">
        <v>22112</v>
      </c>
      <c r="C13136" s="4"/>
      <c r="D13136" s="4" t="s">
        <v>16785</v>
      </c>
      <c r="E13136" s="4" t="s">
        <v>16786</v>
      </c>
      <c r="F13136" s="4" t="s">
        <v>16787</v>
      </c>
    </row>
    <row r="13137">
      <c r="A13137" s="4">
        <v>545.0</v>
      </c>
      <c r="B13137" s="4" t="s">
        <v>22112</v>
      </c>
      <c r="C13137" s="4"/>
      <c r="D13137" s="4" t="s">
        <v>342</v>
      </c>
      <c r="E13137" s="4" t="s">
        <v>341</v>
      </c>
      <c r="F13137" s="4" t="s">
        <v>342</v>
      </c>
    </row>
    <row r="13138">
      <c r="A13138" s="4">
        <v>546.0</v>
      </c>
      <c r="B13138" s="4" t="s">
        <v>22112</v>
      </c>
      <c r="C13138" s="4"/>
      <c r="D13138" s="4" t="s">
        <v>12868</v>
      </c>
      <c r="E13138" s="4" t="s">
        <v>12869</v>
      </c>
      <c r="F13138" s="4" t="s">
        <v>12870</v>
      </c>
    </row>
    <row r="13139">
      <c r="A13139" s="4">
        <v>547.0</v>
      </c>
      <c r="B13139" s="4" t="s">
        <v>22112</v>
      </c>
      <c r="C13139" s="4"/>
      <c r="D13139" s="4" t="s">
        <v>2599</v>
      </c>
      <c r="E13139" s="4" t="s">
        <v>2600</v>
      </c>
      <c r="F13139" s="4" t="s">
        <v>2601</v>
      </c>
      <c r="G13139" s="4"/>
      <c r="H13139" s="4" t="s">
        <v>2599</v>
      </c>
      <c r="I13139" s="4" t="s">
        <v>2613</v>
      </c>
    </row>
    <row r="13140">
      <c r="A13140" s="4">
        <v>548.0</v>
      </c>
      <c r="B13140" s="4" t="s">
        <v>22112</v>
      </c>
      <c r="C13140" s="4"/>
      <c r="D13140" s="4" t="s">
        <v>18246</v>
      </c>
      <c r="E13140" s="4" t="s">
        <v>14643</v>
      </c>
      <c r="F13140" s="4" t="s">
        <v>2601</v>
      </c>
    </row>
    <row r="13141">
      <c r="A13141" s="4">
        <v>549.0</v>
      </c>
      <c r="B13141" s="4" t="s">
        <v>22112</v>
      </c>
      <c r="C13141" s="4"/>
      <c r="D13141" s="4" t="s">
        <v>2622</v>
      </c>
      <c r="E13141" s="4" t="s">
        <v>2623</v>
      </c>
      <c r="F13141" s="4" t="s">
        <v>2622</v>
      </c>
      <c r="G13141" s="4"/>
      <c r="H13141" s="4" t="s">
        <v>2622</v>
      </c>
      <c r="I13141" s="4" t="s">
        <v>2624</v>
      </c>
      <c r="J13141" s="4" t="s">
        <v>2625</v>
      </c>
      <c r="K13141" s="4">
        <v>1000.0</v>
      </c>
      <c r="L13141" s="4" t="s">
        <v>2628</v>
      </c>
      <c r="M13141" s="4" t="s">
        <v>2629</v>
      </c>
      <c r="N13141" s="4" t="s">
        <v>2630</v>
      </c>
      <c r="O13141" s="4" t="s">
        <v>2631</v>
      </c>
      <c r="P13141" s="4" t="s">
        <v>2632</v>
      </c>
      <c r="Q13141" s="4" t="s">
        <v>2633</v>
      </c>
      <c r="R13141" s="4" t="s">
        <v>2634</v>
      </c>
    </row>
    <row r="13142">
      <c r="A13142" s="4">
        <v>550.0</v>
      </c>
      <c r="B13142" s="4" t="s">
        <v>22112</v>
      </c>
      <c r="C13142" s="4"/>
      <c r="D13142" s="4" t="s">
        <v>16790</v>
      </c>
      <c r="E13142" s="4" t="s">
        <v>16791</v>
      </c>
      <c r="F13142" s="4" t="s">
        <v>16790</v>
      </c>
    </row>
    <row r="13143">
      <c r="A13143" s="4">
        <v>551.0</v>
      </c>
      <c r="B13143" s="4" t="s">
        <v>22112</v>
      </c>
      <c r="C13143" s="4"/>
      <c r="D13143" s="4" t="s">
        <v>2637</v>
      </c>
      <c r="E13143" s="4" t="s">
        <v>2638</v>
      </c>
      <c r="F13143" s="4" t="s">
        <v>2637</v>
      </c>
    </row>
    <row r="13144">
      <c r="A13144" s="4">
        <v>552.0</v>
      </c>
      <c r="B13144" s="4" t="s">
        <v>22112</v>
      </c>
      <c r="C13144" s="4"/>
      <c r="D13144" s="4" t="s">
        <v>2639</v>
      </c>
      <c r="E13144" s="4" t="s">
        <v>2645</v>
      </c>
      <c r="F13144" s="4" t="s">
        <v>2639</v>
      </c>
      <c r="G13144" s="4"/>
      <c r="H13144" s="4" t="s">
        <v>2641</v>
      </c>
      <c r="I13144" s="4" t="s">
        <v>2641</v>
      </c>
      <c r="J13144" s="4" t="s">
        <v>2641</v>
      </c>
      <c r="K13144" s="4" t="s">
        <v>21378</v>
      </c>
      <c r="L13144" s="4" t="s">
        <v>2642</v>
      </c>
      <c r="M13144" s="4" t="s">
        <v>2643</v>
      </c>
      <c r="N13144" s="4" t="s">
        <v>1856</v>
      </c>
      <c r="O13144" s="4" t="s">
        <v>2644</v>
      </c>
    </row>
    <row r="13145">
      <c r="A13145" s="4">
        <v>553.0</v>
      </c>
      <c r="B13145" s="4" t="s">
        <v>22112</v>
      </c>
      <c r="C13145" s="4"/>
      <c r="D13145" s="4" t="s">
        <v>21379</v>
      </c>
      <c r="E13145" s="4" t="s">
        <v>21380</v>
      </c>
      <c r="F13145" s="4" t="s">
        <v>21379</v>
      </c>
    </row>
    <row r="13146">
      <c r="A13146" s="4">
        <v>554.0</v>
      </c>
      <c r="B13146" s="4" t="s">
        <v>22112</v>
      </c>
      <c r="C13146" s="4"/>
      <c r="D13146" s="4" t="s">
        <v>21381</v>
      </c>
      <c r="E13146" s="4" t="s">
        <v>21382</v>
      </c>
      <c r="F13146" s="4" t="s">
        <v>21381</v>
      </c>
    </row>
    <row r="13147">
      <c r="A13147" s="4">
        <v>555.0</v>
      </c>
      <c r="B13147" s="4" t="s">
        <v>22112</v>
      </c>
      <c r="C13147" s="4"/>
      <c r="D13147" s="4" t="s">
        <v>21383</v>
      </c>
      <c r="E13147" s="4" t="s">
        <v>21380</v>
      </c>
      <c r="F13147" s="4" t="s">
        <v>21379</v>
      </c>
    </row>
    <row r="13148">
      <c r="A13148" s="4">
        <v>556.0</v>
      </c>
      <c r="B13148" s="4" t="s">
        <v>22112</v>
      </c>
      <c r="C13148" s="4"/>
      <c r="D13148" s="4" t="s">
        <v>21384</v>
      </c>
      <c r="E13148" s="4" t="s">
        <v>21382</v>
      </c>
      <c r="F13148" s="4" t="s">
        <v>21381</v>
      </c>
    </row>
    <row r="13149">
      <c r="A13149" s="4">
        <v>557.0</v>
      </c>
      <c r="B13149" s="4" t="s">
        <v>22112</v>
      </c>
      <c r="C13149" s="4"/>
      <c r="D13149" s="4" t="s">
        <v>21385</v>
      </c>
      <c r="E13149" s="4" t="s">
        <v>21386</v>
      </c>
      <c r="F13149" s="4" t="s">
        <v>21385</v>
      </c>
    </row>
    <row r="13150">
      <c r="A13150" s="4">
        <v>558.0</v>
      </c>
      <c r="B13150" s="4" t="s">
        <v>22112</v>
      </c>
      <c r="C13150" s="4"/>
      <c r="D13150" s="4" t="s">
        <v>21387</v>
      </c>
      <c r="E13150" s="4" t="s">
        <v>21388</v>
      </c>
      <c r="F13150" s="4" t="s">
        <v>21387</v>
      </c>
      <c r="G13150" s="4"/>
      <c r="H13150" s="4" t="s">
        <v>21389</v>
      </c>
      <c r="I13150" s="4" t="s">
        <v>21390</v>
      </c>
      <c r="J13150" s="4" t="s">
        <v>8941</v>
      </c>
      <c r="K13150" s="4" t="s">
        <v>9618</v>
      </c>
      <c r="L13150" s="4" t="s">
        <v>21391</v>
      </c>
    </row>
    <row r="13151">
      <c r="A13151" s="4">
        <v>559.0</v>
      </c>
      <c r="B13151" s="4" t="s">
        <v>22112</v>
      </c>
      <c r="C13151" s="4"/>
      <c r="D13151" s="4" t="s">
        <v>2695</v>
      </c>
      <c r="E13151" s="4" t="s">
        <v>2696</v>
      </c>
      <c r="F13151" s="4" t="s">
        <v>2695</v>
      </c>
      <c r="G13151" s="4"/>
      <c r="H13151" s="4" t="s">
        <v>648</v>
      </c>
      <c r="I13151" s="4" t="s">
        <v>2697</v>
      </c>
      <c r="J13151" s="4" t="s">
        <v>2698</v>
      </c>
      <c r="K13151" s="4" t="s">
        <v>2698</v>
      </c>
      <c r="L13151" s="4" t="s">
        <v>21392</v>
      </c>
    </row>
    <row r="13152">
      <c r="A13152" s="4">
        <v>560.0</v>
      </c>
      <c r="B13152" s="4" t="s">
        <v>22112</v>
      </c>
      <c r="C13152" s="4"/>
      <c r="D13152" s="4" t="s">
        <v>2699</v>
      </c>
      <c r="E13152" s="4" t="s">
        <v>2701</v>
      </c>
      <c r="F13152" s="4" t="s">
        <v>2699</v>
      </c>
      <c r="G13152" s="4"/>
      <c r="H13152" s="4" t="s">
        <v>2698</v>
      </c>
      <c r="I13152" s="4" t="s">
        <v>21393</v>
      </c>
      <c r="J13152" s="4" t="s">
        <v>21394</v>
      </c>
    </row>
    <row r="13153">
      <c r="A13153" s="4">
        <v>561.0</v>
      </c>
      <c r="B13153" s="4" t="s">
        <v>22112</v>
      </c>
      <c r="C13153" s="4"/>
      <c r="D13153" s="4" t="s">
        <v>12891</v>
      </c>
      <c r="E13153" s="4" t="s">
        <v>12893</v>
      </c>
      <c r="F13153" s="4" t="s">
        <v>12891</v>
      </c>
    </row>
    <row r="13154">
      <c r="A13154" s="4">
        <v>562.0</v>
      </c>
      <c r="B13154" s="4" t="s">
        <v>22112</v>
      </c>
      <c r="C13154" s="4"/>
      <c r="D13154" s="4" t="s">
        <v>21395</v>
      </c>
      <c r="E13154" s="4" t="s">
        <v>21396</v>
      </c>
      <c r="F13154" s="4" t="s">
        <v>21395</v>
      </c>
    </row>
    <row r="13155">
      <c r="A13155" s="4">
        <v>563.0</v>
      </c>
      <c r="B13155" s="4" t="s">
        <v>22112</v>
      </c>
      <c r="C13155" s="4"/>
      <c r="D13155" s="4" t="s">
        <v>2896</v>
      </c>
      <c r="E13155" s="4" t="s">
        <v>12908</v>
      </c>
      <c r="F13155" s="4" t="s">
        <v>2896</v>
      </c>
    </row>
    <row r="13156">
      <c r="A13156" s="4">
        <v>564.0</v>
      </c>
      <c r="B13156" s="4" t="s">
        <v>22112</v>
      </c>
      <c r="C13156" s="4"/>
      <c r="D13156" s="4" t="s">
        <v>21397</v>
      </c>
      <c r="E13156" s="4" t="s">
        <v>21398</v>
      </c>
      <c r="F13156" s="4" t="s">
        <v>21397</v>
      </c>
    </row>
    <row r="13157">
      <c r="A13157" s="4">
        <v>565.0</v>
      </c>
      <c r="B13157" s="4" t="s">
        <v>22112</v>
      </c>
      <c r="C13157" s="4"/>
      <c r="D13157" s="4" t="s">
        <v>2702</v>
      </c>
      <c r="E13157" s="4" t="s">
        <v>2703</v>
      </c>
      <c r="F13157" s="4" t="s">
        <v>2702</v>
      </c>
    </row>
    <row r="13158">
      <c r="A13158" s="4">
        <v>566.0</v>
      </c>
      <c r="B13158" s="4" t="s">
        <v>22112</v>
      </c>
      <c r="C13158" s="4"/>
      <c r="D13158" s="4" t="s">
        <v>14212</v>
      </c>
      <c r="E13158" s="4" t="s">
        <v>14213</v>
      </c>
      <c r="F13158" s="4" t="s">
        <v>14212</v>
      </c>
      <c r="G13158" s="4"/>
      <c r="H13158" s="4" t="s">
        <v>14214</v>
      </c>
      <c r="I13158" s="4" t="s">
        <v>14215</v>
      </c>
      <c r="J13158" s="4" t="s">
        <v>1063</v>
      </c>
      <c r="K13158" s="4" t="s">
        <v>7918</v>
      </c>
      <c r="L13158" s="4" t="s">
        <v>7919</v>
      </c>
      <c r="M13158" s="4" t="s">
        <v>6669</v>
      </c>
      <c r="N13158" s="4" t="s">
        <v>14216</v>
      </c>
      <c r="O13158" s="4" t="s">
        <v>6686</v>
      </c>
      <c r="P13158" s="4" t="s">
        <v>14214</v>
      </c>
      <c r="Q13158" s="4" t="s">
        <v>14214</v>
      </c>
      <c r="R13158" s="4" t="s">
        <v>6682</v>
      </c>
      <c r="S13158" s="4" t="s">
        <v>6669</v>
      </c>
      <c r="T13158" s="4" t="s">
        <v>4619</v>
      </c>
      <c r="U13158" s="4" t="s">
        <v>19668</v>
      </c>
    </row>
    <row r="13159">
      <c r="A13159" s="4">
        <v>567.0</v>
      </c>
      <c r="B13159" s="4" t="s">
        <v>22112</v>
      </c>
      <c r="C13159" s="4"/>
      <c r="D13159" s="4" t="s">
        <v>2711</v>
      </c>
      <c r="E13159" s="4" t="s">
        <v>2710</v>
      </c>
      <c r="F13159" s="4" t="s">
        <v>2711</v>
      </c>
    </row>
    <row r="13160">
      <c r="A13160" s="4">
        <v>568.0</v>
      </c>
      <c r="B13160" s="4" t="s">
        <v>22112</v>
      </c>
      <c r="C13160" s="4"/>
      <c r="D13160" s="4" t="s">
        <v>2714</v>
      </c>
      <c r="E13160" s="4" t="s">
        <v>2713</v>
      </c>
      <c r="F13160" s="4" t="s">
        <v>2714</v>
      </c>
      <c r="G13160" s="4"/>
      <c r="H13160" s="4" t="s">
        <v>2715</v>
      </c>
      <c r="I13160" s="4" t="s">
        <v>2715</v>
      </c>
    </row>
    <row r="13161">
      <c r="A13161" s="4">
        <v>569.0</v>
      </c>
      <c r="B13161" s="4" t="s">
        <v>22112</v>
      </c>
      <c r="C13161" s="4"/>
      <c r="D13161" s="4" t="s">
        <v>12921</v>
      </c>
      <c r="E13161" s="4" t="s">
        <v>12920</v>
      </c>
      <c r="F13161" s="4" t="s">
        <v>12921</v>
      </c>
    </row>
    <row r="13162">
      <c r="A13162" s="4">
        <v>570.0</v>
      </c>
      <c r="B13162" s="4" t="s">
        <v>22112</v>
      </c>
      <c r="C13162" s="4"/>
      <c r="D13162" s="4" t="s">
        <v>2718</v>
      </c>
      <c r="E13162" s="4" t="s">
        <v>2717</v>
      </c>
      <c r="F13162" s="4" t="s">
        <v>2718</v>
      </c>
    </row>
    <row r="13163">
      <c r="A13163" s="4">
        <v>571.0</v>
      </c>
      <c r="B13163" s="4" t="s">
        <v>22112</v>
      </c>
      <c r="C13163" s="4"/>
      <c r="D13163" s="4" t="s">
        <v>21399</v>
      </c>
      <c r="E13163" s="4" t="s">
        <v>2717</v>
      </c>
      <c r="F13163" s="4" t="s">
        <v>2718</v>
      </c>
    </row>
    <row r="13164">
      <c r="A13164" s="4">
        <v>572.0</v>
      </c>
      <c r="B13164" s="4" t="s">
        <v>22112</v>
      </c>
      <c r="C13164" s="4"/>
      <c r="D13164" s="4" t="s">
        <v>21400</v>
      </c>
      <c r="E13164" s="4" t="s">
        <v>21401</v>
      </c>
      <c r="F13164" s="4" t="s">
        <v>21400</v>
      </c>
    </row>
    <row r="13165">
      <c r="A13165" s="4">
        <v>573.0</v>
      </c>
      <c r="B13165" s="4" t="s">
        <v>22112</v>
      </c>
      <c r="C13165" s="4"/>
      <c r="D13165" s="4" t="s">
        <v>2709</v>
      </c>
      <c r="E13165" s="4" t="s">
        <v>2710</v>
      </c>
      <c r="F13165" s="4" t="s">
        <v>2711</v>
      </c>
    </row>
    <row r="13166">
      <c r="A13166" s="4">
        <v>574.0</v>
      </c>
      <c r="B13166" s="4" t="s">
        <v>22112</v>
      </c>
      <c r="C13166" s="4"/>
      <c r="D13166" s="4" t="s">
        <v>21402</v>
      </c>
      <c r="E13166" s="4" t="s">
        <v>21403</v>
      </c>
      <c r="F13166" s="4" t="s">
        <v>21402</v>
      </c>
    </row>
    <row r="13167">
      <c r="A13167" s="4">
        <v>575.0</v>
      </c>
      <c r="B13167" s="4" t="s">
        <v>22112</v>
      </c>
      <c r="C13167" s="4"/>
      <c r="D13167" s="4" t="s">
        <v>16787</v>
      </c>
      <c r="E13167" s="4" t="s">
        <v>16786</v>
      </c>
      <c r="F13167" s="4" t="s">
        <v>16787</v>
      </c>
    </row>
    <row r="13168">
      <c r="A13168" s="4">
        <v>576.0</v>
      </c>
      <c r="B13168" s="4" t="s">
        <v>22112</v>
      </c>
      <c r="C13168" s="4"/>
      <c r="D13168" s="4" t="s">
        <v>21404</v>
      </c>
      <c r="E13168" s="4" t="s">
        <v>16786</v>
      </c>
      <c r="F13168" s="4" t="s">
        <v>16787</v>
      </c>
    </row>
    <row r="13169">
      <c r="A13169" s="4">
        <v>577.0</v>
      </c>
      <c r="B13169" s="4" t="s">
        <v>22112</v>
      </c>
      <c r="C13169" s="4"/>
      <c r="D13169" s="4" t="s">
        <v>21405</v>
      </c>
      <c r="E13169" s="4" t="s">
        <v>21406</v>
      </c>
      <c r="F13169" s="4" t="s">
        <v>21407</v>
      </c>
    </row>
    <row r="13170">
      <c r="A13170" s="4">
        <v>578.0</v>
      </c>
      <c r="B13170" s="4" t="s">
        <v>22112</v>
      </c>
      <c r="C13170" s="4"/>
      <c r="D13170" s="4" t="s">
        <v>2786</v>
      </c>
      <c r="E13170" s="4" t="s">
        <v>2787</v>
      </c>
      <c r="F13170" s="4" t="s">
        <v>2786</v>
      </c>
      <c r="G13170" s="4"/>
      <c r="H13170" s="4" t="s">
        <v>2785</v>
      </c>
      <c r="I13170" s="4" t="s">
        <v>6237</v>
      </c>
    </row>
    <row r="13171">
      <c r="A13171" s="4">
        <v>579.0</v>
      </c>
      <c r="B13171" s="4" t="s">
        <v>22112</v>
      </c>
      <c r="C13171" s="4"/>
      <c r="D13171" s="4" t="s">
        <v>2788</v>
      </c>
      <c r="E13171" s="4" t="s">
        <v>2789</v>
      </c>
      <c r="F13171" s="4" t="s">
        <v>2788</v>
      </c>
    </row>
    <row r="13172">
      <c r="A13172" s="4">
        <v>580.0</v>
      </c>
      <c r="B13172" s="4" t="s">
        <v>22112</v>
      </c>
      <c r="C13172" s="4"/>
      <c r="D13172" s="4" t="s">
        <v>21408</v>
      </c>
      <c r="E13172" s="4" t="s">
        <v>21409</v>
      </c>
      <c r="F13172" s="4" t="s">
        <v>21408</v>
      </c>
    </row>
    <row r="13173">
      <c r="A13173" s="4">
        <v>581.0</v>
      </c>
      <c r="B13173" s="4" t="s">
        <v>22112</v>
      </c>
      <c r="C13173" s="4"/>
      <c r="D13173" s="4" t="s">
        <v>21410</v>
      </c>
      <c r="E13173" s="4" t="s">
        <v>21411</v>
      </c>
      <c r="F13173" s="4" t="s">
        <v>21410</v>
      </c>
    </row>
    <row r="13174">
      <c r="A13174" s="4">
        <v>582.0</v>
      </c>
      <c r="B13174" s="4" t="s">
        <v>22112</v>
      </c>
      <c r="C13174" s="4"/>
      <c r="D13174" s="4" t="s">
        <v>21412</v>
      </c>
      <c r="E13174" s="4" t="s">
        <v>21413</v>
      </c>
      <c r="F13174" s="4" t="s">
        <v>21412</v>
      </c>
    </row>
    <row r="13175">
      <c r="A13175" s="4">
        <v>583.0</v>
      </c>
      <c r="B13175" s="4" t="s">
        <v>22112</v>
      </c>
      <c r="C13175" s="4"/>
      <c r="D13175" s="4" t="s">
        <v>21414</v>
      </c>
      <c r="E13175" s="4" t="s">
        <v>2787</v>
      </c>
      <c r="F13175" s="4" t="s">
        <v>2786</v>
      </c>
    </row>
    <row r="13176">
      <c r="A13176" s="4">
        <v>584.0</v>
      </c>
      <c r="B13176" s="4" t="s">
        <v>22112</v>
      </c>
      <c r="C13176" s="4"/>
      <c r="D13176" s="4" t="s">
        <v>19237</v>
      </c>
      <c r="E13176" s="4" t="s">
        <v>19238</v>
      </c>
      <c r="F13176" s="4" t="s">
        <v>19237</v>
      </c>
    </row>
    <row r="13177">
      <c r="A13177" s="4">
        <v>585.0</v>
      </c>
      <c r="B13177" s="4" t="s">
        <v>22112</v>
      </c>
      <c r="C13177" s="4"/>
      <c r="D13177" s="4" t="s">
        <v>2833</v>
      </c>
      <c r="E13177" s="4" t="s">
        <v>2834</v>
      </c>
      <c r="F13177" s="4" t="s">
        <v>2833</v>
      </c>
    </row>
    <row r="13178">
      <c r="A13178" s="4">
        <v>586.0</v>
      </c>
      <c r="B13178" s="4" t="s">
        <v>22112</v>
      </c>
      <c r="C13178" s="4"/>
      <c r="D13178" s="4" t="s">
        <v>2743</v>
      </c>
      <c r="E13178" s="4" t="s">
        <v>2742</v>
      </c>
      <c r="F13178" s="4" t="s">
        <v>2743</v>
      </c>
      <c r="G13178" s="4"/>
      <c r="H13178" s="4" t="s">
        <v>2743</v>
      </c>
    </row>
    <row r="13179">
      <c r="A13179" s="4">
        <v>587.0</v>
      </c>
      <c r="B13179" s="4" t="s">
        <v>22112</v>
      </c>
      <c r="C13179" s="4"/>
      <c r="D13179" s="4" t="s">
        <v>2841</v>
      </c>
      <c r="E13179" s="4" t="s">
        <v>2844</v>
      </c>
      <c r="F13179" s="4" t="s">
        <v>2841</v>
      </c>
    </row>
    <row r="13180">
      <c r="A13180" s="4">
        <v>588.0</v>
      </c>
      <c r="B13180" s="4" t="s">
        <v>22112</v>
      </c>
      <c r="C13180" s="4"/>
      <c r="D13180" s="4" t="s">
        <v>13003</v>
      </c>
      <c r="E13180" s="4" t="s">
        <v>13002</v>
      </c>
      <c r="F13180" s="4" t="s">
        <v>13003</v>
      </c>
      <c r="G13180" s="4"/>
      <c r="H13180" s="4" t="s">
        <v>16434</v>
      </c>
    </row>
    <row r="13181">
      <c r="A13181" s="4">
        <v>589.0</v>
      </c>
      <c r="B13181" s="4" t="s">
        <v>22112</v>
      </c>
      <c r="C13181" s="4"/>
      <c r="D13181" s="4" t="s">
        <v>2847</v>
      </c>
      <c r="E13181" s="4" t="s">
        <v>2846</v>
      </c>
      <c r="F13181" s="4" t="s">
        <v>2847</v>
      </c>
      <c r="G13181" s="4"/>
      <c r="H13181" s="4" t="s">
        <v>21415</v>
      </c>
      <c r="I13181" s="4" t="s">
        <v>21416</v>
      </c>
    </row>
    <row r="13182">
      <c r="A13182" s="4">
        <v>590.0</v>
      </c>
      <c r="B13182" s="4" t="s">
        <v>22112</v>
      </c>
      <c r="C13182" s="4"/>
      <c r="D13182" s="4" t="s">
        <v>21417</v>
      </c>
      <c r="E13182" s="4" t="s">
        <v>21418</v>
      </c>
      <c r="F13182" s="4" t="s">
        <v>21417</v>
      </c>
    </row>
    <row r="13183">
      <c r="A13183" s="4">
        <v>591.0</v>
      </c>
      <c r="B13183" s="4" t="s">
        <v>22112</v>
      </c>
      <c r="C13183" s="4"/>
      <c r="D13183" s="4" t="s">
        <v>21419</v>
      </c>
      <c r="E13183" s="4" t="s">
        <v>21420</v>
      </c>
      <c r="F13183" s="4" t="s">
        <v>21421</v>
      </c>
      <c r="G13183" s="4"/>
      <c r="H13183" s="4" t="s">
        <v>21419</v>
      </c>
      <c r="I13183" s="4" t="s">
        <v>21419</v>
      </c>
      <c r="J13183" s="4" t="s">
        <v>11145</v>
      </c>
    </row>
    <row r="13184">
      <c r="A13184" s="4">
        <v>592.0</v>
      </c>
      <c r="B13184" s="4" t="s">
        <v>22112</v>
      </c>
      <c r="C13184" s="4"/>
      <c r="D13184" s="4" t="s">
        <v>2848</v>
      </c>
      <c r="E13184" s="4" t="s">
        <v>2852</v>
      </c>
      <c r="F13184" s="4" t="s">
        <v>2848</v>
      </c>
    </row>
    <row r="13185">
      <c r="A13185" s="4">
        <v>593.0</v>
      </c>
      <c r="B13185" s="4" t="s">
        <v>22112</v>
      </c>
      <c r="C13185" s="4"/>
      <c r="D13185" s="4" t="s">
        <v>21422</v>
      </c>
      <c r="E13185" s="4" t="s">
        <v>21423</v>
      </c>
      <c r="F13185" s="4" t="s">
        <v>21422</v>
      </c>
      <c r="G13185" s="4"/>
      <c r="H13185" s="4" t="s">
        <v>20758</v>
      </c>
      <c r="I13185" s="4" t="s">
        <v>20759</v>
      </c>
      <c r="J13185" s="4" t="s">
        <v>20760</v>
      </c>
      <c r="K13185" s="4" t="s">
        <v>20761</v>
      </c>
      <c r="L13185" s="4" t="s">
        <v>20762</v>
      </c>
      <c r="M13185" s="4" t="s">
        <v>20763</v>
      </c>
      <c r="N13185" s="4" t="s">
        <v>6078</v>
      </c>
      <c r="O13185" s="4" t="s">
        <v>11747</v>
      </c>
      <c r="P13185" s="4" t="s">
        <v>11748</v>
      </c>
      <c r="Q13185" s="4" t="s">
        <v>854</v>
      </c>
    </row>
    <row r="13186">
      <c r="A13186" s="4">
        <v>594.0</v>
      </c>
      <c r="B13186" s="4" t="s">
        <v>22112</v>
      </c>
      <c r="C13186" s="4"/>
      <c r="D13186" s="4" t="s">
        <v>21424</v>
      </c>
      <c r="E13186" s="4" t="s">
        <v>21425</v>
      </c>
      <c r="F13186" s="4" t="s">
        <v>21424</v>
      </c>
    </row>
    <row r="13187">
      <c r="A13187" s="4">
        <v>595.0</v>
      </c>
      <c r="B13187" s="4" t="s">
        <v>22112</v>
      </c>
      <c r="C13187" s="4"/>
      <c r="D13187" s="4" t="s">
        <v>21426</v>
      </c>
      <c r="E13187" s="4" t="s">
        <v>21427</v>
      </c>
      <c r="F13187" s="4" t="s">
        <v>21426</v>
      </c>
    </row>
    <row r="13188">
      <c r="A13188" s="4">
        <v>596.0</v>
      </c>
      <c r="B13188" s="4" t="s">
        <v>22112</v>
      </c>
      <c r="C13188" s="4"/>
      <c r="D13188" s="4" t="s">
        <v>21428</v>
      </c>
      <c r="E13188" s="4" t="s">
        <v>2863</v>
      </c>
      <c r="F13188" s="4" t="s">
        <v>2864</v>
      </c>
    </row>
    <row r="13189">
      <c r="A13189" s="4">
        <v>597.0</v>
      </c>
      <c r="B13189" s="4" t="s">
        <v>22112</v>
      </c>
      <c r="C13189" s="4"/>
      <c r="D13189" s="4" t="s">
        <v>21429</v>
      </c>
      <c r="E13189" s="4" t="s">
        <v>21430</v>
      </c>
      <c r="F13189" s="4" t="s">
        <v>21431</v>
      </c>
    </row>
    <row r="13190">
      <c r="A13190" s="4">
        <v>598.0</v>
      </c>
      <c r="B13190" s="4" t="s">
        <v>22112</v>
      </c>
      <c r="C13190" s="4"/>
      <c r="D13190" s="4" t="s">
        <v>19243</v>
      </c>
      <c r="E13190" s="4" t="s">
        <v>2872</v>
      </c>
      <c r="F13190" s="4" t="s">
        <v>2873</v>
      </c>
      <c r="G13190" s="4"/>
      <c r="H13190" s="4" t="s">
        <v>1301</v>
      </c>
      <c r="I13190" s="4" t="s">
        <v>19244</v>
      </c>
      <c r="J13190" s="4" t="s">
        <v>19245</v>
      </c>
      <c r="K13190" s="4" t="s">
        <v>2874</v>
      </c>
      <c r="L13190" s="4" t="s">
        <v>19246</v>
      </c>
      <c r="M13190" s="4" t="s">
        <v>2874</v>
      </c>
      <c r="N13190" s="4" t="s">
        <v>2874</v>
      </c>
      <c r="O13190" s="4" t="s">
        <v>2875</v>
      </c>
      <c r="P13190" s="4" t="s">
        <v>2874</v>
      </c>
    </row>
    <row r="13191">
      <c r="A13191" s="4">
        <v>599.0</v>
      </c>
      <c r="B13191" s="4" t="s">
        <v>22112</v>
      </c>
      <c r="C13191" s="4"/>
      <c r="D13191" s="4" t="s">
        <v>21432</v>
      </c>
      <c r="E13191" s="4" t="s">
        <v>338</v>
      </c>
      <c r="F13191" s="4" t="s">
        <v>339</v>
      </c>
    </row>
    <row r="13192">
      <c r="A13192" s="4">
        <v>600.0</v>
      </c>
      <c r="B13192" s="4" t="s">
        <v>22112</v>
      </c>
      <c r="C13192" s="4"/>
      <c r="D13192" s="4" t="s">
        <v>21433</v>
      </c>
      <c r="E13192" s="4" t="s">
        <v>341</v>
      </c>
      <c r="F13192" s="4" t="s">
        <v>342</v>
      </c>
    </row>
    <row r="13193">
      <c r="A13193" s="4">
        <v>601.0</v>
      </c>
      <c r="B13193" s="4" t="s">
        <v>22112</v>
      </c>
      <c r="C13193" s="4"/>
      <c r="D13193" s="4" t="s">
        <v>2879</v>
      </c>
      <c r="E13193" s="4" t="s">
        <v>2880</v>
      </c>
      <c r="F13193" s="4" t="s">
        <v>2881</v>
      </c>
      <c r="G13193" s="4"/>
      <c r="H13193" s="4" t="s">
        <v>2886</v>
      </c>
      <c r="I13193" s="4" t="s">
        <v>2887</v>
      </c>
    </row>
    <row r="13194">
      <c r="A13194" s="4">
        <v>602.0</v>
      </c>
      <c r="B13194" s="4" t="s">
        <v>22112</v>
      </c>
      <c r="C13194" s="4"/>
      <c r="D13194" s="4" t="s">
        <v>21434</v>
      </c>
      <c r="E13194" s="4" t="s">
        <v>21435</v>
      </c>
      <c r="F13194" s="4" t="s">
        <v>21436</v>
      </c>
    </row>
    <row r="13195">
      <c r="A13195" s="4">
        <v>603.0</v>
      </c>
      <c r="B13195" s="4" t="s">
        <v>22112</v>
      </c>
      <c r="C13195" s="4"/>
      <c r="D13195" s="4" t="s">
        <v>2902</v>
      </c>
      <c r="E13195" s="4" t="s">
        <v>2903</v>
      </c>
      <c r="F13195" s="4" t="s">
        <v>2904</v>
      </c>
    </row>
    <row r="13196">
      <c r="A13196" s="4">
        <v>604.0</v>
      </c>
      <c r="B13196" s="4" t="s">
        <v>22112</v>
      </c>
      <c r="C13196" s="4"/>
      <c r="D13196" s="4" t="s">
        <v>21437</v>
      </c>
      <c r="E13196" s="4" t="s">
        <v>21438</v>
      </c>
      <c r="F13196" s="4" t="s">
        <v>21439</v>
      </c>
    </row>
    <row r="13197">
      <c r="A13197" s="4">
        <v>605.0</v>
      </c>
      <c r="B13197" s="4" t="s">
        <v>22112</v>
      </c>
      <c r="C13197" s="4"/>
      <c r="D13197" s="4" t="s">
        <v>21440</v>
      </c>
      <c r="E13197" s="4" t="s">
        <v>21441</v>
      </c>
      <c r="F13197" s="4" t="s">
        <v>2897</v>
      </c>
    </row>
    <row r="13198">
      <c r="A13198" s="4">
        <v>606.0</v>
      </c>
      <c r="B13198" s="4" t="s">
        <v>22112</v>
      </c>
      <c r="C13198" s="4"/>
      <c r="D13198" s="4" t="s">
        <v>21442</v>
      </c>
      <c r="E13198" s="4" t="s">
        <v>2812</v>
      </c>
      <c r="F13198" s="4" t="s">
        <v>2813</v>
      </c>
    </row>
    <row r="13199">
      <c r="A13199" s="4">
        <v>607.0</v>
      </c>
      <c r="B13199" s="4" t="s">
        <v>22112</v>
      </c>
      <c r="C13199" s="4"/>
      <c r="D13199" s="4" t="s">
        <v>21443</v>
      </c>
      <c r="E13199" s="4" t="s">
        <v>21444</v>
      </c>
      <c r="F13199" s="4" t="s">
        <v>21445</v>
      </c>
      <c r="G13199" s="4"/>
      <c r="H13199" s="4" t="s">
        <v>4849</v>
      </c>
      <c r="I13199" s="4" t="s">
        <v>4849</v>
      </c>
      <c r="J13199" s="4" t="s">
        <v>21446</v>
      </c>
      <c r="K13199" s="4" t="s">
        <v>4849</v>
      </c>
    </row>
    <row r="13200">
      <c r="A13200" s="4">
        <v>608.0</v>
      </c>
      <c r="B13200" s="4" t="s">
        <v>22112</v>
      </c>
      <c r="C13200" s="4"/>
      <c r="D13200" s="4" t="s">
        <v>16802</v>
      </c>
      <c r="E13200" s="4" t="s">
        <v>16803</v>
      </c>
      <c r="F13200" s="4" t="s">
        <v>16804</v>
      </c>
    </row>
    <row r="13201">
      <c r="A13201" s="4">
        <v>609.0</v>
      </c>
      <c r="B13201" s="4" t="s">
        <v>22112</v>
      </c>
      <c r="C13201" s="4"/>
      <c r="D13201" s="4" t="s">
        <v>21447</v>
      </c>
      <c r="E13201" s="4" t="s">
        <v>18340</v>
      </c>
      <c r="F13201" s="4" t="s">
        <v>18341</v>
      </c>
    </row>
    <row r="13202">
      <c r="A13202" s="4">
        <v>610.0</v>
      </c>
      <c r="B13202" s="4" t="s">
        <v>22112</v>
      </c>
      <c r="C13202" s="4"/>
      <c r="D13202" s="4" t="s">
        <v>21448</v>
      </c>
      <c r="E13202" s="4" t="s">
        <v>21449</v>
      </c>
      <c r="F13202" s="4" t="s">
        <v>21450</v>
      </c>
    </row>
    <row r="13203">
      <c r="A13203" s="4">
        <v>611.0</v>
      </c>
      <c r="B13203" s="4" t="s">
        <v>22112</v>
      </c>
      <c r="C13203" s="4"/>
      <c r="D13203" s="4" t="s">
        <v>21451</v>
      </c>
      <c r="E13203" s="4" t="s">
        <v>21452</v>
      </c>
      <c r="F13203" s="4" t="s">
        <v>21453</v>
      </c>
    </row>
    <row r="13204">
      <c r="A13204" s="4">
        <v>612.0</v>
      </c>
      <c r="B13204" s="4" t="s">
        <v>22112</v>
      </c>
      <c r="C13204" s="4"/>
      <c r="D13204" s="4" t="s">
        <v>2923</v>
      </c>
      <c r="E13204" s="4" t="s">
        <v>2924</v>
      </c>
      <c r="F13204" s="4" t="s">
        <v>2923</v>
      </c>
      <c r="G13204" s="4"/>
      <c r="H13204" s="4" t="s">
        <v>1878</v>
      </c>
      <c r="I13204" s="4" t="s">
        <v>1879</v>
      </c>
      <c r="J13204" s="4" t="s">
        <v>1880</v>
      </c>
      <c r="K13204" s="4" t="s">
        <v>1881</v>
      </c>
      <c r="L13204" s="4" t="s">
        <v>1882</v>
      </c>
      <c r="N13204" s="4" t="s">
        <v>1883</v>
      </c>
    </row>
    <row r="13205">
      <c r="A13205" s="4">
        <v>613.0</v>
      </c>
      <c r="B13205" s="4" t="s">
        <v>22112</v>
      </c>
      <c r="C13205" s="4"/>
      <c r="D13205" s="4" t="s">
        <v>13051</v>
      </c>
      <c r="E13205" s="4" t="s">
        <v>15274</v>
      </c>
      <c r="F13205" s="4" t="s">
        <v>13051</v>
      </c>
    </row>
    <row r="13206">
      <c r="A13206" s="4">
        <v>614.0</v>
      </c>
      <c r="B13206" s="4" t="s">
        <v>22112</v>
      </c>
      <c r="C13206" s="4"/>
      <c r="D13206" s="4" t="s">
        <v>19266</v>
      </c>
      <c r="E13206" s="4" t="s">
        <v>19267</v>
      </c>
      <c r="F13206" s="4" t="s">
        <v>19266</v>
      </c>
      <c r="G13206" s="4"/>
      <c r="H13206" s="4" t="s">
        <v>19268</v>
      </c>
      <c r="I13206" s="4" t="s">
        <v>19269</v>
      </c>
    </row>
    <row r="13207">
      <c r="A13207" s="4">
        <v>615.0</v>
      </c>
      <c r="B13207" s="4" t="s">
        <v>22112</v>
      </c>
      <c r="C13207" s="4"/>
      <c r="D13207" s="4" t="s">
        <v>21454</v>
      </c>
      <c r="E13207" s="4" t="s">
        <v>21455</v>
      </c>
      <c r="F13207" s="4" t="s">
        <v>21454</v>
      </c>
    </row>
    <row r="13208">
      <c r="A13208" s="4">
        <v>616.0</v>
      </c>
      <c r="B13208" s="4" t="s">
        <v>22112</v>
      </c>
      <c r="C13208" s="4"/>
      <c r="D13208" s="4" t="s">
        <v>21456</v>
      </c>
      <c r="E13208" s="4" t="s">
        <v>21457</v>
      </c>
      <c r="F13208" s="4" t="s">
        <v>21456</v>
      </c>
      <c r="G13208" s="4"/>
      <c r="H13208" s="4" t="s">
        <v>21458</v>
      </c>
      <c r="I13208" s="4" t="s">
        <v>21456</v>
      </c>
      <c r="J13208" s="4" t="s">
        <v>21459</v>
      </c>
    </row>
    <row r="13209">
      <c r="A13209" s="4">
        <v>617.0</v>
      </c>
      <c r="B13209" s="4" t="s">
        <v>22112</v>
      </c>
      <c r="C13209" s="4"/>
      <c r="D13209" s="4" t="s">
        <v>2935</v>
      </c>
      <c r="E13209" s="4" t="s">
        <v>2936</v>
      </c>
      <c r="F13209" s="4" t="s">
        <v>2935</v>
      </c>
    </row>
    <row r="13210">
      <c r="A13210" s="4">
        <v>618.0</v>
      </c>
      <c r="B13210" s="4" t="s">
        <v>22112</v>
      </c>
      <c r="C13210" s="4"/>
      <c r="D13210" s="4" t="s">
        <v>2938</v>
      </c>
      <c r="E13210" s="4" t="s">
        <v>2939</v>
      </c>
      <c r="F13210" s="4" t="s">
        <v>2938</v>
      </c>
      <c r="G13210" s="4"/>
      <c r="H13210" s="4" t="s">
        <v>2940</v>
      </c>
      <c r="I13210" s="4" t="s">
        <v>2941</v>
      </c>
    </row>
    <row r="13211">
      <c r="A13211" s="4">
        <v>619.0</v>
      </c>
      <c r="B13211" s="4" t="s">
        <v>22112</v>
      </c>
      <c r="C13211" s="4"/>
      <c r="D13211" s="4" t="s">
        <v>21460</v>
      </c>
      <c r="E13211" s="4" t="s">
        <v>21461</v>
      </c>
      <c r="F13211" s="4" t="s">
        <v>21460</v>
      </c>
    </row>
    <row r="13212">
      <c r="A13212" s="4">
        <v>620.0</v>
      </c>
      <c r="B13212" s="4" t="s">
        <v>22112</v>
      </c>
      <c r="C13212" s="4"/>
      <c r="D13212" s="4" t="s">
        <v>2947</v>
      </c>
      <c r="E13212" s="4" t="s">
        <v>2948</v>
      </c>
      <c r="F13212" s="4" t="s">
        <v>2947</v>
      </c>
    </row>
    <row r="13213">
      <c r="A13213" s="4">
        <v>621.0</v>
      </c>
      <c r="B13213" s="4" t="s">
        <v>22112</v>
      </c>
      <c r="C13213" s="4"/>
      <c r="D13213" s="4" t="s">
        <v>2959</v>
      </c>
      <c r="E13213" s="4" t="s">
        <v>2960</v>
      </c>
      <c r="F13213" s="4" t="s">
        <v>2959</v>
      </c>
      <c r="G13213" s="4"/>
      <c r="H13213" s="4" t="s">
        <v>2961</v>
      </c>
      <c r="I13213" s="4" t="s">
        <v>2962</v>
      </c>
      <c r="J13213" s="4" t="s">
        <v>2959</v>
      </c>
      <c r="K13213" s="4" t="s">
        <v>2963</v>
      </c>
      <c r="L13213" s="4" t="s">
        <v>2964</v>
      </c>
      <c r="M13213" s="4" t="s">
        <v>2965</v>
      </c>
      <c r="N13213" s="4" t="s">
        <v>2966</v>
      </c>
      <c r="O13213" s="4" t="s">
        <v>2967</v>
      </c>
      <c r="P13213" s="4" t="s">
        <v>2968</v>
      </c>
      <c r="Q13213" s="4" t="s">
        <v>2969</v>
      </c>
      <c r="R13213" s="4" t="s">
        <v>2959</v>
      </c>
      <c r="S13213" s="4" t="s">
        <v>2959</v>
      </c>
      <c r="T13213" s="4" t="s">
        <v>2959</v>
      </c>
      <c r="U13213" s="4" t="s">
        <v>2959</v>
      </c>
      <c r="V13213" s="4" t="s">
        <v>2959</v>
      </c>
      <c r="W13213" s="4" t="s">
        <v>2959</v>
      </c>
      <c r="X13213" s="4" t="s">
        <v>2959</v>
      </c>
      <c r="Y13213" s="4" t="s">
        <v>2963</v>
      </c>
      <c r="Z13213" s="4" t="s">
        <v>2970</v>
      </c>
      <c r="AA13213" s="4" t="s">
        <v>15591</v>
      </c>
    </row>
    <row r="13214">
      <c r="A13214" s="4">
        <v>622.0</v>
      </c>
      <c r="B13214" s="4" t="s">
        <v>22112</v>
      </c>
      <c r="C13214" s="4"/>
      <c r="D13214" s="4" t="s">
        <v>21462</v>
      </c>
      <c r="E13214" s="4" t="s">
        <v>21461</v>
      </c>
      <c r="F13214" s="4" t="s">
        <v>21460</v>
      </c>
    </row>
    <row r="13215">
      <c r="A13215" s="4">
        <v>623.0</v>
      </c>
      <c r="B13215" s="4" t="s">
        <v>22112</v>
      </c>
      <c r="C13215" s="4"/>
      <c r="D13215" s="4" t="s">
        <v>389</v>
      </c>
      <c r="E13215" s="4" t="s">
        <v>388</v>
      </c>
      <c r="F13215" s="4" t="s">
        <v>389</v>
      </c>
    </row>
    <row r="13216">
      <c r="A13216" s="4">
        <v>624.0</v>
      </c>
      <c r="B13216" s="4" t="s">
        <v>22112</v>
      </c>
      <c r="C13216" s="4"/>
      <c r="D13216" s="4" t="s">
        <v>6994</v>
      </c>
      <c r="E13216" s="4" t="s">
        <v>13093</v>
      </c>
      <c r="F13216" s="4" t="s">
        <v>6994</v>
      </c>
    </row>
    <row r="13217">
      <c r="A13217" s="4">
        <v>625.0</v>
      </c>
      <c r="B13217" s="4" t="s">
        <v>22112</v>
      </c>
      <c r="C13217" s="4"/>
      <c r="D13217" s="4" t="s">
        <v>21463</v>
      </c>
      <c r="E13217" s="4" t="s">
        <v>21464</v>
      </c>
      <c r="F13217" s="4" t="s">
        <v>21463</v>
      </c>
      <c r="G13217" s="4"/>
      <c r="H13217" s="4" t="s">
        <v>4701</v>
      </c>
      <c r="I13217" s="4" t="s">
        <v>2283</v>
      </c>
      <c r="J13217" s="4" t="s">
        <v>21465</v>
      </c>
      <c r="K13217" s="4" t="s">
        <v>6861</v>
      </c>
      <c r="L13217" s="4" t="s">
        <v>21466</v>
      </c>
      <c r="M13217" s="4" t="s">
        <v>6861</v>
      </c>
      <c r="N13217" s="4" t="s">
        <v>2709</v>
      </c>
      <c r="O13217" s="4" t="s">
        <v>6862</v>
      </c>
      <c r="P13217" s="4" t="s">
        <v>6863</v>
      </c>
      <c r="Q13217" s="4" t="s">
        <v>6864</v>
      </c>
      <c r="R13217" s="4" t="s">
        <v>6865</v>
      </c>
      <c r="S13217" s="4" t="s">
        <v>6581</v>
      </c>
      <c r="T13217" s="4" t="s">
        <v>6582</v>
      </c>
      <c r="U13217" s="4" t="s">
        <v>6583</v>
      </c>
      <c r="V13217" s="4" t="s">
        <v>6584</v>
      </c>
    </row>
    <row r="13218">
      <c r="A13218" s="4">
        <v>626.0</v>
      </c>
      <c r="B13218" s="4" t="s">
        <v>22112</v>
      </c>
      <c r="C13218" s="4"/>
      <c r="D13218" s="4" t="s">
        <v>3037</v>
      </c>
      <c r="E13218" s="4" t="s">
        <v>3038</v>
      </c>
      <c r="F13218" s="4" t="s">
        <v>3039</v>
      </c>
      <c r="G13218" s="4"/>
      <c r="H13218" s="4" t="s">
        <v>3040</v>
      </c>
      <c r="I13218" s="4" t="s">
        <v>3041</v>
      </c>
      <c r="J13218" s="4" t="s">
        <v>3042</v>
      </c>
    </row>
    <row r="13219">
      <c r="A13219" s="4">
        <v>627.0</v>
      </c>
      <c r="B13219" s="4" t="s">
        <v>22112</v>
      </c>
      <c r="C13219" s="4"/>
      <c r="D13219" s="4" t="s">
        <v>21467</v>
      </c>
      <c r="E13219" s="4" t="s">
        <v>388</v>
      </c>
      <c r="F13219" s="4" t="s">
        <v>389</v>
      </c>
      <c r="G13219" s="4"/>
      <c r="H13219" s="4" t="s">
        <v>21468</v>
      </c>
      <c r="I13219" s="4" t="s">
        <v>21469</v>
      </c>
      <c r="J13219" s="4" t="s">
        <v>21470</v>
      </c>
      <c r="K13219" s="4" t="s">
        <v>21471</v>
      </c>
    </row>
    <row r="13220">
      <c r="A13220" s="4">
        <v>628.0</v>
      </c>
      <c r="B13220" s="4" t="s">
        <v>22112</v>
      </c>
      <c r="C13220" s="4"/>
      <c r="D13220" s="4" t="s">
        <v>21472</v>
      </c>
      <c r="E13220" s="4" t="s">
        <v>373</v>
      </c>
      <c r="F13220" s="4" t="s">
        <v>374</v>
      </c>
    </row>
    <row r="13221">
      <c r="A13221" s="4">
        <v>629.0</v>
      </c>
      <c r="B13221" s="4" t="s">
        <v>22112</v>
      </c>
      <c r="C13221" s="4"/>
      <c r="D13221" s="4" t="s">
        <v>21473</v>
      </c>
      <c r="E13221" s="4" t="s">
        <v>21474</v>
      </c>
      <c r="F13221" s="4" t="s">
        <v>21475</v>
      </c>
      <c r="G13221" s="4"/>
      <c r="H13221" s="4" t="s">
        <v>21476</v>
      </c>
      <c r="I13221" s="4" t="s">
        <v>21477</v>
      </c>
    </row>
    <row r="13222">
      <c r="A13222" s="4">
        <v>630.0</v>
      </c>
      <c r="B13222" s="4" t="s">
        <v>22112</v>
      </c>
      <c r="C13222" s="4"/>
      <c r="D13222" s="4" t="s">
        <v>21478</v>
      </c>
      <c r="E13222" s="4" t="s">
        <v>21479</v>
      </c>
      <c r="F13222" s="4" t="s">
        <v>21480</v>
      </c>
    </row>
    <row r="13223">
      <c r="A13223" s="4">
        <v>631.0</v>
      </c>
      <c r="B13223" s="4" t="s">
        <v>22112</v>
      </c>
      <c r="C13223" s="4"/>
      <c r="D13223" s="4" t="s">
        <v>21481</v>
      </c>
      <c r="E13223" s="4" t="s">
        <v>21482</v>
      </c>
      <c r="F13223" s="4" t="s">
        <v>21483</v>
      </c>
    </row>
    <row r="13224">
      <c r="A13224" s="4">
        <v>632.0</v>
      </c>
      <c r="B13224" s="4" t="s">
        <v>22112</v>
      </c>
      <c r="C13224" s="4"/>
      <c r="D13224" s="4" t="s">
        <v>3147</v>
      </c>
      <c r="E13224" s="4" t="s">
        <v>3148</v>
      </c>
      <c r="F13224" s="4" t="s">
        <v>3147</v>
      </c>
      <c r="G13224" s="4"/>
      <c r="H13224" s="4" t="s">
        <v>21484</v>
      </c>
      <c r="I13224" s="4" t="s">
        <v>21485</v>
      </c>
      <c r="J13224" s="4" t="s">
        <v>21486</v>
      </c>
    </row>
    <row r="13225">
      <c r="A13225" s="4">
        <v>633.0</v>
      </c>
      <c r="B13225" s="4" t="s">
        <v>22112</v>
      </c>
      <c r="C13225" s="4"/>
      <c r="D13225" s="4" t="s">
        <v>21487</v>
      </c>
      <c r="E13225" s="4" t="s">
        <v>3162</v>
      </c>
      <c r="F13225" s="4" t="s">
        <v>3161</v>
      </c>
    </row>
    <row r="13226">
      <c r="A13226" s="4">
        <v>634.0</v>
      </c>
      <c r="B13226" s="4" t="s">
        <v>22112</v>
      </c>
      <c r="C13226" s="4"/>
      <c r="D13226" s="4" t="s">
        <v>13144</v>
      </c>
      <c r="E13226" s="4" t="s">
        <v>13145</v>
      </c>
      <c r="F13226" s="4" t="s">
        <v>11055</v>
      </c>
    </row>
    <row r="13227">
      <c r="A13227" s="4">
        <v>635.0</v>
      </c>
      <c r="B13227" s="4" t="s">
        <v>22112</v>
      </c>
      <c r="C13227" s="4"/>
      <c r="D13227" s="4" t="s">
        <v>2543</v>
      </c>
      <c r="E13227" s="4" t="s">
        <v>391</v>
      </c>
      <c r="F13227" s="4" t="s">
        <v>392</v>
      </c>
    </row>
    <row r="13228">
      <c r="A13228" s="4">
        <v>636.0</v>
      </c>
      <c r="B13228" s="4" t="s">
        <v>22112</v>
      </c>
      <c r="C13228" s="4"/>
      <c r="D13228" s="4" t="s">
        <v>21488</v>
      </c>
      <c r="E13228" s="4" t="s">
        <v>21489</v>
      </c>
      <c r="F13228" s="4" t="s">
        <v>10884</v>
      </c>
    </row>
    <row r="13229">
      <c r="A13229" s="4">
        <v>637.0</v>
      </c>
      <c r="B13229" s="4" t="s">
        <v>22112</v>
      </c>
      <c r="C13229" s="4"/>
      <c r="D13229" s="4" t="s">
        <v>10843</v>
      </c>
      <c r="E13229" s="4" t="s">
        <v>18440</v>
      </c>
      <c r="F13229" s="4" t="s">
        <v>11055</v>
      </c>
      <c r="G13229" s="4"/>
      <c r="H13229" s="4" t="s">
        <v>21490</v>
      </c>
      <c r="I13229" s="4" t="s">
        <v>21491</v>
      </c>
      <c r="J13229" s="4" t="s">
        <v>21492</v>
      </c>
      <c r="K13229" s="4" t="s">
        <v>21493</v>
      </c>
      <c r="L13229" s="4" t="s">
        <v>3188</v>
      </c>
      <c r="M13229" s="4" t="s">
        <v>3189</v>
      </c>
      <c r="N13229" s="4" t="s">
        <v>3190</v>
      </c>
      <c r="O13229" s="4" t="s">
        <v>3191</v>
      </c>
      <c r="P13229" s="4" t="s">
        <v>3192</v>
      </c>
      <c r="Q13229" s="4" t="s">
        <v>3193</v>
      </c>
      <c r="R13229" s="4" t="s">
        <v>3194</v>
      </c>
      <c r="S13229" s="4" t="s">
        <v>3195</v>
      </c>
      <c r="T13229" s="4" t="s">
        <v>13166</v>
      </c>
      <c r="U13229" s="4" t="s">
        <v>13167</v>
      </c>
      <c r="V13229" s="4" t="s">
        <v>13168</v>
      </c>
      <c r="W13229" s="4" t="s">
        <v>1190</v>
      </c>
      <c r="X13229" s="4" t="s">
        <v>3196</v>
      </c>
      <c r="Y13229" s="4" t="s">
        <v>13169</v>
      </c>
      <c r="Z13229" s="4" t="s">
        <v>3196</v>
      </c>
      <c r="AA13229" s="4" t="s">
        <v>3197</v>
      </c>
    </row>
    <row r="13230">
      <c r="A13230" s="4">
        <v>638.0</v>
      </c>
      <c r="B13230" s="4" t="s">
        <v>22112</v>
      </c>
      <c r="C13230" s="4"/>
      <c r="D13230" s="4" t="s">
        <v>21494</v>
      </c>
      <c r="E13230" s="4" t="s">
        <v>21495</v>
      </c>
      <c r="F13230" s="4" t="s">
        <v>21496</v>
      </c>
    </row>
    <row r="13231">
      <c r="A13231" s="4">
        <v>639.0</v>
      </c>
      <c r="B13231" s="4" t="s">
        <v>22112</v>
      </c>
      <c r="C13231" s="4"/>
      <c r="D13231" s="4" t="s">
        <v>3173</v>
      </c>
      <c r="E13231" s="4" t="s">
        <v>3174</v>
      </c>
      <c r="F13231" s="4" t="s">
        <v>3173</v>
      </c>
      <c r="G13231" s="4"/>
      <c r="H13231" s="4" t="s">
        <v>13178</v>
      </c>
      <c r="I13231" s="4" t="s">
        <v>21497</v>
      </c>
    </row>
    <row r="13232">
      <c r="A13232" s="4">
        <v>640.0</v>
      </c>
      <c r="B13232" s="4" t="s">
        <v>22112</v>
      </c>
      <c r="C13232" s="4"/>
      <c r="D13232" s="4" t="s">
        <v>3177</v>
      </c>
      <c r="E13232" s="4" t="s">
        <v>3178</v>
      </c>
      <c r="F13232" s="4" t="s">
        <v>3177</v>
      </c>
      <c r="G13232" s="4"/>
      <c r="H13232" s="4" t="s">
        <v>3177</v>
      </c>
      <c r="I13232" s="4" t="s">
        <v>13173</v>
      </c>
      <c r="J13232" s="4" t="s">
        <v>13174</v>
      </c>
      <c r="K13232" s="4" t="s">
        <v>3177</v>
      </c>
      <c r="L13232" s="4" t="s">
        <v>13175</v>
      </c>
    </row>
    <row r="13233">
      <c r="A13233" s="4">
        <v>641.0</v>
      </c>
      <c r="B13233" s="4" t="s">
        <v>22112</v>
      </c>
      <c r="C13233" s="4"/>
      <c r="D13233" s="4" t="s">
        <v>3179</v>
      </c>
      <c r="E13233" s="4" t="s">
        <v>3180</v>
      </c>
      <c r="F13233" s="4" t="s">
        <v>3179</v>
      </c>
    </row>
    <row r="13234">
      <c r="A13234" s="4">
        <v>642.0</v>
      </c>
      <c r="B13234" s="4" t="s">
        <v>22112</v>
      </c>
      <c r="C13234" s="4"/>
      <c r="D13234" s="4" t="s">
        <v>21498</v>
      </c>
      <c r="E13234" s="4" t="s">
        <v>21499</v>
      </c>
      <c r="F13234" s="4" t="s">
        <v>21500</v>
      </c>
    </row>
    <row r="13235">
      <c r="A13235" s="4">
        <v>643.0</v>
      </c>
      <c r="B13235" s="4" t="s">
        <v>22112</v>
      </c>
      <c r="C13235" s="4"/>
      <c r="D13235" s="4" t="s">
        <v>21501</v>
      </c>
      <c r="E13235" s="4" t="s">
        <v>21502</v>
      </c>
      <c r="F13235" s="4" t="s">
        <v>21501</v>
      </c>
    </row>
    <row r="13236">
      <c r="A13236" s="4">
        <v>644.0</v>
      </c>
      <c r="B13236" s="4" t="s">
        <v>22112</v>
      </c>
      <c r="C13236" s="4"/>
      <c r="D13236" s="4" t="s">
        <v>7069</v>
      </c>
      <c r="E13236" s="4" t="s">
        <v>13195</v>
      </c>
      <c r="F13236" s="4" t="s">
        <v>7069</v>
      </c>
      <c r="G13236" s="4"/>
      <c r="H13236" s="4" t="s">
        <v>7072</v>
      </c>
      <c r="I13236" s="4" t="s">
        <v>7074</v>
      </c>
      <c r="J13236" s="4" t="s">
        <v>21503</v>
      </c>
      <c r="K13236" s="4" t="s">
        <v>21504</v>
      </c>
      <c r="L13236" s="4" t="s">
        <v>21505</v>
      </c>
      <c r="M13236" s="4" t="s">
        <v>3149</v>
      </c>
      <c r="N13236" s="4" t="s">
        <v>3150</v>
      </c>
      <c r="O13236" s="4" t="s">
        <v>3151</v>
      </c>
    </row>
    <row r="13237">
      <c r="A13237" s="4">
        <v>645.0</v>
      </c>
      <c r="B13237" s="4" t="s">
        <v>22112</v>
      </c>
      <c r="C13237" s="4"/>
      <c r="D13237" s="4" t="s">
        <v>13193</v>
      </c>
      <c r="E13237" s="4" t="s">
        <v>3264</v>
      </c>
      <c r="F13237" s="4" t="s">
        <v>3265</v>
      </c>
      <c r="G13237" s="4"/>
      <c r="H13237" s="4" t="s">
        <v>3268</v>
      </c>
      <c r="I13237" s="4" t="s">
        <v>3272</v>
      </c>
      <c r="J13237" s="4" t="s">
        <v>3273</v>
      </c>
      <c r="K13237" s="4" t="s">
        <v>3274</v>
      </c>
      <c r="L13237" s="4" t="s">
        <v>3275</v>
      </c>
    </row>
    <row r="13238">
      <c r="A13238" s="4">
        <v>646.0</v>
      </c>
      <c r="B13238" s="4" t="s">
        <v>22112</v>
      </c>
      <c r="C13238" s="4"/>
      <c r="D13238" s="4" t="s">
        <v>21506</v>
      </c>
      <c r="E13238" s="4" t="s">
        <v>21507</v>
      </c>
      <c r="F13238" s="4" t="s">
        <v>21508</v>
      </c>
    </row>
    <row r="13239">
      <c r="A13239" s="4">
        <v>647.0</v>
      </c>
      <c r="B13239" s="4" t="s">
        <v>22112</v>
      </c>
      <c r="C13239" s="4"/>
      <c r="D13239" s="4" t="s">
        <v>21509</v>
      </c>
      <c r="E13239" s="4" t="s">
        <v>21510</v>
      </c>
      <c r="F13239" s="4" t="s">
        <v>21511</v>
      </c>
      <c r="G13239" s="4"/>
      <c r="H13239" s="4" t="s">
        <v>21512</v>
      </c>
    </row>
    <row r="13240">
      <c r="A13240" s="4">
        <v>648.0</v>
      </c>
      <c r="B13240" s="4" t="s">
        <v>22112</v>
      </c>
      <c r="C13240" s="4"/>
      <c r="D13240" s="4" t="s">
        <v>3292</v>
      </c>
      <c r="E13240" s="4" t="s">
        <v>3293</v>
      </c>
      <c r="F13240" s="4" t="s">
        <v>3292</v>
      </c>
      <c r="G13240" s="4"/>
      <c r="H13240" s="4" t="s">
        <v>3294</v>
      </c>
      <c r="I13240" s="4" t="s">
        <v>3295</v>
      </c>
      <c r="J13240" s="4" t="s">
        <v>3296</v>
      </c>
      <c r="K13240" s="4" t="s">
        <v>3147</v>
      </c>
      <c r="L13240" s="4" t="s">
        <v>3292</v>
      </c>
      <c r="M13240" s="4" t="s">
        <v>3297</v>
      </c>
      <c r="N13240" s="4" t="s">
        <v>3298</v>
      </c>
      <c r="O13240" s="4" t="s">
        <v>3299</v>
      </c>
      <c r="P13240" s="4" t="s">
        <v>3300</v>
      </c>
      <c r="Q13240" s="4" t="s">
        <v>3301</v>
      </c>
      <c r="R13240" s="4" t="s">
        <v>3302</v>
      </c>
      <c r="S13240" s="4" t="s">
        <v>3303</v>
      </c>
      <c r="T13240" s="4" t="s">
        <v>3304</v>
      </c>
      <c r="U13240" s="4" t="s">
        <v>3305</v>
      </c>
      <c r="V13240" s="4" t="s">
        <v>3306</v>
      </c>
      <c r="W13240" s="4" t="s">
        <v>3307</v>
      </c>
      <c r="X13240" s="4" t="s">
        <v>3308</v>
      </c>
    </row>
    <row r="13241">
      <c r="A13241" s="4">
        <v>649.0</v>
      </c>
      <c r="B13241" s="4" t="s">
        <v>22112</v>
      </c>
      <c r="C13241" s="4"/>
      <c r="D13241" s="4" t="s">
        <v>16839</v>
      </c>
      <c r="E13241" s="4" t="s">
        <v>16840</v>
      </c>
      <c r="F13241" s="4" t="s">
        <v>16839</v>
      </c>
    </row>
    <row r="13242">
      <c r="A13242" s="4">
        <v>650.0</v>
      </c>
      <c r="B13242" s="4" t="s">
        <v>22112</v>
      </c>
      <c r="C13242" s="4"/>
      <c r="D13242" s="4" t="s">
        <v>21513</v>
      </c>
      <c r="E13242" s="4" t="s">
        <v>21514</v>
      </c>
      <c r="F13242" s="4" t="s">
        <v>21513</v>
      </c>
    </row>
    <row r="13243">
      <c r="A13243" s="4">
        <v>651.0</v>
      </c>
      <c r="B13243" s="4" t="s">
        <v>22112</v>
      </c>
      <c r="C13243" s="4"/>
      <c r="D13243" s="4" t="s">
        <v>21515</v>
      </c>
      <c r="E13243" s="4" t="s">
        <v>21516</v>
      </c>
      <c r="F13243" s="4" t="s">
        <v>21515</v>
      </c>
    </row>
    <row r="13244">
      <c r="A13244" s="4">
        <v>652.0</v>
      </c>
      <c r="B13244" s="4" t="s">
        <v>22112</v>
      </c>
      <c r="C13244" s="4"/>
      <c r="D13244" s="4" t="s">
        <v>7100</v>
      </c>
      <c r="E13244" s="4" t="s">
        <v>13216</v>
      </c>
      <c r="F13244" s="4" t="s">
        <v>7100</v>
      </c>
    </row>
    <row r="13245">
      <c r="A13245" s="4">
        <v>653.0</v>
      </c>
      <c r="B13245" s="4" t="s">
        <v>22112</v>
      </c>
      <c r="C13245" s="4"/>
      <c r="D13245" s="4" t="s">
        <v>21517</v>
      </c>
      <c r="E13245" s="4" t="s">
        <v>21518</v>
      </c>
      <c r="F13245" s="4" t="s">
        <v>21517</v>
      </c>
    </row>
    <row r="13246">
      <c r="A13246" s="4">
        <v>654.0</v>
      </c>
      <c r="B13246" s="4" t="s">
        <v>22112</v>
      </c>
      <c r="C13246" s="4"/>
      <c r="D13246" s="4" t="s">
        <v>21519</v>
      </c>
      <c r="E13246" s="4" t="s">
        <v>21520</v>
      </c>
      <c r="F13246" s="4" t="s">
        <v>21519</v>
      </c>
      <c r="G13246" s="4"/>
      <c r="H13246" s="4" t="s">
        <v>21521</v>
      </c>
      <c r="I13246" s="4" t="s">
        <v>21522</v>
      </c>
    </row>
    <row r="13247">
      <c r="A13247" s="4">
        <v>655.0</v>
      </c>
      <c r="B13247" s="4" t="s">
        <v>22112</v>
      </c>
      <c r="C13247" s="4"/>
      <c r="D13247" s="4" t="s">
        <v>21523</v>
      </c>
      <c r="E13247" s="4" t="s">
        <v>21524</v>
      </c>
      <c r="F13247" s="4" t="s">
        <v>21523</v>
      </c>
    </row>
    <row r="13248">
      <c r="A13248" s="4">
        <v>656.0</v>
      </c>
      <c r="B13248" s="4" t="s">
        <v>22112</v>
      </c>
      <c r="C13248" s="4"/>
      <c r="D13248" s="4" t="s">
        <v>5474</v>
      </c>
      <c r="E13248" s="4" t="s">
        <v>5473</v>
      </c>
      <c r="F13248" s="4" t="s">
        <v>5474</v>
      </c>
    </row>
    <row r="13249">
      <c r="A13249" s="4">
        <v>657.0</v>
      </c>
      <c r="B13249" s="4" t="s">
        <v>22112</v>
      </c>
      <c r="C13249" s="4"/>
      <c r="D13249" s="4" t="s">
        <v>21525</v>
      </c>
      <c r="E13249" s="4" t="s">
        <v>3293</v>
      </c>
      <c r="F13249" s="4" t="s">
        <v>3292</v>
      </c>
      <c r="G13249" s="4"/>
      <c r="H13249" s="4" t="s">
        <v>3294</v>
      </c>
      <c r="I13249" s="4" t="s">
        <v>3295</v>
      </c>
      <c r="J13249" s="4" t="s">
        <v>3296</v>
      </c>
      <c r="K13249" s="4" t="s">
        <v>3147</v>
      </c>
      <c r="L13249" s="4" t="s">
        <v>3292</v>
      </c>
      <c r="M13249" s="4" t="s">
        <v>3297</v>
      </c>
      <c r="N13249" s="4" t="s">
        <v>3298</v>
      </c>
      <c r="O13249" s="4" t="s">
        <v>3299</v>
      </c>
      <c r="P13249" s="4" t="s">
        <v>3300</v>
      </c>
      <c r="Q13249" s="4" t="s">
        <v>3301</v>
      </c>
    </row>
    <row r="13250">
      <c r="A13250" s="4">
        <v>658.0</v>
      </c>
      <c r="B13250" s="4" t="s">
        <v>22112</v>
      </c>
      <c r="C13250" s="4"/>
      <c r="D13250" s="4" t="s">
        <v>13491</v>
      </c>
      <c r="E13250" s="4" t="s">
        <v>21526</v>
      </c>
      <c r="F13250" s="4" t="s">
        <v>13491</v>
      </c>
      <c r="G13250" s="4"/>
      <c r="H13250" s="4" t="s">
        <v>15218</v>
      </c>
      <c r="I13250" s="4" t="s">
        <v>7722</v>
      </c>
      <c r="J13250" s="4" t="s">
        <v>12852</v>
      </c>
      <c r="K13250" s="4" t="s">
        <v>20817</v>
      </c>
      <c r="L13250" s="4" t="s">
        <v>11456</v>
      </c>
      <c r="M13250" s="4" t="s">
        <v>15396</v>
      </c>
      <c r="N13250" s="4" t="s">
        <v>1256</v>
      </c>
      <c r="O13250" s="4" t="s">
        <v>7722</v>
      </c>
      <c r="P13250" s="4" t="s">
        <v>15397</v>
      </c>
      <c r="Q13250" s="4" t="s">
        <v>15396</v>
      </c>
      <c r="R13250" s="4" t="s">
        <v>13491</v>
      </c>
      <c r="S13250" s="4" t="s">
        <v>20816</v>
      </c>
      <c r="T13250" s="4" t="s">
        <v>20817</v>
      </c>
      <c r="U13250" s="4" t="s">
        <v>21527</v>
      </c>
      <c r="V13250" s="4" t="s">
        <v>21528</v>
      </c>
      <c r="W13250" s="4" t="s">
        <v>11456</v>
      </c>
      <c r="X13250" s="4" t="s">
        <v>21529</v>
      </c>
      <c r="Y13250" s="4" t="s">
        <v>14579</v>
      </c>
      <c r="Z13250" s="4" t="s">
        <v>21530</v>
      </c>
      <c r="AA13250" s="4" t="s">
        <v>21531</v>
      </c>
      <c r="AB13250" s="4" t="s">
        <v>21532</v>
      </c>
      <c r="AC13250" s="4" t="s">
        <v>21533</v>
      </c>
      <c r="AD13250" s="4" t="s">
        <v>21534</v>
      </c>
      <c r="AE13250" s="4" t="s">
        <v>21535</v>
      </c>
      <c r="AF13250" s="4" t="s">
        <v>20816</v>
      </c>
    </row>
    <row r="13251">
      <c r="A13251" s="4">
        <v>659.0</v>
      </c>
      <c r="B13251" s="4" t="s">
        <v>22112</v>
      </c>
      <c r="C13251" s="4"/>
      <c r="D13251" s="4" t="s">
        <v>21536</v>
      </c>
      <c r="E13251" s="4" t="s">
        <v>21537</v>
      </c>
      <c r="F13251" s="4" t="s">
        <v>21536</v>
      </c>
    </row>
    <row r="13252">
      <c r="A13252" s="4">
        <v>660.0</v>
      </c>
      <c r="B13252" s="4" t="s">
        <v>22112</v>
      </c>
      <c r="C13252" s="4"/>
      <c r="D13252" s="4" t="s">
        <v>3328</v>
      </c>
      <c r="E13252" s="4" t="s">
        <v>3329</v>
      </c>
      <c r="F13252" s="4" t="s">
        <v>3330</v>
      </c>
    </row>
    <row r="13253">
      <c r="A13253" s="4">
        <v>661.0</v>
      </c>
      <c r="B13253" s="4" t="s">
        <v>22112</v>
      </c>
      <c r="C13253" s="4"/>
      <c r="D13253" s="4" t="s">
        <v>21538</v>
      </c>
      <c r="E13253" s="4" t="s">
        <v>21539</v>
      </c>
      <c r="F13253" s="4" t="s">
        <v>21540</v>
      </c>
    </row>
    <row r="13254">
      <c r="A13254" s="4">
        <v>662.0</v>
      </c>
      <c r="B13254" s="4" t="s">
        <v>22112</v>
      </c>
      <c r="C13254" s="4"/>
      <c r="D13254" s="4" t="s">
        <v>21541</v>
      </c>
      <c r="E13254" s="4" t="s">
        <v>21542</v>
      </c>
      <c r="F13254" s="4" t="s">
        <v>21541</v>
      </c>
    </row>
    <row r="13255">
      <c r="A13255" s="4">
        <v>663.0</v>
      </c>
      <c r="B13255" s="4" t="s">
        <v>22112</v>
      </c>
      <c r="C13255" s="4"/>
      <c r="D13255" s="4" t="s">
        <v>21543</v>
      </c>
      <c r="E13255" s="4" t="s">
        <v>21544</v>
      </c>
      <c r="F13255" s="4" t="s">
        <v>21543</v>
      </c>
      <c r="G13255" s="4"/>
      <c r="H13255" s="4" t="s">
        <v>21545</v>
      </c>
      <c r="I13255" s="4" t="s">
        <v>21546</v>
      </c>
      <c r="J13255" s="4" t="s">
        <v>21547</v>
      </c>
      <c r="K13255" s="4" t="s">
        <v>21548</v>
      </c>
      <c r="L13255" s="4" t="s">
        <v>21549</v>
      </c>
    </row>
    <row r="13256">
      <c r="A13256" s="4">
        <v>664.0</v>
      </c>
      <c r="B13256" s="4" t="s">
        <v>22112</v>
      </c>
      <c r="C13256" s="4"/>
      <c r="D13256" s="4" t="s">
        <v>21550</v>
      </c>
      <c r="E13256" s="4" t="s">
        <v>21551</v>
      </c>
      <c r="F13256" s="4" t="s">
        <v>21550</v>
      </c>
    </row>
    <row r="13257">
      <c r="A13257" s="4">
        <v>665.0</v>
      </c>
      <c r="B13257" s="4" t="s">
        <v>22112</v>
      </c>
      <c r="C13257" s="4"/>
      <c r="D13257" s="4" t="s">
        <v>21552</v>
      </c>
      <c r="E13257" s="4" t="s">
        <v>21553</v>
      </c>
      <c r="F13257" s="4" t="s">
        <v>21554</v>
      </c>
      <c r="G13257" s="4"/>
      <c r="H13257" s="4" t="s">
        <v>21555</v>
      </c>
      <c r="I13257" s="4" t="s">
        <v>21556</v>
      </c>
    </row>
    <row r="13258">
      <c r="A13258" s="4">
        <v>666.0</v>
      </c>
      <c r="B13258" s="4" t="s">
        <v>22112</v>
      </c>
      <c r="C13258" s="4"/>
      <c r="D13258" s="4" t="s">
        <v>3344</v>
      </c>
      <c r="E13258" s="4" t="s">
        <v>3345</v>
      </c>
      <c r="F13258" s="4" t="s">
        <v>3344</v>
      </c>
      <c r="G13258" s="4"/>
      <c r="H13258" s="4" t="s">
        <v>4305</v>
      </c>
      <c r="I13258" s="4" t="s">
        <v>6487</v>
      </c>
      <c r="J13258" s="4" t="s">
        <v>3346</v>
      </c>
      <c r="K13258" s="4" t="s">
        <v>945</v>
      </c>
      <c r="L13258" s="4" t="s">
        <v>941</v>
      </c>
      <c r="M13258" s="4" t="s">
        <v>942</v>
      </c>
      <c r="N13258" s="4" t="s">
        <v>943</v>
      </c>
      <c r="O13258" s="4" t="s">
        <v>944</v>
      </c>
      <c r="P13258" s="4" t="s">
        <v>21557</v>
      </c>
      <c r="Q13258" s="4" t="s">
        <v>326</v>
      </c>
      <c r="R13258" s="4" t="s">
        <v>20649</v>
      </c>
      <c r="S13258" s="4" t="s">
        <v>945</v>
      </c>
      <c r="T13258" s="4" t="s">
        <v>945</v>
      </c>
      <c r="U13258" s="4" t="s">
        <v>948</v>
      </c>
      <c r="V13258" s="4" t="s">
        <v>945</v>
      </c>
      <c r="W13258" s="4" t="s">
        <v>946</v>
      </c>
      <c r="X13258" s="4" t="s">
        <v>947</v>
      </c>
      <c r="Y13258" s="4" t="s">
        <v>945</v>
      </c>
      <c r="Z13258" s="4" t="s">
        <v>948</v>
      </c>
      <c r="AA13258" s="4" t="s">
        <v>326</v>
      </c>
      <c r="AB13258" s="4" t="s">
        <v>949</v>
      </c>
      <c r="AC13258" s="4" t="s">
        <v>950</v>
      </c>
      <c r="AD13258" s="4" t="s">
        <v>945</v>
      </c>
      <c r="AE13258" s="4" t="s">
        <v>951</v>
      </c>
      <c r="AF13258" s="4" t="s">
        <v>952</v>
      </c>
      <c r="AG13258" s="4" t="s">
        <v>953</v>
      </c>
      <c r="AH13258" s="4" t="s">
        <v>3346</v>
      </c>
      <c r="AI13258" s="4" t="s">
        <v>945</v>
      </c>
      <c r="AJ13258" s="4" t="s">
        <v>953</v>
      </c>
      <c r="AK13258" s="4" t="s">
        <v>3347</v>
      </c>
      <c r="AL13258" s="4" t="s">
        <v>3348</v>
      </c>
      <c r="AM13258" s="4" t="s">
        <v>3349</v>
      </c>
    </row>
    <row r="13259">
      <c r="A13259" s="4">
        <v>667.0</v>
      </c>
      <c r="B13259" s="4" t="s">
        <v>22112</v>
      </c>
      <c r="C13259" s="4"/>
      <c r="D13259" s="4" t="s">
        <v>21558</v>
      </c>
      <c r="E13259" s="4" t="s">
        <v>21559</v>
      </c>
      <c r="F13259" s="4" t="s">
        <v>21558</v>
      </c>
    </row>
    <row r="13260">
      <c r="A13260" s="4">
        <v>668.0</v>
      </c>
      <c r="B13260" s="4" t="s">
        <v>22112</v>
      </c>
      <c r="C13260" s="4"/>
      <c r="D13260" s="4" t="s">
        <v>21560</v>
      </c>
      <c r="E13260" s="4" t="s">
        <v>21561</v>
      </c>
      <c r="F13260" s="4" t="s">
        <v>21560</v>
      </c>
    </row>
    <row r="13261">
      <c r="A13261" s="4">
        <v>669.0</v>
      </c>
      <c r="B13261" s="4" t="s">
        <v>22112</v>
      </c>
      <c r="C13261" s="4"/>
      <c r="D13261" s="4" t="s">
        <v>21562</v>
      </c>
      <c r="E13261" s="4" t="s">
        <v>21559</v>
      </c>
      <c r="F13261" s="4" t="s">
        <v>21558</v>
      </c>
    </row>
    <row r="13262">
      <c r="A13262" s="4">
        <v>670.0</v>
      </c>
      <c r="B13262" s="4" t="s">
        <v>22112</v>
      </c>
      <c r="C13262" s="4"/>
      <c r="D13262" s="4" t="s">
        <v>21563</v>
      </c>
      <c r="E13262" s="4" t="s">
        <v>21561</v>
      </c>
      <c r="F13262" s="4" t="s">
        <v>21560</v>
      </c>
    </row>
    <row r="13263">
      <c r="A13263" s="4">
        <v>671.0</v>
      </c>
      <c r="B13263" s="4" t="s">
        <v>22112</v>
      </c>
      <c r="C13263" s="4"/>
      <c r="D13263" s="4" t="s">
        <v>21564</v>
      </c>
      <c r="E13263" s="4" t="s">
        <v>21565</v>
      </c>
      <c r="F13263" s="4" t="s">
        <v>21564</v>
      </c>
    </row>
    <row r="13264">
      <c r="A13264" s="4">
        <v>672.0</v>
      </c>
      <c r="B13264" s="4" t="s">
        <v>22112</v>
      </c>
      <c r="C13264" s="4"/>
      <c r="D13264" s="4" t="s">
        <v>21566</v>
      </c>
      <c r="E13264" s="4" t="s">
        <v>21567</v>
      </c>
      <c r="F13264" s="4" t="s">
        <v>21566</v>
      </c>
    </row>
    <row r="13265">
      <c r="A13265" s="4">
        <v>673.0</v>
      </c>
      <c r="B13265" s="4" t="s">
        <v>22112</v>
      </c>
      <c r="C13265" s="4"/>
      <c r="D13265" s="4" t="s">
        <v>21568</v>
      </c>
      <c r="E13265" s="4" t="s">
        <v>21569</v>
      </c>
      <c r="F13265" s="4" t="s">
        <v>21568</v>
      </c>
    </row>
    <row r="13266">
      <c r="A13266" s="4">
        <v>674.0</v>
      </c>
      <c r="B13266" s="4" t="s">
        <v>22112</v>
      </c>
      <c r="C13266" s="4"/>
      <c r="D13266" s="4" t="s">
        <v>21570</v>
      </c>
      <c r="E13266" s="4" t="s">
        <v>21569</v>
      </c>
      <c r="F13266" s="4" t="s">
        <v>21568</v>
      </c>
    </row>
    <row r="13267">
      <c r="A13267" s="4">
        <v>675.0</v>
      </c>
      <c r="B13267" s="4" t="s">
        <v>22112</v>
      </c>
      <c r="C13267" s="4"/>
      <c r="D13267" s="4" t="s">
        <v>3350</v>
      </c>
      <c r="E13267" s="4" t="s">
        <v>3351</v>
      </c>
      <c r="F13267" s="4" t="s">
        <v>3350</v>
      </c>
    </row>
    <row r="13268">
      <c r="A13268" s="4">
        <v>676.0</v>
      </c>
      <c r="B13268" s="4" t="s">
        <v>22112</v>
      </c>
      <c r="C13268" s="4"/>
      <c r="D13268" s="4" t="s">
        <v>21571</v>
      </c>
      <c r="E13268" s="4" t="s">
        <v>21565</v>
      </c>
      <c r="F13268" s="4" t="s">
        <v>21564</v>
      </c>
    </row>
    <row r="13269">
      <c r="A13269" s="4">
        <v>677.0</v>
      </c>
      <c r="B13269" s="4" t="s">
        <v>22112</v>
      </c>
      <c r="C13269" s="4"/>
      <c r="D13269" s="4" t="s">
        <v>21572</v>
      </c>
      <c r="E13269" s="4" t="s">
        <v>21569</v>
      </c>
      <c r="F13269" s="4" t="s">
        <v>21568</v>
      </c>
    </row>
    <row r="13270">
      <c r="A13270" s="4">
        <v>678.0</v>
      </c>
      <c r="B13270" s="4" t="s">
        <v>22112</v>
      </c>
      <c r="C13270" s="4"/>
      <c r="D13270" s="4" t="s">
        <v>3357</v>
      </c>
      <c r="E13270" s="4" t="s">
        <v>3351</v>
      </c>
      <c r="F13270" s="4" t="s">
        <v>3350</v>
      </c>
      <c r="G13270" s="4"/>
      <c r="H13270" s="4" t="s">
        <v>3352</v>
      </c>
    </row>
    <row r="13271">
      <c r="A13271" s="4">
        <v>679.0</v>
      </c>
      <c r="B13271" s="4" t="s">
        <v>22112</v>
      </c>
      <c r="C13271" s="4"/>
      <c r="D13271" s="4" t="s">
        <v>3387</v>
      </c>
      <c r="E13271" s="4" t="s">
        <v>3386</v>
      </c>
      <c r="F13271" s="4" t="s">
        <v>3387</v>
      </c>
    </row>
    <row r="13272">
      <c r="A13272" s="4">
        <v>680.0</v>
      </c>
      <c r="B13272" s="4" t="s">
        <v>22112</v>
      </c>
      <c r="C13272" s="4"/>
      <c r="D13272" s="4" t="s">
        <v>21573</v>
      </c>
      <c r="E13272" s="4" t="s">
        <v>21574</v>
      </c>
      <c r="F13272" s="4" t="s">
        <v>21573</v>
      </c>
    </row>
    <row r="13273">
      <c r="A13273" s="4">
        <v>681.0</v>
      </c>
      <c r="B13273" s="4" t="s">
        <v>22112</v>
      </c>
      <c r="C13273" s="4"/>
      <c r="D13273" s="4" t="s">
        <v>3396</v>
      </c>
      <c r="E13273" s="4" t="s">
        <v>3395</v>
      </c>
      <c r="F13273" s="4" t="s">
        <v>3396</v>
      </c>
      <c r="G13273" s="4"/>
      <c r="H13273" s="4" t="s">
        <v>4305</v>
      </c>
      <c r="I13273" s="4" t="s">
        <v>21575</v>
      </c>
      <c r="J13273" s="4" t="s">
        <v>15263</v>
      </c>
      <c r="K13273" s="4" t="s">
        <v>3398</v>
      </c>
      <c r="L13273" s="4" t="s">
        <v>3399</v>
      </c>
      <c r="M13273" s="4" t="s">
        <v>3400</v>
      </c>
      <c r="N13273" s="4" t="s">
        <v>3401</v>
      </c>
      <c r="O13273" s="4" t="s">
        <v>3402</v>
      </c>
      <c r="P13273" s="4" t="s">
        <v>647</v>
      </c>
      <c r="Q13273" s="4" t="s">
        <v>3403</v>
      </c>
      <c r="R13273" s="4" t="s">
        <v>3404</v>
      </c>
      <c r="S13273" s="4" t="s">
        <v>3405</v>
      </c>
      <c r="T13273" s="4" t="s">
        <v>3406</v>
      </c>
      <c r="U13273" s="4" t="s">
        <v>7129</v>
      </c>
      <c r="V13273" s="4" t="s">
        <v>7130</v>
      </c>
      <c r="W13273" s="4" t="s">
        <v>7131</v>
      </c>
      <c r="X13273" s="4" t="s">
        <v>3401</v>
      </c>
      <c r="Y13273" s="4" t="s">
        <v>7132</v>
      </c>
      <c r="Z13273" s="4" t="s">
        <v>647</v>
      </c>
      <c r="AA13273" s="4" t="s">
        <v>3401</v>
      </c>
      <c r="AB13273" s="4" t="s">
        <v>2075</v>
      </c>
      <c r="AC13273" s="4" t="s">
        <v>1056</v>
      </c>
      <c r="AD13273" s="4" t="s">
        <v>3413</v>
      </c>
      <c r="AE13273" s="4" t="s">
        <v>646</v>
      </c>
      <c r="AF13273" s="4" t="s">
        <v>3414</v>
      </c>
      <c r="AG13273" s="4" t="s">
        <v>647</v>
      </c>
      <c r="AH13273" s="4" t="s">
        <v>8975</v>
      </c>
      <c r="AI13273" s="4" t="s">
        <v>3415</v>
      </c>
      <c r="AJ13273" s="4" t="s">
        <v>647</v>
      </c>
      <c r="AK13273" s="4" t="s">
        <v>3416</v>
      </c>
      <c r="AL13273" s="4" t="s">
        <v>647</v>
      </c>
      <c r="AM13273" s="4" t="s">
        <v>7127</v>
      </c>
      <c r="AN13273" s="4" t="s">
        <v>7128</v>
      </c>
      <c r="AO13273" s="4" t="s">
        <v>16387</v>
      </c>
      <c r="AP13273" s="4" t="s">
        <v>647</v>
      </c>
      <c r="AQ13273" s="4" t="s">
        <v>7118</v>
      </c>
      <c r="AR13273" s="4" t="s">
        <v>7119</v>
      </c>
      <c r="AS13273" s="4" t="s">
        <v>3417</v>
      </c>
      <c r="AT13273" s="4" t="s">
        <v>3418</v>
      </c>
      <c r="AU13273" s="4" t="s">
        <v>3419</v>
      </c>
      <c r="AV13273" s="4" t="s">
        <v>3420</v>
      </c>
      <c r="AW13273" s="4" t="s">
        <v>3421</v>
      </c>
      <c r="AX13273" s="4" t="s">
        <v>647</v>
      </c>
      <c r="AY13273" s="4" t="s">
        <v>647</v>
      </c>
      <c r="AZ13273" s="4" t="s">
        <v>3422</v>
      </c>
      <c r="BA13273" s="4" t="s">
        <v>7121</v>
      </c>
      <c r="BB13273" s="4" t="s">
        <v>3416</v>
      </c>
      <c r="BC13273" s="4" t="s">
        <v>647</v>
      </c>
      <c r="BD13273" s="4" t="s">
        <v>7122</v>
      </c>
      <c r="BE13273" s="4" t="s">
        <v>7123</v>
      </c>
      <c r="BF13273" s="4" t="s">
        <v>7124</v>
      </c>
      <c r="BG13273" s="4" t="s">
        <v>3421</v>
      </c>
      <c r="BH13273" s="4" t="s">
        <v>7125</v>
      </c>
      <c r="BI13273" s="4" t="s">
        <v>7126</v>
      </c>
      <c r="BJ13273" s="4" t="s">
        <v>21576</v>
      </c>
      <c r="BK13273" s="4" t="s">
        <v>21577</v>
      </c>
      <c r="BL13273" s="4" t="s">
        <v>21578</v>
      </c>
      <c r="BM13273" s="4" t="s">
        <v>21579</v>
      </c>
      <c r="BN13273" s="4" t="s">
        <v>647</v>
      </c>
      <c r="BO13273" s="4" t="s">
        <v>1496</v>
      </c>
      <c r="BP13273" s="4" t="s">
        <v>647</v>
      </c>
      <c r="BQ13273" s="4" t="s">
        <v>2858</v>
      </c>
      <c r="BR13273" s="4" t="s">
        <v>3423</v>
      </c>
      <c r="BS13273" s="4" t="s">
        <v>1496</v>
      </c>
      <c r="BT13273" s="4" t="s">
        <v>3424</v>
      </c>
      <c r="BU13273" s="4" t="s">
        <v>1503</v>
      </c>
      <c r="BV13273" s="4" t="s">
        <v>647</v>
      </c>
      <c r="BW13273" s="4" t="s">
        <v>7120</v>
      </c>
      <c r="BX13273" s="4" t="s">
        <v>647</v>
      </c>
      <c r="BY13273" s="4" t="s">
        <v>21580</v>
      </c>
      <c r="BZ13273" s="4" t="s">
        <v>21581</v>
      </c>
      <c r="CA13273" s="4" t="s">
        <v>21582</v>
      </c>
      <c r="CB13273" s="4" t="s">
        <v>647</v>
      </c>
      <c r="CC13273" s="4" t="s">
        <v>2682</v>
      </c>
      <c r="CD13273" s="4" t="s">
        <v>647</v>
      </c>
      <c r="CE13273" s="4" t="s">
        <v>3398</v>
      </c>
      <c r="CF13273" s="4" t="s">
        <v>646</v>
      </c>
      <c r="CG13273" s="4" t="s">
        <v>637</v>
      </c>
      <c r="CH13273" s="4" t="s">
        <v>647</v>
      </c>
      <c r="CI13273" s="4" t="s">
        <v>648</v>
      </c>
      <c r="CJ13273" s="4" t="s">
        <v>649</v>
      </c>
      <c r="CK13273" s="4" t="s">
        <v>3425</v>
      </c>
      <c r="CL13273" s="4" t="s">
        <v>647</v>
      </c>
      <c r="CM13273" s="4" t="s">
        <v>3426</v>
      </c>
    </row>
    <row r="13274">
      <c r="A13274" s="4">
        <v>682.0</v>
      </c>
      <c r="B13274" s="4" t="s">
        <v>22112</v>
      </c>
      <c r="C13274" s="4"/>
      <c r="D13274" s="4" t="s">
        <v>21583</v>
      </c>
      <c r="E13274" s="4" t="s">
        <v>21584</v>
      </c>
      <c r="F13274" s="4" t="s">
        <v>21583</v>
      </c>
    </row>
    <row r="13275">
      <c r="A13275" s="4">
        <v>683.0</v>
      </c>
      <c r="B13275" s="4" t="s">
        <v>22112</v>
      </c>
      <c r="C13275" s="4"/>
      <c r="D13275" s="4" t="s">
        <v>10941</v>
      </c>
      <c r="E13275" s="4" t="s">
        <v>16845</v>
      </c>
      <c r="F13275" s="4" t="s">
        <v>10941</v>
      </c>
      <c r="G13275" s="4"/>
      <c r="H13275" s="4" t="s">
        <v>10181</v>
      </c>
      <c r="I13275" s="4" t="s">
        <v>7188</v>
      </c>
      <c r="J13275" s="4" t="s">
        <v>21585</v>
      </c>
      <c r="K13275" s="4" t="s">
        <v>1043</v>
      </c>
    </row>
    <row r="13276">
      <c r="A13276" s="4">
        <v>684.0</v>
      </c>
      <c r="B13276" s="4" t="s">
        <v>22112</v>
      </c>
      <c r="C13276" s="4"/>
      <c r="D13276" s="4" t="s">
        <v>21586</v>
      </c>
      <c r="E13276" s="4" t="s">
        <v>21587</v>
      </c>
      <c r="F13276" s="4" t="s">
        <v>21586</v>
      </c>
    </row>
    <row r="13277">
      <c r="A13277" s="4">
        <v>685.0</v>
      </c>
      <c r="B13277" s="4" t="s">
        <v>22112</v>
      </c>
      <c r="C13277" s="4"/>
      <c r="D13277" s="4" t="s">
        <v>3430</v>
      </c>
      <c r="E13277" s="4" t="s">
        <v>3431</v>
      </c>
      <c r="F13277" s="4" t="s">
        <v>3430</v>
      </c>
      <c r="G13277" s="4"/>
      <c r="H13277" s="4" t="s">
        <v>3432</v>
      </c>
      <c r="I13277" s="4" t="s">
        <v>2724</v>
      </c>
      <c r="J13277" s="4" t="s">
        <v>2725</v>
      </c>
      <c r="K13277" s="4" t="s">
        <v>3433</v>
      </c>
      <c r="L13277" s="4" t="s">
        <v>3434</v>
      </c>
      <c r="M13277" s="4" t="s">
        <v>3435</v>
      </c>
      <c r="N13277" s="4" t="s">
        <v>3436</v>
      </c>
      <c r="O13277" s="4" t="s">
        <v>3437</v>
      </c>
      <c r="P13277" s="4" t="s">
        <v>3438</v>
      </c>
      <c r="Q13277" s="4" t="s">
        <v>3439</v>
      </c>
      <c r="R13277" s="4" t="s">
        <v>3440</v>
      </c>
      <c r="S13277" s="4" t="s">
        <v>3441</v>
      </c>
    </row>
    <row r="13278">
      <c r="A13278" s="4">
        <v>686.0</v>
      </c>
      <c r="B13278" s="4" t="s">
        <v>22112</v>
      </c>
      <c r="C13278" s="4"/>
      <c r="D13278" s="4" t="s">
        <v>21588</v>
      </c>
      <c r="E13278" s="4" t="s">
        <v>21589</v>
      </c>
      <c r="F13278" s="4" t="s">
        <v>21590</v>
      </c>
    </row>
    <row r="13279">
      <c r="A13279" s="4">
        <v>687.0</v>
      </c>
      <c r="B13279" s="4" t="s">
        <v>22112</v>
      </c>
      <c r="C13279" s="4"/>
      <c r="D13279" s="4" t="s">
        <v>21591</v>
      </c>
      <c r="E13279" s="4" t="s">
        <v>21592</v>
      </c>
      <c r="F13279" s="4" t="s">
        <v>21591</v>
      </c>
      <c r="G13279" s="4"/>
      <c r="H13279" s="4" t="s">
        <v>19400</v>
      </c>
    </row>
    <row r="13280">
      <c r="A13280" s="4">
        <v>688.0</v>
      </c>
      <c r="B13280" s="4" t="s">
        <v>22112</v>
      </c>
      <c r="C13280" s="4"/>
      <c r="D13280" s="4" t="s">
        <v>21593</v>
      </c>
      <c r="E13280" s="4" t="s">
        <v>3443</v>
      </c>
      <c r="F13280" s="4" t="s">
        <v>3442</v>
      </c>
    </row>
    <row r="13281">
      <c r="A13281" s="4">
        <v>689.0</v>
      </c>
      <c r="B13281" s="4" t="s">
        <v>22112</v>
      </c>
      <c r="C13281" s="4"/>
      <c r="D13281" s="4" t="s">
        <v>21594</v>
      </c>
      <c r="E13281" s="4" t="s">
        <v>13258</v>
      </c>
      <c r="F13281" s="4" t="s">
        <v>13259</v>
      </c>
    </row>
    <row r="13282">
      <c r="A13282" s="4">
        <v>690.0</v>
      </c>
      <c r="B13282" s="4" t="s">
        <v>22112</v>
      </c>
      <c r="C13282" s="4"/>
      <c r="D13282" s="4" t="s">
        <v>21595</v>
      </c>
      <c r="E13282" s="4" t="s">
        <v>21596</v>
      </c>
      <c r="F13282" s="4" t="s">
        <v>21595</v>
      </c>
    </row>
    <row r="13283">
      <c r="A13283" s="4">
        <v>691.0</v>
      </c>
      <c r="B13283" s="4" t="s">
        <v>22112</v>
      </c>
      <c r="C13283" s="4"/>
      <c r="D13283" s="4" t="s">
        <v>21597</v>
      </c>
      <c r="E13283" s="4" t="s">
        <v>21598</v>
      </c>
      <c r="F13283" s="4" t="s">
        <v>21597</v>
      </c>
    </row>
    <row r="13284">
      <c r="A13284" s="4">
        <v>692.0</v>
      </c>
      <c r="B13284" s="4" t="s">
        <v>22112</v>
      </c>
      <c r="C13284" s="4"/>
      <c r="D13284" s="4" t="s">
        <v>21599</v>
      </c>
      <c r="E13284" s="4" t="s">
        <v>18490</v>
      </c>
      <c r="F13284" s="4" t="s">
        <v>18491</v>
      </c>
    </row>
    <row r="13285">
      <c r="A13285" s="4">
        <v>693.0</v>
      </c>
      <c r="B13285" s="4" t="s">
        <v>22112</v>
      </c>
      <c r="C13285" s="4"/>
      <c r="D13285" s="4" t="s">
        <v>230</v>
      </c>
      <c r="E13285" s="4" t="s">
        <v>229</v>
      </c>
      <c r="F13285" s="4" t="s">
        <v>230</v>
      </c>
      <c r="G13285" s="4"/>
      <c r="H13285" s="4" t="s">
        <v>230</v>
      </c>
    </row>
    <row r="13286">
      <c r="A13286" s="4">
        <v>694.0</v>
      </c>
      <c r="B13286" s="4" t="s">
        <v>22112</v>
      </c>
      <c r="C13286" s="4"/>
      <c r="D13286" s="4" t="s">
        <v>3464</v>
      </c>
      <c r="E13286" s="4" t="s">
        <v>235</v>
      </c>
      <c r="F13286" s="4" t="s">
        <v>236</v>
      </c>
      <c r="G13286" s="4"/>
      <c r="H13286" s="4" t="s">
        <v>13316</v>
      </c>
      <c r="I13286" s="4" t="s">
        <v>13317</v>
      </c>
    </row>
    <row r="13287">
      <c r="A13287" s="4">
        <v>695.0</v>
      </c>
      <c r="B13287" s="4" t="s">
        <v>22112</v>
      </c>
      <c r="C13287" s="4"/>
      <c r="D13287" s="4" t="s">
        <v>3480</v>
      </c>
      <c r="E13287" s="4" t="s">
        <v>3506</v>
      </c>
      <c r="F13287" s="4" t="s">
        <v>3507</v>
      </c>
      <c r="G13287" s="4"/>
      <c r="H13287" s="4" t="s">
        <v>6785</v>
      </c>
      <c r="I13287" s="4" t="s">
        <v>6771</v>
      </c>
      <c r="J13287" s="4" t="s">
        <v>6786</v>
      </c>
      <c r="K13287" s="4" t="s">
        <v>6787</v>
      </c>
      <c r="L13287" s="4" t="s">
        <v>6788</v>
      </c>
      <c r="M13287" s="4" t="s">
        <v>3481</v>
      </c>
      <c r="N13287" s="4" t="s">
        <v>3169</v>
      </c>
      <c r="O13287" s="4" t="s">
        <v>3482</v>
      </c>
      <c r="P13287" s="4" t="s">
        <v>21600</v>
      </c>
      <c r="Q13287" s="4" t="s">
        <v>21601</v>
      </c>
      <c r="R13287" s="4" t="s">
        <v>21602</v>
      </c>
      <c r="S13287" s="4" t="s">
        <v>3485</v>
      </c>
      <c r="T13287" s="4" t="s">
        <v>3459</v>
      </c>
      <c r="U13287" s="4" t="s">
        <v>3486</v>
      </c>
      <c r="V13287" s="4" t="s">
        <v>8763</v>
      </c>
      <c r="W13287" s="4" t="s">
        <v>20602</v>
      </c>
      <c r="X13287" s="4" t="s">
        <v>3487</v>
      </c>
      <c r="Y13287" s="4" t="s">
        <v>3487</v>
      </c>
      <c r="Z13287" s="4" t="s">
        <v>789</v>
      </c>
      <c r="AA13287" s="4" t="s">
        <v>3488</v>
      </c>
      <c r="AB13287" s="4" t="s">
        <v>788</v>
      </c>
      <c r="AC13287" s="4" t="s">
        <v>3489</v>
      </c>
      <c r="AD13287" s="4" t="s">
        <v>3490</v>
      </c>
      <c r="AE13287" s="4" t="s">
        <v>789</v>
      </c>
      <c r="AF13287" s="4" t="s">
        <v>3491</v>
      </c>
      <c r="AG13287" s="4" t="s">
        <v>3492</v>
      </c>
      <c r="AH13287" s="4" t="s">
        <v>6172</v>
      </c>
      <c r="AI13287" s="4" t="s">
        <v>2603</v>
      </c>
      <c r="AJ13287" s="4" t="s">
        <v>21603</v>
      </c>
      <c r="AK13287" s="4" t="s">
        <v>536</v>
      </c>
      <c r="AL13287" s="4" t="s">
        <v>4306</v>
      </c>
      <c r="AM13287" s="4" t="s">
        <v>6487</v>
      </c>
      <c r="AN13287" s="4" t="s">
        <v>3496</v>
      </c>
      <c r="AO13287" s="4" t="s">
        <v>3497</v>
      </c>
      <c r="AP13287" s="4" t="s">
        <v>3500</v>
      </c>
      <c r="AQ13287" s="4" t="s">
        <v>3169</v>
      </c>
      <c r="AR13287" s="4" t="s">
        <v>3169</v>
      </c>
      <c r="AS13287" s="4" t="s">
        <v>3459</v>
      </c>
      <c r="AT13287" s="4" t="s">
        <v>943</v>
      </c>
      <c r="AU13287" s="4" t="s">
        <v>3482</v>
      </c>
      <c r="AV13287" s="4" t="s">
        <v>3500</v>
      </c>
      <c r="AW13287" s="4" t="s">
        <v>3497</v>
      </c>
      <c r="AX13287" s="4" t="s">
        <v>21604</v>
      </c>
      <c r="AY13287" s="4" t="s">
        <v>21605</v>
      </c>
      <c r="AZ13287" s="4" t="s">
        <v>919</v>
      </c>
      <c r="BA13287" s="4" t="s">
        <v>920</v>
      </c>
      <c r="BB13287" s="4" t="s">
        <v>6407</v>
      </c>
      <c r="BC13287" s="4" t="s">
        <v>21606</v>
      </c>
      <c r="BD13287" s="4" t="s">
        <v>21607</v>
      </c>
      <c r="BE13287" s="4" t="s">
        <v>3630</v>
      </c>
      <c r="BF13287" s="4" t="s">
        <v>3634</v>
      </c>
      <c r="BG13287" s="4" t="s">
        <v>3501</v>
      </c>
      <c r="BH13287" s="4" t="s">
        <v>3501</v>
      </c>
      <c r="BI13287" s="4" t="s">
        <v>3501</v>
      </c>
      <c r="BJ13287" s="4" t="s">
        <v>3497</v>
      </c>
      <c r="BK13287" s="4" t="s">
        <v>3482</v>
      </c>
      <c r="BL13287" s="4" t="s">
        <v>3503</v>
      </c>
      <c r="BM13287" s="4" t="s">
        <v>3493</v>
      </c>
    </row>
    <row r="13288">
      <c r="A13288" s="4">
        <v>696.0</v>
      </c>
      <c r="B13288" s="4" t="s">
        <v>22112</v>
      </c>
      <c r="C13288" s="4"/>
      <c r="D13288" s="4" t="s">
        <v>21608</v>
      </c>
      <c r="E13288" s="4" t="s">
        <v>21609</v>
      </c>
      <c r="F13288" s="4" t="s">
        <v>21610</v>
      </c>
    </row>
    <row r="13289">
      <c r="A13289" s="4">
        <v>697.0</v>
      </c>
      <c r="B13289" s="4" t="s">
        <v>22112</v>
      </c>
      <c r="C13289" s="4"/>
      <c r="D13289" s="4" t="s">
        <v>21611</v>
      </c>
      <c r="E13289" s="4" t="s">
        <v>21612</v>
      </c>
      <c r="F13289" s="4" t="s">
        <v>21613</v>
      </c>
    </row>
    <row r="13290">
      <c r="A13290" s="4">
        <v>698.0</v>
      </c>
      <c r="B13290" s="4" t="s">
        <v>22112</v>
      </c>
      <c r="C13290" s="4"/>
      <c r="D13290" s="4" t="s">
        <v>21614</v>
      </c>
      <c r="E13290" s="4" t="s">
        <v>21609</v>
      </c>
      <c r="F13290" s="4" t="s">
        <v>21610</v>
      </c>
    </row>
    <row r="13291">
      <c r="A13291" s="4">
        <v>699.0</v>
      </c>
      <c r="B13291" s="4" t="s">
        <v>22112</v>
      </c>
      <c r="C13291" s="4"/>
      <c r="D13291" s="4" t="s">
        <v>21615</v>
      </c>
      <c r="E13291" s="4" t="s">
        <v>21612</v>
      </c>
      <c r="F13291" s="4" t="s">
        <v>21613</v>
      </c>
    </row>
    <row r="13292">
      <c r="A13292" s="4">
        <v>700.0</v>
      </c>
      <c r="B13292" s="4" t="s">
        <v>22112</v>
      </c>
      <c r="C13292" s="4"/>
      <c r="D13292" s="4" t="s">
        <v>21616</v>
      </c>
      <c r="E13292" s="4" t="s">
        <v>21617</v>
      </c>
      <c r="F13292" s="4" t="s">
        <v>21618</v>
      </c>
    </row>
    <row r="13293">
      <c r="A13293" s="4">
        <v>701.0</v>
      </c>
      <c r="B13293" s="4" t="s">
        <v>22112</v>
      </c>
      <c r="C13293" s="4"/>
      <c r="D13293" s="4" t="s">
        <v>18527</v>
      </c>
      <c r="E13293" s="4" t="s">
        <v>21619</v>
      </c>
      <c r="F13293" s="4" t="s">
        <v>236</v>
      </c>
    </row>
    <row r="13294">
      <c r="A13294" s="4">
        <v>702.0</v>
      </c>
      <c r="B13294" s="4" t="s">
        <v>22112</v>
      </c>
      <c r="C13294" s="4"/>
      <c r="D13294" s="4" t="s">
        <v>21620</v>
      </c>
      <c r="E13294" s="4" t="s">
        <v>21621</v>
      </c>
      <c r="F13294" s="4" t="s">
        <v>21622</v>
      </c>
    </row>
    <row r="13295">
      <c r="A13295" s="4">
        <v>703.0</v>
      </c>
      <c r="B13295" s="4" t="s">
        <v>22112</v>
      </c>
      <c r="C13295" s="4"/>
      <c r="D13295" s="4" t="s">
        <v>3519</v>
      </c>
      <c r="E13295" s="4" t="s">
        <v>3520</v>
      </c>
      <c r="F13295" s="4" t="s">
        <v>3519</v>
      </c>
      <c r="G13295" s="4"/>
      <c r="H13295" s="4" t="s">
        <v>3521</v>
      </c>
      <c r="I13295" s="4" t="s">
        <v>3522</v>
      </c>
      <c r="J13295" s="4" t="s">
        <v>3526</v>
      </c>
      <c r="K13295" s="4" t="s">
        <v>3415</v>
      </c>
      <c r="L13295" s="4" t="s">
        <v>483</v>
      </c>
      <c r="M13295" s="4" t="s">
        <v>484</v>
      </c>
      <c r="N13295" s="4" t="s">
        <v>2824</v>
      </c>
      <c r="O13295" s="4" t="s">
        <v>2825</v>
      </c>
      <c r="P13295" s="4" t="s">
        <v>2826</v>
      </c>
      <c r="Q13295" s="4" t="s">
        <v>1734</v>
      </c>
      <c r="R13295" s="4" t="s">
        <v>482</v>
      </c>
      <c r="S13295" s="4" t="s">
        <v>1736</v>
      </c>
      <c r="T13295" s="4" t="s">
        <v>1737</v>
      </c>
      <c r="U13295" s="4" t="s">
        <v>1738</v>
      </c>
      <c r="V13295" s="4" t="s">
        <v>1739</v>
      </c>
      <c r="W13295" s="4" t="s">
        <v>1740</v>
      </c>
      <c r="X13295" s="4" t="s">
        <v>1741</v>
      </c>
      <c r="Y13295" s="4" t="s">
        <v>484</v>
      </c>
      <c r="Z13295" s="4" t="s">
        <v>1742</v>
      </c>
      <c r="AA13295" s="4" t="s">
        <v>1743</v>
      </c>
      <c r="AB13295" s="4" t="s">
        <v>1744</v>
      </c>
      <c r="AC13295" s="4" t="s">
        <v>1745</v>
      </c>
      <c r="AD13295" s="4" t="s">
        <v>1746</v>
      </c>
      <c r="AE13295" s="4" t="s">
        <v>1747</v>
      </c>
      <c r="AF13295" s="4" t="s">
        <v>1748</v>
      </c>
      <c r="AG13295" s="4" t="s">
        <v>1749</v>
      </c>
      <c r="AH13295" s="4" t="s">
        <v>1750</v>
      </c>
      <c r="AI13295" s="4" t="s">
        <v>483</v>
      </c>
      <c r="AJ13295" s="4" t="s">
        <v>1751</v>
      </c>
      <c r="AK13295" s="4" t="s">
        <v>1752</v>
      </c>
      <c r="AL13295" s="4" t="s">
        <v>1753</v>
      </c>
      <c r="AM13295" s="4" t="s">
        <v>1754</v>
      </c>
      <c r="AN13295" s="4" t="s">
        <v>1755</v>
      </c>
      <c r="AO13295" s="4" t="s">
        <v>1756</v>
      </c>
      <c r="AP13295" s="4" t="s">
        <v>1757</v>
      </c>
      <c r="AQ13295" s="4" t="s">
        <v>482</v>
      </c>
      <c r="AR13295" s="4" t="s">
        <v>1758</v>
      </c>
      <c r="AS13295" s="4" t="s">
        <v>780</v>
      </c>
      <c r="AT13295" s="4" t="s">
        <v>1759</v>
      </c>
      <c r="AU13295" s="4" t="s">
        <v>1760</v>
      </c>
      <c r="AV13295" s="4" t="s">
        <v>1761</v>
      </c>
      <c r="AW13295" s="4" t="s">
        <v>1762</v>
      </c>
      <c r="AX13295" s="4" t="s">
        <v>1763</v>
      </c>
      <c r="AY13295" s="4" t="s">
        <v>1764</v>
      </c>
      <c r="AZ13295" s="4" t="s">
        <v>1765</v>
      </c>
      <c r="BA13295" s="4" t="s">
        <v>1766</v>
      </c>
      <c r="BB13295" s="4" t="s">
        <v>1767</v>
      </c>
      <c r="BC13295" s="4" t="s">
        <v>1768</v>
      </c>
      <c r="BD13295" s="4" t="s">
        <v>1769</v>
      </c>
      <c r="BE13295" s="4" t="s">
        <v>1770</v>
      </c>
      <c r="BF13295" s="4" t="s">
        <v>1771</v>
      </c>
      <c r="BG13295" s="4" t="s">
        <v>1772</v>
      </c>
      <c r="BH13295" s="4" t="s">
        <v>1773</v>
      </c>
    </row>
    <row r="13296">
      <c r="A13296" s="4">
        <v>704.0</v>
      </c>
      <c r="B13296" s="4" t="s">
        <v>22112</v>
      </c>
      <c r="C13296" s="4"/>
      <c r="D13296" s="4" t="s">
        <v>3523</v>
      </c>
      <c r="E13296" s="4" t="s">
        <v>3528</v>
      </c>
      <c r="F13296" s="4" t="s">
        <v>3523</v>
      </c>
      <c r="G13296" s="4"/>
      <c r="H13296" s="4" t="s">
        <v>3525</v>
      </c>
      <c r="I13296" s="4" t="s">
        <v>3527</v>
      </c>
    </row>
    <row r="13297">
      <c r="A13297" s="4">
        <v>705.0</v>
      </c>
      <c r="B13297" s="4" t="s">
        <v>22112</v>
      </c>
      <c r="C13297" s="4"/>
      <c r="D13297" s="4" t="s">
        <v>21623</v>
      </c>
      <c r="E13297" s="4" t="s">
        <v>21624</v>
      </c>
      <c r="F13297" s="4" t="s">
        <v>21623</v>
      </c>
      <c r="G13297" s="4"/>
      <c r="H13297" s="4" t="s">
        <v>3596</v>
      </c>
      <c r="I13297" s="4" t="s">
        <v>3497</v>
      </c>
      <c r="J13297" s="4" t="s">
        <v>3597</v>
      </c>
      <c r="K13297" s="4" t="s">
        <v>3598</v>
      </c>
      <c r="L13297" s="4" t="s">
        <v>3599</v>
      </c>
      <c r="M13297" s="4" t="s">
        <v>3600</v>
      </c>
      <c r="N13297" s="4" t="s">
        <v>3601</v>
      </c>
      <c r="O13297" s="4" t="s">
        <v>3602</v>
      </c>
    </row>
    <row r="13298">
      <c r="A13298" s="4">
        <v>706.0</v>
      </c>
      <c r="B13298" s="4" t="s">
        <v>22112</v>
      </c>
      <c r="C13298" s="4"/>
      <c r="D13298" s="4" t="s">
        <v>21625</v>
      </c>
      <c r="E13298" s="4" t="s">
        <v>21626</v>
      </c>
      <c r="F13298" s="4" t="s">
        <v>21625</v>
      </c>
    </row>
    <row r="13299">
      <c r="A13299" s="4">
        <v>707.0</v>
      </c>
      <c r="B13299" s="4" t="s">
        <v>22112</v>
      </c>
      <c r="C13299" s="4"/>
      <c r="D13299" s="4" t="s">
        <v>3170</v>
      </c>
      <c r="E13299" s="4" t="s">
        <v>3539</v>
      </c>
      <c r="F13299" s="4" t="s">
        <v>3170</v>
      </c>
    </row>
    <row r="13300">
      <c r="A13300" s="4">
        <v>708.0</v>
      </c>
      <c r="B13300" s="4" t="s">
        <v>22112</v>
      </c>
      <c r="C13300" s="4"/>
      <c r="D13300" s="4" t="s">
        <v>3553</v>
      </c>
      <c r="E13300" s="4" t="s">
        <v>3554</v>
      </c>
      <c r="F13300" s="4" t="s">
        <v>3553</v>
      </c>
      <c r="G13300" s="4"/>
      <c r="H13300" s="4" t="s">
        <v>16228</v>
      </c>
      <c r="I13300" s="4" t="s">
        <v>16229</v>
      </c>
      <c r="J13300" s="4" t="s">
        <v>3555</v>
      </c>
      <c r="K13300" s="4" t="s">
        <v>3556</v>
      </c>
    </row>
    <row r="13301">
      <c r="A13301" s="4">
        <v>709.0</v>
      </c>
      <c r="B13301" s="4" t="s">
        <v>22112</v>
      </c>
      <c r="C13301" s="4"/>
      <c r="D13301" s="4" t="s">
        <v>3557</v>
      </c>
      <c r="E13301" s="4" t="s">
        <v>3558</v>
      </c>
      <c r="F13301" s="4" t="s">
        <v>3557</v>
      </c>
    </row>
    <row r="13302">
      <c r="A13302" s="4">
        <v>710.0</v>
      </c>
      <c r="B13302" s="4" t="s">
        <v>22112</v>
      </c>
      <c r="C13302" s="4"/>
      <c r="D13302" s="4" t="s">
        <v>21627</v>
      </c>
      <c r="E13302" s="4" t="s">
        <v>21628</v>
      </c>
      <c r="F13302" s="4" t="s">
        <v>21627</v>
      </c>
    </row>
    <row r="13303">
      <c r="A13303" s="4">
        <v>711.0</v>
      </c>
      <c r="B13303" s="4" t="s">
        <v>22112</v>
      </c>
      <c r="C13303" s="4"/>
      <c r="D13303" s="4" t="s">
        <v>21629</v>
      </c>
      <c r="E13303" s="4" t="s">
        <v>5503</v>
      </c>
      <c r="F13303" s="4" t="s">
        <v>5504</v>
      </c>
      <c r="G13303" s="4"/>
      <c r="H13303" s="4" t="s">
        <v>7241</v>
      </c>
      <c r="I13303" s="4" t="s">
        <v>7239</v>
      </c>
      <c r="J13303" s="4" t="s">
        <v>7242</v>
      </c>
      <c r="K13303" s="4" t="s">
        <v>7243</v>
      </c>
      <c r="L13303" s="4" t="s">
        <v>7244</v>
      </c>
      <c r="M13303" s="4" t="s">
        <v>7245</v>
      </c>
    </row>
    <row r="13304">
      <c r="A13304" s="4">
        <v>712.0</v>
      </c>
      <c r="B13304" s="4" t="s">
        <v>22112</v>
      </c>
      <c r="C13304" s="4"/>
      <c r="D13304" s="4" t="s">
        <v>3559</v>
      </c>
      <c r="E13304" s="4" t="s">
        <v>3560</v>
      </c>
      <c r="F13304" s="4" t="s">
        <v>3559</v>
      </c>
      <c r="G13304" s="4"/>
      <c r="H13304" s="4" t="s">
        <v>21630</v>
      </c>
      <c r="I13304" s="4" t="s">
        <v>21631</v>
      </c>
      <c r="J13304" s="4" t="s">
        <v>3561</v>
      </c>
    </row>
    <row r="13305">
      <c r="A13305" s="4">
        <v>713.0</v>
      </c>
      <c r="B13305" s="4" t="s">
        <v>22112</v>
      </c>
      <c r="C13305" s="4"/>
      <c r="D13305" s="4" t="s">
        <v>21632</v>
      </c>
      <c r="E13305" s="4" t="s">
        <v>21633</v>
      </c>
      <c r="F13305" s="4" t="s">
        <v>21632</v>
      </c>
    </row>
    <row r="13306">
      <c r="A13306" s="4">
        <v>714.0</v>
      </c>
      <c r="B13306" s="4" t="s">
        <v>22112</v>
      </c>
      <c r="C13306" s="4"/>
      <c r="D13306" s="4" t="s">
        <v>9171</v>
      </c>
      <c r="E13306" s="4" t="s">
        <v>9172</v>
      </c>
      <c r="F13306" s="4" t="s">
        <v>9171</v>
      </c>
    </row>
    <row r="13307">
      <c r="A13307" s="4">
        <v>715.0</v>
      </c>
      <c r="B13307" s="4" t="s">
        <v>22112</v>
      </c>
      <c r="C13307" s="4"/>
      <c r="D13307" s="4" t="s">
        <v>21634</v>
      </c>
      <c r="E13307" s="4" t="s">
        <v>21635</v>
      </c>
      <c r="F13307" s="4" t="s">
        <v>21634</v>
      </c>
    </row>
    <row r="13308">
      <c r="A13308" s="4">
        <v>716.0</v>
      </c>
      <c r="B13308" s="4" t="s">
        <v>22112</v>
      </c>
      <c r="C13308" s="4"/>
      <c r="D13308" s="4" t="s">
        <v>21636</v>
      </c>
      <c r="E13308" s="4" t="s">
        <v>21637</v>
      </c>
      <c r="F13308" s="4" t="s">
        <v>21636</v>
      </c>
    </row>
    <row r="13309">
      <c r="A13309" s="4">
        <v>717.0</v>
      </c>
      <c r="B13309" s="4" t="s">
        <v>22112</v>
      </c>
      <c r="C13309" s="4"/>
      <c r="D13309" s="4" t="s">
        <v>21638</v>
      </c>
      <c r="E13309" s="4" t="s">
        <v>21639</v>
      </c>
      <c r="F13309" s="4" t="s">
        <v>21640</v>
      </c>
    </row>
    <row r="13310">
      <c r="A13310" s="4">
        <v>718.0</v>
      </c>
      <c r="B13310" s="4" t="s">
        <v>22112</v>
      </c>
      <c r="C13310" s="4"/>
      <c r="D13310" s="4" t="s">
        <v>21641</v>
      </c>
      <c r="E13310" s="4" t="s">
        <v>21642</v>
      </c>
      <c r="F13310" s="4" t="s">
        <v>21643</v>
      </c>
      <c r="G13310" s="4"/>
      <c r="H13310" s="4" t="s">
        <v>8475</v>
      </c>
      <c r="I13310" s="4" t="s">
        <v>3234</v>
      </c>
      <c r="J13310" s="4" t="s">
        <v>8481</v>
      </c>
    </row>
    <row r="13311">
      <c r="A13311" s="4">
        <v>719.0</v>
      </c>
      <c r="B13311" s="4" t="s">
        <v>22112</v>
      </c>
      <c r="C13311" s="4"/>
      <c r="D13311" s="4" t="s">
        <v>3570</v>
      </c>
      <c r="E13311" s="4" t="s">
        <v>3571</v>
      </c>
      <c r="F13311" s="4" t="s">
        <v>3570</v>
      </c>
      <c r="G13311" s="4"/>
      <c r="H13311" s="4" t="s">
        <v>7241</v>
      </c>
      <c r="I13311" s="4" t="s">
        <v>7239</v>
      </c>
      <c r="J13311" s="4" t="s">
        <v>7242</v>
      </c>
      <c r="K13311" s="4" t="s">
        <v>7243</v>
      </c>
      <c r="L13311" s="4" t="s">
        <v>7244</v>
      </c>
      <c r="M13311" s="4" t="s">
        <v>7245</v>
      </c>
    </row>
    <row r="13312">
      <c r="A13312" s="4">
        <v>720.0</v>
      </c>
      <c r="B13312" s="4" t="s">
        <v>22112</v>
      </c>
      <c r="C13312" s="4"/>
      <c r="D13312" s="4" t="s">
        <v>14243</v>
      </c>
      <c r="E13312" s="4" t="s">
        <v>14244</v>
      </c>
      <c r="F13312" s="4" t="s">
        <v>14243</v>
      </c>
      <c r="G13312" s="4"/>
      <c r="H13312" s="4" t="s">
        <v>21644</v>
      </c>
      <c r="I13312" s="4" t="s">
        <v>3368</v>
      </c>
      <c r="J13312" s="4" t="s">
        <v>21645</v>
      </c>
      <c r="K13312" s="4" t="s">
        <v>21644</v>
      </c>
      <c r="L13312" s="4" t="s">
        <v>21646</v>
      </c>
      <c r="M13312" s="4" t="s">
        <v>3365</v>
      </c>
      <c r="N13312" s="4" t="s">
        <v>3368</v>
      </c>
    </row>
    <row r="13313">
      <c r="A13313" s="4">
        <v>721.0</v>
      </c>
      <c r="B13313" s="4" t="s">
        <v>22112</v>
      </c>
      <c r="C13313" s="4"/>
      <c r="D13313" s="4" t="s">
        <v>21647</v>
      </c>
      <c r="E13313" s="4" t="s">
        <v>21648</v>
      </c>
      <c r="F13313" s="4" t="s">
        <v>21647</v>
      </c>
    </row>
    <row r="13314">
      <c r="A13314" s="4">
        <v>722.0</v>
      </c>
      <c r="B13314" s="4" t="s">
        <v>22112</v>
      </c>
      <c r="C13314" s="4"/>
      <c r="D13314" s="4" t="s">
        <v>21649</v>
      </c>
      <c r="E13314" s="4" t="s">
        <v>21650</v>
      </c>
      <c r="F13314" s="4" t="s">
        <v>21649</v>
      </c>
    </row>
    <row r="13315">
      <c r="A13315" s="4">
        <v>723.0</v>
      </c>
      <c r="B13315" s="4" t="s">
        <v>22112</v>
      </c>
      <c r="C13315" s="4"/>
      <c r="D13315" s="4" t="s">
        <v>21651</v>
      </c>
      <c r="E13315" s="4" t="s">
        <v>21648</v>
      </c>
      <c r="F13315" s="4" t="s">
        <v>21647</v>
      </c>
    </row>
    <row r="13316">
      <c r="A13316" s="4">
        <v>724.0</v>
      </c>
      <c r="B13316" s="4" t="s">
        <v>22112</v>
      </c>
      <c r="C13316" s="4"/>
      <c r="D13316" s="4" t="s">
        <v>21652</v>
      </c>
      <c r="E13316" s="4" t="s">
        <v>21650</v>
      </c>
      <c r="F13316" s="4" t="s">
        <v>21649</v>
      </c>
    </row>
    <row r="13317">
      <c r="A13317" s="4">
        <v>725.0</v>
      </c>
      <c r="B13317" s="4" t="s">
        <v>22112</v>
      </c>
      <c r="C13317" s="4"/>
      <c r="D13317" s="4" t="s">
        <v>21653</v>
      </c>
      <c r="E13317" s="4" t="s">
        <v>21654</v>
      </c>
      <c r="F13317" s="4" t="s">
        <v>21653</v>
      </c>
    </row>
    <row r="13318">
      <c r="A13318" s="4">
        <v>726.0</v>
      </c>
      <c r="B13318" s="4" t="s">
        <v>22112</v>
      </c>
      <c r="C13318" s="4"/>
      <c r="D13318" s="4" t="s">
        <v>3595</v>
      </c>
      <c r="E13318" s="4" t="s">
        <v>3594</v>
      </c>
      <c r="F13318" s="4" t="s">
        <v>3595</v>
      </c>
    </row>
    <row r="13319">
      <c r="A13319" s="4">
        <v>727.0</v>
      </c>
      <c r="B13319" s="4" t="s">
        <v>22112</v>
      </c>
      <c r="C13319" s="4"/>
      <c r="D13319" s="4" t="s">
        <v>395</v>
      </c>
      <c r="E13319" s="4" t="s">
        <v>394</v>
      </c>
      <c r="F13319" s="4" t="s">
        <v>395</v>
      </c>
      <c r="G13319" s="4"/>
      <c r="H13319" s="4" t="s">
        <v>395</v>
      </c>
      <c r="I13319" s="4" t="s">
        <v>3587</v>
      </c>
    </row>
    <row r="13320">
      <c r="A13320" s="4">
        <v>728.0</v>
      </c>
      <c r="B13320" s="4" t="s">
        <v>22112</v>
      </c>
      <c r="C13320" s="4"/>
      <c r="D13320" s="4" t="s">
        <v>14245</v>
      </c>
      <c r="E13320" s="4" t="s">
        <v>14246</v>
      </c>
      <c r="F13320" s="4" t="s">
        <v>14245</v>
      </c>
    </row>
    <row r="13321">
      <c r="A13321" s="4">
        <v>729.0</v>
      </c>
      <c r="B13321" s="4" t="s">
        <v>22112</v>
      </c>
      <c r="C13321" s="4"/>
      <c r="D13321" s="4" t="s">
        <v>5458</v>
      </c>
      <c r="E13321" s="4" t="s">
        <v>5457</v>
      </c>
      <c r="F13321" s="4" t="s">
        <v>5458</v>
      </c>
    </row>
    <row r="13322">
      <c r="A13322" s="4">
        <v>730.0</v>
      </c>
      <c r="B13322" s="4" t="s">
        <v>22112</v>
      </c>
      <c r="C13322" s="4"/>
      <c r="D13322" s="4" t="s">
        <v>3545</v>
      </c>
      <c r="E13322" s="4" t="s">
        <v>3544</v>
      </c>
      <c r="F13322" s="4" t="s">
        <v>3545</v>
      </c>
    </row>
    <row r="13323">
      <c r="A13323" s="4">
        <v>731.0</v>
      </c>
      <c r="B13323" s="4" t="s">
        <v>22112</v>
      </c>
      <c r="C13323" s="4"/>
      <c r="D13323" s="4" t="s">
        <v>3551</v>
      </c>
      <c r="E13323" s="4" t="s">
        <v>3550</v>
      </c>
      <c r="F13323" s="4" t="s">
        <v>3551</v>
      </c>
    </row>
    <row r="13324">
      <c r="A13324" s="4">
        <v>732.0</v>
      </c>
      <c r="B13324" s="4" t="s">
        <v>22112</v>
      </c>
      <c r="C13324" s="4"/>
      <c r="D13324" s="4" t="s">
        <v>21655</v>
      </c>
      <c r="E13324" s="4" t="s">
        <v>400</v>
      </c>
      <c r="F13324" s="4" t="s">
        <v>401</v>
      </c>
    </row>
    <row r="13325">
      <c r="A13325" s="4">
        <v>733.0</v>
      </c>
      <c r="B13325" s="4" t="s">
        <v>22112</v>
      </c>
      <c r="C13325" s="4"/>
      <c r="D13325" s="4" t="s">
        <v>21656</v>
      </c>
      <c r="E13325" s="4" t="s">
        <v>21657</v>
      </c>
      <c r="F13325" s="4" t="s">
        <v>21658</v>
      </c>
    </row>
    <row r="13326">
      <c r="A13326" s="4">
        <v>734.0</v>
      </c>
      <c r="B13326" s="4" t="s">
        <v>22112</v>
      </c>
      <c r="C13326" s="4"/>
      <c r="D13326" s="4" t="s">
        <v>21659</v>
      </c>
      <c r="E13326" s="4" t="s">
        <v>21660</v>
      </c>
      <c r="F13326" s="4" t="s">
        <v>21661</v>
      </c>
      <c r="G13326" s="4"/>
      <c r="H13326" s="4" t="s">
        <v>918</v>
      </c>
      <c r="I13326" s="4" t="s">
        <v>21662</v>
      </c>
      <c r="J13326" s="4" t="s">
        <v>8089</v>
      </c>
      <c r="K13326" s="4" t="s">
        <v>7116</v>
      </c>
      <c r="L13326" s="4" t="s">
        <v>8089</v>
      </c>
      <c r="M13326" s="4" t="s">
        <v>7224</v>
      </c>
    </row>
    <row r="13327">
      <c r="A13327" s="4">
        <v>735.0</v>
      </c>
      <c r="B13327" s="4" t="s">
        <v>22112</v>
      </c>
      <c r="C13327" s="4"/>
      <c r="D13327" s="4" t="s">
        <v>21663</v>
      </c>
      <c r="E13327" s="4" t="s">
        <v>21664</v>
      </c>
      <c r="F13327" s="4" t="s">
        <v>21663</v>
      </c>
    </row>
    <row r="13328">
      <c r="A13328" s="4">
        <v>736.0</v>
      </c>
      <c r="B13328" s="4" t="s">
        <v>22112</v>
      </c>
      <c r="C13328" s="4"/>
      <c r="D13328" s="4" t="s">
        <v>3678</v>
      </c>
      <c r="E13328" s="4" t="s">
        <v>3679</v>
      </c>
      <c r="F13328" s="4" t="s">
        <v>3678</v>
      </c>
    </row>
    <row r="13329">
      <c r="A13329" s="4">
        <v>737.0</v>
      </c>
      <c r="B13329" s="4" t="s">
        <v>22112</v>
      </c>
      <c r="C13329" s="4"/>
      <c r="D13329" s="4" t="s">
        <v>11028</v>
      </c>
      <c r="E13329" s="4" t="s">
        <v>21665</v>
      </c>
      <c r="F13329" s="4" t="s">
        <v>11028</v>
      </c>
    </row>
    <row r="13330">
      <c r="A13330" s="4">
        <v>738.0</v>
      </c>
      <c r="B13330" s="4" t="s">
        <v>22112</v>
      </c>
      <c r="C13330" s="4"/>
      <c r="D13330" s="4" t="s">
        <v>16232</v>
      </c>
      <c r="E13330" s="4" t="s">
        <v>16233</v>
      </c>
      <c r="F13330" s="4" t="s">
        <v>16232</v>
      </c>
    </row>
    <row r="13331">
      <c r="A13331" s="4">
        <v>739.0</v>
      </c>
      <c r="B13331" s="4" t="s">
        <v>22112</v>
      </c>
      <c r="C13331" s="4"/>
      <c r="D13331" s="4" t="s">
        <v>21666</v>
      </c>
      <c r="E13331" s="4" t="s">
        <v>21667</v>
      </c>
      <c r="F13331" s="4" t="s">
        <v>21666</v>
      </c>
    </row>
    <row r="13332">
      <c r="A13332" s="4">
        <v>740.0</v>
      </c>
      <c r="B13332" s="4" t="s">
        <v>22112</v>
      </c>
      <c r="C13332" s="4"/>
      <c r="D13332" s="4" t="s">
        <v>21668</v>
      </c>
      <c r="E13332" s="4" t="s">
        <v>21669</v>
      </c>
      <c r="F13332" s="4" t="s">
        <v>21668</v>
      </c>
    </row>
    <row r="13333">
      <c r="A13333" s="4">
        <v>741.0</v>
      </c>
      <c r="B13333" s="4" t="s">
        <v>22112</v>
      </c>
      <c r="C13333" s="4"/>
      <c r="D13333" s="4" t="s">
        <v>21670</v>
      </c>
      <c r="E13333" s="4" t="s">
        <v>21671</v>
      </c>
      <c r="F13333" s="4" t="s">
        <v>21670</v>
      </c>
    </row>
    <row r="13334">
      <c r="A13334" s="4">
        <v>742.0</v>
      </c>
      <c r="B13334" s="4" t="s">
        <v>22112</v>
      </c>
      <c r="C13334" s="4"/>
      <c r="D13334" s="4" t="s">
        <v>3748</v>
      </c>
      <c r="E13334" s="4" t="s">
        <v>3749</v>
      </c>
      <c r="F13334" s="4" t="s">
        <v>3748</v>
      </c>
    </row>
    <row r="13335">
      <c r="A13335" s="4">
        <v>743.0</v>
      </c>
      <c r="B13335" s="4" t="s">
        <v>22112</v>
      </c>
      <c r="C13335" s="4"/>
      <c r="D13335" s="4" t="s">
        <v>21672</v>
      </c>
      <c r="E13335" s="4" t="s">
        <v>21673</v>
      </c>
      <c r="F13335" s="4" t="s">
        <v>21672</v>
      </c>
    </row>
    <row r="13336">
      <c r="A13336" s="4">
        <v>744.0</v>
      </c>
      <c r="B13336" s="4" t="s">
        <v>22112</v>
      </c>
      <c r="C13336" s="4"/>
      <c r="D13336" s="4" t="s">
        <v>3773</v>
      </c>
      <c r="E13336" s="4" t="s">
        <v>3774</v>
      </c>
      <c r="F13336" s="4" t="s">
        <v>3773</v>
      </c>
      <c r="G13336" s="4"/>
      <c r="H13336" s="4" t="s">
        <v>3775</v>
      </c>
      <c r="I13336" s="4" t="s">
        <v>3776</v>
      </c>
      <c r="J13336" s="4" t="s">
        <v>3777</v>
      </c>
      <c r="K13336" s="4" t="s">
        <v>3778</v>
      </c>
      <c r="L13336" s="4" t="s">
        <v>3779</v>
      </c>
      <c r="M13336" s="4" t="s">
        <v>3780</v>
      </c>
      <c r="N13336" s="4" t="s">
        <v>3781</v>
      </c>
    </row>
    <row r="13337">
      <c r="A13337" s="4">
        <v>745.0</v>
      </c>
      <c r="B13337" s="4" t="s">
        <v>22112</v>
      </c>
      <c r="C13337" s="4"/>
      <c r="D13337" s="4" t="s">
        <v>21674</v>
      </c>
      <c r="E13337" s="4" t="s">
        <v>21675</v>
      </c>
      <c r="F13337" s="4" t="s">
        <v>21676</v>
      </c>
    </row>
    <row r="13338">
      <c r="A13338" s="4">
        <v>746.0</v>
      </c>
      <c r="B13338" s="4" t="s">
        <v>22112</v>
      </c>
      <c r="C13338" s="4"/>
      <c r="D13338" s="4" t="s">
        <v>3726</v>
      </c>
      <c r="E13338" s="4" t="s">
        <v>3725</v>
      </c>
      <c r="F13338" s="4" t="s">
        <v>3726</v>
      </c>
      <c r="G13338" s="4"/>
      <c r="H13338" s="4" t="s">
        <v>21677</v>
      </c>
      <c r="I13338" s="4" t="s">
        <v>21678</v>
      </c>
      <c r="J13338" s="4" t="s">
        <v>21679</v>
      </c>
      <c r="K13338" s="4" t="s">
        <v>3727</v>
      </c>
      <c r="L13338" s="4" t="s">
        <v>3728</v>
      </c>
    </row>
    <row r="13339">
      <c r="A13339" s="4">
        <v>747.0</v>
      </c>
      <c r="B13339" s="4" t="s">
        <v>22112</v>
      </c>
      <c r="C13339" s="4"/>
      <c r="D13339" s="4" t="s">
        <v>14250</v>
      </c>
      <c r="E13339" s="4" t="s">
        <v>14251</v>
      </c>
      <c r="F13339" s="4" t="s">
        <v>14250</v>
      </c>
    </row>
    <row r="13340">
      <c r="A13340" s="4">
        <v>748.0</v>
      </c>
      <c r="B13340" s="4" t="s">
        <v>22112</v>
      </c>
      <c r="C13340" s="4"/>
      <c r="D13340" s="4" t="s">
        <v>21680</v>
      </c>
      <c r="E13340" s="4" t="s">
        <v>21489</v>
      </c>
      <c r="F13340" s="4" t="s">
        <v>10884</v>
      </c>
      <c r="G13340" s="4"/>
      <c r="H13340" s="4" t="s">
        <v>14886</v>
      </c>
    </row>
    <row r="13341">
      <c r="A13341" s="4">
        <v>749.0</v>
      </c>
      <c r="B13341" s="4" t="s">
        <v>22112</v>
      </c>
      <c r="C13341" s="4"/>
      <c r="D13341" s="4" t="s">
        <v>21681</v>
      </c>
      <c r="E13341" s="4" t="s">
        <v>21682</v>
      </c>
      <c r="F13341" s="4" t="s">
        <v>21683</v>
      </c>
    </row>
    <row r="13342">
      <c r="A13342" s="4">
        <v>750.0</v>
      </c>
      <c r="B13342" s="4" t="s">
        <v>22112</v>
      </c>
      <c r="C13342" s="4"/>
      <c r="D13342" s="4" t="s">
        <v>21684</v>
      </c>
      <c r="E13342" s="4" t="s">
        <v>16855</v>
      </c>
      <c r="F13342" s="4" t="s">
        <v>13260</v>
      </c>
    </row>
    <row r="13343">
      <c r="A13343" s="4">
        <v>751.0</v>
      </c>
      <c r="B13343" s="4" t="s">
        <v>22112</v>
      </c>
      <c r="C13343" s="4"/>
      <c r="D13343" s="4" t="s">
        <v>21685</v>
      </c>
      <c r="E13343" s="4" t="s">
        <v>21686</v>
      </c>
      <c r="F13343" s="4" t="s">
        <v>21687</v>
      </c>
    </row>
    <row r="13344">
      <c r="A13344" s="4">
        <v>752.0</v>
      </c>
      <c r="B13344" s="4" t="s">
        <v>22112</v>
      </c>
      <c r="C13344" s="4"/>
      <c r="D13344" s="4" t="s">
        <v>21688</v>
      </c>
      <c r="E13344" s="4" t="s">
        <v>21689</v>
      </c>
      <c r="F13344" s="4" t="s">
        <v>21690</v>
      </c>
    </row>
    <row r="13345">
      <c r="A13345" s="4">
        <v>753.0</v>
      </c>
      <c r="B13345" s="4" t="s">
        <v>22112</v>
      </c>
      <c r="C13345" s="4"/>
      <c r="D13345" s="4" t="s">
        <v>21691</v>
      </c>
      <c r="E13345" s="4" t="s">
        <v>17767</v>
      </c>
      <c r="F13345" s="4" t="s">
        <v>17768</v>
      </c>
    </row>
    <row r="13346">
      <c r="A13346" s="4">
        <v>754.0</v>
      </c>
      <c r="B13346" s="4" t="s">
        <v>22112</v>
      </c>
      <c r="C13346" s="4"/>
      <c r="D13346" s="4" t="s">
        <v>21692</v>
      </c>
      <c r="E13346" s="4" t="s">
        <v>21693</v>
      </c>
      <c r="F13346" s="4" t="s">
        <v>21694</v>
      </c>
    </row>
    <row r="13347">
      <c r="A13347" s="4">
        <v>755.0</v>
      </c>
      <c r="B13347" s="4" t="s">
        <v>22112</v>
      </c>
      <c r="C13347" s="4"/>
      <c r="D13347" s="4" t="s">
        <v>3818</v>
      </c>
      <c r="E13347" s="4" t="s">
        <v>3819</v>
      </c>
      <c r="F13347" s="4" t="s">
        <v>3820</v>
      </c>
    </row>
    <row r="13348">
      <c r="A13348" s="4">
        <v>756.0</v>
      </c>
      <c r="B13348" s="4" t="s">
        <v>22112</v>
      </c>
      <c r="C13348" s="4"/>
      <c r="D13348" s="4" t="s">
        <v>21695</v>
      </c>
      <c r="E13348" s="4" t="s">
        <v>21190</v>
      </c>
      <c r="F13348" s="4" t="s">
        <v>21189</v>
      </c>
      <c r="G13348" s="4"/>
      <c r="H13348" s="4" t="s">
        <v>21696</v>
      </c>
    </row>
    <row r="13349">
      <c r="A13349" s="4">
        <v>757.0</v>
      </c>
      <c r="B13349" s="4" t="s">
        <v>22112</v>
      </c>
      <c r="C13349" s="4"/>
      <c r="D13349" s="4" t="s">
        <v>21697</v>
      </c>
      <c r="E13349" s="4" t="s">
        <v>21698</v>
      </c>
      <c r="F13349" s="4" t="s">
        <v>21699</v>
      </c>
    </row>
    <row r="13350">
      <c r="A13350" s="4">
        <v>758.0</v>
      </c>
      <c r="B13350" s="4" t="s">
        <v>22112</v>
      </c>
      <c r="C13350" s="4"/>
      <c r="D13350" s="4" t="s">
        <v>7357</v>
      </c>
      <c r="E13350" s="4" t="s">
        <v>7358</v>
      </c>
      <c r="F13350" s="4" t="s">
        <v>7359</v>
      </c>
      <c r="G13350" s="4"/>
      <c r="H13350" s="4" t="s">
        <v>7357</v>
      </c>
    </row>
    <row r="13351">
      <c r="A13351" s="4">
        <v>759.0</v>
      </c>
      <c r="B13351" s="4" t="s">
        <v>22112</v>
      </c>
      <c r="C13351" s="4"/>
      <c r="D13351" s="4" t="s">
        <v>21700</v>
      </c>
      <c r="E13351" s="4" t="s">
        <v>21701</v>
      </c>
      <c r="F13351" s="4" t="s">
        <v>21702</v>
      </c>
    </row>
    <row r="13352">
      <c r="A13352" s="4">
        <v>760.0</v>
      </c>
      <c r="B13352" s="4" t="s">
        <v>22112</v>
      </c>
      <c r="C13352" s="4"/>
      <c r="D13352" s="4" t="s">
        <v>21703</v>
      </c>
      <c r="E13352" s="4" t="s">
        <v>21704</v>
      </c>
      <c r="F13352" s="4" t="s">
        <v>21705</v>
      </c>
    </row>
    <row r="13353">
      <c r="A13353" s="4">
        <v>761.0</v>
      </c>
      <c r="B13353" s="4" t="s">
        <v>22112</v>
      </c>
      <c r="C13353" s="4"/>
      <c r="D13353" s="4" t="s">
        <v>3833</v>
      </c>
      <c r="E13353" s="4" t="s">
        <v>3834</v>
      </c>
      <c r="F13353" s="4" t="s">
        <v>3835</v>
      </c>
    </row>
    <row r="13354">
      <c r="A13354" s="4">
        <v>762.0</v>
      </c>
      <c r="B13354" s="4" t="s">
        <v>22112</v>
      </c>
      <c r="C13354" s="4"/>
      <c r="D13354" s="4" t="s">
        <v>3836</v>
      </c>
      <c r="E13354" s="4" t="s">
        <v>3837</v>
      </c>
      <c r="F13354" s="4" t="s">
        <v>3838</v>
      </c>
      <c r="G13354" s="4"/>
      <c r="H13354" s="4" t="s">
        <v>538</v>
      </c>
      <c r="I13354" s="4" t="s">
        <v>887</v>
      </c>
      <c r="J13354" s="4" t="s">
        <v>7928</v>
      </c>
      <c r="K13354" s="4" t="s">
        <v>7929</v>
      </c>
      <c r="L13354" s="4" t="s">
        <v>7928</v>
      </c>
      <c r="M13354" s="4" t="s">
        <v>21706</v>
      </c>
      <c r="N13354" s="4" t="s">
        <v>538</v>
      </c>
      <c r="O13354" s="4" t="s">
        <v>7928</v>
      </c>
      <c r="P13354" s="4" t="s">
        <v>21707</v>
      </c>
      <c r="Q13354" s="4" t="s">
        <v>4433</v>
      </c>
      <c r="R13354" s="4" t="s">
        <v>21708</v>
      </c>
      <c r="S13354" s="4" t="s">
        <v>21709</v>
      </c>
      <c r="T13354" s="4" t="s">
        <v>21710</v>
      </c>
      <c r="U13354" s="4" t="s">
        <v>21711</v>
      </c>
      <c r="V13354" s="4" t="s">
        <v>21712</v>
      </c>
      <c r="W13354" s="4" t="s">
        <v>21713</v>
      </c>
      <c r="X13354" s="4" t="s">
        <v>7187</v>
      </c>
      <c r="Y13354" s="4" t="s">
        <v>7187</v>
      </c>
      <c r="Z13354" s="4" t="s">
        <v>4423</v>
      </c>
      <c r="AA13354" s="4" t="s">
        <v>887</v>
      </c>
      <c r="AB13354" s="4" t="s">
        <v>887</v>
      </c>
      <c r="AC13354" s="4" t="s">
        <v>14259</v>
      </c>
      <c r="AD13354" s="4" t="s">
        <v>538</v>
      </c>
      <c r="AE13354" s="4" t="s">
        <v>6299</v>
      </c>
      <c r="AF13354" s="4" t="s">
        <v>6300</v>
      </c>
      <c r="AG13354" s="4" t="s">
        <v>6301</v>
      </c>
      <c r="AH13354" s="4" t="s">
        <v>6302</v>
      </c>
      <c r="AI13354" s="4" t="s">
        <v>6303</v>
      </c>
      <c r="AJ13354" s="4" t="s">
        <v>6304</v>
      </c>
      <c r="AK13354" s="4" t="s">
        <v>6305</v>
      </c>
      <c r="AL13354" s="4" t="s">
        <v>6278</v>
      </c>
      <c r="AM13354" s="4" t="s">
        <v>6306</v>
      </c>
      <c r="AN13354" s="4" t="s">
        <v>6307</v>
      </c>
      <c r="AO13354" s="4" t="s">
        <v>6308</v>
      </c>
      <c r="AP13354" s="4" t="s">
        <v>1800</v>
      </c>
      <c r="AQ13354" s="4" t="s">
        <v>7929</v>
      </c>
      <c r="AR13354" s="4" t="s">
        <v>3414</v>
      </c>
      <c r="AS13354" s="4" t="s">
        <v>7308</v>
      </c>
      <c r="AT13354" s="4" t="s">
        <v>21714</v>
      </c>
      <c r="AU13354" s="4" t="s">
        <v>19735</v>
      </c>
      <c r="AV13354" s="4" t="s">
        <v>11591</v>
      </c>
      <c r="AW13354" s="4" t="s">
        <v>538</v>
      </c>
      <c r="AX13354" s="4" t="s">
        <v>7308</v>
      </c>
      <c r="AY13354" s="4" t="s">
        <v>14260</v>
      </c>
      <c r="AZ13354" s="4" t="s">
        <v>538</v>
      </c>
    </row>
    <row r="13355">
      <c r="A13355" s="4">
        <v>763.0</v>
      </c>
      <c r="B13355" s="4" t="s">
        <v>22112</v>
      </c>
      <c r="C13355" s="4"/>
      <c r="D13355" s="4" t="s">
        <v>3839</v>
      </c>
      <c r="E13355" s="4" t="s">
        <v>3840</v>
      </c>
      <c r="F13355" s="4" t="s">
        <v>3841</v>
      </c>
      <c r="G13355" s="4"/>
      <c r="H13355" s="4" t="s">
        <v>3842</v>
      </c>
    </row>
    <row r="13356">
      <c r="A13356" s="4">
        <v>764.0</v>
      </c>
      <c r="B13356" s="4" t="s">
        <v>22112</v>
      </c>
      <c r="C13356" s="4"/>
      <c r="D13356" s="4" t="s">
        <v>3854</v>
      </c>
      <c r="E13356" s="4" t="s">
        <v>3855</v>
      </c>
      <c r="F13356" s="4" t="s">
        <v>3856</v>
      </c>
      <c r="G13356" s="4"/>
      <c r="H13356" s="4" t="s">
        <v>3857</v>
      </c>
      <c r="I13356" s="4" t="s">
        <v>3858</v>
      </c>
      <c r="J13356" s="4" t="s">
        <v>3857</v>
      </c>
      <c r="K13356" s="4" t="s">
        <v>3859</v>
      </c>
      <c r="L13356" s="4" t="s">
        <v>3860</v>
      </c>
    </row>
    <row r="13357">
      <c r="A13357" s="4">
        <v>765.0</v>
      </c>
      <c r="B13357" s="4" t="s">
        <v>22112</v>
      </c>
      <c r="C13357" s="4"/>
      <c r="D13357" s="4" t="s">
        <v>21715</v>
      </c>
      <c r="E13357" s="4" t="s">
        <v>3880</v>
      </c>
      <c r="F13357" s="4" t="s">
        <v>3881</v>
      </c>
    </row>
    <row r="13358">
      <c r="A13358" s="4">
        <v>766.0</v>
      </c>
      <c r="B13358" s="4" t="s">
        <v>22112</v>
      </c>
      <c r="C13358" s="4"/>
      <c r="D13358" s="4" t="s">
        <v>14253</v>
      </c>
      <c r="E13358" s="4" t="s">
        <v>14254</v>
      </c>
      <c r="F13358" s="4" t="s">
        <v>14255</v>
      </c>
      <c r="G13358" s="4"/>
      <c r="H13358" s="4" t="s">
        <v>538</v>
      </c>
      <c r="I13358" s="4" t="s">
        <v>887</v>
      </c>
      <c r="J13358" s="4" t="s">
        <v>7928</v>
      </c>
      <c r="K13358" s="4" t="s">
        <v>7929</v>
      </c>
      <c r="L13358" s="4" t="s">
        <v>3414</v>
      </c>
      <c r="M13358" s="4" t="s">
        <v>21716</v>
      </c>
      <c r="N13358" s="4" t="s">
        <v>21717</v>
      </c>
      <c r="O13358" s="4" t="s">
        <v>21718</v>
      </c>
      <c r="P13358" s="4" t="s">
        <v>16209</v>
      </c>
      <c r="Q13358" s="4" t="s">
        <v>7316</v>
      </c>
      <c r="R13358" s="4" t="s">
        <v>7308</v>
      </c>
      <c r="S13358" s="4" t="s">
        <v>14993</v>
      </c>
      <c r="T13358" s="4" t="s">
        <v>14258</v>
      </c>
      <c r="U13358" s="4" t="s">
        <v>14994</v>
      </c>
      <c r="V13358" s="4" t="s">
        <v>8878</v>
      </c>
      <c r="W13358" s="4" t="s">
        <v>3379</v>
      </c>
      <c r="X13358" s="4" t="s">
        <v>16894</v>
      </c>
      <c r="Y13358" s="4" t="s">
        <v>1437</v>
      </c>
      <c r="Z13358" s="4" t="s">
        <v>16026</v>
      </c>
      <c r="AA13358" s="4" t="s">
        <v>14258</v>
      </c>
      <c r="AB13358" s="4" t="s">
        <v>21719</v>
      </c>
      <c r="AC13358" s="4" t="s">
        <v>3414</v>
      </c>
      <c r="AD13358" s="4" t="s">
        <v>5158</v>
      </c>
      <c r="AE13358" s="4" t="s">
        <v>21720</v>
      </c>
      <c r="AF13358" s="4" t="s">
        <v>21721</v>
      </c>
      <c r="AG13358" s="4" t="s">
        <v>21722</v>
      </c>
      <c r="AH13358" s="4" t="s">
        <v>14258</v>
      </c>
      <c r="AI13358" s="4" t="s">
        <v>7307</v>
      </c>
      <c r="AJ13358" s="4" t="s">
        <v>4276</v>
      </c>
      <c r="AK13358" s="4" t="s">
        <v>5964</v>
      </c>
      <c r="AL13358" s="4" t="s">
        <v>21723</v>
      </c>
      <c r="AM13358" s="4" t="s">
        <v>1800</v>
      </c>
      <c r="AN13358" s="4" t="s">
        <v>21724</v>
      </c>
      <c r="AO13358" s="4" t="s">
        <v>14258</v>
      </c>
      <c r="AP13358" s="4" t="s">
        <v>21725</v>
      </c>
      <c r="AQ13358" s="4" t="s">
        <v>21726</v>
      </c>
      <c r="AR13358" s="4" t="s">
        <v>8416</v>
      </c>
      <c r="AS13358" s="4" t="s">
        <v>21727</v>
      </c>
      <c r="AT13358" s="4" t="s">
        <v>21728</v>
      </c>
      <c r="AU13358" s="4" t="s">
        <v>21729</v>
      </c>
      <c r="AV13358" s="4" t="s">
        <v>21730</v>
      </c>
      <c r="AW13358" s="4" t="s">
        <v>6291</v>
      </c>
      <c r="AX13358" s="4" t="s">
        <v>21131</v>
      </c>
      <c r="AY13358" s="4" t="s">
        <v>21132</v>
      </c>
      <c r="AZ13358" s="4" t="s">
        <v>21133</v>
      </c>
      <c r="BA13358" s="4" t="s">
        <v>21731</v>
      </c>
      <c r="BB13358" s="4" t="s">
        <v>20370</v>
      </c>
      <c r="BC13358" s="4" t="s">
        <v>21732</v>
      </c>
      <c r="BD13358" s="4" t="s">
        <v>7316</v>
      </c>
      <c r="BE13358" s="4" t="s">
        <v>7318</v>
      </c>
      <c r="BF13358" s="4" t="s">
        <v>21733</v>
      </c>
      <c r="BG13358" s="4" t="s">
        <v>21734</v>
      </c>
      <c r="BH13358" s="4" t="s">
        <v>21735</v>
      </c>
      <c r="BI13358" s="4" t="s">
        <v>21736</v>
      </c>
      <c r="BJ13358" s="4" t="s">
        <v>21737</v>
      </c>
      <c r="BK13358" s="4" t="s">
        <v>21738</v>
      </c>
      <c r="BL13358" s="4" t="s">
        <v>21739</v>
      </c>
      <c r="BM13358" s="4" t="s">
        <v>21740</v>
      </c>
      <c r="BN13358" s="4" t="s">
        <v>21741</v>
      </c>
      <c r="BO13358" s="4" t="s">
        <v>3414</v>
      </c>
      <c r="BP13358" s="4" t="s">
        <v>4433</v>
      </c>
      <c r="BQ13358" s="4" t="s">
        <v>7306</v>
      </c>
      <c r="BR13358" s="4" t="s">
        <v>7307</v>
      </c>
      <c r="BS13358" s="4" t="s">
        <v>7308</v>
      </c>
      <c r="BT13358" s="4" t="s">
        <v>14256</v>
      </c>
      <c r="BU13358" s="4" t="s">
        <v>14257</v>
      </c>
      <c r="BV13358" s="4" t="s">
        <v>14258</v>
      </c>
      <c r="BW13358" s="4" t="s">
        <v>7946</v>
      </c>
      <c r="BX13358" s="4" t="s">
        <v>884</v>
      </c>
      <c r="BY13358" s="4" t="s">
        <v>21742</v>
      </c>
      <c r="BZ13358" s="4" t="s">
        <v>10345</v>
      </c>
      <c r="CA13358" s="4" t="s">
        <v>7929</v>
      </c>
      <c r="CB13358" s="4" t="s">
        <v>3414</v>
      </c>
      <c r="CC13358" s="4" t="s">
        <v>7308</v>
      </c>
      <c r="CD13358" s="4" t="s">
        <v>21714</v>
      </c>
      <c r="CE13358" s="4" t="s">
        <v>538</v>
      </c>
      <c r="CF13358" s="4" t="s">
        <v>7308</v>
      </c>
      <c r="CG13358" s="4" t="s">
        <v>14260</v>
      </c>
      <c r="CH13358" s="4" t="s">
        <v>538</v>
      </c>
    </row>
    <row r="13359">
      <c r="A13359" s="4">
        <v>767.0</v>
      </c>
      <c r="B13359" s="4" t="s">
        <v>22112</v>
      </c>
      <c r="C13359" s="4"/>
      <c r="D13359" s="4" t="s">
        <v>3872</v>
      </c>
      <c r="E13359" s="4" t="s">
        <v>3873</v>
      </c>
      <c r="F13359" s="4" t="s">
        <v>3874</v>
      </c>
    </row>
    <row r="13360">
      <c r="A13360" s="4">
        <v>768.0</v>
      </c>
      <c r="B13360" s="4" t="s">
        <v>22112</v>
      </c>
      <c r="C13360" s="4"/>
      <c r="D13360" s="4" t="s">
        <v>21743</v>
      </c>
      <c r="E13360" s="4" t="s">
        <v>21744</v>
      </c>
      <c r="F13360" s="4" t="s">
        <v>21745</v>
      </c>
    </row>
    <row r="13361">
      <c r="A13361" s="4">
        <v>769.0</v>
      </c>
      <c r="B13361" s="4" t="s">
        <v>22112</v>
      </c>
      <c r="C13361" s="4"/>
      <c r="D13361" s="4" t="s">
        <v>21746</v>
      </c>
      <c r="E13361" s="4" t="s">
        <v>18638</v>
      </c>
      <c r="F13361" s="4" t="s">
        <v>3881</v>
      </c>
    </row>
    <row r="13362">
      <c r="A13362" s="4">
        <v>770.0</v>
      </c>
      <c r="B13362" s="4" t="s">
        <v>22112</v>
      </c>
      <c r="C13362" s="4"/>
      <c r="D13362" s="4" t="s">
        <v>21747</v>
      </c>
      <c r="E13362" s="4" t="s">
        <v>21748</v>
      </c>
      <c r="F13362" s="4" t="s">
        <v>14255</v>
      </c>
      <c r="G13362" s="4"/>
      <c r="H13362" s="4" t="s">
        <v>21749</v>
      </c>
    </row>
    <row r="13363">
      <c r="A13363" s="4">
        <v>771.0</v>
      </c>
      <c r="B13363" s="4" t="s">
        <v>22112</v>
      </c>
      <c r="C13363" s="4"/>
      <c r="D13363" s="4" t="s">
        <v>3882</v>
      </c>
      <c r="E13363" s="4" t="s">
        <v>3883</v>
      </c>
      <c r="F13363" s="4" t="s">
        <v>3882</v>
      </c>
      <c r="G13363" s="4"/>
      <c r="H13363" s="4" t="s">
        <v>3887</v>
      </c>
      <c r="I13363" s="4" t="s">
        <v>3888</v>
      </c>
      <c r="J13363" s="4" t="s">
        <v>3889</v>
      </c>
      <c r="K13363" s="4" t="s">
        <v>3887</v>
      </c>
    </row>
    <row r="13364">
      <c r="A13364" s="4">
        <v>772.0</v>
      </c>
      <c r="B13364" s="4" t="s">
        <v>22112</v>
      </c>
      <c r="C13364" s="4"/>
      <c r="D13364" s="4" t="s">
        <v>3890</v>
      </c>
      <c r="E13364" s="4" t="s">
        <v>3891</v>
      </c>
      <c r="F13364" s="4" t="s">
        <v>3890</v>
      </c>
      <c r="G13364" s="4"/>
      <c r="H13364" s="4" t="s">
        <v>3892</v>
      </c>
      <c r="I13364" s="4" t="s">
        <v>3897</v>
      </c>
      <c r="J13364" s="4" t="s">
        <v>3898</v>
      </c>
      <c r="K13364" s="4" t="s">
        <v>11404</v>
      </c>
      <c r="L13364" s="4" t="s">
        <v>3736</v>
      </c>
      <c r="M13364" s="4" t="s">
        <v>3899</v>
      </c>
    </row>
    <row r="13365">
      <c r="A13365" s="4">
        <v>773.0</v>
      </c>
      <c r="B13365" s="4" t="s">
        <v>22112</v>
      </c>
      <c r="C13365" s="4"/>
      <c r="D13365" s="4" t="s">
        <v>3902</v>
      </c>
      <c r="E13365" s="4" t="s">
        <v>3903</v>
      </c>
      <c r="F13365" s="4" t="s">
        <v>3902</v>
      </c>
    </row>
    <row r="13366">
      <c r="A13366" s="4">
        <v>774.0</v>
      </c>
      <c r="B13366" s="4" t="s">
        <v>22112</v>
      </c>
      <c r="C13366" s="4"/>
      <c r="D13366" s="4" t="s">
        <v>13564</v>
      </c>
      <c r="E13366" s="4" t="s">
        <v>21750</v>
      </c>
      <c r="F13366" s="4" t="s">
        <v>13564</v>
      </c>
    </row>
    <row r="13367">
      <c r="A13367" s="4">
        <v>775.0</v>
      </c>
      <c r="B13367" s="4" t="s">
        <v>22112</v>
      </c>
      <c r="C13367" s="4"/>
      <c r="D13367" s="4" t="s">
        <v>21751</v>
      </c>
      <c r="E13367" s="4" t="s">
        <v>21752</v>
      </c>
      <c r="F13367" s="4" t="s">
        <v>21751</v>
      </c>
      <c r="G13367" s="4"/>
      <c r="H13367" s="4" t="s">
        <v>21753</v>
      </c>
      <c r="I13367" s="4" t="s">
        <v>536</v>
      </c>
      <c r="J13367" s="4" t="s">
        <v>21754</v>
      </c>
      <c r="K13367" s="4" t="s">
        <v>21755</v>
      </c>
      <c r="L13367" s="4" t="s">
        <v>21756</v>
      </c>
      <c r="M13367" s="4" t="s">
        <v>8688</v>
      </c>
      <c r="N13367" s="4" t="s">
        <v>21757</v>
      </c>
      <c r="O13367" s="4" t="s">
        <v>15252</v>
      </c>
      <c r="P13367" s="4" t="s">
        <v>21758</v>
      </c>
      <c r="Q13367" s="4" t="s">
        <v>6680</v>
      </c>
      <c r="R13367" s="4" t="s">
        <v>8688</v>
      </c>
      <c r="S13367" s="4" t="s">
        <v>21759</v>
      </c>
      <c r="T13367" s="4" t="s">
        <v>8878</v>
      </c>
      <c r="U13367" s="4" t="s">
        <v>21759</v>
      </c>
      <c r="V13367" s="4" t="s">
        <v>8688</v>
      </c>
      <c r="W13367" s="4" t="s">
        <v>21760</v>
      </c>
      <c r="X13367" s="4" t="s">
        <v>644</v>
      </c>
      <c r="Y13367" s="4" t="s">
        <v>21761</v>
      </c>
      <c r="Z13367" s="4" t="s">
        <v>4502</v>
      </c>
      <c r="AA13367" s="4" t="s">
        <v>16145</v>
      </c>
      <c r="AB13367" s="4" t="s">
        <v>8688</v>
      </c>
      <c r="AC13367" s="4" t="s">
        <v>21762</v>
      </c>
      <c r="AD13367" s="4" t="s">
        <v>21763</v>
      </c>
      <c r="AE13367" s="4" t="s">
        <v>21764</v>
      </c>
      <c r="AF13367" s="4" t="s">
        <v>8688</v>
      </c>
      <c r="AG13367" s="4" t="s">
        <v>7641</v>
      </c>
      <c r="AH13367" s="4" t="s">
        <v>21765</v>
      </c>
      <c r="AI13367" s="4" t="s">
        <v>16012</v>
      </c>
      <c r="AJ13367" s="4" t="s">
        <v>21766</v>
      </c>
      <c r="AK13367" s="4" t="s">
        <v>16885</v>
      </c>
      <c r="AL13367" s="4" t="s">
        <v>21767</v>
      </c>
      <c r="AM13367" s="4" t="s">
        <v>21768</v>
      </c>
      <c r="AN13367" s="4" t="s">
        <v>21769</v>
      </c>
      <c r="AO13367" s="4" t="s">
        <v>643</v>
      </c>
      <c r="AP13367" s="4" t="s">
        <v>644</v>
      </c>
      <c r="AQ13367" s="4" t="s">
        <v>645</v>
      </c>
      <c r="AR13367" s="4" t="s">
        <v>21766</v>
      </c>
      <c r="AS13367" s="4" t="s">
        <v>2764</v>
      </c>
      <c r="AT13367" s="4" t="s">
        <v>21766</v>
      </c>
      <c r="AU13367" s="4" t="s">
        <v>7307</v>
      </c>
      <c r="AV13367" s="4" t="s">
        <v>643</v>
      </c>
      <c r="AW13367" s="4" t="s">
        <v>21770</v>
      </c>
      <c r="AX13367" s="4" t="s">
        <v>21771</v>
      </c>
      <c r="AY13367" s="4" t="s">
        <v>21772</v>
      </c>
      <c r="AZ13367" s="4" t="s">
        <v>21773</v>
      </c>
      <c r="BA13367" s="4" t="s">
        <v>21774</v>
      </c>
      <c r="BB13367" s="4" t="s">
        <v>21775</v>
      </c>
      <c r="BC13367" s="4" t="s">
        <v>1431</v>
      </c>
      <c r="BD13367" s="4" t="s">
        <v>21776</v>
      </c>
      <c r="BE13367" s="4" t="s">
        <v>21766</v>
      </c>
      <c r="BF13367" s="4" t="s">
        <v>1431</v>
      </c>
      <c r="BG13367" s="4" t="s">
        <v>6686</v>
      </c>
      <c r="BH13367" s="4" t="s">
        <v>4305</v>
      </c>
      <c r="BI13367" s="4" t="s">
        <v>20679</v>
      </c>
      <c r="BJ13367" s="4" t="s">
        <v>15196</v>
      </c>
      <c r="BK13367" s="4" t="s">
        <v>15474</v>
      </c>
      <c r="BL13367" s="4" t="s">
        <v>4146</v>
      </c>
      <c r="BM13367" s="4" t="s">
        <v>21095</v>
      </c>
      <c r="BN13367" s="4" t="s">
        <v>4445</v>
      </c>
      <c r="BO13367" s="4" t="s">
        <v>21767</v>
      </c>
    </row>
    <row r="13368">
      <c r="A13368" s="4">
        <v>776.0</v>
      </c>
      <c r="B13368" s="4" t="s">
        <v>22112</v>
      </c>
      <c r="C13368" s="4"/>
      <c r="D13368" s="4" t="s">
        <v>18602</v>
      </c>
      <c r="E13368" s="4" t="s">
        <v>21777</v>
      </c>
      <c r="F13368" s="4" t="s">
        <v>21778</v>
      </c>
    </row>
    <row r="13369">
      <c r="A13369" s="4">
        <v>777.0</v>
      </c>
      <c r="B13369" s="4" t="s">
        <v>22112</v>
      </c>
      <c r="C13369" s="4"/>
      <c r="D13369" s="4" t="s">
        <v>21779</v>
      </c>
      <c r="E13369" s="4" t="s">
        <v>3920</v>
      </c>
      <c r="F13369" s="4" t="s">
        <v>3921</v>
      </c>
    </row>
    <row r="13370">
      <c r="A13370" s="4">
        <v>778.0</v>
      </c>
      <c r="B13370" s="4" t="s">
        <v>22112</v>
      </c>
      <c r="C13370" s="4"/>
      <c r="D13370" s="4" t="s">
        <v>21780</v>
      </c>
      <c r="E13370" s="4" t="s">
        <v>21781</v>
      </c>
      <c r="F13370" s="4" t="s">
        <v>21782</v>
      </c>
    </row>
    <row r="13371">
      <c r="A13371" s="4">
        <v>779.0</v>
      </c>
      <c r="B13371" s="4" t="s">
        <v>22112</v>
      </c>
      <c r="C13371" s="4"/>
      <c r="D13371" s="4" t="s">
        <v>3937</v>
      </c>
      <c r="E13371" s="4" t="s">
        <v>3938</v>
      </c>
      <c r="F13371" s="4" t="s">
        <v>3937</v>
      </c>
    </row>
    <row r="13372">
      <c r="A13372" s="4">
        <v>780.0</v>
      </c>
      <c r="B13372" s="4" t="s">
        <v>22112</v>
      </c>
      <c r="C13372" s="4"/>
      <c r="D13372" s="4" t="s">
        <v>3939</v>
      </c>
      <c r="E13372" s="4" t="s">
        <v>3940</v>
      </c>
      <c r="F13372" s="4" t="s">
        <v>3939</v>
      </c>
    </row>
    <row r="13373">
      <c r="A13373" s="4">
        <v>781.0</v>
      </c>
      <c r="B13373" s="4" t="s">
        <v>22112</v>
      </c>
      <c r="C13373" s="4"/>
      <c r="D13373" s="4" t="s">
        <v>21783</v>
      </c>
      <c r="E13373" s="4" t="s">
        <v>21784</v>
      </c>
      <c r="F13373" s="4" t="s">
        <v>21783</v>
      </c>
    </row>
    <row r="13374">
      <c r="A13374" s="4">
        <v>782.0</v>
      </c>
      <c r="B13374" s="4" t="s">
        <v>22112</v>
      </c>
      <c r="C13374" s="4"/>
      <c r="D13374" s="4" t="s">
        <v>11123</v>
      </c>
      <c r="E13374" s="4" t="s">
        <v>13599</v>
      </c>
      <c r="F13374" s="4" t="s">
        <v>11123</v>
      </c>
    </row>
    <row r="13375">
      <c r="A13375" s="4">
        <v>783.0</v>
      </c>
      <c r="B13375" s="4" t="s">
        <v>22112</v>
      </c>
      <c r="C13375" s="4"/>
      <c r="D13375" s="4" t="s">
        <v>21785</v>
      </c>
      <c r="E13375" s="4" t="s">
        <v>21786</v>
      </c>
      <c r="F13375" s="4" t="s">
        <v>21785</v>
      </c>
      <c r="G13375" s="4"/>
      <c r="H13375" s="4" t="s">
        <v>21787</v>
      </c>
    </row>
    <row r="13376">
      <c r="A13376" s="4">
        <v>784.0</v>
      </c>
      <c r="B13376" s="4" t="s">
        <v>22112</v>
      </c>
      <c r="C13376" s="4"/>
      <c r="D13376" s="4" t="s">
        <v>21788</v>
      </c>
      <c r="E13376" s="4" t="s">
        <v>21789</v>
      </c>
      <c r="F13376" s="4" t="s">
        <v>21788</v>
      </c>
    </row>
    <row r="13377">
      <c r="A13377" s="4">
        <v>785.0</v>
      </c>
      <c r="B13377" s="4" t="s">
        <v>22112</v>
      </c>
      <c r="C13377" s="4"/>
      <c r="D13377" s="4" t="s">
        <v>21790</v>
      </c>
      <c r="E13377" s="4" t="s">
        <v>5755</v>
      </c>
      <c r="F13377" s="4" t="s">
        <v>5756</v>
      </c>
    </row>
    <row r="13378">
      <c r="A13378" s="4">
        <v>786.0</v>
      </c>
      <c r="B13378" s="4" t="s">
        <v>22112</v>
      </c>
      <c r="C13378" s="4"/>
      <c r="D13378" s="4" t="s">
        <v>3956</v>
      </c>
      <c r="E13378" s="4" t="s">
        <v>3957</v>
      </c>
      <c r="F13378" s="4" t="s">
        <v>3956</v>
      </c>
    </row>
    <row r="13379">
      <c r="A13379" s="4">
        <v>787.0</v>
      </c>
      <c r="B13379" s="4" t="s">
        <v>22112</v>
      </c>
      <c r="C13379" s="4"/>
      <c r="D13379" s="4" t="s">
        <v>3958</v>
      </c>
      <c r="E13379" s="4" t="s">
        <v>3959</v>
      </c>
      <c r="F13379" s="4" t="s">
        <v>3958</v>
      </c>
    </row>
    <row r="13380">
      <c r="A13380" s="4">
        <v>788.0</v>
      </c>
      <c r="B13380" s="4" t="s">
        <v>22112</v>
      </c>
      <c r="C13380" s="4"/>
      <c r="D13380" s="4" t="s">
        <v>21791</v>
      </c>
      <c r="E13380" s="4" t="s">
        <v>21792</v>
      </c>
      <c r="F13380" s="4" t="s">
        <v>21791</v>
      </c>
    </row>
    <row r="13381">
      <c r="A13381" s="4">
        <v>789.0</v>
      </c>
      <c r="B13381" s="4" t="s">
        <v>22112</v>
      </c>
      <c r="C13381" s="4"/>
      <c r="D13381" s="4" t="s">
        <v>21793</v>
      </c>
      <c r="E13381" s="4" t="s">
        <v>21794</v>
      </c>
      <c r="F13381" s="4" t="s">
        <v>21793</v>
      </c>
    </row>
    <row r="13382">
      <c r="A13382" s="4">
        <v>790.0</v>
      </c>
      <c r="B13382" s="4" t="s">
        <v>22112</v>
      </c>
      <c r="C13382" s="4"/>
      <c r="D13382" s="4" t="s">
        <v>21795</v>
      </c>
      <c r="E13382" s="4" t="s">
        <v>21792</v>
      </c>
      <c r="F13382" s="4" t="s">
        <v>21791</v>
      </c>
    </row>
    <row r="13383">
      <c r="A13383" s="4">
        <v>791.0</v>
      </c>
      <c r="B13383" s="4" t="s">
        <v>22112</v>
      </c>
      <c r="C13383" s="4"/>
      <c r="D13383" s="4" t="s">
        <v>21796</v>
      </c>
      <c r="E13383" s="4" t="s">
        <v>21794</v>
      </c>
      <c r="F13383" s="4" t="s">
        <v>21793</v>
      </c>
    </row>
    <row r="13384">
      <c r="A13384" s="4">
        <v>792.0</v>
      </c>
      <c r="B13384" s="4" t="s">
        <v>22112</v>
      </c>
      <c r="C13384" s="4"/>
      <c r="D13384" s="4" t="s">
        <v>21797</v>
      </c>
      <c r="E13384" s="4" t="s">
        <v>21798</v>
      </c>
      <c r="F13384" s="4" t="s">
        <v>21797</v>
      </c>
    </row>
    <row r="13385">
      <c r="A13385" s="4">
        <v>793.0</v>
      </c>
      <c r="B13385" s="4" t="s">
        <v>22112</v>
      </c>
      <c r="C13385" s="4"/>
      <c r="D13385" s="4" t="s">
        <v>21799</v>
      </c>
      <c r="E13385" s="4" t="s">
        <v>20265</v>
      </c>
      <c r="F13385" s="4" t="s">
        <v>20264</v>
      </c>
    </row>
    <row r="13386">
      <c r="A13386" s="4">
        <v>794.0</v>
      </c>
      <c r="B13386" s="4" t="s">
        <v>22112</v>
      </c>
      <c r="C13386" s="4"/>
      <c r="D13386" s="4" t="s">
        <v>21800</v>
      </c>
      <c r="E13386" s="4" t="s">
        <v>21801</v>
      </c>
      <c r="F13386" s="4" t="s">
        <v>21800</v>
      </c>
    </row>
    <row r="13387">
      <c r="A13387" s="4">
        <v>795.0</v>
      </c>
      <c r="B13387" s="4" t="s">
        <v>22112</v>
      </c>
      <c r="C13387" s="4"/>
      <c r="D13387" s="4" t="s">
        <v>21802</v>
      </c>
      <c r="E13387" s="4" t="s">
        <v>14710</v>
      </c>
      <c r="F13387" s="4" t="s">
        <v>14711</v>
      </c>
    </row>
    <row r="13388">
      <c r="A13388" s="4">
        <v>796.0</v>
      </c>
      <c r="B13388" s="4" t="s">
        <v>22112</v>
      </c>
      <c r="C13388" s="4"/>
      <c r="D13388" s="4" t="s">
        <v>401</v>
      </c>
      <c r="E13388" s="4" t="s">
        <v>400</v>
      </c>
      <c r="F13388" s="4" t="s">
        <v>401</v>
      </c>
      <c r="G13388" s="4"/>
      <c r="H13388" s="4" t="s">
        <v>422</v>
      </c>
      <c r="I13388" s="4" t="s">
        <v>3975</v>
      </c>
      <c r="J13388" s="4" t="s">
        <v>401</v>
      </c>
    </row>
    <row r="13389">
      <c r="A13389" s="4">
        <v>797.0</v>
      </c>
      <c r="B13389" s="4" t="s">
        <v>22112</v>
      </c>
      <c r="C13389" s="4"/>
      <c r="D13389" s="4" t="s">
        <v>21803</v>
      </c>
      <c r="E13389" s="4" t="s">
        <v>21804</v>
      </c>
      <c r="F13389" s="4" t="s">
        <v>21805</v>
      </c>
    </row>
    <row r="13390">
      <c r="A13390" s="4">
        <v>798.0</v>
      </c>
      <c r="B13390" s="4" t="s">
        <v>22112</v>
      </c>
      <c r="C13390" s="4"/>
      <c r="D13390" s="4" t="s">
        <v>21806</v>
      </c>
      <c r="E13390" s="4" t="s">
        <v>20267</v>
      </c>
      <c r="F13390" s="4" t="s">
        <v>7538</v>
      </c>
      <c r="G13390" s="4"/>
      <c r="H13390" s="4" t="s">
        <v>7576</v>
      </c>
      <c r="I13390" s="4" t="s">
        <v>7576</v>
      </c>
    </row>
    <row r="13391">
      <c r="A13391" s="4">
        <v>799.0</v>
      </c>
      <c r="B13391" s="4" t="s">
        <v>22112</v>
      </c>
      <c r="C13391" s="4"/>
      <c r="D13391" s="4" t="s">
        <v>1417</v>
      </c>
      <c r="E13391" s="4" t="s">
        <v>1416</v>
      </c>
      <c r="F13391" s="4" t="s">
        <v>1417</v>
      </c>
    </row>
    <row r="13392">
      <c r="A13392" s="4">
        <v>800.0</v>
      </c>
      <c r="B13392" s="4" t="s">
        <v>22112</v>
      </c>
      <c r="C13392" s="4"/>
      <c r="D13392" s="4" t="s">
        <v>21807</v>
      </c>
      <c r="E13392" s="4" t="s">
        <v>21808</v>
      </c>
      <c r="F13392" s="4" t="s">
        <v>21807</v>
      </c>
    </row>
    <row r="13393">
      <c r="A13393" s="4">
        <v>801.0</v>
      </c>
      <c r="B13393" s="4" t="s">
        <v>22112</v>
      </c>
      <c r="C13393" s="4"/>
      <c r="D13393" s="4" t="s">
        <v>3983</v>
      </c>
      <c r="E13393" s="4" t="s">
        <v>3989</v>
      </c>
      <c r="F13393" s="4" t="s">
        <v>3983</v>
      </c>
      <c r="G13393" s="4"/>
      <c r="H13393" s="4" t="s">
        <v>3988</v>
      </c>
      <c r="I13393" s="4" t="s">
        <v>3983</v>
      </c>
      <c r="J13393" s="4" t="s">
        <v>3986</v>
      </c>
      <c r="K13393" s="4" t="s">
        <v>3987</v>
      </c>
      <c r="L13393" s="4" t="s">
        <v>3983</v>
      </c>
      <c r="M13393" s="4" t="s">
        <v>3988</v>
      </c>
      <c r="N13393" s="4" t="s">
        <v>3983</v>
      </c>
      <c r="O13393" s="4" t="s">
        <v>3983</v>
      </c>
    </row>
    <row r="13394">
      <c r="A13394" s="4">
        <v>802.0</v>
      </c>
      <c r="B13394" s="4" t="s">
        <v>22112</v>
      </c>
      <c r="C13394" s="4"/>
      <c r="D13394" s="4" t="s">
        <v>3990</v>
      </c>
      <c r="E13394" s="4" t="s">
        <v>4001</v>
      </c>
      <c r="F13394" s="4" t="s">
        <v>3990</v>
      </c>
      <c r="G13394" s="4"/>
      <c r="H13394" s="4" t="s">
        <v>3993</v>
      </c>
      <c r="I13394" s="4" t="s">
        <v>3994</v>
      </c>
      <c r="J13394" s="4" t="s">
        <v>3995</v>
      </c>
      <c r="K13394" s="4" t="s">
        <v>3996</v>
      </c>
      <c r="L13394" s="4" t="s">
        <v>3997</v>
      </c>
      <c r="M13394" s="4" t="s">
        <v>3998</v>
      </c>
      <c r="N13394" s="4" t="s">
        <v>3999</v>
      </c>
      <c r="O13394" s="4" t="s">
        <v>4000</v>
      </c>
      <c r="P13394" s="4" t="s">
        <v>1911</v>
      </c>
      <c r="Q13394" s="4" t="s">
        <v>883</v>
      </c>
      <c r="R13394" s="4" t="s">
        <v>3997</v>
      </c>
      <c r="S13394" s="4" t="s">
        <v>3996</v>
      </c>
      <c r="T13394" s="4" t="s">
        <v>21809</v>
      </c>
    </row>
    <row r="13395">
      <c r="A13395" s="4">
        <v>803.0</v>
      </c>
      <c r="B13395" s="4" t="s">
        <v>22112</v>
      </c>
      <c r="C13395" s="4"/>
      <c r="D13395" s="4" t="s">
        <v>21810</v>
      </c>
      <c r="E13395" s="4" t="s">
        <v>13669</v>
      </c>
      <c r="F13395" s="4" t="s">
        <v>13670</v>
      </c>
      <c r="G13395" s="4"/>
      <c r="H13395" s="4" t="s">
        <v>13671</v>
      </c>
      <c r="I13395" s="4" t="s">
        <v>13672</v>
      </c>
      <c r="J13395" s="4" t="s">
        <v>13673</v>
      </c>
    </row>
    <row r="13396">
      <c r="A13396" s="4">
        <v>804.0</v>
      </c>
      <c r="B13396" s="4" t="s">
        <v>22112</v>
      </c>
      <c r="C13396" s="4"/>
      <c r="D13396" s="4" t="s">
        <v>404</v>
      </c>
      <c r="E13396" s="4" t="s">
        <v>403</v>
      </c>
      <c r="F13396" s="4" t="s">
        <v>404</v>
      </c>
    </row>
    <row r="13397">
      <c r="A13397" s="4">
        <v>805.0</v>
      </c>
      <c r="B13397" s="4" t="s">
        <v>22112</v>
      </c>
      <c r="C13397" s="4"/>
      <c r="D13397" s="4" t="s">
        <v>21811</v>
      </c>
      <c r="E13397" s="4" t="s">
        <v>21812</v>
      </c>
      <c r="F13397" s="4" t="s">
        <v>21811</v>
      </c>
      <c r="G13397" s="4"/>
      <c r="H13397" s="4" t="s">
        <v>21811</v>
      </c>
    </row>
    <row r="13398">
      <c r="A13398" s="4">
        <v>806.0</v>
      </c>
      <c r="B13398" s="4" t="s">
        <v>22112</v>
      </c>
      <c r="C13398" s="4"/>
      <c r="D13398" s="4" t="s">
        <v>7626</v>
      </c>
      <c r="E13398" s="4" t="s">
        <v>12179</v>
      </c>
      <c r="F13398" s="4" t="s">
        <v>7626</v>
      </c>
    </row>
    <row r="13399">
      <c r="A13399" s="4">
        <v>807.0</v>
      </c>
      <c r="B13399" s="4" t="s">
        <v>22112</v>
      </c>
      <c r="C13399" s="4"/>
      <c r="D13399" s="4" t="s">
        <v>21813</v>
      </c>
      <c r="E13399" s="4" t="s">
        <v>21814</v>
      </c>
      <c r="F13399" s="4" t="s">
        <v>21813</v>
      </c>
    </row>
    <row r="13400">
      <c r="A13400" s="4">
        <v>808.0</v>
      </c>
      <c r="B13400" s="4" t="s">
        <v>22112</v>
      </c>
      <c r="C13400" s="4"/>
      <c r="D13400" s="4" t="s">
        <v>21815</v>
      </c>
      <c r="E13400" s="4" t="s">
        <v>21816</v>
      </c>
      <c r="F13400" s="4" t="s">
        <v>21815</v>
      </c>
    </row>
    <row r="13401">
      <c r="A13401" s="4">
        <v>809.0</v>
      </c>
      <c r="B13401" s="4" t="s">
        <v>22112</v>
      </c>
      <c r="C13401" s="4"/>
      <c r="D13401" s="4" t="s">
        <v>16283</v>
      </c>
      <c r="E13401" s="4" t="s">
        <v>16284</v>
      </c>
      <c r="F13401" s="4" t="s">
        <v>16283</v>
      </c>
    </row>
    <row r="13402">
      <c r="A13402" s="4">
        <v>810.0</v>
      </c>
      <c r="B13402" s="4" t="s">
        <v>22112</v>
      </c>
      <c r="C13402" s="4"/>
      <c r="D13402" s="4" t="s">
        <v>21817</v>
      </c>
      <c r="E13402" s="4" t="s">
        <v>21818</v>
      </c>
      <c r="F13402" s="4" t="s">
        <v>21817</v>
      </c>
    </row>
    <row r="13403">
      <c r="A13403" s="4">
        <v>811.0</v>
      </c>
      <c r="B13403" s="4" t="s">
        <v>22112</v>
      </c>
      <c r="C13403" s="4"/>
      <c r="D13403" s="4" t="s">
        <v>8717</v>
      </c>
      <c r="E13403" s="4" t="s">
        <v>8716</v>
      </c>
      <c r="F13403" s="4" t="s">
        <v>8717</v>
      </c>
    </row>
    <row r="13404">
      <c r="A13404" s="4">
        <v>812.0</v>
      </c>
      <c r="B13404" s="4" t="s">
        <v>22112</v>
      </c>
      <c r="C13404" s="4"/>
      <c r="D13404" s="4" t="s">
        <v>4118</v>
      </c>
      <c r="E13404" s="4" t="s">
        <v>4119</v>
      </c>
      <c r="F13404" s="4" t="s">
        <v>4118</v>
      </c>
      <c r="G13404" s="4"/>
      <c r="H13404" s="4" t="s">
        <v>4120</v>
      </c>
      <c r="I13404" s="4" t="s">
        <v>4121</v>
      </c>
      <c r="J13404" s="4" t="s">
        <v>4122</v>
      </c>
      <c r="K13404" s="4" t="s">
        <v>4123</v>
      </c>
      <c r="L13404" s="4" t="s">
        <v>4125</v>
      </c>
      <c r="M13404" s="4" t="s">
        <v>4553</v>
      </c>
      <c r="N13404" s="4" t="s">
        <v>4554</v>
      </c>
      <c r="O13404" s="4" t="s">
        <v>4123</v>
      </c>
      <c r="P13404" s="4" t="s">
        <v>4124</v>
      </c>
      <c r="Q13404" s="4" t="s">
        <v>4125</v>
      </c>
      <c r="R13404" s="4" t="s">
        <v>4123</v>
      </c>
      <c r="S13404" s="4" t="s">
        <v>4120</v>
      </c>
      <c r="T13404" s="4" t="s">
        <v>4126</v>
      </c>
      <c r="U13404" s="4" t="s">
        <v>4123</v>
      </c>
      <c r="V13404" s="4" t="s">
        <v>4127</v>
      </c>
      <c r="W13404" s="4" t="s">
        <v>4124</v>
      </c>
      <c r="X13404" s="4" t="s">
        <v>4128</v>
      </c>
    </row>
    <row r="13405">
      <c r="A13405" s="4">
        <v>813.0</v>
      </c>
      <c r="B13405" s="4" t="s">
        <v>22112</v>
      </c>
      <c r="C13405" s="4"/>
      <c r="D13405" s="4" t="s">
        <v>21819</v>
      </c>
      <c r="E13405" s="4" t="s">
        <v>21820</v>
      </c>
      <c r="F13405" s="4" t="s">
        <v>21819</v>
      </c>
    </row>
    <row r="13406">
      <c r="A13406" s="4">
        <v>814.0</v>
      </c>
      <c r="B13406" s="4" t="s">
        <v>22112</v>
      </c>
      <c r="C13406" s="4"/>
      <c r="D13406" s="4" t="s">
        <v>21821</v>
      </c>
      <c r="E13406" s="4" t="s">
        <v>21822</v>
      </c>
      <c r="F13406" s="4" t="s">
        <v>21821</v>
      </c>
    </row>
    <row r="13407">
      <c r="A13407" s="4">
        <v>815.0</v>
      </c>
      <c r="B13407" s="4" t="s">
        <v>22112</v>
      </c>
      <c r="C13407" s="4"/>
      <c r="D13407" s="4" t="s">
        <v>21823</v>
      </c>
      <c r="E13407" s="4" t="s">
        <v>21824</v>
      </c>
      <c r="F13407" s="4" t="s">
        <v>21823</v>
      </c>
    </row>
    <row r="13408">
      <c r="A13408" s="4">
        <v>816.0</v>
      </c>
      <c r="B13408" s="4" t="s">
        <v>22112</v>
      </c>
      <c r="C13408" s="4"/>
      <c r="D13408" s="4" t="s">
        <v>21825</v>
      </c>
      <c r="E13408" s="4" t="s">
        <v>7656</v>
      </c>
      <c r="F13408" s="4" t="s">
        <v>7650</v>
      </c>
    </row>
    <row r="13409">
      <c r="A13409" s="4">
        <v>817.0</v>
      </c>
      <c r="B13409" s="4" t="s">
        <v>22112</v>
      </c>
      <c r="C13409" s="4"/>
      <c r="D13409" s="4" t="s">
        <v>4152</v>
      </c>
      <c r="E13409" s="4" t="s">
        <v>4153</v>
      </c>
      <c r="F13409" s="4" t="s">
        <v>4152</v>
      </c>
    </row>
    <row r="13410">
      <c r="A13410" s="4">
        <v>818.0</v>
      </c>
      <c r="B13410" s="4" t="s">
        <v>22112</v>
      </c>
      <c r="C13410" s="4"/>
      <c r="D13410" s="4" t="s">
        <v>21826</v>
      </c>
      <c r="E13410" s="4" t="s">
        <v>21827</v>
      </c>
      <c r="F13410" s="4" t="s">
        <v>21826</v>
      </c>
      <c r="G13410" s="4"/>
      <c r="H13410" s="4" t="s">
        <v>21828</v>
      </c>
      <c r="I13410" s="4" t="s">
        <v>21829</v>
      </c>
      <c r="J13410" s="4" t="s">
        <v>21830</v>
      </c>
      <c r="K13410" s="4" t="s">
        <v>21831</v>
      </c>
      <c r="L13410" s="4" t="s">
        <v>3632</v>
      </c>
      <c r="M13410" s="4" t="s">
        <v>21832</v>
      </c>
      <c r="N13410" s="4" t="s">
        <v>20604</v>
      </c>
    </row>
    <row r="13411">
      <c r="A13411" s="4">
        <v>819.0</v>
      </c>
      <c r="B13411" s="4" t="s">
        <v>22112</v>
      </c>
      <c r="C13411" s="4"/>
      <c r="D13411" s="4" t="s">
        <v>21833</v>
      </c>
      <c r="E13411" s="4" t="s">
        <v>21834</v>
      </c>
      <c r="F13411" s="4" t="s">
        <v>21833</v>
      </c>
      <c r="G13411" s="4"/>
      <c r="H13411" s="4" t="s">
        <v>21835</v>
      </c>
      <c r="I13411" s="4" t="s">
        <v>20165</v>
      </c>
      <c r="J13411" s="4" t="s">
        <v>21836</v>
      </c>
      <c r="K13411" s="4" t="s">
        <v>21837</v>
      </c>
      <c r="L13411" s="4" t="s">
        <v>21838</v>
      </c>
    </row>
    <row r="13412">
      <c r="A13412" s="4">
        <v>820.0</v>
      </c>
      <c r="B13412" s="4" t="s">
        <v>22112</v>
      </c>
      <c r="C13412" s="4"/>
      <c r="D13412" s="4" t="s">
        <v>21839</v>
      </c>
      <c r="E13412" s="4" t="s">
        <v>21840</v>
      </c>
      <c r="F13412" s="4" t="s">
        <v>21839</v>
      </c>
    </row>
    <row r="13413">
      <c r="A13413" s="4">
        <v>821.0</v>
      </c>
      <c r="B13413" s="4" t="s">
        <v>22112</v>
      </c>
      <c r="C13413" s="4"/>
      <c r="D13413" s="4" t="s">
        <v>4172</v>
      </c>
      <c r="E13413" s="4" t="s">
        <v>4173</v>
      </c>
      <c r="F13413" s="4" t="s">
        <v>4172</v>
      </c>
      <c r="G13413" s="4"/>
      <c r="H13413" s="4" t="s">
        <v>5560</v>
      </c>
      <c r="I13413" s="4" t="s">
        <v>5561</v>
      </c>
      <c r="J13413" s="4" t="s">
        <v>5562</v>
      </c>
      <c r="K13413" s="4" t="s">
        <v>5563</v>
      </c>
      <c r="L13413" s="4" t="s">
        <v>5564</v>
      </c>
    </row>
    <row r="13414">
      <c r="A13414" s="4">
        <v>822.0</v>
      </c>
      <c r="B13414" s="4" t="s">
        <v>22112</v>
      </c>
      <c r="C13414" s="4"/>
      <c r="D13414" s="4" t="s">
        <v>11292</v>
      </c>
      <c r="E13414" s="4" t="s">
        <v>11293</v>
      </c>
      <c r="F13414" s="4" t="s">
        <v>11292</v>
      </c>
      <c r="G13414" s="4"/>
      <c r="H13414" s="4" t="s">
        <v>21841</v>
      </c>
      <c r="I13414" s="4" t="s">
        <v>21842</v>
      </c>
      <c r="J13414" s="4" t="s">
        <v>5083</v>
      </c>
      <c r="K13414" s="4" t="s">
        <v>5084</v>
      </c>
      <c r="L13414" s="4" t="s">
        <v>5085</v>
      </c>
      <c r="M13414" s="4" t="s">
        <v>5086</v>
      </c>
      <c r="N13414" s="4" t="s">
        <v>5087</v>
      </c>
    </row>
    <row r="13415">
      <c r="A13415" s="4">
        <v>823.0</v>
      </c>
      <c r="B13415" s="4" t="s">
        <v>22112</v>
      </c>
      <c r="C13415" s="4"/>
      <c r="D13415" s="4" t="s">
        <v>21843</v>
      </c>
      <c r="E13415" s="4" t="s">
        <v>21844</v>
      </c>
      <c r="F13415" s="4" t="s">
        <v>21843</v>
      </c>
    </row>
    <row r="13416">
      <c r="A13416" s="4">
        <v>824.0</v>
      </c>
      <c r="B13416" s="4" t="s">
        <v>22112</v>
      </c>
      <c r="C13416" s="4"/>
      <c r="D13416" s="4" t="s">
        <v>7657</v>
      </c>
      <c r="E13416" s="4" t="s">
        <v>8795</v>
      </c>
      <c r="F13416" s="4" t="s">
        <v>7657</v>
      </c>
    </row>
    <row r="13417">
      <c r="A13417" s="4">
        <v>825.0</v>
      </c>
      <c r="B13417" s="4" t="s">
        <v>22112</v>
      </c>
      <c r="C13417" s="4"/>
      <c r="D13417" s="4" t="s">
        <v>14557</v>
      </c>
      <c r="E13417" s="4" t="s">
        <v>14558</v>
      </c>
      <c r="F13417" s="4" t="s">
        <v>14557</v>
      </c>
      <c r="G13417" s="4"/>
      <c r="H13417" s="4" t="s">
        <v>21845</v>
      </c>
      <c r="I13417" s="4" t="s">
        <v>21846</v>
      </c>
      <c r="J13417" s="4" t="s">
        <v>21847</v>
      </c>
      <c r="K13417" s="4" t="s">
        <v>21848</v>
      </c>
      <c r="L13417" s="4" t="s">
        <v>21847</v>
      </c>
      <c r="M13417" s="4" t="s">
        <v>21847</v>
      </c>
      <c r="N13417" s="4" t="s">
        <v>16450</v>
      </c>
    </row>
    <row r="13418">
      <c r="A13418" s="4">
        <v>826.0</v>
      </c>
      <c r="B13418" s="4" t="s">
        <v>22112</v>
      </c>
      <c r="C13418" s="4"/>
      <c r="D13418" s="4" t="s">
        <v>4186</v>
      </c>
      <c r="E13418" s="4" t="s">
        <v>4187</v>
      </c>
      <c r="F13418" s="4" t="s">
        <v>4186</v>
      </c>
    </row>
    <row r="13419">
      <c r="A13419" s="4">
        <v>827.0</v>
      </c>
      <c r="B13419" s="4" t="s">
        <v>22112</v>
      </c>
      <c r="C13419" s="4"/>
      <c r="D13419" s="4" t="s">
        <v>21849</v>
      </c>
      <c r="E13419" s="4" t="s">
        <v>21850</v>
      </c>
      <c r="F13419" s="4" t="s">
        <v>21849</v>
      </c>
    </row>
    <row r="13420">
      <c r="A13420" s="4">
        <v>828.0</v>
      </c>
      <c r="B13420" s="4" t="s">
        <v>22112</v>
      </c>
      <c r="C13420" s="4"/>
      <c r="D13420" s="4" t="s">
        <v>4192</v>
      </c>
      <c r="E13420" s="4" t="s">
        <v>4193</v>
      </c>
      <c r="F13420" s="4" t="s">
        <v>4192</v>
      </c>
      <c r="G13420" s="4"/>
      <c r="H13420" s="4" t="s">
        <v>4189</v>
      </c>
    </row>
    <row r="13421">
      <c r="A13421" s="4">
        <v>829.0</v>
      </c>
      <c r="B13421" s="4" t="s">
        <v>22112</v>
      </c>
      <c r="C13421" s="4"/>
      <c r="D13421" s="4" t="s">
        <v>21851</v>
      </c>
      <c r="E13421" s="4" t="s">
        <v>21852</v>
      </c>
      <c r="F13421" s="4" t="s">
        <v>21851</v>
      </c>
    </row>
    <row r="13422">
      <c r="A13422" s="4">
        <v>830.0</v>
      </c>
      <c r="B13422" s="4" t="s">
        <v>22112</v>
      </c>
      <c r="C13422" s="4"/>
      <c r="D13422" s="4" t="s">
        <v>4214</v>
      </c>
      <c r="E13422" s="4" t="s">
        <v>400</v>
      </c>
      <c r="F13422" s="4" t="s">
        <v>401</v>
      </c>
    </row>
    <row r="13423">
      <c r="A13423" s="4">
        <v>831.0</v>
      </c>
      <c r="B13423" s="4" t="s">
        <v>22112</v>
      </c>
      <c r="C13423" s="4"/>
      <c r="D13423" s="4" t="s">
        <v>21853</v>
      </c>
      <c r="E13423" s="4" t="s">
        <v>12179</v>
      </c>
      <c r="F13423" s="4" t="s">
        <v>7626</v>
      </c>
    </row>
    <row r="13424">
      <c r="A13424" s="4">
        <v>832.0</v>
      </c>
      <c r="B13424" s="4" t="s">
        <v>22112</v>
      </c>
      <c r="C13424" s="4"/>
      <c r="D13424" s="4" t="s">
        <v>4238</v>
      </c>
      <c r="E13424" s="4" t="s">
        <v>4239</v>
      </c>
      <c r="F13424" s="4" t="s">
        <v>4240</v>
      </c>
    </row>
    <row r="13425">
      <c r="A13425" s="4">
        <v>833.0</v>
      </c>
      <c r="B13425" s="4" t="s">
        <v>22112</v>
      </c>
      <c r="C13425" s="4"/>
      <c r="D13425" s="4" t="s">
        <v>21854</v>
      </c>
      <c r="E13425" s="4" t="s">
        <v>21855</v>
      </c>
      <c r="F13425" s="4" t="s">
        <v>21856</v>
      </c>
    </row>
    <row r="13426">
      <c r="A13426" s="4">
        <v>834.0</v>
      </c>
      <c r="B13426" s="4" t="s">
        <v>22112</v>
      </c>
      <c r="C13426" s="4"/>
      <c r="D13426" s="4" t="s">
        <v>21857</v>
      </c>
      <c r="E13426" s="4" t="s">
        <v>21858</v>
      </c>
      <c r="F13426" s="4" t="s">
        <v>4240</v>
      </c>
      <c r="G13426" s="4"/>
      <c r="H13426" s="4" t="s">
        <v>3492</v>
      </c>
      <c r="I13426" s="4" t="s">
        <v>4288</v>
      </c>
      <c r="J13426" s="4" t="s">
        <v>3491</v>
      </c>
    </row>
    <row r="13427">
      <c r="A13427" s="4">
        <v>835.0</v>
      </c>
      <c r="B13427" s="4" t="s">
        <v>22112</v>
      </c>
      <c r="C13427" s="4"/>
      <c r="D13427" s="4" t="s">
        <v>21859</v>
      </c>
      <c r="E13427" s="4" t="s">
        <v>21860</v>
      </c>
      <c r="F13427" s="4" t="s">
        <v>21861</v>
      </c>
    </row>
    <row r="13428">
      <c r="A13428" s="4">
        <v>836.0</v>
      </c>
      <c r="B13428" s="4" t="s">
        <v>22112</v>
      </c>
      <c r="C13428" s="4"/>
      <c r="D13428" s="4" t="s">
        <v>21862</v>
      </c>
      <c r="E13428" s="4" t="s">
        <v>21863</v>
      </c>
      <c r="F13428" s="4" t="s">
        <v>13763</v>
      </c>
    </row>
    <row r="13429">
      <c r="A13429" s="4">
        <v>837.0</v>
      </c>
      <c r="B13429" s="4" t="s">
        <v>22112</v>
      </c>
      <c r="C13429" s="4"/>
      <c r="D13429" s="4" t="s">
        <v>4251</v>
      </c>
      <c r="E13429" s="4" t="s">
        <v>4252</v>
      </c>
      <c r="F13429" s="4" t="s">
        <v>4251</v>
      </c>
    </row>
    <row r="13430">
      <c r="A13430" s="4">
        <v>838.0</v>
      </c>
      <c r="B13430" s="4" t="s">
        <v>22112</v>
      </c>
      <c r="C13430" s="4"/>
      <c r="D13430" s="4" t="s">
        <v>4254</v>
      </c>
      <c r="E13430" s="4" t="s">
        <v>4255</v>
      </c>
      <c r="F13430" s="4" t="s">
        <v>4254</v>
      </c>
    </row>
    <row r="13431">
      <c r="A13431" s="4">
        <v>839.0</v>
      </c>
      <c r="B13431" s="4" t="s">
        <v>22112</v>
      </c>
      <c r="C13431" s="4"/>
      <c r="D13431" s="4" t="s">
        <v>21864</v>
      </c>
      <c r="E13431" s="4" t="s">
        <v>21865</v>
      </c>
      <c r="F13431" s="4" t="s">
        <v>21866</v>
      </c>
    </row>
    <row r="13432">
      <c r="A13432" s="4">
        <v>840.0</v>
      </c>
      <c r="B13432" s="4" t="s">
        <v>22112</v>
      </c>
      <c r="C13432" s="4"/>
      <c r="D13432" s="4" t="s">
        <v>4264</v>
      </c>
      <c r="E13432" s="4" t="s">
        <v>4265</v>
      </c>
      <c r="F13432" s="4" t="s">
        <v>4264</v>
      </c>
      <c r="G13432" s="4"/>
      <c r="H13432" s="4" t="s">
        <v>21867</v>
      </c>
    </row>
    <row r="13433">
      <c r="A13433" s="4">
        <v>841.0</v>
      </c>
      <c r="B13433" s="4" t="s">
        <v>22112</v>
      </c>
      <c r="C13433" s="4"/>
      <c r="D13433" s="4" t="s">
        <v>11338</v>
      </c>
      <c r="E13433" s="4" t="s">
        <v>16394</v>
      </c>
      <c r="F13433" s="4" t="s">
        <v>11338</v>
      </c>
    </row>
    <row r="13434">
      <c r="A13434" s="4">
        <v>842.0</v>
      </c>
      <c r="B13434" s="4" t="s">
        <v>22112</v>
      </c>
      <c r="C13434" s="4"/>
      <c r="D13434" s="4" t="s">
        <v>21868</v>
      </c>
      <c r="E13434" s="4" t="s">
        <v>21869</v>
      </c>
      <c r="F13434" s="4" t="s">
        <v>21870</v>
      </c>
    </row>
    <row r="13435">
      <c r="A13435" s="4">
        <v>843.0</v>
      </c>
      <c r="B13435" s="4" t="s">
        <v>22112</v>
      </c>
      <c r="C13435" s="4"/>
      <c r="D13435" s="4" t="s">
        <v>21871</v>
      </c>
      <c r="E13435" s="4" t="s">
        <v>21872</v>
      </c>
      <c r="F13435" s="4" t="s">
        <v>21873</v>
      </c>
    </row>
    <row r="13436">
      <c r="A13436" s="4">
        <v>844.0</v>
      </c>
      <c r="B13436" s="4" t="s">
        <v>22112</v>
      </c>
      <c r="C13436" s="4"/>
      <c r="D13436" s="4" t="s">
        <v>21874</v>
      </c>
      <c r="E13436" s="4" t="s">
        <v>21875</v>
      </c>
      <c r="F13436" s="4" t="s">
        <v>21874</v>
      </c>
    </row>
    <row r="13437">
      <c r="A13437" s="4">
        <v>845.0</v>
      </c>
      <c r="B13437" s="4" t="s">
        <v>22112</v>
      </c>
      <c r="C13437" s="4"/>
      <c r="D13437" s="4" t="s">
        <v>7729</v>
      </c>
      <c r="E13437" s="4" t="s">
        <v>21876</v>
      </c>
      <c r="F13437" s="4" t="s">
        <v>7729</v>
      </c>
    </row>
    <row r="13438">
      <c r="A13438" s="4">
        <v>846.0</v>
      </c>
      <c r="B13438" s="4" t="s">
        <v>22112</v>
      </c>
      <c r="C13438" s="4"/>
      <c r="D13438" s="4" t="s">
        <v>4310</v>
      </c>
      <c r="E13438" s="4" t="s">
        <v>4311</v>
      </c>
      <c r="F13438" s="4" t="s">
        <v>4310</v>
      </c>
      <c r="G13438" s="4"/>
      <c r="H13438" s="4" t="s">
        <v>8791</v>
      </c>
    </row>
    <row r="13439">
      <c r="A13439" s="4">
        <v>847.0</v>
      </c>
      <c r="B13439" s="4" t="s">
        <v>22112</v>
      </c>
      <c r="C13439" s="4"/>
      <c r="D13439" s="4" t="s">
        <v>21877</v>
      </c>
      <c r="E13439" s="4" t="s">
        <v>21878</v>
      </c>
      <c r="F13439" s="4" t="s">
        <v>7746</v>
      </c>
    </row>
    <row r="13440">
      <c r="A13440" s="4">
        <v>848.0</v>
      </c>
      <c r="B13440" s="4" t="s">
        <v>22112</v>
      </c>
      <c r="C13440" s="4"/>
      <c r="D13440" s="4" t="s">
        <v>4330</v>
      </c>
      <c r="E13440" s="4" t="s">
        <v>4331</v>
      </c>
      <c r="F13440" s="4" t="s">
        <v>4330</v>
      </c>
    </row>
    <row r="13441">
      <c r="A13441" s="4">
        <v>849.0</v>
      </c>
      <c r="B13441" s="4" t="s">
        <v>22112</v>
      </c>
      <c r="C13441" s="4"/>
      <c r="D13441" s="4" t="s">
        <v>4339</v>
      </c>
      <c r="E13441" s="4" t="s">
        <v>4340</v>
      </c>
      <c r="F13441" s="4" t="s">
        <v>4339</v>
      </c>
      <c r="G13441" s="4"/>
      <c r="H13441" s="4" t="s">
        <v>21879</v>
      </c>
      <c r="I13441" s="4" t="s">
        <v>21880</v>
      </c>
      <c r="J13441" s="4" t="s">
        <v>4323</v>
      </c>
      <c r="K13441" s="4" t="s">
        <v>4341</v>
      </c>
      <c r="L13441" s="4" t="s">
        <v>4342</v>
      </c>
      <c r="M13441" s="4" t="s">
        <v>9932</v>
      </c>
      <c r="N13441" s="4" t="s">
        <v>21881</v>
      </c>
      <c r="O13441" s="4" t="s">
        <v>21882</v>
      </c>
      <c r="P13441" s="4" t="s">
        <v>326</v>
      </c>
      <c r="Q13441" s="4" t="s">
        <v>4343</v>
      </c>
      <c r="R13441" s="4" t="s">
        <v>4344</v>
      </c>
      <c r="S13441" s="4" t="s">
        <v>4343</v>
      </c>
      <c r="T13441" s="4" t="s">
        <v>4345</v>
      </c>
      <c r="U13441" s="4" t="s">
        <v>4344</v>
      </c>
      <c r="V13441" s="4" t="s">
        <v>4346</v>
      </c>
      <c r="W13441" s="4" t="s">
        <v>2073</v>
      </c>
      <c r="X13441" s="4" t="s">
        <v>21883</v>
      </c>
      <c r="Y13441" s="4" t="s">
        <v>21884</v>
      </c>
      <c r="Z13441" s="4" t="s">
        <v>21885</v>
      </c>
      <c r="AA13441" s="4" t="s">
        <v>6320</v>
      </c>
    </row>
    <row r="13442">
      <c r="A13442" s="4">
        <v>850.0</v>
      </c>
      <c r="B13442" s="4" t="s">
        <v>22112</v>
      </c>
      <c r="C13442" s="4"/>
      <c r="D13442" s="4" t="s">
        <v>7766</v>
      </c>
      <c r="E13442" s="4" t="s">
        <v>15521</v>
      </c>
      <c r="F13442" s="4" t="s">
        <v>7766</v>
      </c>
    </row>
    <row r="13443">
      <c r="A13443" s="4">
        <v>851.0</v>
      </c>
      <c r="B13443" s="4" t="s">
        <v>22112</v>
      </c>
      <c r="C13443" s="4"/>
      <c r="D13443" s="4" t="s">
        <v>21886</v>
      </c>
      <c r="E13443" s="4" t="s">
        <v>21887</v>
      </c>
      <c r="F13443" s="4" t="s">
        <v>21886</v>
      </c>
    </row>
    <row r="13444">
      <c r="A13444" s="4">
        <v>852.0</v>
      </c>
      <c r="B13444" s="4" t="s">
        <v>22112</v>
      </c>
      <c r="C13444" s="4"/>
      <c r="D13444" s="4" t="s">
        <v>4361</v>
      </c>
      <c r="E13444" s="4" t="s">
        <v>4362</v>
      </c>
      <c r="F13444" s="4" t="s">
        <v>4361</v>
      </c>
      <c r="G13444" s="4"/>
      <c r="H13444" s="4" t="s">
        <v>2869</v>
      </c>
      <c r="I13444" s="4" t="s">
        <v>2870</v>
      </c>
      <c r="J13444" s="4" t="s">
        <v>2293</v>
      </c>
      <c r="K13444" s="4" t="s">
        <v>21888</v>
      </c>
    </row>
    <row r="13445">
      <c r="A13445" s="4">
        <v>853.0</v>
      </c>
      <c r="B13445" s="4" t="s">
        <v>22112</v>
      </c>
      <c r="C13445" s="4"/>
      <c r="D13445" s="4" t="s">
        <v>21889</v>
      </c>
      <c r="E13445" s="4" t="s">
        <v>21890</v>
      </c>
      <c r="F13445" s="4" t="s">
        <v>21889</v>
      </c>
    </row>
    <row r="13446">
      <c r="A13446" s="4">
        <v>854.0</v>
      </c>
      <c r="B13446" s="4" t="s">
        <v>22112</v>
      </c>
      <c r="C13446" s="4"/>
      <c r="D13446" s="4" t="s">
        <v>21891</v>
      </c>
      <c r="E13446" s="4" t="s">
        <v>21892</v>
      </c>
      <c r="F13446" s="4" t="s">
        <v>21891</v>
      </c>
    </row>
    <row r="13447">
      <c r="A13447" s="4">
        <v>855.0</v>
      </c>
      <c r="B13447" s="4" t="s">
        <v>22112</v>
      </c>
      <c r="C13447" s="4"/>
      <c r="D13447" s="4" t="s">
        <v>21893</v>
      </c>
      <c r="E13447" s="4" t="s">
        <v>21894</v>
      </c>
      <c r="F13447" s="4" t="s">
        <v>21893</v>
      </c>
    </row>
    <row r="13448">
      <c r="A13448" s="4">
        <v>856.0</v>
      </c>
      <c r="B13448" s="4" t="s">
        <v>22112</v>
      </c>
      <c r="C13448" s="4"/>
      <c r="D13448" s="4" t="s">
        <v>4365</v>
      </c>
      <c r="E13448" s="4" t="s">
        <v>4366</v>
      </c>
      <c r="F13448" s="4" t="s">
        <v>4365</v>
      </c>
      <c r="G13448" s="4"/>
      <c r="H13448" s="4" t="s">
        <v>21895</v>
      </c>
      <c r="I13448" s="4" t="s">
        <v>21896</v>
      </c>
      <c r="J13448" s="4" t="s">
        <v>14755</v>
      </c>
      <c r="K13448" s="4" t="s">
        <v>4374</v>
      </c>
    </row>
    <row r="13449">
      <c r="A13449" s="4">
        <v>857.0</v>
      </c>
      <c r="B13449" s="4" t="s">
        <v>22112</v>
      </c>
      <c r="C13449" s="4"/>
      <c r="D13449" s="4" t="s">
        <v>4377</v>
      </c>
      <c r="E13449" s="4" t="s">
        <v>4376</v>
      </c>
      <c r="F13449" s="4" t="s">
        <v>4377</v>
      </c>
      <c r="G13449" s="4"/>
      <c r="H13449" s="4" t="s">
        <v>21897</v>
      </c>
      <c r="I13449" s="4" t="s">
        <v>21898</v>
      </c>
      <c r="J13449" s="4" t="s">
        <v>21899</v>
      </c>
      <c r="K13449" s="4" t="s">
        <v>21900</v>
      </c>
      <c r="L13449" s="4" t="s">
        <v>15338</v>
      </c>
      <c r="M13449" s="4" t="s">
        <v>21901</v>
      </c>
      <c r="N13449" s="4" t="s">
        <v>1707</v>
      </c>
      <c r="O13449" s="4" t="s">
        <v>1708</v>
      </c>
      <c r="P13449" s="4" t="s">
        <v>1709</v>
      </c>
    </row>
    <row r="13450">
      <c r="A13450" s="4">
        <v>858.0</v>
      </c>
      <c r="B13450" s="4" t="s">
        <v>22112</v>
      </c>
      <c r="C13450" s="4"/>
      <c r="D13450" s="4" t="s">
        <v>21902</v>
      </c>
      <c r="E13450" s="4" t="s">
        <v>21903</v>
      </c>
      <c r="F13450" s="4" t="s">
        <v>21902</v>
      </c>
      <c r="G13450" s="4"/>
      <c r="H13450" s="4" t="s">
        <v>19840</v>
      </c>
      <c r="I13450" s="4" t="s">
        <v>3128</v>
      </c>
      <c r="J13450" s="4" t="s">
        <v>21904</v>
      </c>
      <c r="K13450" s="4" t="s">
        <v>21905</v>
      </c>
      <c r="L13450" s="4" t="s">
        <v>21906</v>
      </c>
      <c r="M13450" s="4" t="s">
        <v>21907</v>
      </c>
      <c r="N13450" s="4" t="s">
        <v>21908</v>
      </c>
    </row>
    <row r="13451">
      <c r="A13451" s="4">
        <v>859.0</v>
      </c>
      <c r="B13451" s="4" t="s">
        <v>22112</v>
      </c>
      <c r="C13451" s="4"/>
      <c r="D13451" s="4" t="s">
        <v>13820</v>
      </c>
      <c r="E13451" s="4" t="s">
        <v>13821</v>
      </c>
      <c r="F13451" s="4" t="s">
        <v>13820</v>
      </c>
      <c r="G13451" s="4"/>
      <c r="H13451" s="4" t="s">
        <v>1878</v>
      </c>
      <c r="I13451" s="4" t="s">
        <v>1879</v>
      </c>
      <c r="J13451" s="4" t="s">
        <v>1880</v>
      </c>
      <c r="K13451" s="4" t="s">
        <v>1881</v>
      </c>
      <c r="L13451" s="4" t="s">
        <v>1882</v>
      </c>
      <c r="N13451" s="4" t="s">
        <v>1883</v>
      </c>
    </row>
    <row r="13452">
      <c r="A13452" s="4">
        <v>860.0</v>
      </c>
      <c r="B13452" s="4" t="s">
        <v>22112</v>
      </c>
      <c r="C13452" s="4"/>
      <c r="D13452" s="4" t="s">
        <v>9179</v>
      </c>
      <c r="E13452" s="4" t="s">
        <v>9180</v>
      </c>
      <c r="F13452" s="4" t="s">
        <v>9179</v>
      </c>
    </row>
    <row r="13453">
      <c r="A13453" s="4">
        <v>861.0</v>
      </c>
      <c r="B13453" s="4" t="s">
        <v>22112</v>
      </c>
      <c r="C13453" s="4"/>
      <c r="D13453" s="4" t="s">
        <v>21909</v>
      </c>
      <c r="E13453" s="4" t="s">
        <v>4464</v>
      </c>
      <c r="F13453" s="4" t="s">
        <v>4463</v>
      </c>
    </row>
    <row r="13454">
      <c r="A13454" s="4">
        <v>862.0</v>
      </c>
      <c r="B13454" s="4" t="s">
        <v>22112</v>
      </c>
      <c r="C13454" s="4"/>
      <c r="D13454" s="4" t="s">
        <v>422</v>
      </c>
      <c r="E13454" s="4" t="s">
        <v>421</v>
      </c>
      <c r="F13454" s="4" t="s">
        <v>422</v>
      </c>
    </row>
    <row r="13455">
      <c r="A13455" s="4">
        <v>863.0</v>
      </c>
      <c r="B13455" s="4" t="s">
        <v>22112</v>
      </c>
      <c r="C13455" s="4"/>
      <c r="D13455" s="4" t="s">
        <v>4379</v>
      </c>
      <c r="E13455" s="4" t="s">
        <v>4380</v>
      </c>
      <c r="F13455" s="4" t="s">
        <v>438</v>
      </c>
    </row>
    <row r="13456">
      <c r="A13456" s="4">
        <v>864.0</v>
      </c>
      <c r="B13456" s="4" t="s">
        <v>22112</v>
      </c>
      <c r="C13456" s="4"/>
      <c r="D13456" s="4" t="s">
        <v>21910</v>
      </c>
      <c r="E13456" s="4" t="s">
        <v>21911</v>
      </c>
      <c r="F13456" s="4" t="s">
        <v>21912</v>
      </c>
    </row>
    <row r="13457">
      <c r="A13457" s="4">
        <v>865.0</v>
      </c>
      <c r="B13457" s="4" t="s">
        <v>22112</v>
      </c>
      <c r="C13457" s="4"/>
      <c r="D13457" s="4" t="s">
        <v>21913</v>
      </c>
      <c r="E13457" s="4" t="s">
        <v>21914</v>
      </c>
      <c r="F13457" s="4" t="s">
        <v>21913</v>
      </c>
      <c r="G13457" s="4"/>
      <c r="H13457" s="4" t="s">
        <v>3231</v>
      </c>
      <c r="I13457" s="4" t="s">
        <v>21915</v>
      </c>
      <c r="J13457" s="4" t="s">
        <v>21916</v>
      </c>
      <c r="K13457" s="4" t="s">
        <v>21917</v>
      </c>
      <c r="L13457" s="4" t="s">
        <v>21918</v>
      </c>
      <c r="M13457" s="4" t="s">
        <v>3230</v>
      </c>
      <c r="N13457" s="4" t="s">
        <v>7476</v>
      </c>
      <c r="O13457" s="4" t="s">
        <v>486</v>
      </c>
      <c r="P13457" s="4" t="s">
        <v>21919</v>
      </c>
      <c r="Q13457" s="4" t="s">
        <v>21920</v>
      </c>
      <c r="R13457" s="4" t="s">
        <v>8200</v>
      </c>
      <c r="S13457" s="4" t="s">
        <v>8201</v>
      </c>
      <c r="T13457" s="4" t="s">
        <v>8202</v>
      </c>
      <c r="U13457" s="4" t="s">
        <v>1977</v>
      </c>
      <c r="V13457" s="4" t="s">
        <v>6308</v>
      </c>
      <c r="W13457" s="4" t="s">
        <v>8203</v>
      </c>
      <c r="X13457" s="4" t="s">
        <v>8190</v>
      </c>
      <c r="Y13457" s="4" t="s">
        <v>8204</v>
      </c>
      <c r="Z13457" s="4" t="s">
        <v>8205</v>
      </c>
      <c r="AA13457" s="4" t="s">
        <v>8206</v>
      </c>
      <c r="AB13457" s="4" t="s">
        <v>8197</v>
      </c>
      <c r="AC13457" s="4" t="s">
        <v>8207</v>
      </c>
      <c r="AD13457" s="4" t="s">
        <v>8208</v>
      </c>
      <c r="AE13457" s="4" t="s">
        <v>8209</v>
      </c>
      <c r="AF13457" s="4" t="s">
        <v>8185</v>
      </c>
    </row>
    <row r="13458">
      <c r="A13458" s="4">
        <v>866.0</v>
      </c>
      <c r="B13458" s="4" t="s">
        <v>22112</v>
      </c>
      <c r="C13458" s="4"/>
      <c r="D13458" s="4" t="s">
        <v>21921</v>
      </c>
      <c r="E13458" s="4" t="s">
        <v>21922</v>
      </c>
      <c r="F13458" s="4" t="s">
        <v>21921</v>
      </c>
      <c r="G13458" s="4"/>
      <c r="H13458" s="4" t="s">
        <v>21923</v>
      </c>
      <c r="I13458" s="4" t="s">
        <v>21924</v>
      </c>
    </row>
    <row r="13459">
      <c r="A13459" s="4">
        <v>867.0</v>
      </c>
      <c r="B13459" s="4" t="s">
        <v>22112</v>
      </c>
      <c r="C13459" s="4"/>
      <c r="D13459" s="4" t="s">
        <v>21925</v>
      </c>
      <c r="E13459" s="4" t="s">
        <v>21926</v>
      </c>
      <c r="F13459" s="4" t="s">
        <v>21927</v>
      </c>
    </row>
    <row r="13460">
      <c r="A13460" s="4">
        <v>868.0</v>
      </c>
      <c r="B13460" s="4" t="s">
        <v>22112</v>
      </c>
      <c r="C13460" s="4"/>
      <c r="D13460" s="4" t="s">
        <v>425</v>
      </c>
      <c r="E13460" s="4" t="s">
        <v>424</v>
      </c>
      <c r="F13460" s="4" t="s">
        <v>425</v>
      </c>
    </row>
    <row r="13461">
      <c r="A13461" s="4">
        <v>869.0</v>
      </c>
      <c r="B13461" s="4" t="s">
        <v>22112</v>
      </c>
      <c r="C13461" s="4"/>
      <c r="D13461" s="4" t="s">
        <v>19862</v>
      </c>
      <c r="E13461" s="4" t="s">
        <v>19863</v>
      </c>
      <c r="F13461" s="4" t="s">
        <v>19862</v>
      </c>
    </row>
    <row r="13462">
      <c r="A13462" s="4">
        <v>870.0</v>
      </c>
      <c r="B13462" s="4" t="s">
        <v>22112</v>
      </c>
      <c r="C13462" s="4"/>
      <c r="D13462" s="4" t="s">
        <v>21928</v>
      </c>
      <c r="E13462" s="4" t="s">
        <v>21929</v>
      </c>
      <c r="F13462" s="4" t="s">
        <v>21928</v>
      </c>
    </row>
    <row r="13463">
      <c r="A13463" s="4">
        <v>871.0</v>
      </c>
      <c r="B13463" s="4" t="s">
        <v>22112</v>
      </c>
      <c r="C13463" s="4"/>
      <c r="D13463" s="4" t="s">
        <v>4418</v>
      </c>
      <c r="E13463" s="4" t="s">
        <v>4419</v>
      </c>
      <c r="F13463" s="4" t="s">
        <v>4418</v>
      </c>
      <c r="G13463" s="4"/>
      <c r="H13463" s="4" t="s">
        <v>897</v>
      </c>
      <c r="I13463" s="4" t="s">
        <v>10974</v>
      </c>
      <c r="J13463" s="4" t="s">
        <v>13234</v>
      </c>
    </row>
    <row r="13464">
      <c r="A13464" s="4">
        <v>872.0</v>
      </c>
      <c r="B13464" s="4" t="s">
        <v>22112</v>
      </c>
      <c r="C13464" s="4"/>
      <c r="D13464" s="4" t="s">
        <v>21930</v>
      </c>
      <c r="E13464" s="4" t="s">
        <v>21931</v>
      </c>
      <c r="F13464" s="4" t="s">
        <v>21930</v>
      </c>
    </row>
    <row r="13465">
      <c r="A13465" s="4">
        <v>873.0</v>
      </c>
      <c r="B13465" s="4" t="s">
        <v>22112</v>
      </c>
      <c r="C13465" s="4"/>
      <c r="D13465" s="4" t="s">
        <v>21932</v>
      </c>
      <c r="E13465" s="4" t="s">
        <v>21933</v>
      </c>
      <c r="F13465" s="4" t="s">
        <v>21934</v>
      </c>
      <c r="G13465" s="4"/>
      <c r="H13465" s="4" t="s">
        <v>21934</v>
      </c>
    </row>
    <row r="13466">
      <c r="A13466" s="4">
        <v>874.0</v>
      </c>
      <c r="B13466" s="4" t="s">
        <v>22112</v>
      </c>
      <c r="C13466" s="4"/>
      <c r="D13466" s="4" t="s">
        <v>21935</v>
      </c>
      <c r="E13466" s="4" t="s">
        <v>21936</v>
      </c>
      <c r="F13466" s="4" t="s">
        <v>21935</v>
      </c>
    </row>
    <row r="13467">
      <c r="A13467" s="4">
        <v>875.0</v>
      </c>
      <c r="B13467" s="4" t="s">
        <v>22112</v>
      </c>
      <c r="C13467" s="4"/>
      <c r="D13467" s="4" t="s">
        <v>21937</v>
      </c>
      <c r="E13467" s="4" t="s">
        <v>21938</v>
      </c>
      <c r="F13467" s="4" t="s">
        <v>21937</v>
      </c>
    </row>
    <row r="13468">
      <c r="A13468" s="4">
        <v>876.0</v>
      </c>
      <c r="B13468" s="4" t="s">
        <v>22112</v>
      </c>
      <c r="C13468" s="4"/>
      <c r="D13468" s="4" t="s">
        <v>4427</v>
      </c>
      <c r="E13468" s="4" t="s">
        <v>4450</v>
      </c>
      <c r="F13468" s="4" t="s">
        <v>4427</v>
      </c>
      <c r="G13468" s="4"/>
      <c r="H13468" s="4" t="s">
        <v>4433</v>
      </c>
      <c r="I13468" s="4" t="s">
        <v>7309</v>
      </c>
      <c r="J13468" s="4" t="s">
        <v>910</v>
      </c>
      <c r="K13468" s="4" t="s">
        <v>4430</v>
      </c>
      <c r="L13468" s="4" t="s">
        <v>21939</v>
      </c>
      <c r="M13468" s="4" t="s">
        <v>3414</v>
      </c>
      <c r="N13468" s="4" t="s">
        <v>21940</v>
      </c>
      <c r="O13468" s="4" t="s">
        <v>21941</v>
      </c>
      <c r="P13468" s="4" t="s">
        <v>21942</v>
      </c>
      <c r="Q13468" s="4" t="s">
        <v>4433</v>
      </c>
      <c r="R13468" s="4" t="s">
        <v>3414</v>
      </c>
      <c r="S13468" s="4" t="s">
        <v>4434</v>
      </c>
      <c r="T13468" s="4" t="s">
        <v>4435</v>
      </c>
      <c r="U13468" s="4" t="s">
        <v>4438</v>
      </c>
      <c r="V13468" s="4" t="s">
        <v>21943</v>
      </c>
      <c r="W13468" s="4" t="s">
        <v>4446</v>
      </c>
      <c r="X13468" s="4" t="s">
        <v>7114</v>
      </c>
      <c r="Y13468" s="4" t="s">
        <v>21944</v>
      </c>
      <c r="Z13468" s="4" t="s">
        <v>5158</v>
      </c>
      <c r="AA13468" s="4" t="s">
        <v>21945</v>
      </c>
      <c r="AB13468" s="4" t="s">
        <v>7521</v>
      </c>
      <c r="AC13468" s="4" t="s">
        <v>12253</v>
      </c>
      <c r="AD13468" s="4" t="s">
        <v>7522</v>
      </c>
      <c r="AE13468" s="4" t="s">
        <v>21946</v>
      </c>
      <c r="AF13468" s="4" t="s">
        <v>6872</v>
      </c>
      <c r="AG13468" s="4" t="s">
        <v>7550</v>
      </c>
      <c r="AH13468" s="4" t="s">
        <v>4447</v>
      </c>
      <c r="AI13468" s="4" t="s">
        <v>4430</v>
      </c>
      <c r="AJ13468" s="4" t="s">
        <v>3483</v>
      </c>
      <c r="AK13468" s="4" t="s">
        <v>21947</v>
      </c>
      <c r="AL13468" s="4" t="s">
        <v>21948</v>
      </c>
      <c r="AM13468" s="4" t="s">
        <v>4431</v>
      </c>
      <c r="AN13468" s="4" t="s">
        <v>4447</v>
      </c>
      <c r="AO13468" s="4" t="s">
        <v>4431</v>
      </c>
      <c r="AP13468" s="4" t="s">
        <v>4448</v>
      </c>
      <c r="AQ13468" s="4" t="s">
        <v>15451</v>
      </c>
      <c r="AR13468" s="4" t="s">
        <v>2700</v>
      </c>
      <c r="AS13468" s="4" t="s">
        <v>7521</v>
      </c>
      <c r="AT13468" s="4" t="s">
        <v>7522</v>
      </c>
      <c r="AU13468" s="4" t="s">
        <v>7523</v>
      </c>
      <c r="AV13468" s="4" t="s">
        <v>21949</v>
      </c>
      <c r="AW13468" s="4" t="s">
        <v>7114</v>
      </c>
      <c r="AX13468" s="4" t="s">
        <v>4447</v>
      </c>
      <c r="AY13468" s="4" t="s">
        <v>21950</v>
      </c>
      <c r="AZ13468" s="4" t="s">
        <v>21951</v>
      </c>
      <c r="BA13468" s="4" t="s">
        <v>4441</v>
      </c>
      <c r="BB13468" s="4" t="s">
        <v>21952</v>
      </c>
      <c r="BC13468" s="4" t="s">
        <v>21953</v>
      </c>
      <c r="BD13468" s="4" t="s">
        <v>21954</v>
      </c>
      <c r="BE13468" s="4" t="s">
        <v>21955</v>
      </c>
      <c r="BF13468" s="4" t="s">
        <v>21946</v>
      </c>
      <c r="BG13468" s="4" t="s">
        <v>21956</v>
      </c>
      <c r="BH13468" s="4" t="s">
        <v>8453</v>
      </c>
      <c r="BI13468" s="4" t="s">
        <v>21957</v>
      </c>
      <c r="BJ13468" s="4" t="s">
        <v>21958</v>
      </c>
      <c r="BK13468" s="4" t="s">
        <v>8987</v>
      </c>
      <c r="BL13468" s="4" t="s">
        <v>3414</v>
      </c>
    </row>
    <row r="13469">
      <c r="A13469" s="4">
        <v>877.0</v>
      </c>
      <c r="B13469" s="4" t="s">
        <v>22112</v>
      </c>
      <c r="C13469" s="4"/>
      <c r="D13469" s="4" t="s">
        <v>21959</v>
      </c>
      <c r="E13469" s="4" t="s">
        <v>21960</v>
      </c>
      <c r="F13469" s="4" t="s">
        <v>21959</v>
      </c>
    </row>
    <row r="13470">
      <c r="A13470" s="4">
        <v>878.0</v>
      </c>
      <c r="B13470" s="4" t="s">
        <v>22112</v>
      </c>
      <c r="C13470" s="4"/>
      <c r="D13470" s="4" t="s">
        <v>21961</v>
      </c>
      <c r="E13470" s="4" t="s">
        <v>21962</v>
      </c>
      <c r="F13470" s="4" t="s">
        <v>21961</v>
      </c>
    </row>
    <row r="13471">
      <c r="A13471" s="4">
        <v>879.0</v>
      </c>
      <c r="B13471" s="4" t="s">
        <v>22112</v>
      </c>
      <c r="C13471" s="4"/>
      <c r="D13471" s="4" t="s">
        <v>21963</v>
      </c>
      <c r="E13471" s="4" t="s">
        <v>21960</v>
      </c>
      <c r="F13471" s="4" t="s">
        <v>21959</v>
      </c>
    </row>
    <row r="13472">
      <c r="A13472" s="4">
        <v>880.0</v>
      </c>
      <c r="B13472" s="4" t="s">
        <v>22112</v>
      </c>
      <c r="C13472" s="4"/>
      <c r="D13472" s="4" t="s">
        <v>21964</v>
      </c>
      <c r="E13472" s="4" t="s">
        <v>21962</v>
      </c>
      <c r="F13472" s="4" t="s">
        <v>21961</v>
      </c>
    </row>
    <row r="13473">
      <c r="A13473" s="4">
        <v>881.0</v>
      </c>
      <c r="B13473" s="4" t="s">
        <v>22112</v>
      </c>
      <c r="C13473" s="4"/>
      <c r="D13473" s="4" t="s">
        <v>21965</v>
      </c>
      <c r="E13473" s="4" t="s">
        <v>21966</v>
      </c>
      <c r="F13473" s="4" t="s">
        <v>21965</v>
      </c>
    </row>
    <row r="13474">
      <c r="A13474" s="4">
        <v>882.0</v>
      </c>
      <c r="B13474" s="4" t="s">
        <v>22112</v>
      </c>
      <c r="C13474" s="4"/>
      <c r="D13474" s="4" t="s">
        <v>21967</v>
      </c>
      <c r="E13474" s="4" t="s">
        <v>21968</v>
      </c>
      <c r="F13474" s="4" t="s">
        <v>21967</v>
      </c>
    </row>
    <row r="13475">
      <c r="A13475" s="4">
        <v>883.0</v>
      </c>
      <c r="B13475" s="4" t="s">
        <v>22112</v>
      </c>
      <c r="C13475" s="4"/>
      <c r="D13475" s="4" t="s">
        <v>21969</v>
      </c>
      <c r="E13475" s="4" t="s">
        <v>21970</v>
      </c>
      <c r="F13475" s="4" t="s">
        <v>21969</v>
      </c>
    </row>
    <row r="13476">
      <c r="A13476" s="4">
        <v>884.0</v>
      </c>
      <c r="B13476" s="4" t="s">
        <v>22112</v>
      </c>
      <c r="C13476" s="4"/>
      <c r="D13476" s="4" t="s">
        <v>21971</v>
      </c>
      <c r="E13476" s="4" t="s">
        <v>16452</v>
      </c>
      <c r="F13476" s="4" t="s">
        <v>16451</v>
      </c>
    </row>
    <row r="13477">
      <c r="A13477" s="4">
        <v>885.0</v>
      </c>
      <c r="B13477" s="4" t="s">
        <v>22112</v>
      </c>
      <c r="C13477" s="4"/>
      <c r="D13477" s="4" t="s">
        <v>4463</v>
      </c>
      <c r="E13477" s="4" t="s">
        <v>4464</v>
      </c>
      <c r="F13477" s="4" t="s">
        <v>4463</v>
      </c>
      <c r="G13477" s="4"/>
      <c r="H13477" s="4" t="s">
        <v>11528</v>
      </c>
      <c r="I13477" s="4" t="s">
        <v>11529</v>
      </c>
      <c r="J13477" s="4" t="s">
        <v>11530</v>
      </c>
    </row>
    <row r="13478">
      <c r="A13478" s="4">
        <v>886.0</v>
      </c>
      <c r="B13478" s="4" t="s">
        <v>22112</v>
      </c>
      <c r="C13478" s="4"/>
      <c r="D13478" s="4" t="s">
        <v>4490</v>
      </c>
      <c r="E13478" s="4" t="s">
        <v>4489</v>
      </c>
      <c r="F13478" s="4" t="s">
        <v>4490</v>
      </c>
    </row>
    <row r="13479">
      <c r="A13479" s="4">
        <v>887.0</v>
      </c>
      <c r="B13479" s="4" t="s">
        <v>22112</v>
      </c>
      <c r="C13479" s="4"/>
      <c r="D13479" s="4" t="s">
        <v>21972</v>
      </c>
      <c r="E13479" s="4" t="s">
        <v>21973</v>
      </c>
      <c r="F13479" s="4" t="s">
        <v>21972</v>
      </c>
      <c r="G13479" s="4"/>
      <c r="H13479" s="4" t="s">
        <v>347</v>
      </c>
      <c r="I13479" s="4" t="s">
        <v>21974</v>
      </c>
      <c r="J13479" s="4" t="s">
        <v>354</v>
      </c>
      <c r="K13479" s="4" t="s">
        <v>21975</v>
      </c>
      <c r="L13479" s="4" t="s">
        <v>21976</v>
      </c>
      <c r="M13479" s="4" t="s">
        <v>10073</v>
      </c>
      <c r="N13479" s="4" t="s">
        <v>4448</v>
      </c>
      <c r="O13479" s="4" t="s">
        <v>10073</v>
      </c>
      <c r="P13479" s="4" t="s">
        <v>4448</v>
      </c>
    </row>
    <row r="13480">
      <c r="A13480" s="4">
        <v>888.0</v>
      </c>
      <c r="B13480" s="4" t="s">
        <v>22112</v>
      </c>
      <c r="C13480" s="4"/>
      <c r="D13480" s="4" t="s">
        <v>21977</v>
      </c>
      <c r="E13480" s="4" t="s">
        <v>21978</v>
      </c>
      <c r="F13480" s="4" t="s">
        <v>21977</v>
      </c>
    </row>
    <row r="13481">
      <c r="A13481" s="4">
        <v>889.0</v>
      </c>
      <c r="B13481" s="4" t="s">
        <v>22112</v>
      </c>
      <c r="C13481" s="4"/>
      <c r="D13481" s="4" t="s">
        <v>4470</v>
      </c>
      <c r="E13481" s="4" t="s">
        <v>4471</v>
      </c>
      <c r="F13481" s="4" t="s">
        <v>4470</v>
      </c>
    </row>
    <row r="13482">
      <c r="A13482" s="4">
        <v>890.0</v>
      </c>
      <c r="B13482" s="4" t="s">
        <v>22112</v>
      </c>
      <c r="C13482" s="4"/>
      <c r="D13482" s="4" t="s">
        <v>21979</v>
      </c>
      <c r="E13482" s="4" t="s">
        <v>21980</v>
      </c>
      <c r="F13482" s="4" t="s">
        <v>21979</v>
      </c>
    </row>
    <row r="13483">
      <c r="A13483" s="4">
        <v>891.0</v>
      </c>
      <c r="B13483" s="4" t="s">
        <v>22112</v>
      </c>
      <c r="C13483" s="4"/>
      <c r="D13483" s="4" t="s">
        <v>21981</v>
      </c>
      <c r="E13483" s="4" t="s">
        <v>21982</v>
      </c>
      <c r="F13483" s="4" t="s">
        <v>21981</v>
      </c>
    </row>
    <row r="13484">
      <c r="A13484" s="4">
        <v>892.0</v>
      </c>
      <c r="B13484" s="4" t="s">
        <v>22112</v>
      </c>
      <c r="C13484" s="4"/>
      <c r="D13484" s="4" t="s">
        <v>21983</v>
      </c>
      <c r="E13484" s="4" t="s">
        <v>21980</v>
      </c>
      <c r="F13484" s="4" t="s">
        <v>21979</v>
      </c>
    </row>
    <row r="13485">
      <c r="A13485" s="4">
        <v>893.0</v>
      </c>
      <c r="B13485" s="4" t="s">
        <v>22112</v>
      </c>
      <c r="C13485" s="4"/>
      <c r="D13485" s="4" t="s">
        <v>21984</v>
      </c>
      <c r="E13485" s="4" t="s">
        <v>21982</v>
      </c>
      <c r="F13485" s="4" t="s">
        <v>21981</v>
      </c>
    </row>
    <row r="13486">
      <c r="A13486" s="4">
        <v>894.0</v>
      </c>
      <c r="B13486" s="4" t="s">
        <v>22112</v>
      </c>
      <c r="C13486" s="4"/>
      <c r="D13486" s="4" t="s">
        <v>21985</v>
      </c>
      <c r="E13486" s="4" t="s">
        <v>21986</v>
      </c>
      <c r="F13486" s="4" t="s">
        <v>21985</v>
      </c>
    </row>
    <row r="13487">
      <c r="A13487" s="4">
        <v>895.0</v>
      </c>
      <c r="B13487" s="4" t="s">
        <v>22112</v>
      </c>
      <c r="C13487" s="4"/>
      <c r="D13487" s="4" t="s">
        <v>21987</v>
      </c>
      <c r="E13487" s="4" t="s">
        <v>21988</v>
      </c>
      <c r="F13487" s="4" t="s">
        <v>21987</v>
      </c>
    </row>
    <row r="13488">
      <c r="A13488" s="4">
        <v>896.0</v>
      </c>
      <c r="B13488" s="4" t="s">
        <v>22112</v>
      </c>
      <c r="C13488" s="4"/>
      <c r="D13488" s="4" t="s">
        <v>21989</v>
      </c>
      <c r="E13488" s="4" t="s">
        <v>430</v>
      </c>
      <c r="F13488" s="4" t="s">
        <v>431</v>
      </c>
    </row>
    <row r="13489">
      <c r="A13489" s="4">
        <v>897.0</v>
      </c>
      <c r="B13489" s="4" t="s">
        <v>22112</v>
      </c>
      <c r="C13489" s="4"/>
      <c r="D13489" s="4" t="s">
        <v>4394</v>
      </c>
      <c r="E13489" s="4" t="s">
        <v>4393</v>
      </c>
      <c r="F13489" s="4" t="s">
        <v>4394</v>
      </c>
    </row>
    <row r="13490">
      <c r="A13490" s="4">
        <v>898.0</v>
      </c>
      <c r="B13490" s="4" t="s">
        <v>22112</v>
      </c>
      <c r="C13490" s="4"/>
      <c r="D13490" s="4" t="s">
        <v>21990</v>
      </c>
      <c r="E13490" s="4" t="s">
        <v>21991</v>
      </c>
      <c r="F13490" s="4" t="s">
        <v>21992</v>
      </c>
    </row>
    <row r="13491">
      <c r="A13491" s="4">
        <v>899.0</v>
      </c>
      <c r="B13491" s="4" t="s">
        <v>22112</v>
      </c>
      <c r="C13491" s="4"/>
      <c r="D13491" s="4" t="s">
        <v>21993</v>
      </c>
      <c r="E13491" s="4" t="s">
        <v>21994</v>
      </c>
      <c r="F13491" s="4" t="s">
        <v>21995</v>
      </c>
      <c r="G13491" s="4"/>
      <c r="H13491" s="4" t="s">
        <v>21993</v>
      </c>
      <c r="I13491" s="4" t="s">
        <v>6565</v>
      </c>
    </row>
    <row r="13492">
      <c r="A13492" s="4">
        <v>900.0</v>
      </c>
      <c r="B13492" s="4" t="s">
        <v>22112</v>
      </c>
      <c r="C13492" s="4"/>
      <c r="D13492" s="4" t="s">
        <v>8880</v>
      </c>
      <c r="E13492" s="4" t="s">
        <v>15552</v>
      </c>
      <c r="F13492" s="4" t="s">
        <v>8882</v>
      </c>
      <c r="G13492" s="4"/>
      <c r="H13492" s="4" t="s">
        <v>8880</v>
      </c>
    </row>
    <row r="13493">
      <c r="A13493" s="4">
        <v>901.0</v>
      </c>
      <c r="B13493" s="4" t="s">
        <v>22112</v>
      </c>
      <c r="C13493" s="4"/>
      <c r="D13493" s="4" t="s">
        <v>4555</v>
      </c>
      <c r="E13493" s="4" t="s">
        <v>4556</v>
      </c>
      <c r="F13493" s="4" t="s">
        <v>4555</v>
      </c>
    </row>
    <row r="13494">
      <c r="A13494" s="4">
        <v>902.0</v>
      </c>
      <c r="B13494" s="4" t="s">
        <v>22112</v>
      </c>
      <c r="C13494" s="4"/>
      <c r="D13494" s="4" t="s">
        <v>21996</v>
      </c>
      <c r="E13494" s="4" t="s">
        <v>21997</v>
      </c>
      <c r="F13494" s="4" t="s">
        <v>21998</v>
      </c>
    </row>
    <row r="13495">
      <c r="A13495" s="4">
        <v>903.0</v>
      </c>
      <c r="B13495" s="4" t="s">
        <v>22112</v>
      </c>
      <c r="C13495" s="4"/>
      <c r="D13495" s="4" t="s">
        <v>21999</v>
      </c>
      <c r="E13495" s="4" t="s">
        <v>458</v>
      </c>
      <c r="F13495" s="4" t="s">
        <v>459</v>
      </c>
    </row>
    <row r="13496">
      <c r="A13496" s="4">
        <v>904.0</v>
      </c>
      <c r="B13496" s="4" t="s">
        <v>22112</v>
      </c>
      <c r="C13496" s="4"/>
      <c r="D13496" s="4" t="s">
        <v>22000</v>
      </c>
      <c r="E13496" s="4" t="s">
        <v>22001</v>
      </c>
      <c r="F13496" s="4" t="s">
        <v>22000</v>
      </c>
    </row>
    <row r="13497">
      <c r="A13497" s="4">
        <v>905.0</v>
      </c>
      <c r="B13497" s="4" t="s">
        <v>22112</v>
      </c>
      <c r="C13497" s="4"/>
      <c r="D13497" s="4" t="s">
        <v>22002</v>
      </c>
      <c r="E13497" s="4" t="s">
        <v>18808</v>
      </c>
      <c r="F13497" s="4" t="s">
        <v>18807</v>
      </c>
      <c r="G13497" s="4"/>
      <c r="H13497" s="4" t="s">
        <v>8883</v>
      </c>
    </row>
    <row r="13498">
      <c r="A13498" s="4">
        <v>906.0</v>
      </c>
      <c r="B13498" s="4" t="s">
        <v>22112</v>
      </c>
      <c r="C13498" s="4"/>
      <c r="D13498" s="4" t="s">
        <v>16473</v>
      </c>
      <c r="E13498" s="4" t="s">
        <v>16474</v>
      </c>
      <c r="F13498" s="4" t="s">
        <v>16473</v>
      </c>
      <c r="G13498" s="4"/>
      <c r="H13498" s="4" t="s">
        <v>16473</v>
      </c>
      <c r="I13498" s="4" t="s">
        <v>22003</v>
      </c>
    </row>
    <row r="13499">
      <c r="A13499" s="4">
        <v>907.0</v>
      </c>
      <c r="B13499" s="4" t="s">
        <v>22112</v>
      </c>
      <c r="C13499" s="4"/>
      <c r="D13499" s="4" t="s">
        <v>22004</v>
      </c>
      <c r="E13499" s="4" t="s">
        <v>22005</v>
      </c>
      <c r="F13499" s="4" t="s">
        <v>22004</v>
      </c>
    </row>
    <row r="13500">
      <c r="A13500" s="4">
        <v>908.0</v>
      </c>
      <c r="B13500" s="4" t="s">
        <v>22112</v>
      </c>
      <c r="C13500" s="4"/>
      <c r="D13500" s="4" t="s">
        <v>22006</v>
      </c>
      <c r="E13500" s="4" t="s">
        <v>22007</v>
      </c>
      <c r="F13500" s="4" t="s">
        <v>22006</v>
      </c>
    </row>
    <row r="13501">
      <c r="A13501" s="4">
        <v>909.0</v>
      </c>
      <c r="B13501" s="4" t="s">
        <v>22112</v>
      </c>
      <c r="C13501" s="4"/>
      <c r="D13501" s="4" t="s">
        <v>22008</v>
      </c>
      <c r="E13501" s="4" t="s">
        <v>22009</v>
      </c>
      <c r="F13501" s="4" t="s">
        <v>22010</v>
      </c>
    </row>
    <row r="13502">
      <c r="A13502" s="4">
        <v>910.0</v>
      </c>
      <c r="B13502" s="4" t="s">
        <v>22112</v>
      </c>
      <c r="C13502" s="4"/>
      <c r="D13502" s="4" t="s">
        <v>22011</v>
      </c>
      <c r="E13502" s="4" t="s">
        <v>22012</v>
      </c>
      <c r="F13502" s="4" t="s">
        <v>22011</v>
      </c>
    </row>
    <row r="13503">
      <c r="A13503" s="4">
        <v>911.0</v>
      </c>
      <c r="B13503" s="4" t="s">
        <v>22112</v>
      </c>
      <c r="C13503" s="4"/>
      <c r="D13503" s="4" t="s">
        <v>22013</v>
      </c>
      <c r="E13503" s="4" t="s">
        <v>22014</v>
      </c>
      <c r="F13503" s="4" t="s">
        <v>22015</v>
      </c>
    </row>
    <row r="13504">
      <c r="A13504" s="4">
        <v>912.0</v>
      </c>
      <c r="B13504" s="4" t="s">
        <v>22112</v>
      </c>
      <c r="C13504" s="4"/>
      <c r="D13504" s="4" t="s">
        <v>13881</v>
      </c>
      <c r="E13504" s="4" t="s">
        <v>13880</v>
      </c>
      <c r="F13504" s="4" t="s">
        <v>13881</v>
      </c>
    </row>
    <row r="13505">
      <c r="A13505" s="4">
        <v>913.0</v>
      </c>
      <c r="B13505" s="4" t="s">
        <v>22112</v>
      </c>
      <c r="C13505" s="4"/>
      <c r="D13505" s="4" t="s">
        <v>4577</v>
      </c>
      <c r="E13505" s="4" t="s">
        <v>4578</v>
      </c>
      <c r="F13505" s="4" t="s">
        <v>4579</v>
      </c>
    </row>
    <row r="13506">
      <c r="A13506" s="4">
        <v>914.0</v>
      </c>
      <c r="B13506" s="4" t="s">
        <v>22112</v>
      </c>
      <c r="C13506" s="4"/>
      <c r="D13506" s="4" t="s">
        <v>4593</v>
      </c>
      <c r="E13506" s="4" t="s">
        <v>4594</v>
      </c>
      <c r="F13506" s="4" t="s">
        <v>4595</v>
      </c>
    </row>
    <row r="13507">
      <c r="A13507" s="4">
        <v>915.0</v>
      </c>
      <c r="B13507" s="4" t="s">
        <v>22112</v>
      </c>
      <c r="C13507" s="4"/>
      <c r="D13507" s="4" t="s">
        <v>22016</v>
      </c>
      <c r="E13507" s="4" t="s">
        <v>22017</v>
      </c>
      <c r="F13507" s="4" t="s">
        <v>22018</v>
      </c>
    </row>
    <row r="13508">
      <c r="A13508" s="4">
        <v>916.0</v>
      </c>
      <c r="B13508" s="4" t="s">
        <v>22112</v>
      </c>
      <c r="C13508" s="4"/>
      <c r="D13508" s="4" t="s">
        <v>22019</v>
      </c>
      <c r="E13508" s="4" t="s">
        <v>22020</v>
      </c>
      <c r="F13508" s="4" t="s">
        <v>22021</v>
      </c>
    </row>
    <row r="13509">
      <c r="A13509" s="4">
        <v>917.0</v>
      </c>
      <c r="B13509" s="4" t="s">
        <v>22112</v>
      </c>
      <c r="C13509" s="4"/>
      <c r="D13509" s="4" t="s">
        <v>22022</v>
      </c>
      <c r="E13509" s="4" t="s">
        <v>4556</v>
      </c>
      <c r="F13509" s="4" t="s">
        <v>4555</v>
      </c>
    </row>
    <row r="13510">
      <c r="A13510" s="4">
        <v>918.0</v>
      </c>
      <c r="B13510" s="4" t="s">
        <v>22112</v>
      </c>
      <c r="C13510" s="4"/>
      <c r="D13510" s="4" t="s">
        <v>4607</v>
      </c>
      <c r="E13510" s="4" t="s">
        <v>4608</v>
      </c>
      <c r="F13510" s="4" t="s">
        <v>4609</v>
      </c>
      <c r="G13510" s="4"/>
      <c r="H13510" s="4" t="s">
        <v>4610</v>
      </c>
      <c r="I13510" s="4" t="s">
        <v>4610</v>
      </c>
      <c r="J13510" s="4" t="s">
        <v>4611</v>
      </c>
      <c r="K13510" s="4" t="s">
        <v>4612</v>
      </c>
    </row>
    <row r="13511">
      <c r="A13511" s="4">
        <v>919.0</v>
      </c>
      <c r="B13511" s="4" t="s">
        <v>22112</v>
      </c>
      <c r="C13511" s="4"/>
      <c r="D13511" s="4" t="s">
        <v>1860</v>
      </c>
      <c r="E13511" s="4" t="s">
        <v>1859</v>
      </c>
      <c r="F13511" s="4" t="s">
        <v>1860</v>
      </c>
    </row>
    <row r="13512">
      <c r="A13512" s="4">
        <v>920.0</v>
      </c>
      <c r="B13512" s="4" t="s">
        <v>22112</v>
      </c>
      <c r="C13512" s="4"/>
      <c r="D13512" s="4" t="s">
        <v>1864</v>
      </c>
      <c r="E13512" s="4" t="s">
        <v>1863</v>
      </c>
      <c r="F13512" s="4" t="s">
        <v>1864</v>
      </c>
    </row>
    <row r="13513">
      <c r="A13513" s="4">
        <v>921.0</v>
      </c>
      <c r="B13513" s="4" t="s">
        <v>22112</v>
      </c>
      <c r="C13513" s="4"/>
      <c r="D13513" s="4" t="s">
        <v>21033</v>
      </c>
      <c r="E13513" s="4" t="s">
        <v>21032</v>
      </c>
      <c r="F13513" s="4" t="s">
        <v>21033</v>
      </c>
    </row>
    <row r="13514">
      <c r="A13514" s="4">
        <v>922.0</v>
      </c>
      <c r="B13514" s="4" t="s">
        <v>22112</v>
      </c>
      <c r="C13514" s="4"/>
      <c r="D13514" s="4" t="s">
        <v>4640</v>
      </c>
      <c r="E13514" s="4" t="s">
        <v>4639</v>
      </c>
      <c r="F13514" s="4" t="s">
        <v>4640</v>
      </c>
    </row>
    <row r="13515">
      <c r="A13515" s="4">
        <v>923.0</v>
      </c>
      <c r="B13515" s="4" t="s">
        <v>22112</v>
      </c>
      <c r="C13515" s="4"/>
      <c r="D13515" s="4" t="s">
        <v>4638</v>
      </c>
      <c r="E13515" s="4" t="s">
        <v>4656</v>
      </c>
      <c r="F13515" s="4" t="s">
        <v>4638</v>
      </c>
      <c r="G13515" s="4"/>
      <c r="H13515" s="4" t="s">
        <v>4641</v>
      </c>
      <c r="I13515" s="4" t="s">
        <v>4642</v>
      </c>
      <c r="J13515" s="4" t="s">
        <v>4643</v>
      </c>
      <c r="K13515" s="4" t="s">
        <v>4644</v>
      </c>
      <c r="L13515" s="4" t="s">
        <v>4645</v>
      </c>
      <c r="M13515" s="4" t="s">
        <v>4646</v>
      </c>
      <c r="N13515" s="4" t="s">
        <v>4645</v>
      </c>
      <c r="O13515" s="4" t="s">
        <v>4644</v>
      </c>
      <c r="P13515" s="4" t="s">
        <v>4646</v>
      </c>
      <c r="Q13515" s="4" t="s">
        <v>4647</v>
      </c>
      <c r="R13515" s="4" t="s">
        <v>4648</v>
      </c>
      <c r="S13515" s="4" t="s">
        <v>22023</v>
      </c>
      <c r="T13515" s="4" t="s">
        <v>22024</v>
      </c>
      <c r="U13515" s="4" t="s">
        <v>22025</v>
      </c>
      <c r="V13515" s="4" t="s">
        <v>3048</v>
      </c>
      <c r="W13515" s="4" t="s">
        <v>22026</v>
      </c>
      <c r="X13515" s="4" t="s">
        <v>4653</v>
      </c>
      <c r="Y13515" s="4" t="s">
        <v>4652</v>
      </c>
      <c r="Z13515" s="4" t="s">
        <v>4649</v>
      </c>
      <c r="AA13515" s="4" t="s">
        <v>4650</v>
      </c>
      <c r="AB13515" s="4" t="s">
        <v>4649</v>
      </c>
      <c r="AC13515" s="4" t="s">
        <v>4651</v>
      </c>
      <c r="AD13515" s="4" t="s">
        <v>4496</v>
      </c>
      <c r="AE13515" s="4" t="s">
        <v>4652</v>
      </c>
      <c r="AF13515" s="4" t="s">
        <v>3048</v>
      </c>
      <c r="AG13515" s="4" t="s">
        <v>3050</v>
      </c>
      <c r="AH13515" s="4" t="s">
        <v>4653</v>
      </c>
      <c r="AI13515" s="4" t="s">
        <v>22027</v>
      </c>
      <c r="AJ13515" s="4" t="s">
        <v>22028</v>
      </c>
      <c r="AK13515" s="4" t="s">
        <v>22029</v>
      </c>
      <c r="AL13515" s="4" t="s">
        <v>21767</v>
      </c>
      <c r="AM13515" s="4" t="s">
        <v>22030</v>
      </c>
      <c r="AN13515" s="4" t="s">
        <v>4642</v>
      </c>
      <c r="AO13515" s="4" t="s">
        <v>4652</v>
      </c>
      <c r="AP13515" s="4" t="s">
        <v>3048</v>
      </c>
      <c r="AQ13515" s="4" t="s">
        <v>4653</v>
      </c>
      <c r="AR13515" s="4" t="s">
        <v>4649</v>
      </c>
      <c r="AS13515" s="4" t="s">
        <v>4644</v>
      </c>
      <c r="AT13515" s="4" t="s">
        <v>4644</v>
      </c>
      <c r="AU13515" s="4" t="s">
        <v>4642</v>
      </c>
    </row>
    <row r="13516">
      <c r="A13516" s="4">
        <v>924.0</v>
      </c>
      <c r="B13516" s="4" t="s">
        <v>22112</v>
      </c>
      <c r="C13516" s="4"/>
      <c r="D13516" s="4" t="s">
        <v>22031</v>
      </c>
      <c r="E13516" s="4" t="s">
        <v>22032</v>
      </c>
      <c r="F13516" s="4" t="s">
        <v>22033</v>
      </c>
    </row>
    <row r="13517">
      <c r="A13517" s="4">
        <v>925.0</v>
      </c>
      <c r="B13517" s="4" t="s">
        <v>22112</v>
      </c>
      <c r="C13517" s="4"/>
      <c r="D13517" s="4" t="s">
        <v>22034</v>
      </c>
      <c r="E13517" s="4" t="s">
        <v>22035</v>
      </c>
      <c r="F13517" s="4" t="s">
        <v>22036</v>
      </c>
    </row>
    <row r="13518">
      <c r="A13518" s="4">
        <v>926.0</v>
      </c>
      <c r="B13518" s="4" t="s">
        <v>22112</v>
      </c>
      <c r="C13518" s="4"/>
      <c r="D13518" s="4" t="s">
        <v>4659</v>
      </c>
      <c r="E13518" s="4" t="s">
        <v>4639</v>
      </c>
      <c r="F13518" s="4" t="s">
        <v>4640</v>
      </c>
    </row>
    <row r="13519">
      <c r="A13519" s="4">
        <v>927.0</v>
      </c>
      <c r="B13519" s="4" t="s">
        <v>22112</v>
      </c>
      <c r="C13519" s="4"/>
      <c r="D13519" s="4" t="s">
        <v>22037</v>
      </c>
      <c r="E13519" s="4" t="s">
        <v>22038</v>
      </c>
      <c r="F13519" s="4" t="s">
        <v>22037</v>
      </c>
    </row>
    <row r="13520">
      <c r="A13520" s="4">
        <v>928.0</v>
      </c>
      <c r="B13520" s="4" t="s">
        <v>22112</v>
      </c>
      <c r="C13520" s="4"/>
      <c r="D13520" s="4" t="s">
        <v>22039</v>
      </c>
      <c r="E13520" s="4" t="s">
        <v>22040</v>
      </c>
      <c r="F13520" s="4" t="s">
        <v>22039</v>
      </c>
    </row>
    <row r="13521">
      <c r="A13521" s="4">
        <v>929.0</v>
      </c>
      <c r="B13521" s="4" t="s">
        <v>22112</v>
      </c>
      <c r="C13521" s="4"/>
      <c r="D13521" s="4" t="s">
        <v>22041</v>
      </c>
      <c r="E13521" s="4" t="s">
        <v>22042</v>
      </c>
      <c r="F13521" s="4" t="s">
        <v>22043</v>
      </c>
    </row>
    <row r="13522">
      <c r="A13522" s="4">
        <v>930.0</v>
      </c>
      <c r="B13522" s="4" t="s">
        <v>22112</v>
      </c>
      <c r="C13522" s="4"/>
      <c r="D13522" s="4" t="s">
        <v>22044</v>
      </c>
      <c r="E13522" s="4" t="s">
        <v>22045</v>
      </c>
      <c r="F13522" s="4" t="s">
        <v>22046</v>
      </c>
    </row>
    <row r="13523">
      <c r="A13523" s="4">
        <v>931.0</v>
      </c>
      <c r="B13523" s="4" t="s">
        <v>22112</v>
      </c>
      <c r="C13523" s="4"/>
      <c r="D13523" s="4" t="s">
        <v>22047</v>
      </c>
      <c r="E13523" s="4" t="s">
        <v>22048</v>
      </c>
      <c r="F13523" s="4" t="s">
        <v>22047</v>
      </c>
    </row>
    <row r="13524">
      <c r="A13524" s="4">
        <v>932.0</v>
      </c>
      <c r="B13524" s="4" t="s">
        <v>22112</v>
      </c>
      <c r="C13524" s="4"/>
      <c r="D13524" s="4" t="s">
        <v>19726</v>
      </c>
      <c r="E13524" s="4" t="s">
        <v>21047</v>
      </c>
      <c r="F13524" s="4" t="s">
        <v>19726</v>
      </c>
      <c r="G13524" s="4"/>
      <c r="H13524" s="4" t="s">
        <v>4799</v>
      </c>
      <c r="I13524" s="4" t="s">
        <v>22049</v>
      </c>
      <c r="J13524" s="4" t="s">
        <v>4799</v>
      </c>
      <c r="K13524" s="4" t="s">
        <v>22050</v>
      </c>
      <c r="L13524" s="4" t="s">
        <v>22051</v>
      </c>
      <c r="M13524" s="4" t="s">
        <v>22052</v>
      </c>
      <c r="N13524" s="4" t="s">
        <v>3085</v>
      </c>
      <c r="O13524" s="4" t="s">
        <v>4799</v>
      </c>
      <c r="P13524" s="4" t="s">
        <v>22053</v>
      </c>
      <c r="Q13524" s="4" t="s">
        <v>11348</v>
      </c>
      <c r="R13524" s="4" t="s">
        <v>22052</v>
      </c>
      <c r="S13524" s="4" t="s">
        <v>4799</v>
      </c>
      <c r="T13524" s="4" t="s">
        <v>4799</v>
      </c>
    </row>
    <row r="13525">
      <c r="A13525" s="4">
        <v>933.0</v>
      </c>
      <c r="B13525" s="4" t="s">
        <v>22112</v>
      </c>
      <c r="C13525" s="4"/>
      <c r="D13525" s="4" t="s">
        <v>22054</v>
      </c>
      <c r="E13525" s="4" t="s">
        <v>22055</v>
      </c>
      <c r="F13525" s="4" t="s">
        <v>22054</v>
      </c>
    </row>
    <row r="13526">
      <c r="A13526" s="4">
        <v>934.0</v>
      </c>
      <c r="B13526" s="4" t="s">
        <v>22112</v>
      </c>
      <c r="C13526" s="4"/>
      <c r="D13526" s="4" t="s">
        <v>22056</v>
      </c>
      <c r="E13526" s="4" t="s">
        <v>22057</v>
      </c>
      <c r="F13526" s="4" t="s">
        <v>22056</v>
      </c>
    </row>
    <row r="13527">
      <c r="A13527" s="4">
        <v>935.0</v>
      </c>
      <c r="B13527" s="4" t="s">
        <v>22112</v>
      </c>
      <c r="C13527" s="4"/>
      <c r="D13527" s="4" t="s">
        <v>22058</v>
      </c>
      <c r="E13527" s="4" t="s">
        <v>22055</v>
      </c>
      <c r="F13527" s="4" t="s">
        <v>22054</v>
      </c>
    </row>
    <row r="13528">
      <c r="A13528" s="4">
        <v>936.0</v>
      </c>
      <c r="B13528" s="4" t="s">
        <v>22112</v>
      </c>
      <c r="C13528" s="4"/>
      <c r="D13528" s="4" t="s">
        <v>22059</v>
      </c>
      <c r="E13528" s="4" t="s">
        <v>22057</v>
      </c>
      <c r="F13528" s="4" t="s">
        <v>22056</v>
      </c>
    </row>
    <row r="13529">
      <c r="A13529" s="4">
        <v>937.0</v>
      </c>
      <c r="B13529" s="4" t="s">
        <v>22112</v>
      </c>
      <c r="C13529" s="4"/>
      <c r="D13529" s="4" t="s">
        <v>22060</v>
      </c>
      <c r="E13529" s="4" t="s">
        <v>22061</v>
      </c>
      <c r="F13529" s="4" t="s">
        <v>22060</v>
      </c>
    </row>
    <row r="13530">
      <c r="A13530" s="4">
        <v>938.0</v>
      </c>
      <c r="B13530" s="4" t="s">
        <v>22112</v>
      </c>
      <c r="C13530" s="4"/>
      <c r="D13530" s="4" t="s">
        <v>22062</v>
      </c>
      <c r="E13530" s="4" t="s">
        <v>22063</v>
      </c>
      <c r="F13530" s="4" t="s">
        <v>22064</v>
      </c>
    </row>
    <row r="13531">
      <c r="A13531" s="4">
        <v>939.0</v>
      </c>
      <c r="B13531" s="4" t="s">
        <v>22112</v>
      </c>
      <c r="C13531" s="4"/>
      <c r="D13531" s="4" t="s">
        <v>22065</v>
      </c>
      <c r="E13531" s="4" t="s">
        <v>22066</v>
      </c>
      <c r="F13531" s="4" t="s">
        <v>22067</v>
      </c>
    </row>
    <row r="13532">
      <c r="A13532" s="4">
        <v>940.0</v>
      </c>
      <c r="B13532" s="4" t="s">
        <v>22112</v>
      </c>
      <c r="C13532" s="4"/>
      <c r="D13532" s="4" t="s">
        <v>22068</v>
      </c>
      <c r="E13532" s="4" t="s">
        <v>22069</v>
      </c>
      <c r="F13532" s="4" t="s">
        <v>22068</v>
      </c>
      <c r="G13532" s="4"/>
      <c r="H13532" s="4" t="s">
        <v>22070</v>
      </c>
      <c r="I13532" s="4" t="s">
        <v>22070</v>
      </c>
      <c r="J13532" s="4" t="s">
        <v>22071</v>
      </c>
    </row>
    <row r="13533">
      <c r="A13533" s="4">
        <v>941.0</v>
      </c>
      <c r="B13533" s="4" t="s">
        <v>22112</v>
      </c>
      <c r="C13533" s="4"/>
      <c r="D13533" s="4" t="s">
        <v>22072</v>
      </c>
      <c r="E13533" s="4" t="s">
        <v>22073</v>
      </c>
      <c r="F13533" s="4" t="s">
        <v>22072</v>
      </c>
      <c r="G13533" s="4"/>
      <c r="H13533" s="4" t="s">
        <v>15061</v>
      </c>
      <c r="I13533" s="4" t="s">
        <v>22074</v>
      </c>
      <c r="J13533" s="4" t="s">
        <v>8236</v>
      </c>
    </row>
    <row r="13534">
      <c r="A13534" s="4">
        <v>942.0</v>
      </c>
      <c r="B13534" s="4" t="s">
        <v>22112</v>
      </c>
      <c r="C13534" s="4"/>
      <c r="D13534" s="4" t="s">
        <v>22075</v>
      </c>
      <c r="E13534" s="4" t="s">
        <v>21127</v>
      </c>
      <c r="F13534" s="4" t="s">
        <v>21128</v>
      </c>
    </row>
    <row r="13535">
      <c r="A13535" s="4">
        <v>943.0</v>
      </c>
      <c r="B13535" s="4" t="s">
        <v>22112</v>
      </c>
      <c r="C13535" s="4"/>
      <c r="D13535" s="4" t="s">
        <v>22076</v>
      </c>
      <c r="E13535" s="4" t="s">
        <v>22077</v>
      </c>
      <c r="F13535" s="4" t="s">
        <v>22078</v>
      </c>
    </row>
    <row r="13536">
      <c r="A13536" s="4">
        <v>944.0</v>
      </c>
      <c r="B13536" s="4" t="s">
        <v>22112</v>
      </c>
      <c r="C13536" s="4"/>
      <c r="D13536" s="4" t="s">
        <v>22076</v>
      </c>
      <c r="E13536" s="4" t="s">
        <v>22079</v>
      </c>
      <c r="F13536" s="4" t="s">
        <v>22080</v>
      </c>
    </row>
    <row r="13537">
      <c r="A13537" s="4">
        <v>945.0</v>
      </c>
      <c r="B13537" s="4" t="s">
        <v>22112</v>
      </c>
      <c r="C13537" s="4"/>
      <c r="D13537" s="4" t="s">
        <v>22081</v>
      </c>
      <c r="E13537" s="4" t="s">
        <v>400</v>
      </c>
      <c r="F13537" s="4" t="s">
        <v>401</v>
      </c>
    </row>
    <row r="13538">
      <c r="A13538" s="4">
        <v>946.0</v>
      </c>
      <c r="B13538" s="4" t="s">
        <v>22112</v>
      </c>
      <c r="C13538" s="4"/>
      <c r="D13538" s="4" t="s">
        <v>22082</v>
      </c>
      <c r="E13538" s="4" t="s">
        <v>22083</v>
      </c>
      <c r="F13538" s="4" t="s">
        <v>9207</v>
      </c>
    </row>
    <row r="13539">
      <c r="A13539" s="4">
        <v>947.0</v>
      </c>
      <c r="B13539" s="4" t="s">
        <v>22112</v>
      </c>
      <c r="C13539" s="4"/>
      <c r="D13539" s="4" t="s">
        <v>22084</v>
      </c>
      <c r="E13539" s="4" t="s">
        <v>22085</v>
      </c>
      <c r="F13539" s="4" t="s">
        <v>14748</v>
      </c>
      <c r="G13539" s="4"/>
      <c r="H13539" s="4" t="s">
        <v>22086</v>
      </c>
      <c r="I13539" s="4" t="s">
        <v>22087</v>
      </c>
      <c r="J13539" s="4" t="s">
        <v>22088</v>
      </c>
      <c r="K13539" s="4" t="s">
        <v>22089</v>
      </c>
      <c r="L13539" s="4" t="s">
        <v>22090</v>
      </c>
      <c r="M13539" s="4" t="s">
        <v>22091</v>
      </c>
      <c r="N13539" s="4" t="s">
        <v>997</v>
      </c>
      <c r="O13539" s="4" t="s">
        <v>22092</v>
      </c>
      <c r="P13539" s="4" t="s">
        <v>19816</v>
      </c>
      <c r="Q13539" s="4" t="s">
        <v>22086</v>
      </c>
      <c r="R13539" s="4" t="s">
        <v>22087</v>
      </c>
      <c r="S13539" s="4" t="s">
        <v>22093</v>
      </c>
      <c r="T13539" s="4" t="s">
        <v>6967</v>
      </c>
      <c r="U13539" s="4" t="s">
        <v>3216</v>
      </c>
    </row>
    <row r="13540">
      <c r="A13540" s="4">
        <v>948.0</v>
      </c>
      <c r="B13540" s="4" t="s">
        <v>22112</v>
      </c>
      <c r="C13540" s="4"/>
      <c r="D13540" s="4" t="s">
        <v>22094</v>
      </c>
      <c r="E13540" s="4" t="s">
        <v>653</v>
      </c>
      <c r="F13540" s="4" t="s">
        <v>652</v>
      </c>
    </row>
    <row r="13541">
      <c r="A13541" s="4">
        <v>949.0</v>
      </c>
      <c r="B13541" s="4" t="s">
        <v>22112</v>
      </c>
      <c r="C13541" s="4"/>
      <c r="D13541" s="4" t="s">
        <v>22095</v>
      </c>
      <c r="E13541" s="4" t="s">
        <v>4775</v>
      </c>
      <c r="F13541" s="4" t="s">
        <v>4776</v>
      </c>
    </row>
    <row r="13542">
      <c r="A13542" s="4">
        <v>950.0</v>
      </c>
      <c r="B13542" s="4" t="s">
        <v>22112</v>
      </c>
      <c r="C13542" s="4"/>
      <c r="D13542" s="4" t="s">
        <v>16664</v>
      </c>
      <c r="E13542" s="4" t="s">
        <v>16663</v>
      </c>
      <c r="F13542" s="4" t="s">
        <v>16664</v>
      </c>
    </row>
    <row r="13543">
      <c r="A13543" s="4">
        <v>951.0</v>
      </c>
      <c r="B13543" s="4" t="s">
        <v>22112</v>
      </c>
      <c r="C13543" s="4"/>
      <c r="D13543" s="4" t="s">
        <v>3055</v>
      </c>
      <c r="E13543" s="4" t="s">
        <v>3054</v>
      </c>
      <c r="F13543" s="4" t="s">
        <v>3055</v>
      </c>
    </row>
    <row r="13544">
      <c r="A13544" s="4">
        <v>952.0</v>
      </c>
      <c r="B13544" s="4" t="s">
        <v>22112</v>
      </c>
      <c r="C13544" s="4"/>
      <c r="D13544" s="4" t="s">
        <v>22096</v>
      </c>
      <c r="E13544" s="4" t="s">
        <v>22097</v>
      </c>
      <c r="F13544" s="4" t="s">
        <v>22096</v>
      </c>
    </row>
    <row r="13545">
      <c r="A13545" s="4">
        <v>953.0</v>
      </c>
      <c r="B13545" s="4" t="s">
        <v>22112</v>
      </c>
      <c r="C13545" s="4"/>
      <c r="D13545" s="4" t="s">
        <v>18379</v>
      </c>
      <c r="E13545" s="4" t="s">
        <v>18378</v>
      </c>
      <c r="F13545" s="4" t="s">
        <v>18379</v>
      </c>
    </row>
    <row r="13546">
      <c r="A13546" s="4">
        <v>954.0</v>
      </c>
      <c r="B13546" s="4" t="s">
        <v>22112</v>
      </c>
      <c r="C13546" s="4"/>
      <c r="D13546" s="4" t="s">
        <v>22098</v>
      </c>
      <c r="E13546" s="4" t="s">
        <v>22099</v>
      </c>
      <c r="F13546" s="4" t="s">
        <v>22098</v>
      </c>
    </row>
    <row r="13547">
      <c r="A13547" s="4">
        <v>955.0</v>
      </c>
      <c r="B13547" s="4" t="s">
        <v>22112</v>
      </c>
      <c r="C13547" s="4"/>
      <c r="D13547" s="4" t="s">
        <v>22100</v>
      </c>
      <c r="E13547" s="4" t="s">
        <v>22101</v>
      </c>
      <c r="F13547" s="4" t="s">
        <v>22100</v>
      </c>
    </row>
    <row r="13548">
      <c r="A13548" s="4">
        <v>956.0</v>
      </c>
      <c r="B13548" s="4" t="s">
        <v>22112</v>
      </c>
      <c r="C13548" s="4"/>
      <c r="D13548" s="4" t="s">
        <v>3066</v>
      </c>
      <c r="E13548" s="4" t="s">
        <v>3065</v>
      </c>
      <c r="F13548" s="4" t="s">
        <v>3066</v>
      </c>
    </row>
    <row r="13549">
      <c r="A13549" s="4">
        <v>957.0</v>
      </c>
      <c r="B13549" s="4" t="s">
        <v>22112</v>
      </c>
      <c r="C13549" s="4"/>
      <c r="D13549" s="4" t="s">
        <v>22102</v>
      </c>
      <c r="E13549" s="4" t="s">
        <v>22103</v>
      </c>
      <c r="F13549" s="4" t="s">
        <v>22104</v>
      </c>
    </row>
    <row r="13550">
      <c r="A13550" s="4">
        <v>958.0</v>
      </c>
      <c r="B13550" s="4" t="s">
        <v>22112</v>
      </c>
      <c r="C13550" s="4"/>
      <c r="D13550" s="4" t="s">
        <v>22105</v>
      </c>
      <c r="E13550" s="4" t="s">
        <v>19878</v>
      </c>
      <c r="F13550" s="4" t="s">
        <v>19877</v>
      </c>
      <c r="G13550" s="4"/>
      <c r="H13550" s="4" t="s">
        <v>22106</v>
      </c>
      <c r="I13550" s="4" t="s">
        <v>22107</v>
      </c>
      <c r="J13550" s="4" t="s">
        <v>22108</v>
      </c>
      <c r="K13550" s="4" t="s">
        <v>19882</v>
      </c>
      <c r="L13550" s="4" t="s">
        <v>22109</v>
      </c>
      <c r="M13550" s="4" t="s">
        <v>16185</v>
      </c>
      <c r="N13550" s="4" t="s">
        <v>19882</v>
      </c>
      <c r="O13550" s="4" t="s">
        <v>19883</v>
      </c>
      <c r="P13550" s="4" t="s">
        <v>17013</v>
      </c>
      <c r="Q13550" s="4" t="s">
        <v>17014</v>
      </c>
    </row>
    <row r="13551">
      <c r="A13551" s="4">
        <v>1.0</v>
      </c>
      <c r="B13551" s="4" t="s">
        <v>22113</v>
      </c>
      <c r="C13551" s="4"/>
      <c r="D13551" s="4" t="s">
        <v>20305</v>
      </c>
      <c r="E13551" s="4" t="s">
        <v>20306</v>
      </c>
      <c r="F13551" s="4" t="s">
        <v>20307</v>
      </c>
    </row>
    <row r="13552">
      <c r="A13552" s="4">
        <v>2.0</v>
      </c>
      <c r="B13552" s="4" t="s">
        <v>22113</v>
      </c>
      <c r="C13552" s="4"/>
      <c r="D13552" s="4" t="s">
        <v>20308</v>
      </c>
      <c r="E13552" s="4" t="s">
        <v>20309</v>
      </c>
      <c r="F13552" s="4" t="s">
        <v>20310</v>
      </c>
      <c r="G13552" s="4"/>
      <c r="H13552" s="4" t="s">
        <v>20311</v>
      </c>
    </row>
    <row r="13553">
      <c r="A13553" s="4">
        <v>3.0</v>
      </c>
      <c r="B13553" s="4" t="s">
        <v>22113</v>
      </c>
      <c r="C13553" s="4"/>
      <c r="D13553" s="4" t="s">
        <v>20312</v>
      </c>
      <c r="E13553" s="4" t="s">
        <v>20313</v>
      </c>
      <c r="F13553" s="4" t="s">
        <v>20314</v>
      </c>
    </row>
    <row r="13554">
      <c r="A13554" s="4">
        <v>4.0</v>
      </c>
      <c r="B13554" s="4" t="s">
        <v>22113</v>
      </c>
      <c r="C13554" s="4"/>
      <c r="D13554" s="4" t="s">
        <v>20315</v>
      </c>
      <c r="E13554" s="4" t="s">
        <v>20316</v>
      </c>
      <c r="F13554" s="4" t="s">
        <v>20317</v>
      </c>
    </row>
    <row r="13555">
      <c r="A13555" s="4">
        <v>5.0</v>
      </c>
      <c r="B13555" s="4" t="s">
        <v>22113</v>
      </c>
      <c r="C13555" s="4"/>
      <c r="D13555" s="4" t="s">
        <v>20318</v>
      </c>
      <c r="E13555" s="4" t="s">
        <v>20319</v>
      </c>
      <c r="F13555" s="4" t="s">
        <v>20320</v>
      </c>
    </row>
    <row r="13556">
      <c r="A13556" s="4">
        <v>6.0</v>
      </c>
      <c r="B13556" s="4" t="s">
        <v>22113</v>
      </c>
      <c r="C13556" s="4"/>
      <c r="D13556" s="4" t="s">
        <v>479</v>
      </c>
      <c r="E13556" s="4" t="s">
        <v>480</v>
      </c>
      <c r="F13556" s="4" t="s">
        <v>481</v>
      </c>
      <c r="G13556" s="4"/>
      <c r="H13556" s="4" t="s">
        <v>482</v>
      </c>
      <c r="I13556" s="4" t="s">
        <v>483</v>
      </c>
      <c r="J13556" s="4" t="s">
        <v>484</v>
      </c>
      <c r="K13556" s="4" t="s">
        <v>485</v>
      </c>
      <c r="L13556" s="4" t="s">
        <v>486</v>
      </c>
      <c r="M13556" s="4" t="s">
        <v>487</v>
      </c>
      <c r="N13556" s="4" t="s">
        <v>488</v>
      </c>
      <c r="O13556" s="4" t="s">
        <v>489</v>
      </c>
      <c r="P13556" s="4" t="s">
        <v>490</v>
      </c>
      <c r="Q13556" s="4" t="s">
        <v>491</v>
      </c>
      <c r="R13556" s="4" t="s">
        <v>492</v>
      </c>
      <c r="S13556" s="4" t="s">
        <v>493</v>
      </c>
      <c r="T13556" s="4" t="s">
        <v>20321</v>
      </c>
      <c r="U13556" s="4" t="s">
        <v>485</v>
      </c>
      <c r="V13556" s="4" t="s">
        <v>20322</v>
      </c>
      <c r="W13556" s="4" t="s">
        <v>20323</v>
      </c>
      <c r="X13556" s="4" t="s">
        <v>20324</v>
      </c>
      <c r="Y13556" s="4" t="s">
        <v>20325</v>
      </c>
      <c r="Z13556" s="4" t="s">
        <v>494</v>
      </c>
      <c r="AA13556" s="4" t="s">
        <v>494</v>
      </c>
      <c r="AB13556" s="4" t="s">
        <v>495</v>
      </c>
      <c r="AC13556" s="4" t="s">
        <v>496</v>
      </c>
      <c r="AD13556" s="4" t="s">
        <v>497</v>
      </c>
      <c r="AE13556" s="4" t="s">
        <v>498</v>
      </c>
      <c r="AF13556" s="4" t="s">
        <v>499</v>
      </c>
    </row>
    <row r="13557">
      <c r="A13557" s="4">
        <v>7.0</v>
      </c>
      <c r="B13557" s="4" t="s">
        <v>22113</v>
      </c>
      <c r="C13557" s="4"/>
      <c r="D13557" s="4" t="s">
        <v>20326</v>
      </c>
      <c r="E13557" s="4" t="s">
        <v>20327</v>
      </c>
      <c r="F13557" s="4" t="s">
        <v>20328</v>
      </c>
    </row>
    <row r="13558">
      <c r="A13558" s="4">
        <v>8.0</v>
      </c>
      <c r="B13558" s="4" t="s">
        <v>22113</v>
      </c>
      <c r="C13558" s="4"/>
      <c r="D13558" s="4" t="s">
        <v>20329</v>
      </c>
      <c r="E13558" s="4" t="s">
        <v>4896</v>
      </c>
      <c r="F13558" s="4" t="s">
        <v>4897</v>
      </c>
    </row>
    <row r="13559">
      <c r="A13559" s="4">
        <v>9.0</v>
      </c>
      <c r="B13559" s="4" t="s">
        <v>22113</v>
      </c>
      <c r="C13559" s="4"/>
      <c r="D13559" s="4" t="s">
        <v>20330</v>
      </c>
      <c r="E13559" s="4" t="s">
        <v>20331</v>
      </c>
      <c r="F13559" s="4" t="s">
        <v>20332</v>
      </c>
      <c r="G13559" s="4"/>
      <c r="H13559" s="4" t="s">
        <v>917</v>
      </c>
      <c r="I13559" s="4" t="s">
        <v>20333</v>
      </c>
      <c r="J13559" s="4" t="s">
        <v>917</v>
      </c>
      <c r="K13559" s="4" t="s">
        <v>20334</v>
      </c>
    </row>
    <row r="13560">
      <c r="A13560" s="4">
        <v>10.0</v>
      </c>
      <c r="B13560" s="4" t="s">
        <v>22113</v>
      </c>
      <c r="C13560" s="4"/>
      <c r="D13560" s="4" t="s">
        <v>20335</v>
      </c>
      <c r="E13560" s="4" t="s">
        <v>20336</v>
      </c>
      <c r="F13560" s="4" t="s">
        <v>20337</v>
      </c>
    </row>
    <row r="13561">
      <c r="A13561" s="4">
        <v>11.0</v>
      </c>
      <c r="B13561" s="4" t="s">
        <v>22113</v>
      </c>
      <c r="C13561" s="4"/>
      <c r="D13561" s="4" t="s">
        <v>20338</v>
      </c>
      <c r="E13561" s="4" t="s">
        <v>20339</v>
      </c>
      <c r="F13561" s="4" t="s">
        <v>20340</v>
      </c>
    </row>
    <row r="13562">
      <c r="A13562" s="4">
        <v>12.0</v>
      </c>
      <c r="B13562" s="4" t="s">
        <v>22113</v>
      </c>
      <c r="C13562" s="4"/>
      <c r="D13562" s="4" t="s">
        <v>20341</v>
      </c>
      <c r="E13562" s="4" t="s">
        <v>20336</v>
      </c>
      <c r="F13562" s="4" t="s">
        <v>20337</v>
      </c>
    </row>
    <row r="13563">
      <c r="A13563" s="4">
        <v>13.0</v>
      </c>
      <c r="B13563" s="4" t="s">
        <v>22113</v>
      </c>
      <c r="C13563" s="4"/>
      <c r="D13563" s="4" t="s">
        <v>20342</v>
      </c>
      <c r="E13563" s="4" t="s">
        <v>20339</v>
      </c>
      <c r="F13563" s="4" t="s">
        <v>20340</v>
      </c>
    </row>
    <row r="13564">
      <c r="A13564" s="4">
        <v>14.0</v>
      </c>
      <c r="B13564" s="4" t="s">
        <v>22113</v>
      </c>
      <c r="C13564" s="4"/>
      <c r="D13564" s="4" t="s">
        <v>20343</v>
      </c>
      <c r="E13564" s="4" t="s">
        <v>20344</v>
      </c>
      <c r="F13564" s="4" t="s">
        <v>20345</v>
      </c>
    </row>
    <row r="13565">
      <c r="A13565" s="4">
        <v>15.0</v>
      </c>
      <c r="B13565" s="4" t="s">
        <v>22113</v>
      </c>
      <c r="C13565" s="4"/>
      <c r="D13565" s="4" t="s">
        <v>20346</v>
      </c>
      <c r="E13565" s="4" t="s">
        <v>20347</v>
      </c>
      <c r="F13565" s="4" t="s">
        <v>20348</v>
      </c>
    </row>
    <row r="13566">
      <c r="A13566" s="4">
        <v>16.0</v>
      </c>
      <c r="B13566" s="4" t="s">
        <v>22113</v>
      </c>
      <c r="C13566" s="4"/>
      <c r="D13566" s="4" t="s">
        <v>20349</v>
      </c>
      <c r="E13566" s="4" t="s">
        <v>20350</v>
      </c>
      <c r="F13566" s="4" t="s">
        <v>20351</v>
      </c>
      <c r="G13566" s="4"/>
      <c r="H13566" s="4" t="s">
        <v>20352</v>
      </c>
      <c r="I13566" s="4" t="s">
        <v>20353</v>
      </c>
    </row>
    <row r="13567">
      <c r="A13567" s="4">
        <v>17.0</v>
      </c>
      <c r="B13567" s="4" t="s">
        <v>22113</v>
      </c>
      <c r="C13567" s="4"/>
      <c r="D13567" s="4" t="s">
        <v>14049</v>
      </c>
      <c r="E13567" s="4" t="s">
        <v>14050</v>
      </c>
      <c r="F13567" s="4" t="s">
        <v>14051</v>
      </c>
    </row>
    <row r="13568">
      <c r="A13568" s="4">
        <v>18.0</v>
      </c>
      <c r="B13568" s="4" t="s">
        <v>22113</v>
      </c>
      <c r="C13568" s="4"/>
      <c r="D13568" s="4" t="s">
        <v>20354</v>
      </c>
      <c r="E13568" s="4" t="s">
        <v>20355</v>
      </c>
      <c r="F13568" s="4" t="s">
        <v>20356</v>
      </c>
    </row>
    <row r="13569">
      <c r="A13569" s="4">
        <v>19.0</v>
      </c>
      <c r="B13569" s="4" t="s">
        <v>22113</v>
      </c>
      <c r="C13569" s="4"/>
      <c r="D13569" s="4" t="s">
        <v>20357</v>
      </c>
      <c r="E13569" s="4" t="s">
        <v>20358</v>
      </c>
      <c r="F13569" s="4" t="s">
        <v>20359</v>
      </c>
      <c r="G13569" s="4"/>
      <c r="H13569" s="4" t="s">
        <v>2700</v>
      </c>
      <c r="I13569" s="4" t="s">
        <v>7514</v>
      </c>
      <c r="J13569" s="4" t="s">
        <v>20360</v>
      </c>
      <c r="K13569" s="4" t="s">
        <v>20361</v>
      </c>
      <c r="L13569" s="4" t="s">
        <v>7519</v>
      </c>
      <c r="M13569" s="4" t="s">
        <v>20362</v>
      </c>
      <c r="N13569" s="4" t="s">
        <v>7342</v>
      </c>
      <c r="O13569" s="4" t="s">
        <v>796</v>
      </c>
      <c r="P13569" s="4" t="s">
        <v>20363</v>
      </c>
      <c r="Q13569" s="4" t="s">
        <v>20364</v>
      </c>
      <c r="R13569" s="4" t="s">
        <v>7519</v>
      </c>
      <c r="S13569" s="4" t="s">
        <v>20365</v>
      </c>
      <c r="T13569" s="4" t="s">
        <v>20366</v>
      </c>
      <c r="U13569" s="4" t="s">
        <v>16894</v>
      </c>
      <c r="V13569" s="4" t="s">
        <v>20367</v>
      </c>
      <c r="W13569" s="4" t="s">
        <v>20368</v>
      </c>
      <c r="X13569" s="4" t="s">
        <v>20369</v>
      </c>
      <c r="Y13569" s="4" t="s">
        <v>20370</v>
      </c>
      <c r="Z13569" s="4" t="s">
        <v>7520</v>
      </c>
      <c r="AA13569" s="4" t="s">
        <v>20371</v>
      </c>
      <c r="AB13569" s="4" t="s">
        <v>707</v>
      </c>
      <c r="AC13569" s="4" t="s">
        <v>1437</v>
      </c>
      <c r="AD13569" s="4" t="s">
        <v>2997</v>
      </c>
      <c r="AE13569" s="4" t="s">
        <v>20372</v>
      </c>
      <c r="AF13569" s="4" t="s">
        <v>20373</v>
      </c>
      <c r="AG13569" s="4" t="s">
        <v>20374</v>
      </c>
      <c r="AH13569" s="4" t="s">
        <v>20375</v>
      </c>
      <c r="AI13569" s="4" t="s">
        <v>8740</v>
      </c>
      <c r="AJ13569" s="4" t="s">
        <v>4519</v>
      </c>
      <c r="AK13569" s="4" t="s">
        <v>7516</v>
      </c>
      <c r="AL13569" s="4" t="s">
        <v>7517</v>
      </c>
      <c r="AM13569" s="4" t="s">
        <v>2700</v>
      </c>
      <c r="AN13569" s="4" t="s">
        <v>20374</v>
      </c>
      <c r="AO13569" s="4" t="s">
        <v>20362</v>
      </c>
      <c r="AP13569" s="4" t="s">
        <v>9056</v>
      </c>
      <c r="AQ13569" s="4" t="s">
        <v>2802</v>
      </c>
      <c r="AR13569" s="4" t="s">
        <v>20376</v>
      </c>
      <c r="AS13569" s="4" t="s">
        <v>2700</v>
      </c>
      <c r="AT13569" s="4" t="s">
        <v>7342</v>
      </c>
      <c r="AU13569" s="4" t="s">
        <v>20377</v>
      </c>
      <c r="AV13569" s="4" t="s">
        <v>6551</v>
      </c>
      <c r="AW13569" s="4" t="s">
        <v>20378</v>
      </c>
      <c r="AX13569" s="4" t="s">
        <v>6550</v>
      </c>
      <c r="AY13569" s="4" t="s">
        <v>20379</v>
      </c>
      <c r="AZ13569" s="4" t="s">
        <v>4283</v>
      </c>
      <c r="BA13569" s="4" t="s">
        <v>4447</v>
      </c>
      <c r="BB13569" s="4" t="s">
        <v>20380</v>
      </c>
      <c r="BC13569" s="4" t="s">
        <v>3493</v>
      </c>
      <c r="BD13569" s="4" t="s">
        <v>20374</v>
      </c>
      <c r="BE13569" s="4" t="s">
        <v>3493</v>
      </c>
      <c r="BF13569" s="4" t="s">
        <v>20374</v>
      </c>
      <c r="BG13569" s="4" t="s">
        <v>7342</v>
      </c>
      <c r="BH13569" s="4" t="s">
        <v>20381</v>
      </c>
      <c r="BI13569" s="4" t="s">
        <v>20365</v>
      </c>
    </row>
    <row r="13570">
      <c r="A13570" s="4">
        <v>20.0</v>
      </c>
      <c r="B13570" s="4" t="s">
        <v>22113</v>
      </c>
      <c r="C13570" s="4"/>
      <c r="D13570" s="4" t="s">
        <v>20382</v>
      </c>
      <c r="E13570" s="4" t="s">
        <v>20383</v>
      </c>
      <c r="F13570" s="4" t="s">
        <v>14051</v>
      </c>
    </row>
    <row r="13571">
      <c r="A13571" s="4">
        <v>21.0</v>
      </c>
      <c r="B13571" s="4" t="s">
        <v>22113</v>
      </c>
      <c r="C13571" s="4"/>
      <c r="D13571" s="4" t="s">
        <v>9199</v>
      </c>
      <c r="E13571" s="4" t="s">
        <v>20384</v>
      </c>
      <c r="F13571" s="4" t="s">
        <v>4747</v>
      </c>
    </row>
    <row r="13572">
      <c r="A13572" s="4">
        <v>22.0</v>
      </c>
      <c r="B13572" s="4" t="s">
        <v>22113</v>
      </c>
      <c r="C13572" s="4"/>
      <c r="D13572" s="4" t="s">
        <v>20385</v>
      </c>
      <c r="E13572" s="4" t="s">
        <v>20386</v>
      </c>
      <c r="F13572" s="4" t="s">
        <v>20387</v>
      </c>
    </row>
    <row r="13573">
      <c r="A13573" s="4">
        <v>23.0</v>
      </c>
      <c r="B13573" s="4" t="s">
        <v>22113</v>
      </c>
      <c r="C13573" s="4"/>
      <c r="D13573" s="4" t="s">
        <v>20388</v>
      </c>
      <c r="E13573" s="4" t="s">
        <v>20389</v>
      </c>
      <c r="F13573" s="4" t="s">
        <v>19893</v>
      </c>
    </row>
    <row r="13574">
      <c r="A13574" s="4">
        <v>24.0</v>
      </c>
      <c r="B13574" s="4" t="s">
        <v>22113</v>
      </c>
      <c r="C13574" s="4"/>
      <c r="D13574" s="4" t="s">
        <v>20390</v>
      </c>
      <c r="E13574" s="4" t="s">
        <v>20383</v>
      </c>
      <c r="F13574" s="4" t="s">
        <v>14051</v>
      </c>
    </row>
    <row r="13575">
      <c r="A13575" s="4">
        <v>25.0</v>
      </c>
      <c r="B13575" s="4" t="s">
        <v>22113</v>
      </c>
      <c r="C13575" s="4"/>
      <c r="D13575" s="4" t="s">
        <v>20391</v>
      </c>
      <c r="E13575" s="4" t="s">
        <v>20392</v>
      </c>
      <c r="F13575" s="4" t="s">
        <v>816</v>
      </c>
    </row>
    <row r="13576">
      <c r="A13576" s="4">
        <v>26.0</v>
      </c>
      <c r="B13576" s="4" t="s">
        <v>22113</v>
      </c>
      <c r="C13576" s="4"/>
      <c r="D13576" s="4" t="s">
        <v>813</v>
      </c>
      <c r="E13576" s="4" t="s">
        <v>812</v>
      </c>
      <c r="F13576" s="4" t="s">
        <v>813</v>
      </c>
    </row>
    <row r="13577">
      <c r="A13577" s="4">
        <v>27.0</v>
      </c>
      <c r="B13577" s="4" t="s">
        <v>22113</v>
      </c>
      <c r="C13577" s="4"/>
      <c r="D13577" s="4" t="s">
        <v>20393</v>
      </c>
      <c r="E13577" s="4" t="s">
        <v>20394</v>
      </c>
      <c r="F13577" s="4" t="s">
        <v>20395</v>
      </c>
    </row>
    <row r="13578">
      <c r="A13578" s="4">
        <v>28.0</v>
      </c>
      <c r="B13578" s="4" t="s">
        <v>22113</v>
      </c>
      <c r="C13578" s="4"/>
      <c r="D13578" s="4" t="s">
        <v>506</v>
      </c>
      <c r="E13578" s="4" t="s">
        <v>507</v>
      </c>
      <c r="F13578" s="4" t="s">
        <v>506</v>
      </c>
      <c r="G13578" s="4"/>
      <c r="H13578" s="4" t="s">
        <v>556</v>
      </c>
      <c r="I13578" s="4" t="s">
        <v>557</v>
      </c>
      <c r="J13578" s="4" t="s">
        <v>558</v>
      </c>
      <c r="K13578" s="4" t="s">
        <v>559</v>
      </c>
    </row>
    <row r="13579">
      <c r="A13579" s="4">
        <v>29.0</v>
      </c>
      <c r="B13579" s="4" t="s">
        <v>22113</v>
      </c>
      <c r="C13579" s="4"/>
      <c r="D13579" s="4" t="s">
        <v>508</v>
      </c>
      <c r="E13579" s="4" t="s">
        <v>509</v>
      </c>
      <c r="F13579" s="4" t="s">
        <v>508</v>
      </c>
      <c r="G13579" s="4"/>
      <c r="H13579" s="4" t="s">
        <v>510</v>
      </c>
      <c r="I13579" s="4" t="s">
        <v>511</v>
      </c>
      <c r="J13579" s="4" t="s">
        <v>512</v>
      </c>
      <c r="K13579" s="4" t="s">
        <v>513</v>
      </c>
      <c r="L13579" s="4" t="s">
        <v>510</v>
      </c>
      <c r="M13579" s="4" t="s">
        <v>514</v>
      </c>
      <c r="N13579" s="4" t="s">
        <v>510</v>
      </c>
      <c r="O13579" s="4" t="s">
        <v>510</v>
      </c>
      <c r="P13579" s="4" t="s">
        <v>515</v>
      </c>
      <c r="Q13579" s="4" t="s">
        <v>517</v>
      </c>
    </row>
    <row r="13580">
      <c r="A13580" s="4">
        <v>30.0</v>
      </c>
      <c r="B13580" s="4" t="s">
        <v>22113</v>
      </c>
      <c r="C13580" s="4"/>
      <c r="D13580" s="4" t="s">
        <v>20396</v>
      </c>
      <c r="E13580" s="4" t="s">
        <v>20397</v>
      </c>
      <c r="F13580" s="4" t="s">
        <v>20398</v>
      </c>
    </row>
    <row r="13581">
      <c r="A13581" s="4">
        <v>31.0</v>
      </c>
      <c r="B13581" s="4" t="s">
        <v>22113</v>
      </c>
      <c r="C13581" s="4"/>
      <c r="D13581" s="4" t="s">
        <v>20399</v>
      </c>
      <c r="E13581" s="4" t="s">
        <v>20400</v>
      </c>
      <c r="F13581" s="4" t="s">
        <v>20399</v>
      </c>
    </row>
    <row r="13582">
      <c r="A13582" s="4">
        <v>32.0</v>
      </c>
      <c r="B13582" s="4" t="s">
        <v>22113</v>
      </c>
      <c r="C13582" s="4"/>
      <c r="D13582" s="4" t="s">
        <v>20401</v>
      </c>
      <c r="E13582" s="4" t="s">
        <v>20402</v>
      </c>
      <c r="F13582" s="4" t="s">
        <v>20401</v>
      </c>
    </row>
    <row r="13583">
      <c r="A13583" s="4">
        <v>33.0</v>
      </c>
      <c r="B13583" s="4" t="s">
        <v>22113</v>
      </c>
      <c r="C13583" s="4"/>
      <c r="D13583" s="4" t="s">
        <v>20403</v>
      </c>
      <c r="E13583" s="4" t="s">
        <v>20404</v>
      </c>
      <c r="F13583" s="4" t="s">
        <v>20405</v>
      </c>
    </row>
    <row r="13584">
      <c r="A13584" s="4">
        <v>34.0</v>
      </c>
      <c r="B13584" s="4" t="s">
        <v>22113</v>
      </c>
      <c r="C13584" s="4"/>
      <c r="D13584" s="4" t="s">
        <v>4967</v>
      </c>
      <c r="E13584" s="4" t="s">
        <v>4966</v>
      </c>
      <c r="F13584" s="4" t="s">
        <v>4967</v>
      </c>
    </row>
    <row r="13585">
      <c r="A13585" s="4">
        <v>35.0</v>
      </c>
      <c r="B13585" s="4" t="s">
        <v>22113</v>
      </c>
      <c r="C13585" s="4"/>
      <c r="D13585" s="4" t="s">
        <v>20406</v>
      </c>
      <c r="E13585" s="4" t="s">
        <v>20407</v>
      </c>
      <c r="F13585" s="4" t="s">
        <v>20406</v>
      </c>
    </row>
    <row r="13586">
      <c r="A13586" s="4">
        <v>36.0</v>
      </c>
      <c r="B13586" s="4" t="s">
        <v>22113</v>
      </c>
      <c r="C13586" s="4"/>
      <c r="D13586" s="4" t="s">
        <v>17420</v>
      </c>
      <c r="E13586" s="4" t="s">
        <v>20408</v>
      </c>
      <c r="F13586" s="4" t="s">
        <v>17420</v>
      </c>
    </row>
    <row r="13587">
      <c r="A13587" s="4">
        <v>37.0</v>
      </c>
      <c r="B13587" s="4" t="s">
        <v>22113</v>
      </c>
      <c r="C13587" s="4"/>
      <c r="D13587" s="4" t="s">
        <v>14149</v>
      </c>
      <c r="E13587" s="4" t="s">
        <v>14148</v>
      </c>
      <c r="F13587" s="4" t="s">
        <v>14149</v>
      </c>
      <c r="G13587" s="4"/>
      <c r="H13587" s="4" t="s">
        <v>20409</v>
      </c>
      <c r="I13587" s="4" t="s">
        <v>14149</v>
      </c>
    </row>
    <row r="13588">
      <c r="A13588" s="4">
        <v>38.0</v>
      </c>
      <c r="B13588" s="4" t="s">
        <v>22113</v>
      </c>
      <c r="C13588" s="4"/>
      <c r="D13588" s="4" t="s">
        <v>20410</v>
      </c>
      <c r="E13588" s="4" t="s">
        <v>20411</v>
      </c>
      <c r="F13588" s="4" t="s">
        <v>20412</v>
      </c>
    </row>
    <row r="13589">
      <c r="A13589" s="4">
        <v>39.0</v>
      </c>
      <c r="B13589" s="4" t="s">
        <v>22113</v>
      </c>
      <c r="C13589" s="4"/>
      <c r="D13589" s="4" t="s">
        <v>4900</v>
      </c>
      <c r="E13589" s="4" t="s">
        <v>4899</v>
      </c>
      <c r="F13589" s="4" t="s">
        <v>4900</v>
      </c>
    </row>
    <row r="13590">
      <c r="A13590" s="4">
        <v>40.0</v>
      </c>
      <c r="B13590" s="4" t="s">
        <v>22113</v>
      </c>
      <c r="C13590" s="4"/>
      <c r="D13590" s="4" t="s">
        <v>20413</v>
      </c>
      <c r="E13590" s="4" t="s">
        <v>20414</v>
      </c>
      <c r="F13590" s="4" t="s">
        <v>20415</v>
      </c>
    </row>
    <row r="13591">
      <c r="A13591" s="4">
        <v>41.0</v>
      </c>
      <c r="B13591" s="4" t="s">
        <v>22113</v>
      </c>
      <c r="C13591" s="4"/>
      <c r="D13591" s="4" t="s">
        <v>20416</v>
      </c>
      <c r="E13591" s="4" t="s">
        <v>20417</v>
      </c>
      <c r="F13591" s="4" t="s">
        <v>14303</v>
      </c>
    </row>
    <row r="13592">
      <c r="A13592" s="4">
        <v>42.0</v>
      </c>
      <c r="B13592" s="4" t="s">
        <v>22113</v>
      </c>
      <c r="C13592" s="4"/>
      <c r="D13592" s="4" t="s">
        <v>20418</v>
      </c>
      <c r="E13592" s="4" t="s">
        <v>20419</v>
      </c>
      <c r="F13592" s="4" t="s">
        <v>20420</v>
      </c>
    </row>
    <row r="13593">
      <c r="A13593" s="4">
        <v>43.0</v>
      </c>
      <c r="B13593" s="4" t="s">
        <v>22113</v>
      </c>
      <c r="C13593" s="4"/>
      <c r="D13593" s="4" t="s">
        <v>20421</v>
      </c>
      <c r="E13593" s="4" t="s">
        <v>20422</v>
      </c>
      <c r="F13593" s="4" t="s">
        <v>20423</v>
      </c>
    </row>
    <row r="13594">
      <c r="A13594" s="4">
        <v>44.0</v>
      </c>
      <c r="B13594" s="4" t="s">
        <v>22113</v>
      </c>
      <c r="C13594" s="4"/>
      <c r="D13594" s="4" t="s">
        <v>20424</v>
      </c>
      <c r="E13594" s="4" t="s">
        <v>20411</v>
      </c>
      <c r="F13594" s="4" t="s">
        <v>20412</v>
      </c>
    </row>
    <row r="13595">
      <c r="A13595" s="4">
        <v>45.0</v>
      </c>
      <c r="B13595" s="4" t="s">
        <v>22113</v>
      </c>
      <c r="C13595" s="4"/>
      <c r="D13595" s="4" t="s">
        <v>20425</v>
      </c>
      <c r="E13595" s="4" t="s">
        <v>20426</v>
      </c>
      <c r="F13595" s="4" t="s">
        <v>20427</v>
      </c>
    </row>
    <row r="13596">
      <c r="A13596" s="4">
        <v>46.0</v>
      </c>
      <c r="B13596" s="4" t="s">
        <v>22113</v>
      </c>
      <c r="C13596" s="4"/>
      <c r="D13596" s="4" t="s">
        <v>17424</v>
      </c>
      <c r="E13596" s="4" t="s">
        <v>20428</v>
      </c>
      <c r="F13596" s="4" t="s">
        <v>20429</v>
      </c>
    </row>
    <row r="13597">
      <c r="A13597" s="4">
        <v>47.0</v>
      </c>
      <c r="B13597" s="4" t="s">
        <v>22113</v>
      </c>
      <c r="C13597" s="4"/>
      <c r="D13597" s="4" t="s">
        <v>20430</v>
      </c>
      <c r="E13597" s="4" t="s">
        <v>20431</v>
      </c>
      <c r="F13597" s="4" t="s">
        <v>20432</v>
      </c>
    </row>
    <row r="13598">
      <c r="A13598" s="4">
        <v>48.0</v>
      </c>
      <c r="B13598" s="4" t="s">
        <v>22113</v>
      </c>
      <c r="C13598" s="4"/>
      <c r="D13598" s="4" t="s">
        <v>20433</v>
      </c>
      <c r="E13598" s="4" t="s">
        <v>20434</v>
      </c>
      <c r="F13598" s="4" t="s">
        <v>20435</v>
      </c>
    </row>
    <row r="13599">
      <c r="A13599" s="4">
        <v>49.0</v>
      </c>
      <c r="B13599" s="4" t="s">
        <v>22113</v>
      </c>
      <c r="C13599" s="4"/>
      <c r="D13599" s="4" t="s">
        <v>20436</v>
      </c>
      <c r="E13599" s="4" t="s">
        <v>20437</v>
      </c>
      <c r="F13599" s="4" t="s">
        <v>20438</v>
      </c>
    </row>
    <row r="13600">
      <c r="A13600" s="4">
        <v>50.0</v>
      </c>
      <c r="B13600" s="4" t="s">
        <v>22113</v>
      </c>
      <c r="C13600" s="4"/>
      <c r="D13600" s="4" t="s">
        <v>20439</v>
      </c>
      <c r="E13600" s="4" t="s">
        <v>20440</v>
      </c>
      <c r="F13600" s="4" t="s">
        <v>20441</v>
      </c>
    </row>
    <row r="13601">
      <c r="A13601" s="4">
        <v>51.0</v>
      </c>
      <c r="B13601" s="4" t="s">
        <v>22113</v>
      </c>
      <c r="C13601" s="4"/>
      <c r="D13601" s="4" t="s">
        <v>20442</v>
      </c>
      <c r="E13601" s="4" t="s">
        <v>20434</v>
      </c>
      <c r="F13601" s="4" t="s">
        <v>20435</v>
      </c>
    </row>
    <row r="13602">
      <c r="A13602" s="4">
        <v>52.0</v>
      </c>
      <c r="B13602" s="4" t="s">
        <v>22113</v>
      </c>
      <c r="C13602" s="4"/>
      <c r="D13602" s="4" t="s">
        <v>20443</v>
      </c>
      <c r="E13602" s="4" t="s">
        <v>20440</v>
      </c>
      <c r="F13602" s="4" t="s">
        <v>20441</v>
      </c>
    </row>
    <row r="13603">
      <c r="A13603" s="4">
        <v>53.0</v>
      </c>
      <c r="B13603" s="4" t="s">
        <v>22113</v>
      </c>
      <c r="C13603" s="4"/>
      <c r="D13603" s="4" t="s">
        <v>20444</v>
      </c>
      <c r="E13603" s="4" t="s">
        <v>20445</v>
      </c>
      <c r="F13603" s="4" t="s">
        <v>20446</v>
      </c>
    </row>
    <row r="13604">
      <c r="A13604" s="4">
        <v>54.0</v>
      </c>
      <c r="B13604" s="4" t="s">
        <v>22113</v>
      </c>
      <c r="C13604" s="4"/>
      <c r="D13604" s="4" t="s">
        <v>20447</v>
      </c>
      <c r="E13604" s="4" t="s">
        <v>20448</v>
      </c>
      <c r="F13604" s="4" t="s">
        <v>20447</v>
      </c>
    </row>
    <row r="13605">
      <c r="A13605" s="4">
        <v>55.0</v>
      </c>
      <c r="B13605" s="4" t="s">
        <v>22113</v>
      </c>
      <c r="C13605" s="4"/>
      <c r="D13605" s="4" t="s">
        <v>20449</v>
      </c>
      <c r="E13605" s="4" t="s">
        <v>20450</v>
      </c>
      <c r="F13605" s="4" t="s">
        <v>20449</v>
      </c>
    </row>
    <row r="13606">
      <c r="A13606" s="4">
        <v>56.0</v>
      </c>
      <c r="B13606" s="4" t="s">
        <v>22113</v>
      </c>
      <c r="C13606" s="4"/>
      <c r="D13606" s="4" t="s">
        <v>20451</v>
      </c>
      <c r="E13606" s="4" t="s">
        <v>20452</v>
      </c>
      <c r="F13606" s="4" t="s">
        <v>20453</v>
      </c>
    </row>
    <row r="13607">
      <c r="A13607" s="4">
        <v>57.0</v>
      </c>
      <c r="B13607" s="4" t="s">
        <v>22113</v>
      </c>
      <c r="C13607" s="4"/>
      <c r="D13607" s="4" t="s">
        <v>20454</v>
      </c>
      <c r="E13607" s="4" t="s">
        <v>20455</v>
      </c>
      <c r="F13607" s="4" t="s">
        <v>20454</v>
      </c>
    </row>
    <row r="13608">
      <c r="A13608" s="4">
        <v>58.0</v>
      </c>
      <c r="B13608" s="4" t="s">
        <v>22113</v>
      </c>
      <c r="C13608" s="4"/>
      <c r="D13608" s="4" t="s">
        <v>20456</v>
      </c>
      <c r="E13608" s="4" t="s">
        <v>20457</v>
      </c>
      <c r="F13608" s="4" t="s">
        <v>20456</v>
      </c>
    </row>
    <row r="13609">
      <c r="A13609" s="4">
        <v>59.0</v>
      </c>
      <c r="B13609" s="4" t="s">
        <v>22113</v>
      </c>
      <c r="C13609" s="4"/>
      <c r="D13609" s="4" t="s">
        <v>11621</v>
      </c>
      <c r="E13609" s="4" t="s">
        <v>11622</v>
      </c>
      <c r="F13609" s="4" t="s">
        <v>11621</v>
      </c>
      <c r="G13609" s="4"/>
      <c r="H13609" s="4" t="s">
        <v>20458</v>
      </c>
    </row>
    <row r="13610">
      <c r="A13610" s="4">
        <v>60.0</v>
      </c>
      <c r="B13610" s="4" t="s">
        <v>22113</v>
      </c>
      <c r="C13610" s="4"/>
      <c r="D13610" s="4" t="s">
        <v>20459</v>
      </c>
      <c r="E13610" s="4" t="s">
        <v>20460</v>
      </c>
      <c r="F13610" s="4" t="s">
        <v>20461</v>
      </c>
    </row>
    <row r="13611">
      <c r="A13611" s="4">
        <v>61.0</v>
      </c>
      <c r="B13611" s="4" t="s">
        <v>22113</v>
      </c>
      <c r="C13611" s="4"/>
      <c r="D13611" s="4" t="s">
        <v>20462</v>
      </c>
      <c r="E13611" s="4" t="s">
        <v>20463</v>
      </c>
      <c r="F13611" s="4" t="s">
        <v>20462</v>
      </c>
    </row>
    <row r="13612">
      <c r="A13612" s="4">
        <v>62.0</v>
      </c>
      <c r="B13612" s="4" t="s">
        <v>22113</v>
      </c>
      <c r="C13612" s="4"/>
      <c r="D13612" s="4" t="s">
        <v>20464</v>
      </c>
      <c r="E13612" s="4" t="s">
        <v>20465</v>
      </c>
      <c r="F13612" s="4" t="s">
        <v>20464</v>
      </c>
    </row>
    <row r="13613">
      <c r="A13613" s="4">
        <v>63.0</v>
      </c>
      <c r="B13613" s="4" t="s">
        <v>22113</v>
      </c>
      <c r="C13613" s="4"/>
      <c r="D13613" s="4" t="s">
        <v>18935</v>
      </c>
      <c r="E13613" s="4" t="s">
        <v>509</v>
      </c>
      <c r="F13613" s="4" t="s">
        <v>508</v>
      </c>
      <c r="G13613" s="4"/>
      <c r="H13613" s="4" t="s">
        <v>18936</v>
      </c>
    </row>
    <row r="13614">
      <c r="A13614" s="4">
        <v>64.0</v>
      </c>
      <c r="B13614" s="4" t="s">
        <v>22113</v>
      </c>
      <c r="C13614" s="4"/>
      <c r="D13614" s="4" t="s">
        <v>20466</v>
      </c>
      <c r="E13614" s="4" t="s">
        <v>20467</v>
      </c>
      <c r="F13614" s="4" t="s">
        <v>20468</v>
      </c>
    </row>
    <row r="13615">
      <c r="A13615" s="4">
        <v>65.0</v>
      </c>
      <c r="B13615" s="4" t="s">
        <v>22113</v>
      </c>
      <c r="C13615" s="4"/>
      <c r="D13615" s="4" t="s">
        <v>20469</v>
      </c>
      <c r="E13615" s="4" t="s">
        <v>20470</v>
      </c>
      <c r="F13615" s="4" t="s">
        <v>20471</v>
      </c>
    </row>
    <row r="13616">
      <c r="A13616" s="4">
        <v>66.0</v>
      </c>
      <c r="B13616" s="4" t="s">
        <v>22113</v>
      </c>
      <c r="C13616" s="4"/>
      <c r="D13616" s="4" t="s">
        <v>566</v>
      </c>
      <c r="E13616" s="4" t="s">
        <v>567</v>
      </c>
      <c r="F13616" s="4" t="s">
        <v>566</v>
      </c>
      <c r="G13616" s="4"/>
      <c r="H13616" s="4" t="s">
        <v>20472</v>
      </c>
      <c r="I13616" s="4" t="s">
        <v>20473</v>
      </c>
      <c r="J13616" s="4" t="s">
        <v>20474</v>
      </c>
      <c r="K13616" s="4" t="s">
        <v>17249</v>
      </c>
    </row>
    <row r="13617">
      <c r="A13617" s="4">
        <v>67.0</v>
      </c>
      <c r="B13617" s="4" t="s">
        <v>22113</v>
      </c>
      <c r="C13617" s="4"/>
      <c r="D13617" s="4" t="s">
        <v>20475</v>
      </c>
      <c r="E13617" s="4" t="s">
        <v>20476</v>
      </c>
      <c r="F13617" s="4" t="s">
        <v>20475</v>
      </c>
    </row>
    <row r="13618">
      <c r="A13618" s="4">
        <v>68.0</v>
      </c>
      <c r="B13618" s="4" t="s">
        <v>22113</v>
      </c>
      <c r="C13618" s="4"/>
      <c r="D13618" s="4" t="s">
        <v>298</v>
      </c>
      <c r="E13618" s="4" t="s">
        <v>297</v>
      </c>
      <c r="F13618" s="4" t="s">
        <v>298</v>
      </c>
    </row>
    <row r="13619">
      <c r="A13619" s="4">
        <v>69.0</v>
      </c>
      <c r="B13619" s="4" t="s">
        <v>22113</v>
      </c>
      <c r="C13619" s="4"/>
      <c r="D13619" s="4" t="s">
        <v>20477</v>
      </c>
      <c r="E13619" s="4" t="s">
        <v>20478</v>
      </c>
      <c r="F13619" s="4" t="s">
        <v>20479</v>
      </c>
    </row>
    <row r="13620">
      <c r="A13620" s="4">
        <v>70.0</v>
      </c>
      <c r="B13620" s="4" t="s">
        <v>22113</v>
      </c>
      <c r="C13620" s="4"/>
      <c r="D13620" s="4" t="s">
        <v>570</v>
      </c>
      <c r="E13620" s="4" t="s">
        <v>571</v>
      </c>
      <c r="F13620" s="4" t="s">
        <v>570</v>
      </c>
      <c r="G13620" s="4"/>
      <c r="H13620" s="4" t="s">
        <v>572</v>
      </c>
    </row>
    <row r="13621">
      <c r="A13621" s="4">
        <v>71.0</v>
      </c>
      <c r="B13621" s="4" t="s">
        <v>22113</v>
      </c>
      <c r="C13621" s="4"/>
      <c r="D13621" s="4" t="s">
        <v>573</v>
      </c>
      <c r="E13621" s="4" t="s">
        <v>574</v>
      </c>
      <c r="F13621" s="4" t="s">
        <v>573</v>
      </c>
    </row>
    <row r="13622">
      <c r="A13622" s="4">
        <v>72.0</v>
      </c>
      <c r="B13622" s="4" t="s">
        <v>22113</v>
      </c>
      <c r="C13622" s="4"/>
      <c r="D13622" s="4" t="s">
        <v>575</v>
      </c>
      <c r="E13622" s="4" t="s">
        <v>576</v>
      </c>
      <c r="F13622" s="4" t="s">
        <v>575</v>
      </c>
    </row>
    <row r="13623">
      <c r="A13623" s="4">
        <v>73.0</v>
      </c>
      <c r="B13623" s="4" t="s">
        <v>22113</v>
      </c>
      <c r="C13623" s="4"/>
      <c r="D13623" s="4" t="s">
        <v>20480</v>
      </c>
      <c r="E13623" s="4" t="s">
        <v>20481</v>
      </c>
      <c r="F13623" s="4" t="s">
        <v>20480</v>
      </c>
    </row>
    <row r="13624">
      <c r="A13624" s="4">
        <v>74.0</v>
      </c>
      <c r="B13624" s="4" t="s">
        <v>22113</v>
      </c>
      <c r="C13624" s="4"/>
      <c r="D13624" s="4" t="s">
        <v>14312</v>
      </c>
      <c r="E13624" s="4" t="s">
        <v>14313</v>
      </c>
      <c r="F13624" s="4" t="s">
        <v>14312</v>
      </c>
      <c r="G13624" s="4"/>
      <c r="H13624" s="4" t="s">
        <v>20482</v>
      </c>
      <c r="I13624" s="4" t="s">
        <v>6611</v>
      </c>
    </row>
    <row r="13625">
      <c r="A13625" s="4">
        <v>75.0</v>
      </c>
      <c r="B13625" s="4" t="s">
        <v>22113</v>
      </c>
      <c r="C13625" s="4"/>
      <c r="D13625" s="4" t="s">
        <v>20483</v>
      </c>
      <c r="E13625" s="4" t="s">
        <v>20484</v>
      </c>
      <c r="F13625" s="4" t="s">
        <v>20485</v>
      </c>
    </row>
    <row r="13626">
      <c r="A13626" s="4">
        <v>76.0</v>
      </c>
      <c r="B13626" s="4" t="s">
        <v>22113</v>
      </c>
      <c r="C13626" s="4"/>
      <c r="D13626" s="4" t="s">
        <v>14077</v>
      </c>
      <c r="E13626" s="4" t="s">
        <v>14078</v>
      </c>
      <c r="F13626" s="4" t="s">
        <v>14077</v>
      </c>
    </row>
    <row r="13627">
      <c r="A13627" s="4">
        <v>77.0</v>
      </c>
      <c r="B13627" s="4" t="s">
        <v>22113</v>
      </c>
      <c r="C13627" s="4"/>
      <c r="D13627" s="4" t="s">
        <v>11659</v>
      </c>
      <c r="E13627" s="4" t="s">
        <v>11660</v>
      </c>
      <c r="F13627" s="4" t="s">
        <v>11661</v>
      </c>
    </row>
    <row r="13628">
      <c r="A13628" s="4">
        <v>78.0</v>
      </c>
      <c r="B13628" s="4" t="s">
        <v>22113</v>
      </c>
      <c r="C13628" s="4"/>
      <c r="D13628" s="4" t="s">
        <v>20486</v>
      </c>
      <c r="E13628" s="4" t="s">
        <v>20487</v>
      </c>
      <c r="F13628" s="4" t="s">
        <v>20486</v>
      </c>
    </row>
    <row r="13629">
      <c r="A13629" s="4">
        <v>79.0</v>
      </c>
      <c r="B13629" s="4" t="s">
        <v>22113</v>
      </c>
      <c r="C13629" s="4"/>
      <c r="D13629" s="4" t="s">
        <v>20488</v>
      </c>
      <c r="E13629" s="4" t="s">
        <v>20489</v>
      </c>
      <c r="F13629" s="4" t="s">
        <v>20488</v>
      </c>
    </row>
    <row r="13630">
      <c r="A13630" s="4">
        <v>80.0</v>
      </c>
      <c r="B13630" s="4" t="s">
        <v>22113</v>
      </c>
      <c r="C13630" s="4"/>
      <c r="D13630" s="4" t="s">
        <v>608</v>
      </c>
      <c r="E13630" s="4" t="s">
        <v>609</v>
      </c>
      <c r="F13630" s="4" t="s">
        <v>608</v>
      </c>
    </row>
    <row r="13631">
      <c r="A13631" s="4">
        <v>81.0</v>
      </c>
      <c r="B13631" s="4" t="s">
        <v>22113</v>
      </c>
      <c r="C13631" s="4"/>
      <c r="D13631" s="4" t="s">
        <v>20490</v>
      </c>
      <c r="E13631" s="4" t="s">
        <v>20491</v>
      </c>
      <c r="F13631" s="4" t="s">
        <v>20490</v>
      </c>
    </row>
    <row r="13632">
      <c r="A13632" s="4">
        <v>82.0</v>
      </c>
      <c r="B13632" s="4" t="s">
        <v>22113</v>
      </c>
      <c r="C13632" s="4"/>
      <c r="D13632" s="4" t="s">
        <v>5823</v>
      </c>
      <c r="E13632" s="4" t="s">
        <v>20492</v>
      </c>
      <c r="F13632" s="4" t="s">
        <v>5823</v>
      </c>
    </row>
    <row r="13633">
      <c r="A13633" s="4">
        <v>83.0</v>
      </c>
      <c r="B13633" s="4" t="s">
        <v>22113</v>
      </c>
      <c r="C13633" s="4"/>
      <c r="D13633" s="4" t="s">
        <v>20493</v>
      </c>
      <c r="E13633" s="4" t="s">
        <v>20478</v>
      </c>
      <c r="F13633" s="4" t="s">
        <v>20479</v>
      </c>
    </row>
    <row r="13634">
      <c r="A13634" s="4">
        <v>84.0</v>
      </c>
      <c r="B13634" s="4" t="s">
        <v>22113</v>
      </c>
      <c r="C13634" s="4"/>
      <c r="D13634" s="4" t="s">
        <v>20494</v>
      </c>
      <c r="E13634" s="4" t="s">
        <v>297</v>
      </c>
      <c r="F13634" s="4" t="s">
        <v>298</v>
      </c>
    </row>
    <row r="13635">
      <c r="A13635" s="4">
        <v>85.0</v>
      </c>
      <c r="B13635" s="4" t="s">
        <v>22113</v>
      </c>
      <c r="C13635" s="4"/>
      <c r="D13635" s="4" t="s">
        <v>20495</v>
      </c>
      <c r="E13635" s="4" t="s">
        <v>297</v>
      </c>
      <c r="F13635" s="4" t="s">
        <v>298</v>
      </c>
    </row>
    <row r="13636">
      <c r="A13636" s="4">
        <v>86.0</v>
      </c>
      <c r="B13636" s="4" t="s">
        <v>22113</v>
      </c>
      <c r="C13636" s="4"/>
      <c r="D13636" s="4" t="s">
        <v>20496</v>
      </c>
      <c r="E13636" s="4" t="s">
        <v>20497</v>
      </c>
      <c r="F13636" s="4" t="s">
        <v>20498</v>
      </c>
    </row>
    <row r="13637">
      <c r="A13637" s="4">
        <v>87.0</v>
      </c>
      <c r="B13637" s="4" t="s">
        <v>22113</v>
      </c>
      <c r="C13637" s="4"/>
      <c r="D13637" s="4" t="s">
        <v>20499</v>
      </c>
      <c r="E13637" s="4" t="s">
        <v>20500</v>
      </c>
      <c r="F13637" s="4" t="s">
        <v>20501</v>
      </c>
    </row>
    <row r="13638">
      <c r="A13638" s="4">
        <v>88.0</v>
      </c>
      <c r="B13638" s="4" t="s">
        <v>22113</v>
      </c>
      <c r="C13638" s="4"/>
      <c r="D13638" s="4" t="s">
        <v>741</v>
      </c>
      <c r="E13638" s="4" t="s">
        <v>740</v>
      </c>
      <c r="F13638" s="4" t="s">
        <v>741</v>
      </c>
    </row>
    <row r="13639">
      <c r="A13639" s="4">
        <v>89.0</v>
      </c>
      <c r="B13639" s="4" t="s">
        <v>22113</v>
      </c>
      <c r="C13639" s="4"/>
      <c r="D13639" s="4" t="s">
        <v>622</v>
      </c>
      <c r="E13639" s="4" t="s">
        <v>623</v>
      </c>
      <c r="F13639" s="4" t="s">
        <v>622</v>
      </c>
      <c r="G13639" s="4"/>
      <c r="H13639" s="4" t="s">
        <v>622</v>
      </c>
    </row>
    <row r="13640">
      <c r="A13640" s="4">
        <v>90.0</v>
      </c>
      <c r="B13640" s="4" t="s">
        <v>22113</v>
      </c>
      <c r="C13640" s="4"/>
      <c r="D13640" s="4" t="s">
        <v>631</v>
      </c>
      <c r="E13640" s="4" t="s">
        <v>632</v>
      </c>
      <c r="F13640" s="4" t="s">
        <v>633</v>
      </c>
    </row>
    <row r="13641">
      <c r="A13641" s="4">
        <v>91.0</v>
      </c>
      <c r="B13641" s="4" t="s">
        <v>22113</v>
      </c>
      <c r="C13641" s="4"/>
      <c r="D13641" s="4" t="s">
        <v>20502</v>
      </c>
      <c r="E13641" s="4" t="s">
        <v>20503</v>
      </c>
      <c r="F13641" s="4" t="s">
        <v>20502</v>
      </c>
    </row>
    <row r="13642">
      <c r="A13642" s="4">
        <v>92.0</v>
      </c>
      <c r="B13642" s="4" t="s">
        <v>22113</v>
      </c>
      <c r="C13642" s="4"/>
      <c r="D13642" s="4" t="s">
        <v>20504</v>
      </c>
      <c r="E13642" s="4" t="s">
        <v>5023</v>
      </c>
      <c r="F13642" s="4" t="s">
        <v>5024</v>
      </c>
    </row>
    <row r="13643">
      <c r="A13643" s="4">
        <v>93.0</v>
      </c>
      <c r="B13643" s="4" t="s">
        <v>22113</v>
      </c>
      <c r="C13643" s="4"/>
      <c r="D13643" s="4" t="s">
        <v>20505</v>
      </c>
      <c r="E13643" s="4" t="s">
        <v>4810</v>
      </c>
      <c r="F13643" s="4" t="s">
        <v>3547</v>
      </c>
    </row>
    <row r="13644">
      <c r="A13644" s="4">
        <v>94.0</v>
      </c>
      <c r="B13644" s="4" t="s">
        <v>22113</v>
      </c>
      <c r="C13644" s="4"/>
      <c r="D13644" s="4" t="s">
        <v>20506</v>
      </c>
      <c r="E13644" s="4" t="s">
        <v>20507</v>
      </c>
      <c r="F13644" s="4" t="s">
        <v>20506</v>
      </c>
    </row>
    <row r="13645">
      <c r="A13645" s="4">
        <v>95.0</v>
      </c>
      <c r="B13645" s="4" t="s">
        <v>22113</v>
      </c>
      <c r="C13645" s="4"/>
      <c r="D13645" s="4" t="s">
        <v>20508</v>
      </c>
      <c r="E13645" s="4" t="s">
        <v>20509</v>
      </c>
      <c r="F13645" s="4" t="s">
        <v>20508</v>
      </c>
    </row>
    <row r="13646">
      <c r="A13646" s="4">
        <v>96.0</v>
      </c>
      <c r="B13646" s="4" t="s">
        <v>22113</v>
      </c>
      <c r="C13646" s="4"/>
      <c r="D13646" s="4" t="s">
        <v>17442</v>
      </c>
      <c r="E13646" s="4" t="s">
        <v>18937</v>
      </c>
      <c r="F13646" s="4" t="s">
        <v>17442</v>
      </c>
      <c r="G13646" s="4"/>
      <c r="H13646" s="4" t="s">
        <v>17445</v>
      </c>
      <c r="I13646" s="4" t="s">
        <v>17446</v>
      </c>
      <c r="J13646" s="4" t="s">
        <v>17447</v>
      </c>
      <c r="K13646" s="4" t="s">
        <v>17448</v>
      </c>
    </row>
    <row r="13647">
      <c r="A13647" s="4">
        <v>97.0</v>
      </c>
      <c r="B13647" s="4" t="s">
        <v>22113</v>
      </c>
      <c r="C13647" s="4"/>
      <c r="D13647" s="4" t="s">
        <v>652</v>
      </c>
      <c r="E13647" s="4" t="s">
        <v>653</v>
      </c>
      <c r="F13647" s="4" t="s">
        <v>652</v>
      </c>
    </row>
    <row r="13648">
      <c r="A13648" s="4">
        <v>98.0</v>
      </c>
      <c r="B13648" s="4" t="s">
        <v>22113</v>
      </c>
      <c r="C13648" s="4"/>
      <c r="D13648" s="4" t="s">
        <v>654</v>
      </c>
      <c r="E13648" s="4" t="s">
        <v>655</v>
      </c>
      <c r="F13648" s="4" t="s">
        <v>654</v>
      </c>
      <c r="G13648" s="4"/>
      <c r="H13648" s="4" t="s">
        <v>654</v>
      </c>
      <c r="I13648" s="4" t="s">
        <v>656</v>
      </c>
      <c r="J13648" s="4" t="s">
        <v>657</v>
      </c>
      <c r="K13648" s="4" t="s">
        <v>658</v>
      </c>
      <c r="L13648" s="4" t="s">
        <v>659</v>
      </c>
      <c r="M13648" s="4" t="s">
        <v>660</v>
      </c>
      <c r="N13648" s="4" t="s">
        <v>657</v>
      </c>
      <c r="O13648" s="4" t="s">
        <v>664</v>
      </c>
      <c r="P13648" s="4" t="s">
        <v>665</v>
      </c>
      <c r="Q13648" s="4" t="s">
        <v>658</v>
      </c>
      <c r="R13648" s="4" t="s">
        <v>666</v>
      </c>
      <c r="S13648" s="4" t="s">
        <v>667</v>
      </c>
      <c r="T13648" s="4" t="s">
        <v>668</v>
      </c>
      <c r="U13648" s="4" t="s">
        <v>669</v>
      </c>
      <c r="V13648" s="4" t="s">
        <v>670</v>
      </c>
      <c r="W13648" s="4" t="s">
        <v>671</v>
      </c>
      <c r="X13648" s="4" t="s">
        <v>672</v>
      </c>
      <c r="Y13648" s="4" t="s">
        <v>673</v>
      </c>
      <c r="Z13648" s="4" t="s">
        <v>674</v>
      </c>
      <c r="AA13648" s="4" t="s">
        <v>675</v>
      </c>
      <c r="AB13648" s="4" t="s">
        <v>676</v>
      </c>
      <c r="AC13648" s="4" t="s">
        <v>677</v>
      </c>
      <c r="AD13648" s="4" t="s">
        <v>678</v>
      </c>
      <c r="AE13648" s="4" t="s">
        <v>679</v>
      </c>
    </row>
    <row r="13649">
      <c r="A13649" s="4">
        <v>99.0</v>
      </c>
      <c r="B13649" s="4" t="s">
        <v>22113</v>
      </c>
      <c r="C13649" s="4"/>
      <c r="D13649" s="4" t="s">
        <v>680</v>
      </c>
      <c r="E13649" s="4" t="s">
        <v>681</v>
      </c>
      <c r="F13649" s="4" t="s">
        <v>680</v>
      </c>
      <c r="G13649" s="4"/>
      <c r="H13649" s="4" t="s">
        <v>682</v>
      </c>
      <c r="I13649" s="4" t="s">
        <v>683</v>
      </c>
      <c r="J13649" s="4" t="s">
        <v>684</v>
      </c>
      <c r="K13649" s="4" t="s">
        <v>685</v>
      </c>
      <c r="L13649" s="4" t="s">
        <v>686</v>
      </c>
      <c r="M13649" s="4" t="s">
        <v>687</v>
      </c>
      <c r="N13649" s="4" t="s">
        <v>688</v>
      </c>
      <c r="O13649" s="4" t="s">
        <v>689</v>
      </c>
      <c r="P13649" s="4" t="s">
        <v>690</v>
      </c>
      <c r="Q13649" s="4" t="s">
        <v>4751</v>
      </c>
      <c r="R13649" s="4" t="s">
        <v>19744</v>
      </c>
      <c r="S13649" s="4" t="s">
        <v>19745</v>
      </c>
      <c r="T13649" s="4" t="s">
        <v>598</v>
      </c>
      <c r="U13649" s="4" t="s">
        <v>695</v>
      </c>
      <c r="V13649" s="4" t="s">
        <v>696</v>
      </c>
      <c r="W13649" s="4" t="s">
        <v>690</v>
      </c>
      <c r="X13649" s="4" t="s">
        <v>16894</v>
      </c>
      <c r="Y13649" s="4" t="s">
        <v>1800</v>
      </c>
      <c r="Z13649" s="4" t="s">
        <v>3887</v>
      </c>
      <c r="AA13649" s="4" t="s">
        <v>697</v>
      </c>
      <c r="AB13649" s="4" t="s">
        <v>698</v>
      </c>
      <c r="AC13649" s="4" t="s">
        <v>699</v>
      </c>
      <c r="AD13649" s="4" t="s">
        <v>700</v>
      </c>
      <c r="AE13649" s="4" t="s">
        <v>700</v>
      </c>
      <c r="AF13649" s="4" t="s">
        <v>20510</v>
      </c>
      <c r="AG13649" s="4" t="s">
        <v>19746</v>
      </c>
      <c r="AH13649" s="4" t="s">
        <v>9437</v>
      </c>
      <c r="AI13649" s="4" t="s">
        <v>20511</v>
      </c>
      <c r="AJ13649" s="4" t="s">
        <v>20512</v>
      </c>
      <c r="AK13649" s="4" t="s">
        <v>20513</v>
      </c>
      <c r="AL13649" s="4" t="s">
        <v>684</v>
      </c>
      <c r="AM13649" s="4" t="s">
        <v>700</v>
      </c>
      <c r="AN13649" s="4" t="s">
        <v>701</v>
      </c>
      <c r="AO13649" s="4" t="s">
        <v>703</v>
      </c>
      <c r="AP13649" s="4" t="s">
        <v>704</v>
      </c>
      <c r="AQ13649" s="4" t="s">
        <v>705</v>
      </c>
      <c r="AR13649" s="4" t="s">
        <v>706</v>
      </c>
      <c r="AS13649" s="4" t="s">
        <v>8083</v>
      </c>
      <c r="AT13649" s="4" t="s">
        <v>19746</v>
      </c>
      <c r="AU13649" s="4" t="s">
        <v>690</v>
      </c>
      <c r="AV13649" s="4" t="s">
        <v>689</v>
      </c>
      <c r="AW13649" s="4" t="s">
        <v>686</v>
      </c>
      <c r="AX13649" s="4" t="s">
        <v>19747</v>
      </c>
      <c r="AY13649" s="4" t="s">
        <v>700</v>
      </c>
      <c r="AZ13649" s="4" t="s">
        <v>20514</v>
      </c>
      <c r="BA13649" s="4" t="s">
        <v>20515</v>
      </c>
      <c r="BB13649" s="4" t="s">
        <v>20516</v>
      </c>
      <c r="BC13649" s="4" t="s">
        <v>699</v>
      </c>
      <c r="BD13649" s="4" t="s">
        <v>718</v>
      </c>
      <c r="BE13649" s="4" t="s">
        <v>719</v>
      </c>
    </row>
    <row r="13650">
      <c r="A13650" s="4">
        <v>100.0</v>
      </c>
      <c r="B13650" s="4" t="s">
        <v>22113</v>
      </c>
      <c r="C13650" s="4"/>
      <c r="D13650" s="4" t="s">
        <v>20517</v>
      </c>
      <c r="E13650" s="4" t="s">
        <v>20518</v>
      </c>
      <c r="F13650" s="4" t="s">
        <v>20517</v>
      </c>
    </row>
    <row r="13651">
      <c r="A13651" s="4">
        <v>101.0</v>
      </c>
      <c r="B13651" s="4" t="s">
        <v>22113</v>
      </c>
      <c r="C13651" s="4"/>
      <c r="D13651" s="4" t="s">
        <v>20519</v>
      </c>
      <c r="E13651" s="4" t="s">
        <v>20520</v>
      </c>
      <c r="F13651" s="4" t="s">
        <v>20519</v>
      </c>
    </row>
    <row r="13652">
      <c r="A13652" s="4">
        <v>102.0</v>
      </c>
      <c r="B13652" s="4" t="s">
        <v>22113</v>
      </c>
      <c r="C13652" s="4"/>
      <c r="D13652" s="4" t="s">
        <v>20521</v>
      </c>
      <c r="E13652" s="4" t="s">
        <v>20518</v>
      </c>
      <c r="F13652" s="4" t="s">
        <v>20517</v>
      </c>
    </row>
    <row r="13653">
      <c r="A13653" s="4">
        <v>103.0</v>
      </c>
      <c r="B13653" s="4" t="s">
        <v>22113</v>
      </c>
      <c r="C13653" s="4"/>
      <c r="D13653" s="4" t="s">
        <v>20522</v>
      </c>
      <c r="E13653" s="4" t="s">
        <v>20520</v>
      </c>
      <c r="F13653" s="4" t="s">
        <v>20519</v>
      </c>
    </row>
    <row r="13654">
      <c r="A13654" s="4">
        <v>104.0</v>
      </c>
      <c r="B13654" s="4" t="s">
        <v>22113</v>
      </c>
      <c r="C13654" s="4"/>
      <c r="D13654" s="4" t="s">
        <v>11683</v>
      </c>
      <c r="E13654" s="4" t="s">
        <v>11682</v>
      </c>
      <c r="F13654" s="4" t="s">
        <v>11683</v>
      </c>
    </row>
    <row r="13655">
      <c r="A13655" s="4">
        <v>105.0</v>
      </c>
      <c r="B13655" s="4" t="s">
        <v>22113</v>
      </c>
      <c r="C13655" s="4"/>
      <c r="D13655" s="4" t="s">
        <v>20523</v>
      </c>
      <c r="E13655" s="4" t="s">
        <v>20524</v>
      </c>
      <c r="F13655" s="4" t="s">
        <v>20525</v>
      </c>
      <c r="G13655" s="4"/>
      <c r="H13655" s="4" t="s">
        <v>20526</v>
      </c>
      <c r="I13655" s="4" t="s">
        <v>20527</v>
      </c>
      <c r="J13655" s="4" t="s">
        <v>20528</v>
      </c>
      <c r="K13655" s="4" t="s">
        <v>20529</v>
      </c>
    </row>
    <row r="13656">
      <c r="A13656" s="4">
        <v>106.0</v>
      </c>
      <c r="B13656" s="4" t="s">
        <v>22113</v>
      </c>
      <c r="C13656" s="4"/>
      <c r="D13656" s="4" t="s">
        <v>20530</v>
      </c>
      <c r="E13656" s="4" t="s">
        <v>20531</v>
      </c>
      <c r="F13656" s="4" t="s">
        <v>20530</v>
      </c>
    </row>
    <row r="13657">
      <c r="A13657" s="4">
        <v>107.0</v>
      </c>
      <c r="B13657" s="4" t="s">
        <v>22113</v>
      </c>
      <c r="C13657" s="4"/>
      <c r="D13657" s="4" t="s">
        <v>9294</v>
      </c>
      <c r="E13657" s="4" t="s">
        <v>11686</v>
      </c>
      <c r="F13657" s="4" t="s">
        <v>9294</v>
      </c>
    </row>
    <row r="13658">
      <c r="A13658" s="4">
        <v>108.0</v>
      </c>
      <c r="B13658" s="4" t="s">
        <v>22113</v>
      </c>
      <c r="C13658" s="4"/>
      <c r="D13658" s="4" t="s">
        <v>20532</v>
      </c>
      <c r="E13658" s="4" t="s">
        <v>20533</v>
      </c>
      <c r="F13658" s="4" t="s">
        <v>20532</v>
      </c>
    </row>
    <row r="13659">
      <c r="A13659" s="4">
        <v>109.0</v>
      </c>
      <c r="B13659" s="4" t="s">
        <v>22113</v>
      </c>
      <c r="C13659" s="4"/>
      <c r="D13659" s="4" t="s">
        <v>20534</v>
      </c>
      <c r="E13659" s="4" t="s">
        <v>20535</v>
      </c>
      <c r="F13659" s="4" t="s">
        <v>20534</v>
      </c>
      <c r="G13659" s="4"/>
      <c r="H13659" s="4" t="s">
        <v>19930</v>
      </c>
      <c r="I13659" s="4" t="s">
        <v>3045</v>
      </c>
      <c r="J13659" s="4" t="s">
        <v>2297</v>
      </c>
      <c r="K13659" s="4" t="s">
        <v>8984</v>
      </c>
      <c r="L13659" s="4" t="s">
        <v>8985</v>
      </c>
      <c r="M13659" s="4" t="s">
        <v>19934</v>
      </c>
      <c r="N13659" s="4" t="s">
        <v>20536</v>
      </c>
      <c r="O13659" s="4" t="s">
        <v>20537</v>
      </c>
      <c r="P13659" s="4" t="s">
        <v>6431</v>
      </c>
      <c r="Q13659" s="4" t="s">
        <v>20538</v>
      </c>
      <c r="R13659" s="4" t="s">
        <v>20539</v>
      </c>
      <c r="S13659" s="4" t="s">
        <v>20540</v>
      </c>
      <c r="T13659" s="4" t="s">
        <v>20541</v>
      </c>
      <c r="U13659" s="4" t="s">
        <v>20542</v>
      </c>
      <c r="V13659" s="4" t="s">
        <v>20543</v>
      </c>
      <c r="W13659" s="4" t="s">
        <v>20544</v>
      </c>
      <c r="X13659" s="4" t="s">
        <v>19931</v>
      </c>
      <c r="Y13659" s="4" t="s">
        <v>1800</v>
      </c>
      <c r="Z13659" s="4" t="s">
        <v>20545</v>
      </c>
      <c r="AA13659" s="4" t="s">
        <v>20543</v>
      </c>
      <c r="AB13659" s="4" t="s">
        <v>20546</v>
      </c>
      <c r="AC13659" s="4" t="s">
        <v>20540</v>
      </c>
      <c r="AD13659" s="4" t="s">
        <v>20547</v>
      </c>
      <c r="AE13659" s="4" t="s">
        <v>20548</v>
      </c>
      <c r="AF13659" s="4" t="s">
        <v>15699</v>
      </c>
      <c r="AG13659" s="4" t="s">
        <v>15700</v>
      </c>
      <c r="AH13659" s="4" t="s">
        <v>15700</v>
      </c>
      <c r="AI13659" s="4" t="s">
        <v>20549</v>
      </c>
      <c r="AJ13659" s="4" t="s">
        <v>19930</v>
      </c>
      <c r="AK13659" s="4" t="s">
        <v>19931</v>
      </c>
      <c r="AL13659" s="4" t="s">
        <v>19932</v>
      </c>
      <c r="AM13659" s="4" t="s">
        <v>3045</v>
      </c>
      <c r="AN13659" s="4" t="s">
        <v>19933</v>
      </c>
      <c r="AO13659" s="4" t="s">
        <v>19934</v>
      </c>
      <c r="AP13659" s="4" t="s">
        <v>20541</v>
      </c>
      <c r="AQ13659" s="4" t="s">
        <v>3346</v>
      </c>
      <c r="AR13659" s="4" t="s">
        <v>20549</v>
      </c>
      <c r="AS13659" s="4" t="s">
        <v>8965</v>
      </c>
      <c r="AT13659" s="4" t="s">
        <v>20550</v>
      </c>
      <c r="AU13659" s="4" t="s">
        <v>20551</v>
      </c>
    </row>
    <row r="13660">
      <c r="A13660" s="4">
        <v>110.0</v>
      </c>
      <c r="B13660" s="4" t="s">
        <v>22113</v>
      </c>
      <c r="C13660" s="4"/>
      <c r="D13660" s="4" t="s">
        <v>20552</v>
      </c>
      <c r="E13660" s="4" t="s">
        <v>20553</v>
      </c>
      <c r="F13660" s="4" t="s">
        <v>14817</v>
      </c>
      <c r="G13660" s="4"/>
      <c r="H13660" s="4" t="s">
        <v>4998</v>
      </c>
      <c r="I13660" s="4" t="s">
        <v>20554</v>
      </c>
      <c r="J13660" s="4" t="s">
        <v>20555</v>
      </c>
      <c r="K13660" s="4" t="s">
        <v>4998</v>
      </c>
      <c r="L13660" s="4" t="s">
        <v>4999</v>
      </c>
      <c r="M13660" s="4" t="s">
        <v>4998</v>
      </c>
      <c r="N13660" s="4" t="s">
        <v>4998</v>
      </c>
    </row>
    <row r="13661">
      <c r="A13661" s="4">
        <v>111.0</v>
      </c>
      <c r="B13661" s="4" t="s">
        <v>22113</v>
      </c>
      <c r="C13661" s="4"/>
      <c r="D13661" s="4" t="s">
        <v>745</v>
      </c>
      <c r="E13661" s="4" t="s">
        <v>746</v>
      </c>
      <c r="F13661" s="4" t="s">
        <v>747</v>
      </c>
      <c r="G13661" s="4"/>
      <c r="H13661" s="4" t="s">
        <v>751</v>
      </c>
      <c r="I13661" s="4" t="s">
        <v>752</v>
      </c>
    </row>
    <row r="13662">
      <c r="A13662" s="4">
        <v>112.0</v>
      </c>
      <c r="B13662" s="4" t="s">
        <v>22113</v>
      </c>
      <c r="C13662" s="4"/>
      <c r="D13662" s="4" t="s">
        <v>755</v>
      </c>
      <c r="E13662" s="4" t="s">
        <v>756</v>
      </c>
      <c r="F13662" s="4" t="s">
        <v>755</v>
      </c>
    </row>
    <row r="13663">
      <c r="A13663" s="4">
        <v>113.0</v>
      </c>
      <c r="B13663" s="4" t="s">
        <v>22113</v>
      </c>
      <c r="C13663" s="4"/>
      <c r="D13663" s="4" t="s">
        <v>20556</v>
      </c>
      <c r="E13663" s="4" t="s">
        <v>20557</v>
      </c>
      <c r="F13663" s="4" t="s">
        <v>20556</v>
      </c>
    </row>
    <row r="13664">
      <c r="A13664" s="4">
        <v>114.0</v>
      </c>
      <c r="B13664" s="4" t="s">
        <v>22113</v>
      </c>
      <c r="C13664" s="4"/>
      <c r="D13664" s="4" t="s">
        <v>20558</v>
      </c>
      <c r="E13664" s="4" t="s">
        <v>20559</v>
      </c>
      <c r="F13664" s="4" t="s">
        <v>20558</v>
      </c>
      <c r="G13664" s="4"/>
      <c r="H13664" s="4" t="s">
        <v>20560</v>
      </c>
      <c r="I13664" s="4" t="s">
        <v>20561</v>
      </c>
      <c r="J13664" s="4" t="s">
        <v>20562</v>
      </c>
    </row>
    <row r="13665">
      <c r="A13665" s="4">
        <v>115.0</v>
      </c>
      <c r="B13665" s="4" t="s">
        <v>22113</v>
      </c>
      <c r="C13665" s="4"/>
      <c r="D13665" s="4" t="s">
        <v>20563</v>
      </c>
      <c r="E13665" s="4" t="s">
        <v>20564</v>
      </c>
      <c r="F13665" s="4" t="s">
        <v>20563</v>
      </c>
    </row>
    <row r="13666">
      <c r="A13666" s="4">
        <v>116.0</v>
      </c>
      <c r="B13666" s="4" t="s">
        <v>22113</v>
      </c>
      <c r="C13666" s="4"/>
      <c r="D13666" s="4" t="s">
        <v>20565</v>
      </c>
      <c r="E13666" s="4" t="s">
        <v>20566</v>
      </c>
      <c r="F13666" s="4" t="s">
        <v>20565</v>
      </c>
    </row>
    <row r="13667">
      <c r="A13667" s="4">
        <v>117.0</v>
      </c>
      <c r="B13667" s="4" t="s">
        <v>22113</v>
      </c>
      <c r="C13667" s="4"/>
      <c r="D13667" s="4" t="s">
        <v>20567</v>
      </c>
      <c r="E13667" s="4" t="s">
        <v>20568</v>
      </c>
      <c r="F13667" s="4" t="s">
        <v>20567</v>
      </c>
    </row>
    <row r="13668">
      <c r="A13668" s="4">
        <v>118.0</v>
      </c>
      <c r="B13668" s="4" t="s">
        <v>22113</v>
      </c>
      <c r="C13668" s="4"/>
      <c r="D13668" s="4" t="s">
        <v>20569</v>
      </c>
      <c r="E13668" s="4" t="s">
        <v>20566</v>
      </c>
      <c r="F13668" s="4" t="s">
        <v>20565</v>
      </c>
    </row>
    <row r="13669">
      <c r="A13669" s="4">
        <v>119.0</v>
      </c>
      <c r="B13669" s="4" t="s">
        <v>22113</v>
      </c>
      <c r="C13669" s="4"/>
      <c r="D13669" s="4" t="s">
        <v>20570</v>
      </c>
      <c r="E13669" s="4" t="s">
        <v>20568</v>
      </c>
      <c r="F13669" s="4" t="s">
        <v>20567</v>
      </c>
    </row>
    <row r="13670">
      <c r="A13670" s="4">
        <v>120.0</v>
      </c>
      <c r="B13670" s="4" t="s">
        <v>22113</v>
      </c>
      <c r="C13670" s="4"/>
      <c r="D13670" s="4" t="s">
        <v>20571</v>
      </c>
      <c r="E13670" s="4" t="s">
        <v>20572</v>
      </c>
      <c r="F13670" s="4" t="s">
        <v>20571</v>
      </c>
    </row>
    <row r="13671">
      <c r="A13671" s="4">
        <v>121.0</v>
      </c>
      <c r="B13671" s="4" t="s">
        <v>22113</v>
      </c>
      <c r="C13671" s="4"/>
      <c r="D13671" s="4" t="s">
        <v>20573</v>
      </c>
      <c r="E13671" s="4" t="s">
        <v>20574</v>
      </c>
      <c r="F13671" s="4" t="s">
        <v>20573</v>
      </c>
    </row>
    <row r="13672">
      <c r="A13672" s="4">
        <v>122.0</v>
      </c>
      <c r="B13672" s="4" t="s">
        <v>22113</v>
      </c>
      <c r="C13672" s="4"/>
      <c r="D13672" s="4" t="s">
        <v>14082</v>
      </c>
      <c r="E13672" s="4" t="s">
        <v>14083</v>
      </c>
      <c r="F13672" s="4" t="s">
        <v>14082</v>
      </c>
    </row>
    <row r="13673">
      <c r="A13673" s="4">
        <v>123.0</v>
      </c>
      <c r="B13673" s="4" t="s">
        <v>22113</v>
      </c>
      <c r="C13673" s="4"/>
      <c r="D13673" s="4" t="s">
        <v>20575</v>
      </c>
      <c r="E13673" s="4" t="s">
        <v>20576</v>
      </c>
      <c r="F13673" s="4" t="s">
        <v>20577</v>
      </c>
    </row>
    <row r="13674">
      <c r="A13674" s="4">
        <v>124.0</v>
      </c>
      <c r="B13674" s="4" t="s">
        <v>22113</v>
      </c>
      <c r="C13674" s="4"/>
      <c r="D13674" s="4" t="s">
        <v>20578</v>
      </c>
      <c r="E13674" s="4" t="s">
        <v>20579</v>
      </c>
      <c r="F13674" s="4" t="s">
        <v>20578</v>
      </c>
    </row>
    <row r="13675">
      <c r="A13675" s="4">
        <v>125.0</v>
      </c>
      <c r="B13675" s="4" t="s">
        <v>22113</v>
      </c>
      <c r="C13675" s="4"/>
      <c r="D13675" s="4" t="s">
        <v>774</v>
      </c>
      <c r="E13675" s="4" t="s">
        <v>773</v>
      </c>
      <c r="F13675" s="4" t="s">
        <v>774</v>
      </c>
      <c r="G13675" s="4"/>
      <c r="H13675" s="4" t="s">
        <v>781</v>
      </c>
      <c r="I13675" s="4" t="s">
        <v>782</v>
      </c>
    </row>
    <row r="13676">
      <c r="A13676" s="4">
        <v>126.0</v>
      </c>
      <c r="B13676" s="4" t="s">
        <v>22113</v>
      </c>
      <c r="C13676" s="4"/>
      <c r="D13676" s="4" t="s">
        <v>784</v>
      </c>
      <c r="E13676" s="4" t="s">
        <v>474</v>
      </c>
      <c r="F13676" s="4" t="s">
        <v>475</v>
      </c>
    </row>
    <row r="13677">
      <c r="A13677" s="4">
        <v>127.0</v>
      </c>
      <c r="B13677" s="4" t="s">
        <v>22113</v>
      </c>
      <c r="C13677" s="4"/>
      <c r="D13677" s="4" t="s">
        <v>791</v>
      </c>
      <c r="E13677" s="4" t="s">
        <v>792</v>
      </c>
      <c r="F13677" s="4" t="s">
        <v>791</v>
      </c>
    </row>
    <row r="13678">
      <c r="A13678" s="4">
        <v>128.0</v>
      </c>
      <c r="B13678" s="4" t="s">
        <v>22113</v>
      </c>
      <c r="C13678" s="4"/>
      <c r="D13678" s="4" t="s">
        <v>793</v>
      </c>
      <c r="E13678" s="4" t="s">
        <v>794</v>
      </c>
      <c r="F13678" s="4" t="s">
        <v>793</v>
      </c>
      <c r="G13678" s="4"/>
      <c r="H13678" s="4" t="s">
        <v>15159</v>
      </c>
      <c r="I13678" s="4" t="s">
        <v>795</v>
      </c>
      <c r="J13678" s="4" t="s">
        <v>796</v>
      </c>
    </row>
    <row r="13679">
      <c r="A13679" s="4">
        <v>129.0</v>
      </c>
      <c r="B13679" s="4" t="s">
        <v>22113</v>
      </c>
      <c r="C13679" s="4"/>
      <c r="D13679" s="4" t="s">
        <v>20580</v>
      </c>
      <c r="E13679" s="4" t="s">
        <v>20581</v>
      </c>
      <c r="F13679" s="4" t="s">
        <v>20580</v>
      </c>
    </row>
    <row r="13680">
      <c r="A13680" s="4">
        <v>130.0</v>
      </c>
      <c r="B13680" s="4" t="s">
        <v>22113</v>
      </c>
      <c r="C13680" s="4"/>
      <c r="D13680" s="4" t="s">
        <v>20582</v>
      </c>
      <c r="E13680" s="4" t="s">
        <v>20583</v>
      </c>
      <c r="F13680" s="4" t="s">
        <v>20582</v>
      </c>
    </row>
    <row r="13681">
      <c r="A13681" s="4">
        <v>131.0</v>
      </c>
      <c r="B13681" s="4" t="s">
        <v>22113</v>
      </c>
      <c r="C13681" s="4"/>
      <c r="D13681" s="4" t="s">
        <v>20584</v>
      </c>
      <c r="E13681" s="4" t="s">
        <v>20581</v>
      </c>
      <c r="F13681" s="4" t="s">
        <v>20580</v>
      </c>
    </row>
    <row r="13682">
      <c r="A13682" s="4">
        <v>132.0</v>
      </c>
      <c r="B13682" s="4" t="s">
        <v>22113</v>
      </c>
      <c r="C13682" s="4"/>
      <c r="D13682" s="4" t="s">
        <v>20585</v>
      </c>
      <c r="E13682" s="4" t="s">
        <v>20583</v>
      </c>
      <c r="F13682" s="4" t="s">
        <v>20582</v>
      </c>
    </row>
    <row r="13683">
      <c r="A13683" s="4">
        <v>133.0</v>
      </c>
      <c r="B13683" s="4" t="s">
        <v>22113</v>
      </c>
      <c r="C13683" s="4"/>
      <c r="D13683" s="4" t="s">
        <v>20586</v>
      </c>
      <c r="E13683" s="4" t="s">
        <v>20587</v>
      </c>
      <c r="F13683" s="4" t="s">
        <v>20586</v>
      </c>
    </row>
    <row r="13684">
      <c r="A13684" s="4">
        <v>134.0</v>
      </c>
      <c r="B13684" s="4" t="s">
        <v>22113</v>
      </c>
      <c r="C13684" s="4"/>
      <c r="D13684" s="4" t="s">
        <v>787</v>
      </c>
      <c r="E13684" s="4" t="s">
        <v>786</v>
      </c>
      <c r="F13684" s="4" t="s">
        <v>787</v>
      </c>
      <c r="G13684" s="4"/>
      <c r="H13684" s="4" t="s">
        <v>789</v>
      </c>
      <c r="I13684" s="4" t="s">
        <v>3488</v>
      </c>
      <c r="J13684" s="4" t="s">
        <v>788</v>
      </c>
      <c r="K13684" s="4" t="s">
        <v>3489</v>
      </c>
      <c r="L13684" s="4" t="s">
        <v>3490</v>
      </c>
      <c r="M13684" s="4" t="s">
        <v>788</v>
      </c>
      <c r="N13684" s="4" t="s">
        <v>789</v>
      </c>
      <c r="O13684" s="4" t="s">
        <v>3727</v>
      </c>
    </row>
    <row r="13685">
      <c r="A13685" s="4">
        <v>135.0</v>
      </c>
      <c r="B13685" s="4" t="s">
        <v>22113</v>
      </c>
      <c r="C13685" s="4"/>
      <c r="D13685" s="4" t="s">
        <v>20588</v>
      </c>
      <c r="E13685" s="4" t="s">
        <v>20589</v>
      </c>
      <c r="F13685" s="4" t="s">
        <v>20590</v>
      </c>
    </row>
    <row r="13686">
      <c r="A13686" s="4">
        <v>136.0</v>
      </c>
      <c r="B13686" s="4" t="s">
        <v>22113</v>
      </c>
      <c r="C13686" s="4"/>
      <c r="D13686" s="4" t="s">
        <v>814</v>
      </c>
      <c r="E13686" s="4" t="s">
        <v>815</v>
      </c>
      <c r="F13686" s="4" t="s">
        <v>816</v>
      </c>
    </row>
    <row r="13687">
      <c r="A13687" s="4">
        <v>137.0</v>
      </c>
      <c r="B13687" s="4" t="s">
        <v>22113</v>
      </c>
      <c r="C13687" s="4"/>
      <c r="D13687" s="4" t="s">
        <v>817</v>
      </c>
      <c r="E13687" s="4" t="s">
        <v>818</v>
      </c>
      <c r="F13687" s="4" t="s">
        <v>817</v>
      </c>
      <c r="G13687" s="4"/>
      <c r="H13687" s="4" t="s">
        <v>20591</v>
      </c>
      <c r="I13687" s="4" t="s">
        <v>20592</v>
      </c>
      <c r="J13687" s="4" t="s">
        <v>20591</v>
      </c>
    </row>
    <row r="13688">
      <c r="A13688" s="4">
        <v>138.0</v>
      </c>
      <c r="B13688" s="4" t="s">
        <v>22113</v>
      </c>
      <c r="C13688" s="4"/>
      <c r="D13688" s="4" t="s">
        <v>20593</v>
      </c>
      <c r="E13688" s="4" t="s">
        <v>20594</v>
      </c>
      <c r="F13688" s="4" t="s">
        <v>20593</v>
      </c>
    </row>
    <row r="13689">
      <c r="A13689" s="4">
        <v>139.0</v>
      </c>
      <c r="B13689" s="4" t="s">
        <v>22113</v>
      </c>
      <c r="C13689" s="4"/>
      <c r="D13689" s="4" t="s">
        <v>20595</v>
      </c>
      <c r="E13689" s="4" t="s">
        <v>20596</v>
      </c>
      <c r="F13689" s="4" t="s">
        <v>20595</v>
      </c>
    </row>
    <row r="13690">
      <c r="A13690" s="4">
        <v>140.0</v>
      </c>
      <c r="B13690" s="4" t="s">
        <v>22113</v>
      </c>
      <c r="C13690" s="4"/>
      <c r="D13690" s="4" t="s">
        <v>20597</v>
      </c>
      <c r="E13690" s="4" t="s">
        <v>20598</v>
      </c>
      <c r="F13690" s="4" t="s">
        <v>20599</v>
      </c>
    </row>
    <row r="13691">
      <c r="A13691" s="4">
        <v>141.0</v>
      </c>
      <c r="B13691" s="4" t="s">
        <v>22113</v>
      </c>
      <c r="C13691" s="4"/>
      <c r="D13691" s="4" t="s">
        <v>824</v>
      </c>
      <c r="E13691" s="4" t="s">
        <v>823</v>
      </c>
      <c r="F13691" s="4" t="s">
        <v>824</v>
      </c>
      <c r="G13691" s="4"/>
      <c r="H13691" s="4" t="s">
        <v>825</v>
      </c>
    </row>
    <row r="13692">
      <c r="A13692" s="4">
        <v>142.0</v>
      </c>
      <c r="B13692" s="4" t="s">
        <v>22113</v>
      </c>
      <c r="C13692" s="4"/>
      <c r="D13692" s="4" t="s">
        <v>20600</v>
      </c>
      <c r="E13692" s="4" t="s">
        <v>20601</v>
      </c>
      <c r="F13692" s="4" t="s">
        <v>20600</v>
      </c>
      <c r="G13692" s="4"/>
      <c r="H13692" s="4" t="s">
        <v>20602</v>
      </c>
      <c r="I13692" s="4" t="s">
        <v>12577</v>
      </c>
      <c r="J13692" s="4" t="s">
        <v>20603</v>
      </c>
      <c r="K13692" s="4" t="s">
        <v>19611</v>
      </c>
      <c r="L13692" s="4" t="s">
        <v>20604</v>
      </c>
      <c r="M13692" s="4" t="s">
        <v>6284</v>
      </c>
    </row>
    <row r="13693">
      <c r="A13693" s="4">
        <v>143.0</v>
      </c>
      <c r="B13693" s="4" t="s">
        <v>22113</v>
      </c>
      <c r="C13693" s="4"/>
      <c r="D13693" s="4" t="s">
        <v>20605</v>
      </c>
      <c r="E13693" s="4" t="s">
        <v>20606</v>
      </c>
      <c r="F13693" s="4" t="s">
        <v>20605</v>
      </c>
    </row>
    <row r="13694">
      <c r="A13694" s="4">
        <v>144.0</v>
      </c>
      <c r="B13694" s="4" t="s">
        <v>22113</v>
      </c>
      <c r="C13694" s="4"/>
      <c r="D13694" s="4" t="s">
        <v>20607</v>
      </c>
      <c r="E13694" s="4" t="s">
        <v>20608</v>
      </c>
      <c r="F13694" s="4" t="s">
        <v>20609</v>
      </c>
    </row>
    <row r="13695">
      <c r="A13695" s="4">
        <v>145.0</v>
      </c>
      <c r="B13695" s="4" t="s">
        <v>22113</v>
      </c>
      <c r="C13695" s="4"/>
      <c r="D13695" s="4" t="s">
        <v>20610</v>
      </c>
      <c r="E13695" s="4" t="s">
        <v>20611</v>
      </c>
      <c r="F13695" s="4" t="s">
        <v>20610</v>
      </c>
    </row>
    <row r="13696">
      <c r="A13696" s="4">
        <v>146.0</v>
      </c>
      <c r="B13696" s="4" t="s">
        <v>22113</v>
      </c>
      <c r="C13696" s="4"/>
      <c r="D13696" s="4" t="s">
        <v>20612</v>
      </c>
      <c r="E13696" s="4" t="s">
        <v>20613</v>
      </c>
      <c r="F13696" s="4" t="s">
        <v>20614</v>
      </c>
    </row>
    <row r="13697">
      <c r="A13697" s="4">
        <v>147.0</v>
      </c>
      <c r="B13697" s="4" t="s">
        <v>22113</v>
      </c>
      <c r="C13697" s="4"/>
      <c r="D13697" s="4" t="s">
        <v>295</v>
      </c>
      <c r="E13697" s="4" t="s">
        <v>294</v>
      </c>
      <c r="F13697" s="4" t="s">
        <v>295</v>
      </c>
      <c r="G13697" s="4"/>
      <c r="H13697" s="4" t="s">
        <v>833</v>
      </c>
      <c r="I13697" s="4" t="s">
        <v>833</v>
      </c>
      <c r="J13697" s="4" t="s">
        <v>834</v>
      </c>
      <c r="K13697" s="4" t="s">
        <v>605</v>
      </c>
      <c r="L13697" s="4" t="s">
        <v>835</v>
      </c>
      <c r="M13697" s="4" t="s">
        <v>836</v>
      </c>
      <c r="N13697" s="4" t="s">
        <v>837</v>
      </c>
      <c r="O13697" s="4" t="s">
        <v>838</v>
      </c>
      <c r="P13697" s="4" t="s">
        <v>839</v>
      </c>
      <c r="Q13697" s="4" t="s">
        <v>840</v>
      </c>
      <c r="R13697" s="4" t="s">
        <v>841</v>
      </c>
      <c r="S13697" s="4" t="s">
        <v>842</v>
      </c>
      <c r="T13697" s="4" t="s">
        <v>843</v>
      </c>
      <c r="U13697" s="4" t="s">
        <v>844</v>
      </c>
      <c r="V13697" s="4" t="s">
        <v>845</v>
      </c>
      <c r="W13697" s="4" t="s">
        <v>846</v>
      </c>
    </row>
    <row r="13698">
      <c r="A13698" s="4">
        <v>148.0</v>
      </c>
      <c r="B13698" s="4" t="s">
        <v>22113</v>
      </c>
      <c r="C13698" s="4"/>
      <c r="D13698" s="4" t="s">
        <v>14086</v>
      </c>
      <c r="E13698" s="4" t="s">
        <v>14087</v>
      </c>
      <c r="F13698" s="4" t="s">
        <v>14086</v>
      </c>
      <c r="G13698" s="4"/>
      <c r="H13698" s="4" t="s">
        <v>2426</v>
      </c>
      <c r="I13698" s="4" t="s">
        <v>11321</v>
      </c>
      <c r="J13698" s="4" t="s">
        <v>14088</v>
      </c>
      <c r="K13698" s="4" t="s">
        <v>313</v>
      </c>
    </row>
    <row r="13699">
      <c r="A13699" s="4">
        <v>149.0</v>
      </c>
      <c r="B13699" s="4" t="s">
        <v>22113</v>
      </c>
      <c r="C13699" s="4"/>
      <c r="D13699" s="4" t="s">
        <v>9342</v>
      </c>
      <c r="E13699" s="4" t="s">
        <v>15648</v>
      </c>
      <c r="F13699" s="4" t="s">
        <v>9342</v>
      </c>
      <c r="G13699" s="4"/>
      <c r="H13699" s="4" t="s">
        <v>9342</v>
      </c>
    </row>
    <row r="13700">
      <c r="A13700" s="4">
        <v>150.0</v>
      </c>
      <c r="B13700" s="4" t="s">
        <v>22113</v>
      </c>
      <c r="C13700" s="4"/>
      <c r="D13700" s="4" t="s">
        <v>14089</v>
      </c>
      <c r="E13700" s="4" t="s">
        <v>14090</v>
      </c>
      <c r="F13700" s="4" t="s">
        <v>14089</v>
      </c>
    </row>
    <row r="13701">
      <c r="A13701" s="4">
        <v>151.0</v>
      </c>
      <c r="B13701" s="4" t="s">
        <v>22113</v>
      </c>
      <c r="C13701" s="4"/>
      <c r="D13701" s="4" t="s">
        <v>20615</v>
      </c>
      <c r="E13701" s="4" t="s">
        <v>20616</v>
      </c>
      <c r="F13701" s="4" t="s">
        <v>20615</v>
      </c>
    </row>
    <row r="13702">
      <c r="A13702" s="4">
        <v>152.0</v>
      </c>
      <c r="B13702" s="4" t="s">
        <v>22113</v>
      </c>
      <c r="C13702" s="4"/>
      <c r="D13702" s="4" t="s">
        <v>20617</v>
      </c>
      <c r="E13702" s="4" t="s">
        <v>20618</v>
      </c>
      <c r="F13702" s="4" t="s">
        <v>20617</v>
      </c>
    </row>
    <row r="13703">
      <c r="A13703" s="4">
        <v>153.0</v>
      </c>
      <c r="B13703" s="4" t="s">
        <v>22113</v>
      </c>
      <c r="C13703" s="4"/>
      <c r="D13703" s="4" t="s">
        <v>20619</v>
      </c>
      <c r="E13703" s="4" t="s">
        <v>20616</v>
      </c>
      <c r="F13703" s="4" t="s">
        <v>20615</v>
      </c>
    </row>
    <row r="13704">
      <c r="A13704" s="4">
        <v>154.0</v>
      </c>
      <c r="B13704" s="4" t="s">
        <v>22113</v>
      </c>
      <c r="C13704" s="4"/>
      <c r="D13704" s="4" t="s">
        <v>20620</v>
      </c>
      <c r="E13704" s="4" t="s">
        <v>20618</v>
      </c>
      <c r="F13704" s="4" t="s">
        <v>20617</v>
      </c>
    </row>
    <row r="13705">
      <c r="A13705" s="4">
        <v>155.0</v>
      </c>
      <c r="B13705" s="4" t="s">
        <v>22113</v>
      </c>
      <c r="C13705" s="4"/>
      <c r="D13705" s="4" t="s">
        <v>15649</v>
      </c>
      <c r="E13705" s="4" t="s">
        <v>15650</v>
      </c>
      <c r="F13705" s="4" t="s">
        <v>15649</v>
      </c>
    </row>
    <row r="13706">
      <c r="A13706" s="4">
        <v>156.0</v>
      </c>
      <c r="B13706" s="4" t="s">
        <v>22113</v>
      </c>
      <c r="C13706" s="4"/>
      <c r="D13706" s="4" t="s">
        <v>20621</v>
      </c>
      <c r="E13706" s="4" t="s">
        <v>20622</v>
      </c>
      <c r="F13706" s="4" t="s">
        <v>20621</v>
      </c>
      <c r="G13706" s="4"/>
      <c r="H13706" s="4" t="s">
        <v>486</v>
      </c>
    </row>
    <row r="13707">
      <c r="A13707" s="4">
        <v>157.0</v>
      </c>
      <c r="B13707" s="4" t="s">
        <v>22113</v>
      </c>
      <c r="C13707" s="4"/>
      <c r="D13707" s="4" t="s">
        <v>875</v>
      </c>
      <c r="E13707" s="4" t="s">
        <v>874</v>
      </c>
      <c r="F13707" s="4" t="s">
        <v>875</v>
      </c>
      <c r="G13707" s="4"/>
      <c r="H13707" s="4" t="s">
        <v>876</v>
      </c>
      <c r="I13707" s="4" t="s">
        <v>877</v>
      </c>
      <c r="J13707" s="4" t="s">
        <v>877</v>
      </c>
      <c r="K13707" s="4" t="s">
        <v>878</v>
      </c>
      <c r="L13707" s="4" t="s">
        <v>876</v>
      </c>
      <c r="M13707" s="4" t="s">
        <v>879</v>
      </c>
      <c r="N13707" s="4" t="s">
        <v>486</v>
      </c>
      <c r="O13707" s="4" t="s">
        <v>878</v>
      </c>
    </row>
    <row r="13708">
      <c r="A13708" s="4">
        <v>158.0</v>
      </c>
      <c r="B13708" s="4" t="s">
        <v>22113</v>
      </c>
      <c r="C13708" s="4"/>
      <c r="D13708" s="4" t="s">
        <v>20623</v>
      </c>
      <c r="E13708" s="4" t="s">
        <v>20624</v>
      </c>
      <c r="F13708" s="4" t="s">
        <v>20623</v>
      </c>
    </row>
    <row r="13709">
      <c r="A13709" s="4">
        <v>159.0</v>
      </c>
      <c r="B13709" s="4" t="s">
        <v>22113</v>
      </c>
      <c r="C13709" s="4"/>
      <c r="D13709" s="4" t="s">
        <v>20625</v>
      </c>
      <c r="E13709" s="4" t="s">
        <v>20626</v>
      </c>
      <c r="F13709" s="4" t="s">
        <v>20625</v>
      </c>
    </row>
    <row r="13710">
      <c r="A13710" s="4">
        <v>160.0</v>
      </c>
      <c r="B13710" s="4" t="s">
        <v>22113</v>
      </c>
      <c r="C13710" s="4"/>
      <c r="D13710" s="4" t="s">
        <v>20627</v>
      </c>
      <c r="E13710" s="4" t="s">
        <v>20628</v>
      </c>
      <c r="F13710" s="4" t="s">
        <v>20627</v>
      </c>
      <c r="G13710" s="4"/>
      <c r="H13710" s="4" t="s">
        <v>20629</v>
      </c>
      <c r="I13710" s="4" t="s">
        <v>20630</v>
      </c>
      <c r="J13710" s="4" t="s">
        <v>20631</v>
      </c>
      <c r="K13710" s="4" t="s">
        <v>11322</v>
      </c>
      <c r="L13710" s="4" t="s">
        <v>20632</v>
      </c>
      <c r="M13710" s="4" t="s">
        <v>20633</v>
      </c>
      <c r="N13710" s="4" t="s">
        <v>20633</v>
      </c>
      <c r="O13710" s="4" t="s">
        <v>11321</v>
      </c>
      <c r="P13710" s="4" t="s">
        <v>15189</v>
      </c>
      <c r="Q13710" s="4" t="s">
        <v>5742</v>
      </c>
      <c r="R13710" s="4" t="s">
        <v>11321</v>
      </c>
    </row>
    <row r="13711">
      <c r="A13711" s="4">
        <v>161.0</v>
      </c>
      <c r="B13711" s="4" t="s">
        <v>22113</v>
      </c>
      <c r="C13711" s="4"/>
      <c r="D13711" s="4" t="s">
        <v>9347</v>
      </c>
      <c r="E13711" s="4" t="s">
        <v>15678</v>
      </c>
      <c r="F13711" s="4" t="s">
        <v>9347</v>
      </c>
    </row>
    <row r="13712">
      <c r="A13712" s="4">
        <v>162.0</v>
      </c>
      <c r="B13712" s="4" t="s">
        <v>22113</v>
      </c>
      <c r="C13712" s="4"/>
      <c r="D13712" s="4" t="s">
        <v>882</v>
      </c>
      <c r="E13712" s="4" t="s">
        <v>881</v>
      </c>
      <c r="F13712" s="4" t="s">
        <v>882</v>
      </c>
      <c r="G13712" s="4"/>
      <c r="H13712" s="4" t="s">
        <v>883</v>
      </c>
      <c r="I13712" s="4" t="s">
        <v>884</v>
      </c>
      <c r="J13712" s="4" t="s">
        <v>885</v>
      </c>
      <c r="K13712" s="4" t="s">
        <v>886</v>
      </c>
      <c r="L13712" s="4" t="s">
        <v>887</v>
      </c>
      <c r="M13712" s="4" t="s">
        <v>878</v>
      </c>
      <c r="N13712" s="4" t="s">
        <v>888</v>
      </c>
      <c r="O13712" s="4" t="s">
        <v>15684</v>
      </c>
      <c r="P13712" s="4" t="s">
        <v>888</v>
      </c>
      <c r="Q13712" s="4" t="s">
        <v>7917</v>
      </c>
      <c r="R13712" s="4" t="s">
        <v>883</v>
      </c>
      <c r="S13712" s="4" t="s">
        <v>883</v>
      </c>
      <c r="T13712" s="4" t="s">
        <v>885</v>
      </c>
      <c r="U13712" s="4" t="s">
        <v>886</v>
      </c>
      <c r="V13712" s="4" t="s">
        <v>888</v>
      </c>
      <c r="W13712" s="4" t="s">
        <v>3086</v>
      </c>
      <c r="X13712" s="4" t="s">
        <v>887</v>
      </c>
      <c r="Y13712" s="4" t="s">
        <v>3082</v>
      </c>
    </row>
    <row r="13713">
      <c r="A13713" s="4">
        <v>163.0</v>
      </c>
      <c r="B13713" s="4" t="s">
        <v>22113</v>
      </c>
      <c r="C13713" s="4"/>
      <c r="D13713" s="4" t="s">
        <v>20634</v>
      </c>
      <c r="E13713" s="4" t="s">
        <v>14087</v>
      </c>
      <c r="F13713" s="4" t="s">
        <v>14086</v>
      </c>
    </row>
    <row r="13714">
      <c r="A13714" s="4">
        <v>164.0</v>
      </c>
      <c r="B13714" s="4" t="s">
        <v>22113</v>
      </c>
      <c r="C13714" s="4"/>
      <c r="D13714" s="4" t="s">
        <v>20635</v>
      </c>
      <c r="E13714" s="4" t="s">
        <v>501</v>
      </c>
      <c r="F13714" s="4" t="s">
        <v>502</v>
      </c>
    </row>
    <row r="13715">
      <c r="A13715" s="4">
        <v>165.0</v>
      </c>
      <c r="B13715" s="4" t="s">
        <v>22113</v>
      </c>
      <c r="C13715" s="4"/>
      <c r="D13715" s="4" t="s">
        <v>20636</v>
      </c>
      <c r="E13715" s="4" t="s">
        <v>890</v>
      </c>
      <c r="F13715" s="4" t="s">
        <v>891</v>
      </c>
    </row>
    <row r="13716">
      <c r="A13716" s="4">
        <v>166.0</v>
      </c>
      <c r="B13716" s="4" t="s">
        <v>22113</v>
      </c>
      <c r="C13716" s="4"/>
      <c r="D13716" s="4" t="s">
        <v>19539</v>
      </c>
      <c r="E13716" s="4" t="s">
        <v>19540</v>
      </c>
      <c r="F13716" s="4" t="s">
        <v>19539</v>
      </c>
    </row>
    <row r="13717">
      <c r="A13717" s="4">
        <v>167.0</v>
      </c>
      <c r="B13717" s="4" t="s">
        <v>22113</v>
      </c>
      <c r="C13717" s="4"/>
      <c r="D13717" s="4" t="s">
        <v>20637</v>
      </c>
      <c r="E13717" s="4" t="s">
        <v>20638</v>
      </c>
      <c r="F13717" s="4" t="s">
        <v>20639</v>
      </c>
    </row>
    <row r="13718">
      <c r="A13718" s="4">
        <v>168.0</v>
      </c>
      <c r="B13718" s="4" t="s">
        <v>22113</v>
      </c>
      <c r="C13718" s="4"/>
      <c r="D13718" s="4" t="s">
        <v>911</v>
      </c>
      <c r="E13718" s="4" t="s">
        <v>912</v>
      </c>
      <c r="F13718" s="4" t="s">
        <v>913</v>
      </c>
      <c r="G13718" s="4"/>
      <c r="H13718" s="4" t="s">
        <v>895</v>
      </c>
      <c r="I13718" s="4" t="s">
        <v>895</v>
      </c>
      <c r="J13718" s="4" t="s">
        <v>3618</v>
      </c>
      <c r="K13718" s="4" t="s">
        <v>914</v>
      </c>
      <c r="L13718" s="4" t="s">
        <v>19971</v>
      </c>
      <c r="M13718" s="4" t="s">
        <v>19972</v>
      </c>
      <c r="N13718" s="4" t="s">
        <v>915</v>
      </c>
      <c r="O13718" s="4" t="s">
        <v>895</v>
      </c>
      <c r="P13718" s="4" t="s">
        <v>19973</v>
      </c>
      <c r="Q13718" s="4" t="s">
        <v>895</v>
      </c>
      <c r="R13718" s="4" t="s">
        <v>914</v>
      </c>
      <c r="S13718" s="4" t="s">
        <v>914</v>
      </c>
      <c r="T13718" s="4" t="s">
        <v>915</v>
      </c>
      <c r="U13718" s="4" t="s">
        <v>916</v>
      </c>
      <c r="V13718" s="4" t="s">
        <v>895</v>
      </c>
    </row>
    <row r="13719">
      <c r="A13719" s="4">
        <v>169.0</v>
      </c>
      <c r="B13719" s="4" t="s">
        <v>22113</v>
      </c>
      <c r="C13719" s="4"/>
      <c r="D13719" s="4" t="s">
        <v>20640</v>
      </c>
      <c r="E13719" s="4" t="s">
        <v>20641</v>
      </c>
      <c r="F13719" s="4" t="s">
        <v>913</v>
      </c>
      <c r="G13719" s="4"/>
      <c r="H13719" s="4" t="s">
        <v>20642</v>
      </c>
      <c r="I13719" s="4" t="s">
        <v>932</v>
      </c>
      <c r="J13719" s="4" t="s">
        <v>20643</v>
      </c>
      <c r="K13719" s="4" t="s">
        <v>20644</v>
      </c>
      <c r="L13719" s="4" t="s">
        <v>20645</v>
      </c>
      <c r="M13719" s="4" t="s">
        <v>20646</v>
      </c>
      <c r="N13719" s="4" t="s">
        <v>20647</v>
      </c>
      <c r="O13719" s="4" t="s">
        <v>20648</v>
      </c>
      <c r="P13719" s="4" t="s">
        <v>20649</v>
      </c>
      <c r="Q13719" s="4" t="s">
        <v>20650</v>
      </c>
      <c r="R13719" s="4" t="s">
        <v>20651</v>
      </c>
      <c r="S13719" s="4" t="s">
        <v>20652</v>
      </c>
      <c r="T13719" s="4" t="s">
        <v>20653</v>
      </c>
      <c r="U13719" s="4" t="s">
        <v>19933</v>
      </c>
      <c r="V13719" s="4" t="s">
        <v>20654</v>
      </c>
    </row>
    <row r="13720">
      <c r="A13720" s="4">
        <v>170.0</v>
      </c>
      <c r="B13720" s="4" t="s">
        <v>22113</v>
      </c>
      <c r="C13720" s="4"/>
      <c r="D13720" s="4" t="s">
        <v>20655</v>
      </c>
      <c r="E13720" s="4" t="s">
        <v>20656</v>
      </c>
      <c r="F13720" s="4" t="s">
        <v>20657</v>
      </c>
    </row>
    <row r="13721">
      <c r="A13721" s="4">
        <v>171.0</v>
      </c>
      <c r="B13721" s="4" t="s">
        <v>22113</v>
      </c>
      <c r="C13721" s="4"/>
      <c r="D13721" s="4" t="s">
        <v>14093</v>
      </c>
      <c r="E13721" s="4" t="s">
        <v>14094</v>
      </c>
      <c r="F13721" s="4" t="s">
        <v>14093</v>
      </c>
      <c r="G13721" s="4"/>
      <c r="H13721" s="4" t="s">
        <v>20658</v>
      </c>
      <c r="I13721" s="4" t="s">
        <v>20659</v>
      </c>
      <c r="J13721" s="4" t="s">
        <v>20660</v>
      </c>
      <c r="K13721" s="4" t="s">
        <v>3050</v>
      </c>
      <c r="L13721" s="4" t="s">
        <v>19642</v>
      </c>
      <c r="M13721" s="4" t="s">
        <v>20660</v>
      </c>
      <c r="N13721" s="4" t="s">
        <v>20661</v>
      </c>
      <c r="O13721" s="4" t="s">
        <v>19642</v>
      </c>
      <c r="P13721" s="4" t="s">
        <v>20662</v>
      </c>
      <c r="Q13721" s="4" t="s">
        <v>2145</v>
      </c>
      <c r="R13721" s="4" t="s">
        <v>19642</v>
      </c>
      <c r="S13721" s="4" t="s">
        <v>20659</v>
      </c>
      <c r="T13721" s="4" t="s">
        <v>19584</v>
      </c>
      <c r="U13721" s="4" t="s">
        <v>20663</v>
      </c>
      <c r="V13721" s="4" t="s">
        <v>9189</v>
      </c>
      <c r="W13721" s="4" t="s">
        <v>19642</v>
      </c>
      <c r="X13721" s="4" t="s">
        <v>3169</v>
      </c>
      <c r="Y13721" s="4" t="s">
        <v>20664</v>
      </c>
      <c r="Z13721" s="4" t="s">
        <v>3050</v>
      </c>
    </row>
    <row r="13722">
      <c r="A13722" s="4">
        <v>172.0</v>
      </c>
      <c r="B13722" s="4" t="s">
        <v>22113</v>
      </c>
      <c r="C13722" s="4"/>
      <c r="D13722" s="4" t="s">
        <v>20665</v>
      </c>
      <c r="E13722" s="4" t="s">
        <v>20666</v>
      </c>
      <c r="F13722" s="4" t="s">
        <v>20665</v>
      </c>
    </row>
    <row r="13723">
      <c r="A13723" s="4">
        <v>173.0</v>
      </c>
      <c r="B13723" s="4" t="s">
        <v>22113</v>
      </c>
      <c r="C13723" s="4"/>
      <c r="D13723" s="4" t="s">
        <v>20667</v>
      </c>
      <c r="E13723" s="4" t="s">
        <v>20668</v>
      </c>
      <c r="F13723" s="4" t="s">
        <v>20667</v>
      </c>
    </row>
    <row r="13724">
      <c r="A13724" s="4">
        <v>174.0</v>
      </c>
      <c r="B13724" s="4" t="s">
        <v>22113</v>
      </c>
      <c r="C13724" s="4"/>
      <c r="D13724" s="4" t="s">
        <v>20669</v>
      </c>
      <c r="E13724" s="4" t="s">
        <v>20666</v>
      </c>
      <c r="F13724" s="4" t="s">
        <v>20665</v>
      </c>
    </row>
    <row r="13725">
      <c r="A13725" s="4">
        <v>175.0</v>
      </c>
      <c r="B13725" s="4" t="s">
        <v>22113</v>
      </c>
      <c r="C13725" s="4"/>
      <c r="D13725" s="4" t="s">
        <v>20670</v>
      </c>
      <c r="E13725" s="4" t="s">
        <v>20668</v>
      </c>
      <c r="F13725" s="4" t="s">
        <v>20667</v>
      </c>
    </row>
    <row r="13726">
      <c r="A13726" s="4">
        <v>176.0</v>
      </c>
      <c r="B13726" s="4" t="s">
        <v>22113</v>
      </c>
      <c r="C13726" s="4"/>
      <c r="D13726" s="4" t="s">
        <v>20671</v>
      </c>
      <c r="E13726" s="4" t="s">
        <v>20672</v>
      </c>
      <c r="F13726" s="4" t="s">
        <v>20671</v>
      </c>
    </row>
    <row r="13727">
      <c r="A13727" s="4">
        <v>177.0</v>
      </c>
      <c r="B13727" s="4" t="s">
        <v>22113</v>
      </c>
      <c r="C13727" s="4"/>
      <c r="D13727" s="4" t="s">
        <v>20673</v>
      </c>
      <c r="E13727" s="4" t="s">
        <v>20674</v>
      </c>
      <c r="F13727" s="4" t="s">
        <v>20673</v>
      </c>
      <c r="G13727" s="4"/>
      <c r="H13727" s="4" t="s">
        <v>15341</v>
      </c>
      <c r="I13727" s="4" t="s">
        <v>20675</v>
      </c>
    </row>
    <row r="13728">
      <c r="A13728" s="4">
        <v>178.0</v>
      </c>
      <c r="B13728" s="4" t="s">
        <v>22113</v>
      </c>
      <c r="C13728" s="4"/>
      <c r="D13728" s="4" t="s">
        <v>936</v>
      </c>
      <c r="E13728" s="4" t="s">
        <v>937</v>
      </c>
      <c r="F13728" s="4" t="s">
        <v>936</v>
      </c>
    </row>
    <row r="13729">
      <c r="A13729" s="4">
        <v>179.0</v>
      </c>
      <c r="B13729" s="4" t="s">
        <v>22113</v>
      </c>
      <c r="C13729" s="4"/>
      <c r="D13729" s="4" t="s">
        <v>938</v>
      </c>
      <c r="E13729" s="4" t="s">
        <v>939</v>
      </c>
      <c r="F13729" s="4" t="s">
        <v>938</v>
      </c>
    </row>
    <row r="13730">
      <c r="A13730" s="4">
        <v>180.0</v>
      </c>
      <c r="B13730" s="4" t="s">
        <v>22113</v>
      </c>
      <c r="C13730" s="4"/>
      <c r="D13730" s="4" t="s">
        <v>20676</v>
      </c>
      <c r="E13730" s="4" t="s">
        <v>20677</v>
      </c>
      <c r="F13730" s="4" t="s">
        <v>20676</v>
      </c>
      <c r="G13730" s="4"/>
      <c r="H13730" s="4" t="s">
        <v>9351</v>
      </c>
      <c r="I13730" s="4" t="s">
        <v>20678</v>
      </c>
      <c r="J13730" s="4" t="s">
        <v>7539</v>
      </c>
      <c r="K13730" s="4" t="s">
        <v>20679</v>
      </c>
      <c r="L13730" s="4" t="s">
        <v>20680</v>
      </c>
      <c r="M13730" s="4" t="s">
        <v>20681</v>
      </c>
      <c r="N13730" s="4" t="s">
        <v>20682</v>
      </c>
    </row>
    <row r="13731">
      <c r="A13731" s="4">
        <v>181.0</v>
      </c>
      <c r="B13731" s="4" t="s">
        <v>22113</v>
      </c>
      <c r="C13731" s="4"/>
      <c r="D13731" s="4" t="s">
        <v>20683</v>
      </c>
      <c r="E13731" s="4" t="s">
        <v>19540</v>
      </c>
      <c r="F13731" s="4" t="s">
        <v>19539</v>
      </c>
    </row>
    <row r="13732">
      <c r="A13732" s="4">
        <v>182.0</v>
      </c>
      <c r="B13732" s="4" t="s">
        <v>22113</v>
      </c>
      <c r="C13732" s="4"/>
      <c r="D13732" s="4" t="s">
        <v>20684</v>
      </c>
      <c r="E13732" s="4" t="s">
        <v>4781</v>
      </c>
      <c r="F13732" s="4" t="s">
        <v>4782</v>
      </c>
    </row>
    <row r="13733">
      <c r="A13733" s="4">
        <v>183.0</v>
      </c>
      <c r="B13733" s="4" t="s">
        <v>22113</v>
      </c>
      <c r="C13733" s="4"/>
      <c r="D13733" s="4" t="s">
        <v>17441</v>
      </c>
      <c r="E13733" s="4" t="s">
        <v>17440</v>
      </c>
      <c r="F13733" s="4" t="s">
        <v>17441</v>
      </c>
    </row>
    <row r="13734">
      <c r="A13734" s="4">
        <v>184.0</v>
      </c>
      <c r="B13734" s="4" t="s">
        <v>22113</v>
      </c>
      <c r="C13734" s="4"/>
      <c r="D13734" s="4" t="s">
        <v>20685</v>
      </c>
      <c r="E13734" s="4" t="s">
        <v>20686</v>
      </c>
      <c r="F13734" s="4" t="s">
        <v>20685</v>
      </c>
    </row>
    <row r="13735">
      <c r="A13735" s="4">
        <v>185.0</v>
      </c>
      <c r="B13735" s="4" t="s">
        <v>22113</v>
      </c>
      <c r="C13735" s="4"/>
      <c r="D13735" s="4" t="s">
        <v>20687</v>
      </c>
      <c r="E13735" s="4" t="s">
        <v>20688</v>
      </c>
      <c r="F13735" s="4" t="s">
        <v>20687</v>
      </c>
    </row>
    <row r="13736">
      <c r="A13736" s="4">
        <v>186.0</v>
      </c>
      <c r="B13736" s="4" t="s">
        <v>22113</v>
      </c>
      <c r="C13736" s="4"/>
      <c r="D13736" s="4" t="s">
        <v>960</v>
      </c>
      <c r="E13736" s="4" t="s">
        <v>961</v>
      </c>
      <c r="F13736" s="4" t="s">
        <v>962</v>
      </c>
    </row>
    <row r="13737">
      <c r="A13737" s="4">
        <v>187.0</v>
      </c>
      <c r="B13737" s="4" t="s">
        <v>22113</v>
      </c>
      <c r="C13737" s="4"/>
      <c r="D13737" s="4" t="s">
        <v>20689</v>
      </c>
      <c r="E13737" s="4" t="s">
        <v>20690</v>
      </c>
      <c r="F13737" s="4" t="s">
        <v>9073</v>
      </c>
      <c r="G13737" s="4"/>
      <c r="H13737" s="4" t="s">
        <v>20691</v>
      </c>
      <c r="I13737" s="4" t="s">
        <v>1301</v>
      </c>
      <c r="J13737" s="4" t="s">
        <v>20692</v>
      </c>
      <c r="K13737" s="4" t="s">
        <v>20693</v>
      </c>
      <c r="L13737" s="4" t="s">
        <v>20694</v>
      </c>
      <c r="M13737" s="4" t="s">
        <v>20695</v>
      </c>
      <c r="N13737" s="4" t="s">
        <v>10333</v>
      </c>
      <c r="O13737" s="4" t="s">
        <v>11925</v>
      </c>
      <c r="P13737" s="4" t="s">
        <v>1337</v>
      </c>
      <c r="Q13737" s="4" t="s">
        <v>11924</v>
      </c>
      <c r="R13737" s="4" t="s">
        <v>20696</v>
      </c>
      <c r="S13737" s="4" t="s">
        <v>20697</v>
      </c>
      <c r="T13737" s="4" t="s">
        <v>20691</v>
      </c>
    </row>
    <row r="13738">
      <c r="A13738" s="4">
        <v>188.0</v>
      </c>
      <c r="B13738" s="4" t="s">
        <v>22113</v>
      </c>
      <c r="C13738" s="4"/>
      <c r="D13738" s="4" t="s">
        <v>20698</v>
      </c>
      <c r="E13738" s="4" t="s">
        <v>20699</v>
      </c>
      <c r="F13738" s="4" t="s">
        <v>20700</v>
      </c>
    </row>
    <row r="13739">
      <c r="A13739" s="4">
        <v>189.0</v>
      </c>
      <c r="B13739" s="4" t="s">
        <v>22113</v>
      </c>
      <c r="C13739" s="4"/>
      <c r="D13739" s="4" t="s">
        <v>20701</v>
      </c>
      <c r="E13739" s="4" t="s">
        <v>20702</v>
      </c>
      <c r="F13739" s="4" t="s">
        <v>20703</v>
      </c>
      <c r="G13739" s="4"/>
      <c r="H13739" s="4" t="s">
        <v>20704</v>
      </c>
    </row>
    <row r="13740">
      <c r="A13740" s="4">
        <v>190.0</v>
      </c>
      <c r="B13740" s="4" t="s">
        <v>22113</v>
      </c>
      <c r="C13740" s="4"/>
      <c r="D13740" s="4" t="s">
        <v>976</v>
      </c>
      <c r="E13740" s="4" t="s">
        <v>977</v>
      </c>
      <c r="F13740" s="4" t="s">
        <v>978</v>
      </c>
      <c r="G13740" s="4"/>
      <c r="H13740" s="4" t="s">
        <v>20705</v>
      </c>
      <c r="I13740" s="4" t="s">
        <v>20706</v>
      </c>
    </row>
    <row r="13741">
      <c r="A13741" s="4">
        <v>191.0</v>
      </c>
      <c r="B13741" s="4" t="s">
        <v>22113</v>
      </c>
      <c r="C13741" s="4"/>
      <c r="D13741" s="4" t="s">
        <v>20707</v>
      </c>
      <c r="E13741" s="4" t="s">
        <v>20708</v>
      </c>
      <c r="F13741" s="4" t="s">
        <v>20709</v>
      </c>
    </row>
    <row r="13742">
      <c r="A13742" s="4">
        <v>192.0</v>
      </c>
      <c r="B13742" s="4" t="s">
        <v>22113</v>
      </c>
      <c r="C13742" s="4"/>
      <c r="D13742" s="4" t="s">
        <v>20710</v>
      </c>
      <c r="E13742" s="4" t="s">
        <v>20711</v>
      </c>
      <c r="F13742" s="4" t="s">
        <v>20712</v>
      </c>
    </row>
    <row r="13743">
      <c r="A13743" s="4">
        <v>193.0</v>
      </c>
      <c r="B13743" s="4" t="s">
        <v>22113</v>
      </c>
      <c r="C13743" s="4"/>
      <c r="D13743" s="4" t="s">
        <v>984</v>
      </c>
      <c r="E13743" s="4" t="s">
        <v>985</v>
      </c>
      <c r="F13743" s="4" t="s">
        <v>986</v>
      </c>
    </row>
    <row r="13744">
      <c r="A13744" s="4">
        <v>194.0</v>
      </c>
      <c r="B13744" s="4" t="s">
        <v>22113</v>
      </c>
      <c r="C13744" s="4"/>
      <c r="D13744" s="4" t="s">
        <v>990</v>
      </c>
      <c r="E13744" s="4" t="s">
        <v>991</v>
      </c>
      <c r="F13744" s="4" t="s">
        <v>992</v>
      </c>
      <c r="G13744" s="4"/>
      <c r="H13744" s="4" t="s">
        <v>993</v>
      </c>
      <c r="I13744" s="4" t="s">
        <v>994</v>
      </c>
      <c r="J13744" s="4" t="s">
        <v>2798</v>
      </c>
      <c r="K13744" s="4" t="s">
        <v>20713</v>
      </c>
      <c r="L13744" s="4" t="s">
        <v>3632</v>
      </c>
      <c r="M13744" s="4" t="s">
        <v>940</v>
      </c>
    </row>
    <row r="13745">
      <c r="A13745" s="4">
        <v>195.0</v>
      </c>
      <c r="B13745" s="4" t="s">
        <v>22113</v>
      </c>
      <c r="C13745" s="4"/>
      <c r="D13745" s="4" t="s">
        <v>20714</v>
      </c>
      <c r="E13745" s="4" t="s">
        <v>1004</v>
      </c>
      <c r="F13745" s="4" t="s">
        <v>1005</v>
      </c>
    </row>
    <row r="13746">
      <c r="A13746" s="4">
        <v>196.0</v>
      </c>
      <c r="B13746" s="4" t="s">
        <v>22113</v>
      </c>
      <c r="C13746" s="4"/>
      <c r="D13746" s="4" t="s">
        <v>20715</v>
      </c>
      <c r="E13746" s="4" t="s">
        <v>1007</v>
      </c>
      <c r="F13746" s="4" t="s">
        <v>1008</v>
      </c>
    </row>
    <row r="13747">
      <c r="A13747" s="4">
        <v>197.0</v>
      </c>
      <c r="B13747" s="4" t="s">
        <v>22113</v>
      </c>
      <c r="C13747" s="4"/>
      <c r="D13747" s="4" t="s">
        <v>20716</v>
      </c>
      <c r="E13747" s="4" t="s">
        <v>1004</v>
      </c>
      <c r="F13747" s="4" t="s">
        <v>1005</v>
      </c>
    </row>
    <row r="13748">
      <c r="A13748" s="4">
        <v>198.0</v>
      </c>
      <c r="B13748" s="4" t="s">
        <v>22113</v>
      </c>
      <c r="C13748" s="4"/>
      <c r="D13748" s="4" t="s">
        <v>20717</v>
      </c>
      <c r="E13748" s="4" t="s">
        <v>1007</v>
      </c>
      <c r="F13748" s="4" t="s">
        <v>1008</v>
      </c>
    </row>
    <row r="13749">
      <c r="A13749" s="4">
        <v>199.0</v>
      </c>
      <c r="B13749" s="4" t="s">
        <v>22113</v>
      </c>
      <c r="C13749" s="4"/>
      <c r="D13749" s="4" t="s">
        <v>11822</v>
      </c>
      <c r="E13749" s="4" t="s">
        <v>11824</v>
      </c>
      <c r="F13749" s="4" t="s">
        <v>11825</v>
      </c>
    </row>
    <row r="13750">
      <c r="A13750" s="4">
        <v>200.0</v>
      </c>
      <c r="B13750" s="4" t="s">
        <v>22113</v>
      </c>
      <c r="C13750" s="4"/>
      <c r="D13750" s="4" t="s">
        <v>5931</v>
      </c>
      <c r="E13750" s="4" t="s">
        <v>5147</v>
      </c>
      <c r="F13750" s="4" t="s">
        <v>5148</v>
      </c>
    </row>
    <row r="13751">
      <c r="A13751" s="4">
        <v>201.0</v>
      </c>
      <c r="B13751" s="4" t="s">
        <v>22113</v>
      </c>
      <c r="C13751" s="4"/>
      <c r="D13751" s="4" t="s">
        <v>1040</v>
      </c>
      <c r="E13751" s="4" t="s">
        <v>1041</v>
      </c>
      <c r="F13751" s="4" t="s">
        <v>1042</v>
      </c>
      <c r="G13751" s="4"/>
      <c r="H13751" s="4" t="s">
        <v>1241</v>
      </c>
    </row>
    <row r="13752">
      <c r="A13752" s="4">
        <v>202.0</v>
      </c>
      <c r="B13752" s="4" t="s">
        <v>22113</v>
      </c>
      <c r="C13752" s="4"/>
      <c r="D13752" s="4" t="s">
        <v>20718</v>
      </c>
      <c r="E13752" s="4" t="s">
        <v>20719</v>
      </c>
      <c r="F13752" s="4" t="s">
        <v>20720</v>
      </c>
    </row>
    <row r="13753">
      <c r="A13753" s="4">
        <v>203.0</v>
      </c>
      <c r="B13753" s="4" t="s">
        <v>22113</v>
      </c>
      <c r="C13753" s="4"/>
      <c r="D13753" s="4" t="s">
        <v>1053</v>
      </c>
      <c r="E13753" s="4" t="s">
        <v>1054</v>
      </c>
      <c r="F13753" s="4" t="s">
        <v>1055</v>
      </c>
      <c r="G13753" s="4"/>
      <c r="H13753" s="4" t="s">
        <v>1056</v>
      </c>
      <c r="I13753" s="4" t="s">
        <v>20721</v>
      </c>
      <c r="J13753" s="4" t="s">
        <v>1056</v>
      </c>
      <c r="K13753" s="4" t="s">
        <v>1057</v>
      </c>
      <c r="L13753" s="4" t="s">
        <v>1056</v>
      </c>
    </row>
    <row r="13754">
      <c r="A13754" s="4">
        <v>204.0</v>
      </c>
      <c r="B13754" s="4" t="s">
        <v>22113</v>
      </c>
      <c r="C13754" s="4"/>
      <c r="D13754" s="4" t="s">
        <v>20722</v>
      </c>
      <c r="E13754" s="4" t="s">
        <v>20723</v>
      </c>
      <c r="F13754" s="4" t="s">
        <v>20724</v>
      </c>
      <c r="G13754" s="4"/>
      <c r="H13754" s="4" t="s">
        <v>641</v>
      </c>
      <c r="I13754" s="4" t="s">
        <v>20725</v>
      </c>
      <c r="J13754" s="4" t="s">
        <v>1057</v>
      </c>
      <c r="K13754" s="4" t="s">
        <v>20726</v>
      </c>
    </row>
    <row r="13755">
      <c r="A13755" s="4">
        <v>205.0</v>
      </c>
      <c r="B13755" s="4" t="s">
        <v>22113</v>
      </c>
      <c r="C13755" s="4"/>
      <c r="D13755" s="4" t="s">
        <v>20727</v>
      </c>
      <c r="E13755" s="4" t="s">
        <v>15796</v>
      </c>
      <c r="F13755" s="4" t="s">
        <v>5056</v>
      </c>
      <c r="G13755" s="4"/>
      <c r="H13755" s="4" t="s">
        <v>20728</v>
      </c>
    </row>
    <row r="13756">
      <c r="A13756" s="4">
        <v>206.0</v>
      </c>
      <c r="B13756" s="4" t="s">
        <v>22113</v>
      </c>
      <c r="C13756" s="4"/>
      <c r="D13756" s="4" t="s">
        <v>20729</v>
      </c>
      <c r="E13756" s="4" t="s">
        <v>20730</v>
      </c>
      <c r="F13756" s="4" t="s">
        <v>20731</v>
      </c>
    </row>
    <row r="13757">
      <c r="A13757" s="4">
        <v>207.0</v>
      </c>
      <c r="B13757" s="4" t="s">
        <v>22113</v>
      </c>
      <c r="C13757" s="4"/>
      <c r="D13757" s="4" t="s">
        <v>16603</v>
      </c>
      <c r="E13757" s="4" t="s">
        <v>16604</v>
      </c>
      <c r="F13757" s="4" t="s">
        <v>16605</v>
      </c>
    </row>
    <row r="13758">
      <c r="A13758" s="4">
        <v>208.0</v>
      </c>
      <c r="B13758" s="4" t="s">
        <v>22113</v>
      </c>
      <c r="C13758" s="4"/>
      <c r="D13758" s="4" t="s">
        <v>1120</v>
      </c>
      <c r="E13758" s="4" t="s">
        <v>1121</v>
      </c>
      <c r="F13758" s="4" t="s">
        <v>1122</v>
      </c>
      <c r="G13758" s="4"/>
      <c r="H13758" s="4" t="s">
        <v>963</v>
      </c>
      <c r="I13758" s="4" t="s">
        <v>964</v>
      </c>
      <c r="J13758" s="4" t="s">
        <v>965</v>
      </c>
    </row>
    <row r="13759">
      <c r="A13759" s="4">
        <v>209.0</v>
      </c>
      <c r="B13759" s="4" t="s">
        <v>22113</v>
      </c>
      <c r="C13759" s="4"/>
      <c r="D13759" s="4" t="s">
        <v>1123</v>
      </c>
      <c r="E13759" s="4" t="s">
        <v>1124</v>
      </c>
      <c r="F13759" s="4" t="s">
        <v>1125</v>
      </c>
      <c r="G13759" s="4"/>
      <c r="H13759" s="4" t="s">
        <v>20732</v>
      </c>
      <c r="I13759" s="4" t="s">
        <v>20733</v>
      </c>
    </row>
    <row r="13760">
      <c r="A13760" s="4">
        <v>210.0</v>
      </c>
      <c r="B13760" s="4" t="s">
        <v>22113</v>
      </c>
      <c r="C13760" s="4"/>
      <c r="D13760" s="4" t="s">
        <v>1126</v>
      </c>
      <c r="E13760" s="4" t="s">
        <v>1127</v>
      </c>
      <c r="F13760" s="4" t="s">
        <v>1128</v>
      </c>
      <c r="G13760" s="4"/>
      <c r="H13760" s="4" t="s">
        <v>1126</v>
      </c>
      <c r="I13760" s="4" t="s">
        <v>1136</v>
      </c>
      <c r="J13760" s="4" t="s">
        <v>19760</v>
      </c>
      <c r="K13760" s="4" t="s">
        <v>19761</v>
      </c>
      <c r="L13760" s="4" t="s">
        <v>1129</v>
      </c>
      <c r="M13760" s="4" t="s">
        <v>1130</v>
      </c>
      <c r="N13760" s="4" t="s">
        <v>1131</v>
      </c>
      <c r="O13760" s="4" t="s">
        <v>1132</v>
      </c>
      <c r="P13760" s="4" t="s">
        <v>1133</v>
      </c>
      <c r="Q13760" s="4" t="s">
        <v>1134</v>
      </c>
      <c r="R13760" s="4" t="s">
        <v>20734</v>
      </c>
      <c r="S13760" s="4" t="s">
        <v>1130</v>
      </c>
      <c r="T13760" s="4" t="s">
        <v>1135</v>
      </c>
      <c r="U13760" s="4" t="s">
        <v>1126</v>
      </c>
      <c r="V13760" s="4" t="s">
        <v>1136</v>
      </c>
      <c r="W13760" s="4" t="s">
        <v>1136</v>
      </c>
      <c r="X13760" s="4" t="s">
        <v>1137</v>
      </c>
      <c r="Y13760" s="4" t="s">
        <v>1136</v>
      </c>
    </row>
    <row r="13761">
      <c r="A13761" s="4">
        <v>211.0</v>
      </c>
      <c r="B13761" s="4" t="s">
        <v>22113</v>
      </c>
      <c r="C13761" s="4"/>
      <c r="D13761" s="4" t="s">
        <v>1161</v>
      </c>
      <c r="E13761" s="4" t="s">
        <v>1162</v>
      </c>
      <c r="F13761" s="4" t="s">
        <v>1163</v>
      </c>
      <c r="G13761" s="4"/>
      <c r="H13761" s="4" t="s">
        <v>20735</v>
      </c>
      <c r="I13761" s="4" t="s">
        <v>20736</v>
      </c>
    </row>
    <row r="13762">
      <c r="A13762" s="4">
        <v>212.0</v>
      </c>
      <c r="B13762" s="4" t="s">
        <v>22113</v>
      </c>
      <c r="C13762" s="4"/>
      <c r="D13762" s="4" t="s">
        <v>20737</v>
      </c>
      <c r="E13762" s="4" t="s">
        <v>20738</v>
      </c>
      <c r="F13762" s="4" t="s">
        <v>20739</v>
      </c>
    </row>
    <row r="13763">
      <c r="A13763" s="4">
        <v>213.0</v>
      </c>
      <c r="B13763" s="4" t="s">
        <v>22113</v>
      </c>
      <c r="C13763" s="4"/>
      <c r="D13763" s="4" t="s">
        <v>20740</v>
      </c>
      <c r="E13763" s="4" t="s">
        <v>1206</v>
      </c>
      <c r="F13763" s="4" t="s">
        <v>1207</v>
      </c>
    </row>
    <row r="13764">
      <c r="A13764" s="4">
        <v>214.0</v>
      </c>
      <c r="B13764" s="4" t="s">
        <v>22113</v>
      </c>
      <c r="C13764" s="4"/>
      <c r="D13764" s="4" t="s">
        <v>20741</v>
      </c>
      <c r="E13764" s="4" t="s">
        <v>20742</v>
      </c>
      <c r="F13764" s="4" t="s">
        <v>20743</v>
      </c>
      <c r="G13764" s="4"/>
      <c r="H13764" s="4" t="s">
        <v>20744</v>
      </c>
      <c r="I13764" s="4" t="s">
        <v>20745</v>
      </c>
    </row>
    <row r="13765">
      <c r="A13765" s="4">
        <v>215.0</v>
      </c>
      <c r="B13765" s="4" t="s">
        <v>22113</v>
      </c>
      <c r="C13765" s="4"/>
      <c r="D13765" s="4" t="s">
        <v>1176</v>
      </c>
      <c r="E13765" s="4" t="s">
        <v>1177</v>
      </c>
      <c r="F13765" s="4" t="s">
        <v>1178</v>
      </c>
    </row>
    <row r="13766">
      <c r="A13766" s="4">
        <v>216.0</v>
      </c>
      <c r="B13766" s="4" t="s">
        <v>22113</v>
      </c>
      <c r="C13766" s="4"/>
      <c r="D13766" s="4" t="s">
        <v>20746</v>
      </c>
      <c r="E13766" s="4" t="s">
        <v>20747</v>
      </c>
      <c r="F13766" s="4" t="s">
        <v>20748</v>
      </c>
    </row>
    <row r="13767">
      <c r="A13767" s="4">
        <v>217.0</v>
      </c>
      <c r="B13767" s="4" t="s">
        <v>22113</v>
      </c>
      <c r="C13767" s="4"/>
      <c r="D13767" s="4" t="s">
        <v>20749</v>
      </c>
      <c r="E13767" s="4" t="s">
        <v>20750</v>
      </c>
      <c r="F13767" s="4" t="s">
        <v>20751</v>
      </c>
    </row>
    <row r="13768">
      <c r="A13768" s="4">
        <v>218.0</v>
      </c>
      <c r="B13768" s="4" t="s">
        <v>22113</v>
      </c>
      <c r="C13768" s="4"/>
      <c r="D13768" s="4" t="s">
        <v>20752</v>
      </c>
      <c r="E13768" s="4" t="s">
        <v>19992</v>
      </c>
      <c r="F13768" s="4" t="s">
        <v>19993</v>
      </c>
      <c r="G13768" s="4"/>
      <c r="H13768" s="4" t="s">
        <v>20753</v>
      </c>
      <c r="I13768" s="4" t="s">
        <v>20754</v>
      </c>
      <c r="J13768" s="4" t="s">
        <v>20755</v>
      </c>
      <c r="K13768" s="4" t="s">
        <v>20756</v>
      </c>
    </row>
    <row r="13769">
      <c r="A13769" s="4">
        <v>219.0</v>
      </c>
      <c r="B13769" s="4" t="s">
        <v>22113</v>
      </c>
      <c r="C13769" s="4"/>
      <c r="D13769" s="4" t="s">
        <v>1231</v>
      </c>
      <c r="E13769" s="4" t="s">
        <v>1232</v>
      </c>
      <c r="F13769" s="4" t="s">
        <v>1233</v>
      </c>
      <c r="G13769" s="4"/>
      <c r="H13769" s="4" t="s">
        <v>1234</v>
      </c>
      <c r="I13769" s="4" t="s">
        <v>1235</v>
      </c>
      <c r="J13769" s="4" t="s">
        <v>1236</v>
      </c>
      <c r="K13769" s="4" t="s">
        <v>1237</v>
      </c>
      <c r="L13769" s="4" t="s">
        <v>1241</v>
      </c>
      <c r="M13769" s="4" t="s">
        <v>1217</v>
      </c>
      <c r="N13769" s="4" t="s">
        <v>1243</v>
      </c>
      <c r="O13769" s="4" t="s">
        <v>1238</v>
      </c>
      <c r="P13769" s="4" t="s">
        <v>1235</v>
      </c>
      <c r="Q13769" s="4" t="s">
        <v>1239</v>
      </c>
      <c r="R13769" s="4" t="s">
        <v>1240</v>
      </c>
      <c r="S13769" s="4" t="s">
        <v>1237</v>
      </c>
      <c r="T13769" s="4" t="s">
        <v>1241</v>
      </c>
      <c r="U13769" s="4" t="s">
        <v>1237</v>
      </c>
      <c r="V13769" s="4" t="s">
        <v>1242</v>
      </c>
      <c r="W13769" s="4" t="s">
        <v>1243</v>
      </c>
      <c r="X13769" s="4" t="s">
        <v>20757</v>
      </c>
    </row>
    <row r="13770">
      <c r="A13770" s="4">
        <v>220.0</v>
      </c>
      <c r="B13770" s="4" t="s">
        <v>22113</v>
      </c>
      <c r="C13770" s="4"/>
      <c r="D13770" s="4" t="s">
        <v>1244</v>
      </c>
      <c r="E13770" s="4" t="s">
        <v>1245</v>
      </c>
      <c r="F13770" s="4" t="s">
        <v>1246</v>
      </c>
      <c r="G13770" s="4"/>
      <c r="H13770" s="4" t="s">
        <v>20758</v>
      </c>
      <c r="I13770" s="4" t="s">
        <v>20759</v>
      </c>
      <c r="J13770" s="4" t="s">
        <v>20760</v>
      </c>
      <c r="K13770" s="4" t="s">
        <v>20761</v>
      </c>
      <c r="L13770" s="4" t="s">
        <v>20762</v>
      </c>
      <c r="M13770" s="4" t="s">
        <v>20763</v>
      </c>
      <c r="N13770" s="4" t="s">
        <v>6078</v>
      </c>
    </row>
    <row r="13771">
      <c r="A13771" s="4">
        <v>221.0</v>
      </c>
      <c r="B13771" s="4" t="s">
        <v>22113</v>
      </c>
      <c r="C13771" s="4"/>
      <c r="D13771" s="4" t="s">
        <v>20764</v>
      </c>
      <c r="E13771" s="4" t="s">
        <v>20765</v>
      </c>
      <c r="F13771" s="4" t="s">
        <v>20766</v>
      </c>
    </row>
    <row r="13772">
      <c r="A13772" s="4">
        <v>222.0</v>
      </c>
      <c r="B13772" s="4" t="s">
        <v>22113</v>
      </c>
      <c r="C13772" s="4"/>
      <c r="D13772" s="4" t="s">
        <v>20767</v>
      </c>
      <c r="E13772" s="4" t="s">
        <v>20768</v>
      </c>
      <c r="F13772" s="4" t="s">
        <v>20769</v>
      </c>
    </row>
    <row r="13773">
      <c r="A13773" s="4">
        <v>223.0</v>
      </c>
      <c r="B13773" s="4" t="s">
        <v>22113</v>
      </c>
      <c r="C13773" s="4"/>
      <c r="D13773" s="4" t="s">
        <v>1274</v>
      </c>
      <c r="E13773" s="4" t="s">
        <v>1275</v>
      </c>
      <c r="F13773" s="4" t="s">
        <v>1276</v>
      </c>
      <c r="G13773" s="4"/>
      <c r="H13773" s="4" t="s">
        <v>1274</v>
      </c>
      <c r="I13773" s="4" t="s">
        <v>1277</v>
      </c>
      <c r="J13773" s="4" t="s">
        <v>1278</v>
      </c>
      <c r="K13773" s="4" t="s">
        <v>1279</v>
      </c>
      <c r="L13773" s="4" t="s">
        <v>11898</v>
      </c>
      <c r="M13773" s="4" t="s">
        <v>20770</v>
      </c>
      <c r="N13773" s="4" t="s">
        <v>1274</v>
      </c>
      <c r="O13773" s="4" t="s">
        <v>1280</v>
      </c>
      <c r="P13773" s="4" t="s">
        <v>1274</v>
      </c>
      <c r="Q13773" s="4" t="s">
        <v>1274</v>
      </c>
      <c r="R13773" s="4" t="s">
        <v>11899</v>
      </c>
      <c r="S13773" s="4" t="s">
        <v>1281</v>
      </c>
    </row>
    <row r="13774">
      <c r="A13774" s="4">
        <v>224.0</v>
      </c>
      <c r="B13774" s="4" t="s">
        <v>22113</v>
      </c>
      <c r="C13774" s="4"/>
      <c r="D13774" s="4" t="s">
        <v>1282</v>
      </c>
      <c r="E13774" s="4" t="s">
        <v>1283</v>
      </c>
      <c r="F13774" s="4" t="s">
        <v>1284</v>
      </c>
    </row>
    <row r="13775">
      <c r="A13775" s="4">
        <v>225.0</v>
      </c>
      <c r="B13775" s="4" t="s">
        <v>22113</v>
      </c>
      <c r="C13775" s="4"/>
      <c r="D13775" s="4" t="s">
        <v>1288</v>
      </c>
      <c r="E13775" s="4" t="s">
        <v>1289</v>
      </c>
      <c r="F13775" s="4" t="s">
        <v>1290</v>
      </c>
    </row>
    <row r="13776">
      <c r="A13776" s="4">
        <v>226.0</v>
      </c>
      <c r="B13776" s="4" t="s">
        <v>22113</v>
      </c>
      <c r="C13776" s="4"/>
      <c r="D13776" s="4" t="s">
        <v>20771</v>
      </c>
      <c r="E13776" s="4" t="s">
        <v>15031</v>
      </c>
      <c r="F13776" s="4" t="s">
        <v>5986</v>
      </c>
      <c r="G13776" s="4"/>
      <c r="H13776" s="4" t="s">
        <v>1221</v>
      </c>
      <c r="I13776" s="4" t="s">
        <v>1294</v>
      </c>
      <c r="J13776" s="4" t="s">
        <v>1221</v>
      </c>
      <c r="K13776" s="4" t="s">
        <v>1287</v>
      </c>
      <c r="L13776" s="4" t="s">
        <v>1221</v>
      </c>
      <c r="M13776" s="4" t="s">
        <v>20772</v>
      </c>
      <c r="N13776" s="4" t="s">
        <v>20773</v>
      </c>
      <c r="O13776" s="4" t="s">
        <v>1221</v>
      </c>
      <c r="P13776" s="4" t="s">
        <v>20774</v>
      </c>
      <c r="Q13776" s="4" t="s">
        <v>617</v>
      </c>
      <c r="R13776" s="4" t="s">
        <v>1221</v>
      </c>
      <c r="S13776" s="4" t="s">
        <v>1286</v>
      </c>
      <c r="T13776" s="4" t="s">
        <v>1287</v>
      </c>
    </row>
    <row r="13777">
      <c r="A13777" s="4">
        <v>227.0</v>
      </c>
      <c r="B13777" s="4" t="s">
        <v>22113</v>
      </c>
      <c r="C13777" s="4"/>
      <c r="D13777" s="4" t="s">
        <v>20775</v>
      </c>
      <c r="E13777" s="4" t="s">
        <v>1232</v>
      </c>
      <c r="F13777" s="4" t="s">
        <v>1233</v>
      </c>
    </row>
    <row r="13778">
      <c r="A13778" s="4">
        <v>228.0</v>
      </c>
      <c r="B13778" s="4" t="s">
        <v>22113</v>
      </c>
      <c r="C13778" s="4"/>
      <c r="D13778" s="4" t="s">
        <v>1295</v>
      </c>
      <c r="E13778" s="4" t="s">
        <v>1296</v>
      </c>
      <c r="F13778" s="4" t="s">
        <v>1297</v>
      </c>
      <c r="G13778" s="4"/>
      <c r="H13778" s="4" t="s">
        <v>20776</v>
      </c>
    </row>
    <row r="13779">
      <c r="A13779" s="4">
        <v>229.0</v>
      </c>
      <c r="B13779" s="4" t="s">
        <v>22113</v>
      </c>
      <c r="C13779" s="4"/>
      <c r="D13779" s="4" t="s">
        <v>20777</v>
      </c>
      <c r="E13779" s="4" t="s">
        <v>20778</v>
      </c>
      <c r="F13779" s="4" t="s">
        <v>20700</v>
      </c>
    </row>
    <row r="13780">
      <c r="A13780" s="4">
        <v>230.0</v>
      </c>
      <c r="B13780" s="4" t="s">
        <v>22113</v>
      </c>
      <c r="C13780" s="4"/>
      <c r="D13780" s="4" t="s">
        <v>1305</v>
      </c>
      <c r="E13780" s="4" t="s">
        <v>1306</v>
      </c>
      <c r="F13780" s="4" t="s">
        <v>1307</v>
      </c>
      <c r="G13780" s="4"/>
      <c r="H13780" s="4" t="s">
        <v>1310</v>
      </c>
      <c r="I13780" s="4" t="s">
        <v>1209</v>
      </c>
      <c r="J13780" s="4" t="s">
        <v>515</v>
      </c>
      <c r="K13780" s="4" t="s">
        <v>1308</v>
      </c>
      <c r="L13780" s="4" t="s">
        <v>1309</v>
      </c>
      <c r="M13780" s="4" t="s">
        <v>1310</v>
      </c>
      <c r="N13780" s="4" t="s">
        <v>1311</v>
      </c>
      <c r="O13780" s="4" t="s">
        <v>1312</v>
      </c>
      <c r="P13780" s="4" t="s">
        <v>1313</v>
      </c>
      <c r="Q13780" s="4" t="s">
        <v>1310</v>
      </c>
      <c r="R13780" s="4" t="s">
        <v>1314</v>
      </c>
      <c r="S13780" s="4" t="s">
        <v>3491</v>
      </c>
      <c r="T13780" s="4" t="s">
        <v>1310</v>
      </c>
      <c r="U13780" s="4" t="s">
        <v>1315</v>
      </c>
      <c r="V13780" s="4" t="s">
        <v>1310</v>
      </c>
      <c r="W13780" s="4" t="s">
        <v>20779</v>
      </c>
      <c r="X13780" s="4" t="s">
        <v>1310</v>
      </c>
      <c r="Y13780" s="4" t="s">
        <v>515</v>
      </c>
      <c r="Z13780" s="4" t="s">
        <v>1310</v>
      </c>
      <c r="AA13780" s="4" t="s">
        <v>950</v>
      </c>
      <c r="AB13780" s="4" t="s">
        <v>1310</v>
      </c>
    </row>
    <row r="13781">
      <c r="A13781" s="4">
        <v>231.0</v>
      </c>
      <c r="B13781" s="4" t="s">
        <v>22113</v>
      </c>
      <c r="C13781" s="4"/>
      <c r="D13781" s="4" t="s">
        <v>20780</v>
      </c>
      <c r="E13781" s="4" t="s">
        <v>20781</v>
      </c>
      <c r="F13781" s="4" t="s">
        <v>20782</v>
      </c>
    </row>
    <row r="13782">
      <c r="A13782" s="4">
        <v>232.0</v>
      </c>
      <c r="B13782" s="4" t="s">
        <v>22113</v>
      </c>
      <c r="C13782" s="4"/>
      <c r="D13782" s="4" t="s">
        <v>20783</v>
      </c>
      <c r="E13782" s="4" t="s">
        <v>20784</v>
      </c>
      <c r="F13782" s="4" t="s">
        <v>20785</v>
      </c>
    </row>
    <row r="13783">
      <c r="A13783" s="4">
        <v>233.0</v>
      </c>
      <c r="B13783" s="4" t="s">
        <v>22113</v>
      </c>
      <c r="C13783" s="4"/>
      <c r="D13783" s="4" t="s">
        <v>20786</v>
      </c>
      <c r="E13783" s="4" t="s">
        <v>20787</v>
      </c>
      <c r="F13783" s="4" t="s">
        <v>20788</v>
      </c>
    </row>
    <row r="13784">
      <c r="A13784" s="4">
        <v>234.0</v>
      </c>
      <c r="B13784" s="4" t="s">
        <v>22113</v>
      </c>
      <c r="C13784" s="4"/>
      <c r="D13784" s="4" t="s">
        <v>20789</v>
      </c>
      <c r="E13784" s="4" t="s">
        <v>20790</v>
      </c>
      <c r="F13784" s="4" t="s">
        <v>20791</v>
      </c>
    </row>
    <row r="13785">
      <c r="A13785" s="4">
        <v>235.0</v>
      </c>
      <c r="B13785" s="4" t="s">
        <v>22113</v>
      </c>
      <c r="C13785" s="4"/>
      <c r="D13785" s="4" t="s">
        <v>1322</v>
      </c>
      <c r="E13785" s="4" t="s">
        <v>1323</v>
      </c>
      <c r="F13785" s="4" t="s">
        <v>1324</v>
      </c>
      <c r="G13785" s="4"/>
      <c r="H13785" s="4" t="s">
        <v>20792</v>
      </c>
      <c r="I13785" s="4" t="s">
        <v>20793</v>
      </c>
      <c r="J13785" s="4" t="s">
        <v>20794</v>
      </c>
      <c r="K13785" s="4" t="s">
        <v>14828</v>
      </c>
      <c r="L13785" s="4" t="s">
        <v>14831</v>
      </c>
    </row>
    <row r="13786">
      <c r="A13786" s="4">
        <v>236.0</v>
      </c>
      <c r="B13786" s="4" t="s">
        <v>22113</v>
      </c>
      <c r="C13786" s="4"/>
      <c r="D13786" s="4" t="s">
        <v>1328</v>
      </c>
      <c r="E13786" s="4" t="s">
        <v>1329</v>
      </c>
      <c r="F13786" s="4" t="s">
        <v>1330</v>
      </c>
    </row>
    <row r="13787">
      <c r="A13787" s="4">
        <v>237.0</v>
      </c>
      <c r="B13787" s="4" t="s">
        <v>22113</v>
      </c>
      <c r="C13787" s="4"/>
      <c r="D13787" s="4" t="s">
        <v>20795</v>
      </c>
      <c r="E13787" s="4" t="s">
        <v>20796</v>
      </c>
      <c r="F13787" s="4" t="s">
        <v>20797</v>
      </c>
    </row>
    <row r="13788">
      <c r="A13788" s="4">
        <v>238.0</v>
      </c>
      <c r="B13788" s="4" t="s">
        <v>22113</v>
      </c>
      <c r="C13788" s="4"/>
      <c r="D13788" s="4" t="s">
        <v>19025</v>
      </c>
      <c r="E13788" s="4" t="s">
        <v>1306</v>
      </c>
      <c r="F13788" s="4" t="s">
        <v>1307</v>
      </c>
    </row>
    <row r="13789">
      <c r="A13789" s="4">
        <v>239.0</v>
      </c>
      <c r="B13789" s="4" t="s">
        <v>22113</v>
      </c>
      <c r="C13789" s="4"/>
      <c r="D13789" s="4" t="s">
        <v>20798</v>
      </c>
      <c r="E13789" s="4" t="s">
        <v>20799</v>
      </c>
      <c r="F13789" s="4" t="s">
        <v>20800</v>
      </c>
    </row>
    <row r="13790">
      <c r="A13790" s="4">
        <v>240.0</v>
      </c>
      <c r="B13790" s="4" t="s">
        <v>22113</v>
      </c>
      <c r="C13790" s="4"/>
      <c r="D13790" s="4" t="s">
        <v>1334</v>
      </c>
      <c r="E13790" s="4" t="s">
        <v>1335</v>
      </c>
      <c r="F13790" s="4" t="s">
        <v>1336</v>
      </c>
    </row>
    <row r="13791">
      <c r="A13791" s="4">
        <v>241.0</v>
      </c>
      <c r="B13791" s="4" t="s">
        <v>22113</v>
      </c>
      <c r="C13791" s="4"/>
      <c r="D13791" s="4" t="s">
        <v>16624</v>
      </c>
      <c r="E13791" s="4" t="s">
        <v>1358</v>
      </c>
      <c r="F13791" s="4" t="s">
        <v>1359</v>
      </c>
      <c r="G13791" s="4"/>
      <c r="H13791" s="4" t="s">
        <v>20801</v>
      </c>
      <c r="I13791" s="4" t="s">
        <v>20802</v>
      </c>
      <c r="J13791" s="4" t="s">
        <v>20803</v>
      </c>
      <c r="K13791" s="4" t="s">
        <v>20804</v>
      </c>
      <c r="L13791" s="4" t="s">
        <v>20805</v>
      </c>
      <c r="M13791" s="4" t="s">
        <v>3573</v>
      </c>
      <c r="N13791" s="4" t="s">
        <v>2125</v>
      </c>
      <c r="O13791" s="4" t="s">
        <v>3574</v>
      </c>
      <c r="P13791" s="4" t="s">
        <v>3575</v>
      </c>
      <c r="Q13791" s="4" t="s">
        <v>3576</v>
      </c>
      <c r="R13791" s="4" t="s">
        <v>3577</v>
      </c>
      <c r="S13791" s="4" t="s">
        <v>2130</v>
      </c>
      <c r="T13791" s="4" t="s">
        <v>2130</v>
      </c>
      <c r="U13791" s="4" t="s">
        <v>2547</v>
      </c>
      <c r="V13791" s="4" t="s">
        <v>2130</v>
      </c>
      <c r="W13791" s="4" t="s">
        <v>20806</v>
      </c>
      <c r="X13791" s="4" t="s">
        <v>20807</v>
      </c>
      <c r="Y13791" s="4" t="s">
        <v>20808</v>
      </c>
      <c r="Z13791" s="4" t="s">
        <v>20809</v>
      </c>
      <c r="AA13791" s="4" t="s">
        <v>2128</v>
      </c>
      <c r="AB13791" s="4" t="s">
        <v>2129</v>
      </c>
      <c r="AC13791" s="4" t="s">
        <v>2130</v>
      </c>
      <c r="AD13791" s="4" t="s">
        <v>2125</v>
      </c>
      <c r="AE13791" s="4" t="s">
        <v>2131</v>
      </c>
      <c r="AF13791" s="4" t="s">
        <v>2130</v>
      </c>
      <c r="AG13791" s="4" t="s">
        <v>2125</v>
      </c>
      <c r="AH13791" s="4" t="s">
        <v>2125</v>
      </c>
      <c r="AI13791" s="4" t="s">
        <v>11158</v>
      </c>
      <c r="AJ13791" s="4" t="s">
        <v>2125</v>
      </c>
    </row>
    <row r="13792">
      <c r="A13792" s="4">
        <v>242.0</v>
      </c>
      <c r="B13792" s="4" t="s">
        <v>22113</v>
      </c>
      <c r="C13792" s="4"/>
      <c r="D13792" s="4" t="s">
        <v>20810</v>
      </c>
      <c r="E13792" s="4" t="s">
        <v>20811</v>
      </c>
      <c r="F13792" s="4" t="s">
        <v>20812</v>
      </c>
    </row>
    <row r="13793">
      <c r="A13793" s="4">
        <v>243.0</v>
      </c>
      <c r="B13793" s="4" t="s">
        <v>22113</v>
      </c>
      <c r="C13793" s="4"/>
      <c r="D13793" s="4" t="s">
        <v>14129</v>
      </c>
      <c r="E13793" s="4" t="s">
        <v>14130</v>
      </c>
      <c r="F13793" s="4" t="s">
        <v>14131</v>
      </c>
    </row>
    <row r="13794">
      <c r="A13794" s="4">
        <v>244.0</v>
      </c>
      <c r="B13794" s="4" t="s">
        <v>22113</v>
      </c>
      <c r="C13794" s="4"/>
      <c r="D13794" s="4" t="s">
        <v>20813</v>
      </c>
      <c r="E13794" s="4" t="s">
        <v>20814</v>
      </c>
      <c r="F13794" s="4" t="s">
        <v>20815</v>
      </c>
    </row>
    <row r="13795">
      <c r="A13795" s="4">
        <v>245.0</v>
      </c>
      <c r="B13795" s="4" t="s">
        <v>22113</v>
      </c>
      <c r="C13795" s="4"/>
      <c r="D13795" s="4" t="s">
        <v>14354</v>
      </c>
      <c r="E13795" s="4" t="s">
        <v>1371</v>
      </c>
      <c r="F13795" s="4" t="s">
        <v>1372</v>
      </c>
      <c r="G13795" s="4"/>
      <c r="H13795" s="4" t="s">
        <v>7722</v>
      </c>
      <c r="I13795" s="4" t="s">
        <v>12852</v>
      </c>
      <c r="J13795" s="4" t="s">
        <v>20816</v>
      </c>
      <c r="K13795" s="4" t="s">
        <v>20817</v>
      </c>
      <c r="L13795" s="4" t="s">
        <v>20818</v>
      </c>
      <c r="M13795" s="4" t="s">
        <v>7722</v>
      </c>
      <c r="N13795" s="4" t="s">
        <v>20819</v>
      </c>
      <c r="O13795" s="4" t="s">
        <v>20820</v>
      </c>
      <c r="P13795" s="4" t="s">
        <v>3050</v>
      </c>
      <c r="Q13795" s="4" t="s">
        <v>20821</v>
      </c>
      <c r="R13795" s="4" t="s">
        <v>650</v>
      </c>
      <c r="S13795" s="4" t="s">
        <v>637</v>
      </c>
      <c r="T13795" s="4" t="s">
        <v>651</v>
      </c>
    </row>
    <row r="13796">
      <c r="A13796" s="4">
        <v>246.0</v>
      </c>
      <c r="B13796" s="4" t="s">
        <v>22113</v>
      </c>
      <c r="C13796" s="4"/>
      <c r="D13796" s="4" t="s">
        <v>20822</v>
      </c>
      <c r="E13796" s="4" t="s">
        <v>20823</v>
      </c>
      <c r="F13796" s="4" t="s">
        <v>20824</v>
      </c>
    </row>
    <row r="13797">
      <c r="A13797" s="4">
        <v>247.0</v>
      </c>
      <c r="B13797" s="4" t="s">
        <v>22113</v>
      </c>
      <c r="C13797" s="4"/>
      <c r="D13797" s="4" t="s">
        <v>20825</v>
      </c>
      <c r="E13797" s="4" t="s">
        <v>20826</v>
      </c>
      <c r="F13797" s="4" t="s">
        <v>20827</v>
      </c>
    </row>
    <row r="13798">
      <c r="A13798" s="4">
        <v>248.0</v>
      </c>
      <c r="B13798" s="4" t="s">
        <v>22113</v>
      </c>
      <c r="C13798" s="4"/>
      <c r="D13798" s="4" t="s">
        <v>20828</v>
      </c>
      <c r="E13798" s="4" t="s">
        <v>20823</v>
      </c>
      <c r="F13798" s="4" t="s">
        <v>20824</v>
      </c>
    </row>
    <row r="13799">
      <c r="A13799" s="4">
        <v>249.0</v>
      </c>
      <c r="B13799" s="4" t="s">
        <v>22113</v>
      </c>
      <c r="C13799" s="4"/>
      <c r="D13799" s="4" t="s">
        <v>20829</v>
      </c>
      <c r="E13799" s="4" t="s">
        <v>20826</v>
      </c>
      <c r="F13799" s="4" t="s">
        <v>20827</v>
      </c>
    </row>
    <row r="13800">
      <c r="A13800" s="4">
        <v>250.0</v>
      </c>
      <c r="B13800" s="4" t="s">
        <v>22113</v>
      </c>
      <c r="C13800" s="4"/>
      <c r="D13800" s="4" t="s">
        <v>20830</v>
      </c>
      <c r="E13800" s="4" t="s">
        <v>20831</v>
      </c>
      <c r="F13800" s="4" t="s">
        <v>20832</v>
      </c>
    </row>
    <row r="13801">
      <c r="A13801" s="4">
        <v>251.0</v>
      </c>
      <c r="B13801" s="4" t="s">
        <v>22113</v>
      </c>
      <c r="C13801" s="4"/>
      <c r="D13801" s="4" t="s">
        <v>20833</v>
      </c>
      <c r="E13801" s="4" t="s">
        <v>11937</v>
      </c>
      <c r="F13801" s="4" t="s">
        <v>8121</v>
      </c>
    </row>
    <row r="13802">
      <c r="A13802" s="4">
        <v>252.0</v>
      </c>
      <c r="B13802" s="4" t="s">
        <v>22113</v>
      </c>
      <c r="C13802" s="4"/>
      <c r="D13802" s="4" t="s">
        <v>20834</v>
      </c>
      <c r="E13802" s="4" t="s">
        <v>16631</v>
      </c>
      <c r="F13802" s="4" t="s">
        <v>16632</v>
      </c>
    </row>
    <row r="13803">
      <c r="A13803" s="4">
        <v>253.0</v>
      </c>
      <c r="B13803" s="4" t="s">
        <v>22113</v>
      </c>
      <c r="C13803" s="4"/>
      <c r="D13803" s="4" t="s">
        <v>11941</v>
      </c>
      <c r="E13803" s="4" t="s">
        <v>5161</v>
      </c>
      <c r="F13803" s="4" t="s">
        <v>5162</v>
      </c>
    </row>
    <row r="13804">
      <c r="A13804" s="4">
        <v>254.0</v>
      </c>
      <c r="B13804" s="4" t="s">
        <v>22113</v>
      </c>
      <c r="C13804" s="4"/>
      <c r="D13804" s="4" t="s">
        <v>1340</v>
      </c>
      <c r="E13804" s="4" t="s">
        <v>1341</v>
      </c>
      <c r="F13804" s="4" t="s">
        <v>1342</v>
      </c>
    </row>
    <row r="13805">
      <c r="A13805" s="4">
        <v>255.0</v>
      </c>
      <c r="B13805" s="4" t="s">
        <v>22113</v>
      </c>
      <c r="C13805" s="4"/>
      <c r="D13805" s="4" t="s">
        <v>20835</v>
      </c>
      <c r="E13805" s="4" t="s">
        <v>20836</v>
      </c>
      <c r="F13805" s="4" t="s">
        <v>20837</v>
      </c>
    </row>
    <row r="13806">
      <c r="A13806" s="4">
        <v>256.0</v>
      </c>
      <c r="B13806" s="4" t="s">
        <v>22113</v>
      </c>
      <c r="C13806" s="4"/>
      <c r="D13806" s="4" t="s">
        <v>20838</v>
      </c>
      <c r="E13806" s="4" t="s">
        <v>1344</v>
      </c>
      <c r="F13806" s="4" t="s">
        <v>1345</v>
      </c>
    </row>
    <row r="13807">
      <c r="A13807" s="4">
        <v>257.0</v>
      </c>
      <c r="B13807" s="4" t="s">
        <v>22113</v>
      </c>
      <c r="C13807" s="4"/>
      <c r="D13807" s="4" t="s">
        <v>20839</v>
      </c>
      <c r="E13807" s="4" t="s">
        <v>11943</v>
      </c>
      <c r="F13807" s="4" t="s">
        <v>11944</v>
      </c>
      <c r="G13807" s="4"/>
      <c r="H13807" s="4" t="s">
        <v>1350</v>
      </c>
      <c r="I13807" s="4" t="s">
        <v>1350</v>
      </c>
      <c r="J13807" s="4" t="s">
        <v>1350</v>
      </c>
    </row>
    <row r="13808">
      <c r="A13808" s="4">
        <v>258.0</v>
      </c>
      <c r="B13808" s="4" t="s">
        <v>22113</v>
      </c>
      <c r="C13808" s="4"/>
      <c r="D13808" s="4" t="s">
        <v>1354</v>
      </c>
      <c r="E13808" s="4" t="s">
        <v>1355</v>
      </c>
      <c r="F13808" s="4" t="s">
        <v>1356</v>
      </c>
    </row>
    <row r="13809">
      <c r="A13809" s="4">
        <v>259.0</v>
      </c>
      <c r="B13809" s="4" t="s">
        <v>22113</v>
      </c>
      <c r="C13809" s="4"/>
      <c r="D13809" s="4" t="s">
        <v>20840</v>
      </c>
      <c r="E13809" s="4" t="s">
        <v>20841</v>
      </c>
      <c r="F13809" s="4" t="s">
        <v>20842</v>
      </c>
    </row>
    <row r="13810">
      <c r="A13810" s="4">
        <v>260.0</v>
      </c>
      <c r="B13810" s="4" t="s">
        <v>22113</v>
      </c>
      <c r="C13810" s="4"/>
      <c r="D13810" s="4" t="s">
        <v>20843</v>
      </c>
      <c r="E13810" s="4" t="s">
        <v>20844</v>
      </c>
      <c r="F13810" s="4" t="s">
        <v>20845</v>
      </c>
    </row>
    <row r="13811">
      <c r="A13811" s="4">
        <v>261.0</v>
      </c>
      <c r="B13811" s="4" t="s">
        <v>22113</v>
      </c>
      <c r="C13811" s="4"/>
      <c r="D13811" s="4" t="s">
        <v>20846</v>
      </c>
      <c r="E13811" s="4" t="s">
        <v>20847</v>
      </c>
      <c r="F13811" s="4" t="s">
        <v>20848</v>
      </c>
    </row>
    <row r="13812">
      <c r="A13812" s="4">
        <v>262.0</v>
      </c>
      <c r="B13812" s="4" t="s">
        <v>22113</v>
      </c>
      <c r="C13812" s="4"/>
      <c r="D13812" s="4" t="s">
        <v>14132</v>
      </c>
      <c r="E13812" s="4" t="s">
        <v>5164</v>
      </c>
      <c r="F13812" s="4" t="s">
        <v>5165</v>
      </c>
      <c r="G13812" s="4"/>
      <c r="H13812" s="4" t="s">
        <v>20849</v>
      </c>
      <c r="I13812" s="4" t="s">
        <v>15571</v>
      </c>
      <c r="J13812" s="4" t="s">
        <v>20850</v>
      </c>
      <c r="K13812" s="4" t="s">
        <v>10503</v>
      </c>
      <c r="L13812" s="4" t="s">
        <v>10503</v>
      </c>
    </row>
    <row r="13813">
      <c r="A13813" s="4">
        <v>263.0</v>
      </c>
      <c r="B13813" s="4" t="s">
        <v>22113</v>
      </c>
      <c r="C13813" s="4"/>
      <c r="D13813" s="4" t="s">
        <v>20851</v>
      </c>
      <c r="E13813" s="4" t="s">
        <v>20852</v>
      </c>
      <c r="F13813" s="4" t="s">
        <v>20853</v>
      </c>
    </row>
    <row r="13814">
      <c r="A13814" s="4">
        <v>264.0</v>
      </c>
      <c r="B13814" s="4" t="s">
        <v>22113</v>
      </c>
      <c r="C13814" s="4"/>
      <c r="D13814" s="4" t="s">
        <v>20854</v>
      </c>
      <c r="E13814" s="4" t="s">
        <v>20855</v>
      </c>
      <c r="F13814" s="4" t="s">
        <v>20856</v>
      </c>
    </row>
    <row r="13815">
      <c r="A13815" s="4">
        <v>265.0</v>
      </c>
      <c r="B13815" s="4" t="s">
        <v>22113</v>
      </c>
      <c r="C13815" s="4"/>
      <c r="D13815" s="4" t="s">
        <v>20857</v>
      </c>
      <c r="E13815" s="4" t="s">
        <v>20858</v>
      </c>
      <c r="F13815" s="4" t="s">
        <v>20859</v>
      </c>
    </row>
    <row r="13816">
      <c r="A13816" s="4">
        <v>266.0</v>
      </c>
      <c r="B13816" s="4" t="s">
        <v>22113</v>
      </c>
      <c r="C13816" s="4"/>
      <c r="D13816" s="4" t="s">
        <v>20860</v>
      </c>
      <c r="E13816" s="4" t="s">
        <v>20852</v>
      </c>
      <c r="F13816" s="4" t="s">
        <v>20853</v>
      </c>
    </row>
    <row r="13817">
      <c r="A13817" s="4">
        <v>267.0</v>
      </c>
      <c r="B13817" s="4" t="s">
        <v>22113</v>
      </c>
      <c r="C13817" s="4"/>
      <c r="D13817" s="4" t="s">
        <v>20861</v>
      </c>
      <c r="E13817" s="4" t="s">
        <v>20855</v>
      </c>
      <c r="F13817" s="4" t="s">
        <v>20856</v>
      </c>
    </row>
    <row r="13818">
      <c r="A13818" s="4">
        <v>268.0</v>
      </c>
      <c r="B13818" s="4" t="s">
        <v>22113</v>
      </c>
      <c r="C13818" s="4"/>
      <c r="D13818" s="4" t="s">
        <v>20862</v>
      </c>
      <c r="E13818" s="4" t="s">
        <v>20863</v>
      </c>
      <c r="F13818" s="4" t="s">
        <v>20864</v>
      </c>
    </row>
    <row r="13819">
      <c r="A13819" s="4">
        <v>269.0</v>
      </c>
      <c r="B13819" s="4" t="s">
        <v>22113</v>
      </c>
      <c r="C13819" s="4"/>
      <c r="D13819" s="4" t="s">
        <v>11949</v>
      </c>
      <c r="E13819" s="4" t="s">
        <v>20865</v>
      </c>
      <c r="F13819" s="4" t="s">
        <v>20866</v>
      </c>
    </row>
    <row r="13820">
      <c r="A13820" s="4">
        <v>270.0</v>
      </c>
      <c r="B13820" s="4" t="s">
        <v>22113</v>
      </c>
      <c r="C13820" s="4"/>
      <c r="D13820" s="4" t="s">
        <v>20867</v>
      </c>
      <c r="E13820" s="4" t="s">
        <v>20868</v>
      </c>
      <c r="F13820" s="4" t="s">
        <v>20869</v>
      </c>
    </row>
    <row r="13821">
      <c r="A13821" s="4">
        <v>271.0</v>
      </c>
      <c r="B13821" s="4" t="s">
        <v>22113</v>
      </c>
      <c r="C13821" s="4"/>
      <c r="D13821" s="4" t="s">
        <v>20870</v>
      </c>
      <c r="E13821" s="4" t="s">
        <v>20871</v>
      </c>
      <c r="F13821" s="4" t="s">
        <v>20872</v>
      </c>
    </row>
    <row r="13822">
      <c r="A13822" s="4">
        <v>272.0</v>
      </c>
      <c r="B13822" s="4" t="s">
        <v>22113</v>
      </c>
      <c r="C13822" s="4"/>
      <c r="D13822" s="4" t="s">
        <v>20873</v>
      </c>
      <c r="E13822" s="4" t="s">
        <v>1185</v>
      </c>
      <c r="F13822" s="4" t="s">
        <v>1186</v>
      </c>
      <c r="G13822" s="4"/>
      <c r="H13822" s="4" t="s">
        <v>1044</v>
      </c>
      <c r="I13822" s="4" t="s">
        <v>1187</v>
      </c>
      <c r="J13822" s="4" t="s">
        <v>1188</v>
      </c>
      <c r="K13822" s="4" t="s">
        <v>11871</v>
      </c>
      <c r="L13822" s="4" t="s">
        <v>1189</v>
      </c>
    </row>
    <row r="13823">
      <c r="A13823" s="4">
        <v>273.0</v>
      </c>
      <c r="B13823" s="4" t="s">
        <v>22113</v>
      </c>
      <c r="C13823" s="4"/>
      <c r="D13823" s="4" t="s">
        <v>20874</v>
      </c>
      <c r="E13823" s="4" t="s">
        <v>20875</v>
      </c>
      <c r="F13823" s="4" t="s">
        <v>20876</v>
      </c>
    </row>
    <row r="13824">
      <c r="A13824" s="4">
        <v>274.0</v>
      </c>
      <c r="B13824" s="4" t="s">
        <v>22113</v>
      </c>
      <c r="C13824" s="4"/>
      <c r="D13824" s="4" t="s">
        <v>20877</v>
      </c>
      <c r="E13824" s="4" t="s">
        <v>20878</v>
      </c>
      <c r="F13824" s="4" t="s">
        <v>20879</v>
      </c>
    </row>
    <row r="13825">
      <c r="A13825" s="4">
        <v>275.0</v>
      </c>
      <c r="B13825" s="4" t="s">
        <v>22113</v>
      </c>
      <c r="C13825" s="4"/>
      <c r="D13825" s="4" t="s">
        <v>20880</v>
      </c>
      <c r="E13825" s="4" t="s">
        <v>20881</v>
      </c>
      <c r="F13825" s="4" t="s">
        <v>20882</v>
      </c>
    </row>
    <row r="13826">
      <c r="A13826" s="4">
        <v>276.0</v>
      </c>
      <c r="B13826" s="4" t="s">
        <v>22113</v>
      </c>
      <c r="C13826" s="4"/>
      <c r="D13826" s="4" t="s">
        <v>20883</v>
      </c>
      <c r="E13826" s="4" t="s">
        <v>20884</v>
      </c>
      <c r="F13826" s="4" t="s">
        <v>20885</v>
      </c>
    </row>
    <row r="13827">
      <c r="A13827" s="4">
        <v>277.0</v>
      </c>
      <c r="B13827" s="4" t="s">
        <v>22113</v>
      </c>
      <c r="C13827" s="4"/>
      <c r="D13827" s="4" t="s">
        <v>20886</v>
      </c>
      <c r="E13827" s="4" t="s">
        <v>17710</v>
      </c>
      <c r="F13827" s="4" t="s">
        <v>17711</v>
      </c>
    </row>
    <row r="13828">
      <c r="A13828" s="4">
        <v>278.0</v>
      </c>
      <c r="B13828" s="4" t="s">
        <v>22113</v>
      </c>
      <c r="C13828" s="4"/>
      <c r="D13828" s="4" t="s">
        <v>1554</v>
      </c>
      <c r="E13828" s="4" t="s">
        <v>1555</v>
      </c>
      <c r="F13828" s="4" t="s">
        <v>1556</v>
      </c>
      <c r="G13828" s="4"/>
      <c r="H13828" s="4" t="s">
        <v>1554</v>
      </c>
    </row>
    <row r="13829">
      <c r="A13829" s="4">
        <v>279.0</v>
      </c>
      <c r="B13829" s="4" t="s">
        <v>22113</v>
      </c>
      <c r="C13829" s="4"/>
      <c r="D13829" s="4" t="s">
        <v>12185</v>
      </c>
      <c r="E13829" s="4" t="s">
        <v>1600</v>
      </c>
      <c r="F13829" s="4" t="s">
        <v>1601</v>
      </c>
    </row>
    <row r="13830">
      <c r="A13830" s="4">
        <v>280.0</v>
      </c>
      <c r="B13830" s="4" t="s">
        <v>22113</v>
      </c>
      <c r="C13830" s="4"/>
      <c r="D13830" s="4" t="s">
        <v>1580</v>
      </c>
      <c r="E13830" s="4" t="s">
        <v>1581</v>
      </c>
      <c r="F13830" s="4" t="s">
        <v>1582</v>
      </c>
    </row>
    <row r="13831">
      <c r="A13831" s="4">
        <v>281.0</v>
      </c>
      <c r="B13831" s="4" t="s">
        <v>22113</v>
      </c>
      <c r="C13831" s="4"/>
      <c r="D13831" s="4" t="s">
        <v>20887</v>
      </c>
      <c r="E13831" s="4" t="s">
        <v>17817</v>
      </c>
      <c r="F13831" s="4" t="s">
        <v>10111</v>
      </c>
    </row>
    <row r="13832">
      <c r="A13832" s="4">
        <v>282.0</v>
      </c>
      <c r="B13832" s="4" t="s">
        <v>22113</v>
      </c>
      <c r="C13832" s="4"/>
      <c r="D13832" s="4" t="s">
        <v>20888</v>
      </c>
      <c r="E13832" s="4" t="s">
        <v>20889</v>
      </c>
      <c r="F13832" s="4" t="s">
        <v>20890</v>
      </c>
    </row>
    <row r="13833">
      <c r="A13833" s="4">
        <v>283.0</v>
      </c>
      <c r="B13833" s="4" t="s">
        <v>22113</v>
      </c>
      <c r="C13833" s="4"/>
      <c r="D13833" s="4" t="s">
        <v>20891</v>
      </c>
      <c r="E13833" s="4" t="s">
        <v>20892</v>
      </c>
      <c r="F13833" s="4" t="s">
        <v>20893</v>
      </c>
    </row>
    <row r="13834">
      <c r="A13834" s="4">
        <v>284.0</v>
      </c>
      <c r="B13834" s="4" t="s">
        <v>22113</v>
      </c>
      <c r="C13834" s="4"/>
      <c r="D13834" s="4" t="s">
        <v>1628</v>
      </c>
      <c r="E13834" s="4" t="s">
        <v>1629</v>
      </c>
      <c r="F13834" s="4" t="s">
        <v>1630</v>
      </c>
    </row>
    <row r="13835">
      <c r="A13835" s="4">
        <v>285.0</v>
      </c>
      <c r="B13835" s="4" t="s">
        <v>22113</v>
      </c>
      <c r="C13835" s="4"/>
      <c r="D13835" s="4" t="s">
        <v>20894</v>
      </c>
      <c r="E13835" s="4" t="s">
        <v>20895</v>
      </c>
      <c r="F13835" s="4" t="s">
        <v>20896</v>
      </c>
    </row>
    <row r="13836">
      <c r="A13836" s="4">
        <v>286.0</v>
      </c>
      <c r="B13836" s="4" t="s">
        <v>22113</v>
      </c>
      <c r="C13836" s="4"/>
      <c r="D13836" s="4" t="s">
        <v>20897</v>
      </c>
      <c r="E13836" s="4" t="s">
        <v>17847</v>
      </c>
      <c r="F13836" s="4" t="s">
        <v>17846</v>
      </c>
    </row>
    <row r="13837">
      <c r="A13837" s="4">
        <v>287.0</v>
      </c>
      <c r="B13837" s="4" t="s">
        <v>22113</v>
      </c>
      <c r="C13837" s="4"/>
      <c r="D13837" s="4" t="s">
        <v>20898</v>
      </c>
      <c r="E13837" s="4" t="s">
        <v>20899</v>
      </c>
      <c r="F13837" s="4" t="s">
        <v>20900</v>
      </c>
    </row>
    <row r="13838">
      <c r="A13838" s="4">
        <v>288.0</v>
      </c>
      <c r="B13838" s="4" t="s">
        <v>22113</v>
      </c>
      <c r="C13838" s="4"/>
      <c r="D13838" s="4" t="s">
        <v>20901</v>
      </c>
      <c r="E13838" s="4" t="s">
        <v>20902</v>
      </c>
      <c r="F13838" s="4" t="s">
        <v>20903</v>
      </c>
    </row>
    <row r="13839">
      <c r="A13839" s="4">
        <v>289.0</v>
      </c>
      <c r="B13839" s="4" t="s">
        <v>22113</v>
      </c>
      <c r="C13839" s="4"/>
      <c r="D13839" s="4" t="s">
        <v>16660</v>
      </c>
      <c r="E13839" s="4" t="s">
        <v>15066</v>
      </c>
      <c r="F13839" s="4" t="s">
        <v>10135</v>
      </c>
      <c r="G13839" s="4"/>
      <c r="H13839" s="4" t="s">
        <v>20904</v>
      </c>
      <c r="I13839" s="4" t="s">
        <v>20905</v>
      </c>
      <c r="J13839" s="4" t="s">
        <v>20906</v>
      </c>
      <c r="K13839" s="4" t="s">
        <v>17157</v>
      </c>
      <c r="L13839" s="4" t="s">
        <v>9239</v>
      </c>
      <c r="M13839" s="4" t="s">
        <v>20907</v>
      </c>
      <c r="N13839" s="4" t="s">
        <v>20908</v>
      </c>
      <c r="O13839" s="4" t="s">
        <v>20904</v>
      </c>
      <c r="P13839" s="4" t="s">
        <v>20909</v>
      </c>
      <c r="Q13839" s="4" t="s">
        <v>20910</v>
      </c>
      <c r="R13839" s="4" t="s">
        <v>20911</v>
      </c>
      <c r="S13839" s="4" t="s">
        <v>2125</v>
      </c>
    </row>
    <row r="13840">
      <c r="A13840" s="4">
        <v>290.0</v>
      </c>
      <c r="B13840" s="4" t="s">
        <v>22113</v>
      </c>
      <c r="C13840" s="4"/>
      <c r="D13840" s="4" t="s">
        <v>1646</v>
      </c>
      <c r="E13840" s="4" t="s">
        <v>1647</v>
      </c>
      <c r="F13840" s="4" t="s">
        <v>1648</v>
      </c>
      <c r="G13840" s="4"/>
      <c r="H13840" s="4" t="s">
        <v>1656</v>
      </c>
      <c r="I13840" s="4" t="s">
        <v>1657</v>
      </c>
      <c r="J13840" s="4" t="s">
        <v>1658</v>
      </c>
      <c r="K13840" s="4" t="s">
        <v>1659</v>
      </c>
      <c r="L13840" s="4" t="s">
        <v>20912</v>
      </c>
      <c r="M13840" s="4" t="s">
        <v>1661</v>
      </c>
    </row>
    <row r="13841">
      <c r="A13841" s="4">
        <v>291.0</v>
      </c>
      <c r="B13841" s="4" t="s">
        <v>22113</v>
      </c>
      <c r="C13841" s="4"/>
      <c r="D13841" s="4" t="s">
        <v>1662</v>
      </c>
      <c r="E13841" s="4" t="s">
        <v>1665</v>
      </c>
      <c r="F13841" s="4" t="s">
        <v>1666</v>
      </c>
      <c r="G13841" s="4"/>
      <c r="H13841" s="4" t="s">
        <v>1663</v>
      </c>
      <c r="I13841" s="4" t="s">
        <v>1658</v>
      </c>
      <c r="J13841" s="4" t="s">
        <v>1664</v>
      </c>
      <c r="K13841" s="4" t="s">
        <v>20913</v>
      </c>
      <c r="L13841" s="4" t="s">
        <v>1664</v>
      </c>
      <c r="M13841" s="4" t="s">
        <v>1658</v>
      </c>
    </row>
    <row r="13842">
      <c r="A13842" s="4">
        <v>292.0</v>
      </c>
      <c r="B13842" s="4" t="s">
        <v>22113</v>
      </c>
      <c r="C13842" s="4"/>
      <c r="D13842" s="4" t="s">
        <v>20914</v>
      </c>
      <c r="E13842" s="4" t="s">
        <v>20915</v>
      </c>
      <c r="F13842" s="4" t="s">
        <v>20916</v>
      </c>
    </row>
    <row r="13843">
      <c r="A13843" s="4">
        <v>293.0</v>
      </c>
      <c r="B13843" s="4" t="s">
        <v>22113</v>
      </c>
      <c r="C13843" s="4"/>
      <c r="D13843" s="4" t="s">
        <v>1690</v>
      </c>
      <c r="E13843" s="4" t="s">
        <v>1674</v>
      </c>
      <c r="F13843" s="4" t="s">
        <v>1675</v>
      </c>
    </row>
    <row r="13844">
      <c r="A13844" s="4">
        <v>294.0</v>
      </c>
      <c r="B13844" s="4" t="s">
        <v>22113</v>
      </c>
      <c r="C13844" s="4"/>
      <c r="D13844" s="4" t="s">
        <v>20917</v>
      </c>
      <c r="E13844" s="4" t="s">
        <v>20918</v>
      </c>
      <c r="F13844" s="4" t="s">
        <v>20919</v>
      </c>
    </row>
    <row r="13845">
      <c r="A13845" s="4">
        <v>295.0</v>
      </c>
      <c r="B13845" s="4" t="s">
        <v>22113</v>
      </c>
      <c r="C13845" s="4"/>
      <c r="D13845" s="4" t="s">
        <v>20920</v>
      </c>
      <c r="E13845" s="4" t="s">
        <v>20921</v>
      </c>
      <c r="F13845" s="4" t="s">
        <v>20922</v>
      </c>
      <c r="G13845" s="4"/>
      <c r="H13845" s="4" t="s">
        <v>20920</v>
      </c>
      <c r="I13845" s="4" t="s">
        <v>20923</v>
      </c>
      <c r="J13845" s="4" t="s">
        <v>20924</v>
      </c>
      <c r="K13845" s="4" t="s">
        <v>1696</v>
      </c>
    </row>
    <row r="13846">
      <c r="A13846" s="4">
        <v>296.0</v>
      </c>
      <c r="B13846" s="4" t="s">
        <v>22113</v>
      </c>
      <c r="C13846" s="4"/>
      <c r="D13846" s="4" t="s">
        <v>20925</v>
      </c>
      <c r="E13846" s="4" t="s">
        <v>20926</v>
      </c>
      <c r="F13846" s="4" t="s">
        <v>20927</v>
      </c>
      <c r="G13846" s="4"/>
      <c r="H13846" s="4" t="s">
        <v>20928</v>
      </c>
      <c r="I13846" s="4" t="s">
        <v>20929</v>
      </c>
      <c r="J13846" s="4" t="s">
        <v>20930</v>
      </c>
    </row>
    <row r="13847">
      <c r="A13847" s="4">
        <v>297.0</v>
      </c>
      <c r="B13847" s="4" t="s">
        <v>22113</v>
      </c>
      <c r="C13847" s="4"/>
      <c r="D13847" s="4" t="s">
        <v>20931</v>
      </c>
      <c r="E13847" s="4" t="s">
        <v>5223</v>
      </c>
      <c r="F13847" s="4" t="s">
        <v>5224</v>
      </c>
      <c r="G13847" s="4"/>
      <c r="H13847" s="4" t="s">
        <v>20932</v>
      </c>
      <c r="I13847" s="4" t="s">
        <v>20933</v>
      </c>
      <c r="J13847" s="4" t="s">
        <v>20934</v>
      </c>
    </row>
    <row r="13848">
      <c r="A13848" s="4">
        <v>298.0</v>
      </c>
      <c r="B13848" s="4" t="s">
        <v>22113</v>
      </c>
      <c r="C13848" s="4"/>
      <c r="D13848" s="4" t="s">
        <v>20935</v>
      </c>
      <c r="E13848" s="4" t="s">
        <v>20936</v>
      </c>
      <c r="F13848" s="4" t="s">
        <v>20937</v>
      </c>
    </row>
    <row r="13849">
      <c r="A13849" s="4">
        <v>299.0</v>
      </c>
      <c r="B13849" s="4" t="s">
        <v>22113</v>
      </c>
      <c r="C13849" s="4"/>
      <c r="D13849" s="4" t="s">
        <v>20938</v>
      </c>
      <c r="E13849" s="4" t="s">
        <v>20939</v>
      </c>
      <c r="F13849" s="4" t="s">
        <v>20940</v>
      </c>
      <c r="G13849" s="4"/>
      <c r="H13849" s="4" t="s">
        <v>20941</v>
      </c>
      <c r="I13849" s="4" t="s">
        <v>20942</v>
      </c>
      <c r="J13849" s="4" t="s">
        <v>13584</v>
      </c>
      <c r="K13849" s="4" t="s">
        <v>20943</v>
      </c>
      <c r="L13849" s="4" t="s">
        <v>20944</v>
      </c>
      <c r="M13849" s="4" t="s">
        <v>20945</v>
      </c>
      <c r="N13849" s="4" t="s">
        <v>20941</v>
      </c>
      <c r="O13849" s="4" t="s">
        <v>13584</v>
      </c>
      <c r="P13849" s="4" t="s">
        <v>2130</v>
      </c>
      <c r="Q13849" s="4" t="s">
        <v>13584</v>
      </c>
      <c r="R13849" s="4" t="s">
        <v>20946</v>
      </c>
      <c r="S13849" s="4" t="s">
        <v>20947</v>
      </c>
      <c r="T13849" s="4" t="s">
        <v>20948</v>
      </c>
    </row>
    <row r="13850">
      <c r="A13850" s="4">
        <v>300.0</v>
      </c>
      <c r="B13850" s="4" t="s">
        <v>22113</v>
      </c>
      <c r="C13850" s="4"/>
      <c r="D13850" s="4" t="s">
        <v>20949</v>
      </c>
      <c r="E13850" s="4" t="s">
        <v>20950</v>
      </c>
      <c r="F13850" s="4" t="s">
        <v>20951</v>
      </c>
    </row>
    <row r="13851">
      <c r="A13851" s="4">
        <v>301.0</v>
      </c>
      <c r="B13851" s="4" t="s">
        <v>22113</v>
      </c>
      <c r="C13851" s="4"/>
      <c r="D13851" s="4" t="s">
        <v>20952</v>
      </c>
      <c r="E13851" s="4" t="s">
        <v>1558</v>
      </c>
      <c r="F13851" s="4" t="s">
        <v>1559</v>
      </c>
      <c r="G13851" s="4"/>
      <c r="H13851" s="4" t="s">
        <v>20953</v>
      </c>
      <c r="I13851" s="4" t="s">
        <v>5920</v>
      </c>
      <c r="J13851" s="4" t="s">
        <v>5920</v>
      </c>
      <c r="K13851" s="4" t="s">
        <v>20954</v>
      </c>
      <c r="L13851" s="4" t="s">
        <v>20955</v>
      </c>
    </row>
    <row r="13852">
      <c r="A13852" s="4">
        <v>302.0</v>
      </c>
      <c r="B13852" s="4" t="s">
        <v>22113</v>
      </c>
      <c r="C13852" s="4"/>
      <c r="D13852" s="4" t="s">
        <v>17085</v>
      </c>
      <c r="E13852" s="4" t="s">
        <v>17539</v>
      </c>
      <c r="F13852" s="4" t="s">
        <v>3801</v>
      </c>
    </row>
    <row r="13853">
      <c r="A13853" s="4">
        <v>303.0</v>
      </c>
      <c r="B13853" s="4" t="s">
        <v>22113</v>
      </c>
      <c r="C13853" s="4"/>
      <c r="D13853" s="4" t="s">
        <v>20956</v>
      </c>
      <c r="E13853" s="4" t="s">
        <v>20957</v>
      </c>
      <c r="F13853" s="4" t="s">
        <v>10035</v>
      </c>
    </row>
    <row r="13854">
      <c r="A13854" s="4">
        <v>304.0</v>
      </c>
      <c r="B13854" s="4" t="s">
        <v>22113</v>
      </c>
      <c r="C13854" s="4"/>
      <c r="D13854" s="4" t="s">
        <v>20958</v>
      </c>
      <c r="E13854" s="4" t="s">
        <v>20959</v>
      </c>
      <c r="F13854" s="4" t="s">
        <v>20960</v>
      </c>
    </row>
    <row r="13855">
      <c r="A13855" s="4">
        <v>305.0</v>
      </c>
      <c r="B13855" s="4" t="s">
        <v>22113</v>
      </c>
      <c r="C13855" s="4"/>
      <c r="D13855" s="4" t="s">
        <v>20961</v>
      </c>
      <c r="E13855" s="4" t="s">
        <v>20962</v>
      </c>
      <c r="F13855" s="4" t="s">
        <v>20963</v>
      </c>
      <c r="G13855" s="4"/>
      <c r="H13855" s="4" t="s">
        <v>9055</v>
      </c>
      <c r="I13855" s="4" t="s">
        <v>3424</v>
      </c>
      <c r="J13855" s="4" t="s">
        <v>15181</v>
      </c>
      <c r="K13855" s="4" t="s">
        <v>15181</v>
      </c>
      <c r="L13855" s="4" t="s">
        <v>20964</v>
      </c>
      <c r="M13855" s="4" t="s">
        <v>14041</v>
      </c>
      <c r="N13855" s="4" t="s">
        <v>1088</v>
      </c>
      <c r="O13855" s="4" t="s">
        <v>20965</v>
      </c>
      <c r="P13855" s="4" t="s">
        <v>6564</v>
      </c>
      <c r="Q13855" s="4" t="s">
        <v>20966</v>
      </c>
      <c r="R13855" s="4" t="s">
        <v>20967</v>
      </c>
      <c r="S13855" s="4" t="s">
        <v>20968</v>
      </c>
      <c r="T13855" s="4" t="s">
        <v>7212</v>
      </c>
      <c r="U13855" s="4" t="s">
        <v>20969</v>
      </c>
      <c r="V13855" s="4" t="s">
        <v>20970</v>
      </c>
      <c r="W13855" s="4" t="s">
        <v>20971</v>
      </c>
      <c r="X13855" s="4" t="s">
        <v>7115</v>
      </c>
      <c r="Y13855" s="4" t="s">
        <v>14501</v>
      </c>
      <c r="Z13855" s="4" t="s">
        <v>20972</v>
      </c>
      <c r="AA13855" s="4" t="s">
        <v>7115</v>
      </c>
      <c r="AB13855" s="4" t="s">
        <v>7890</v>
      </c>
      <c r="AC13855" s="4" t="s">
        <v>20973</v>
      </c>
      <c r="AD13855" s="4" t="s">
        <v>20970</v>
      </c>
      <c r="AE13855" s="4" t="s">
        <v>15181</v>
      </c>
      <c r="AF13855" s="4" t="s">
        <v>3424</v>
      </c>
      <c r="AG13855" s="4" t="s">
        <v>15181</v>
      </c>
      <c r="AH13855" s="4" t="s">
        <v>15181</v>
      </c>
      <c r="AI13855" s="4" t="s">
        <v>20974</v>
      </c>
      <c r="AJ13855" s="4" t="s">
        <v>20975</v>
      </c>
    </row>
    <row r="13856">
      <c r="A13856" s="4">
        <v>306.0</v>
      </c>
      <c r="B13856" s="4" t="s">
        <v>22113</v>
      </c>
      <c r="C13856" s="4"/>
      <c r="D13856" s="4" t="s">
        <v>20976</v>
      </c>
      <c r="E13856" s="4" t="s">
        <v>20977</v>
      </c>
      <c r="F13856" s="4" t="s">
        <v>20978</v>
      </c>
    </row>
    <row r="13857">
      <c r="A13857" s="4">
        <v>307.0</v>
      </c>
      <c r="B13857" s="4" t="s">
        <v>22113</v>
      </c>
      <c r="C13857" s="4"/>
      <c r="D13857" s="4" t="s">
        <v>20979</v>
      </c>
      <c r="E13857" s="4" t="s">
        <v>20980</v>
      </c>
      <c r="F13857" s="4" t="s">
        <v>6469</v>
      </c>
    </row>
    <row r="13858">
      <c r="A13858" s="4">
        <v>308.0</v>
      </c>
      <c r="B13858" s="4" t="s">
        <v>22113</v>
      </c>
      <c r="C13858" s="4"/>
      <c r="D13858" s="4" t="s">
        <v>20981</v>
      </c>
      <c r="E13858" s="4" t="s">
        <v>20982</v>
      </c>
      <c r="F13858" s="4" t="s">
        <v>20983</v>
      </c>
    </row>
    <row r="13859">
      <c r="A13859" s="4">
        <v>309.0</v>
      </c>
      <c r="B13859" s="4" t="s">
        <v>22113</v>
      </c>
      <c r="C13859" s="4"/>
      <c r="D13859" s="4" t="s">
        <v>1777</v>
      </c>
      <c r="E13859" s="4" t="s">
        <v>509</v>
      </c>
      <c r="F13859" s="4" t="s">
        <v>508</v>
      </c>
    </row>
    <row r="13860">
      <c r="A13860" s="4">
        <v>310.0</v>
      </c>
      <c r="B13860" s="4" t="s">
        <v>22113</v>
      </c>
      <c r="C13860" s="4"/>
      <c r="D13860" s="4" t="s">
        <v>14147</v>
      </c>
      <c r="E13860" s="4" t="s">
        <v>14148</v>
      </c>
      <c r="F13860" s="4" t="s">
        <v>14149</v>
      </c>
    </row>
    <row r="13861">
      <c r="A13861" s="4">
        <v>311.0</v>
      </c>
      <c r="B13861" s="4" t="s">
        <v>22113</v>
      </c>
      <c r="C13861" s="4"/>
      <c r="D13861" s="4" t="s">
        <v>20984</v>
      </c>
      <c r="E13861" s="4" t="s">
        <v>11622</v>
      </c>
      <c r="F13861" s="4" t="s">
        <v>11621</v>
      </c>
      <c r="G13861" s="4"/>
      <c r="H13861" s="4" t="s">
        <v>20985</v>
      </c>
      <c r="I13861" s="4" t="s">
        <v>20986</v>
      </c>
    </row>
    <row r="13862">
      <c r="A13862" s="4">
        <v>312.0</v>
      </c>
      <c r="B13862" s="4" t="s">
        <v>22113</v>
      </c>
      <c r="C13862" s="4"/>
      <c r="D13862" s="4" t="s">
        <v>20987</v>
      </c>
      <c r="E13862" s="4" t="s">
        <v>20988</v>
      </c>
      <c r="F13862" s="4" t="s">
        <v>20989</v>
      </c>
    </row>
    <row r="13863">
      <c r="A13863" s="4">
        <v>313.0</v>
      </c>
      <c r="B13863" s="4" t="s">
        <v>22113</v>
      </c>
      <c r="C13863" s="4"/>
      <c r="D13863" s="4" t="s">
        <v>20990</v>
      </c>
      <c r="E13863" s="4" t="s">
        <v>20991</v>
      </c>
      <c r="F13863" s="4" t="s">
        <v>20992</v>
      </c>
    </row>
    <row r="13864">
      <c r="A13864" s="4">
        <v>314.0</v>
      </c>
      <c r="B13864" s="4" t="s">
        <v>22113</v>
      </c>
      <c r="C13864" s="4"/>
      <c r="D13864" s="4" t="s">
        <v>1786</v>
      </c>
      <c r="E13864" s="4" t="s">
        <v>593</v>
      </c>
      <c r="F13864" s="4" t="s">
        <v>594</v>
      </c>
    </row>
    <row r="13865">
      <c r="A13865" s="4">
        <v>315.0</v>
      </c>
      <c r="B13865" s="4" t="s">
        <v>22113</v>
      </c>
      <c r="C13865" s="4"/>
      <c r="D13865" s="4" t="s">
        <v>20993</v>
      </c>
      <c r="E13865" s="4" t="s">
        <v>20994</v>
      </c>
      <c r="F13865" s="4" t="s">
        <v>20995</v>
      </c>
    </row>
    <row r="13866">
      <c r="A13866" s="4">
        <v>316.0</v>
      </c>
      <c r="B13866" s="4" t="s">
        <v>22113</v>
      </c>
      <c r="C13866" s="4"/>
      <c r="D13866" s="4" t="s">
        <v>20993</v>
      </c>
      <c r="E13866" s="4" t="s">
        <v>20996</v>
      </c>
      <c r="F13866" s="4" t="s">
        <v>20997</v>
      </c>
    </row>
    <row r="13867">
      <c r="A13867" s="4">
        <v>317.0</v>
      </c>
      <c r="B13867" s="4" t="s">
        <v>22113</v>
      </c>
      <c r="C13867" s="4"/>
      <c r="D13867" s="4" t="s">
        <v>20998</v>
      </c>
      <c r="E13867" s="4" t="s">
        <v>20999</v>
      </c>
      <c r="F13867" s="4" t="s">
        <v>21000</v>
      </c>
    </row>
    <row r="13868">
      <c r="A13868" s="4">
        <v>318.0</v>
      </c>
      <c r="B13868" s="4" t="s">
        <v>22113</v>
      </c>
      <c r="C13868" s="4"/>
      <c r="D13868" s="4" t="s">
        <v>21001</v>
      </c>
      <c r="E13868" s="4" t="s">
        <v>21002</v>
      </c>
      <c r="F13868" s="4" t="s">
        <v>21003</v>
      </c>
      <c r="G13868" s="4"/>
      <c r="H13868" s="4" t="s">
        <v>21004</v>
      </c>
    </row>
    <row r="13869">
      <c r="A13869" s="4">
        <v>319.0</v>
      </c>
      <c r="B13869" s="4" t="s">
        <v>22113</v>
      </c>
      <c r="C13869" s="4"/>
      <c r="D13869" s="4" t="s">
        <v>21005</v>
      </c>
      <c r="E13869" s="4" t="s">
        <v>21006</v>
      </c>
      <c r="F13869" s="4" t="s">
        <v>21007</v>
      </c>
    </row>
    <row r="13870">
      <c r="A13870" s="4">
        <v>320.0</v>
      </c>
      <c r="B13870" s="4" t="s">
        <v>22113</v>
      </c>
      <c r="C13870" s="4"/>
      <c r="D13870" s="4" t="s">
        <v>21008</v>
      </c>
      <c r="E13870" s="4" t="s">
        <v>818</v>
      </c>
      <c r="F13870" s="4" t="s">
        <v>817</v>
      </c>
    </row>
    <row r="13871">
      <c r="A13871" s="4">
        <v>321.0</v>
      </c>
      <c r="B13871" s="4" t="s">
        <v>22113</v>
      </c>
      <c r="C13871" s="4"/>
      <c r="D13871" s="4" t="s">
        <v>21009</v>
      </c>
      <c r="E13871" s="4" t="s">
        <v>821</v>
      </c>
      <c r="F13871" s="4" t="s">
        <v>820</v>
      </c>
    </row>
    <row r="13872">
      <c r="A13872" s="4">
        <v>322.0</v>
      </c>
      <c r="B13872" s="4" t="s">
        <v>22113</v>
      </c>
      <c r="C13872" s="4"/>
      <c r="D13872" s="4" t="s">
        <v>21010</v>
      </c>
      <c r="E13872" s="4" t="s">
        <v>20613</v>
      </c>
      <c r="F13872" s="4" t="s">
        <v>20614</v>
      </c>
    </row>
    <row r="13873">
      <c r="A13873" s="4">
        <v>323.0</v>
      </c>
      <c r="B13873" s="4" t="s">
        <v>22113</v>
      </c>
      <c r="C13873" s="4"/>
      <c r="D13873" s="4" t="s">
        <v>1787</v>
      </c>
      <c r="E13873" s="4" t="s">
        <v>294</v>
      </c>
      <c r="F13873" s="4" t="s">
        <v>295</v>
      </c>
    </row>
    <row r="13874">
      <c r="A13874" s="4">
        <v>324.0</v>
      </c>
      <c r="B13874" s="4" t="s">
        <v>22113</v>
      </c>
      <c r="C13874" s="4"/>
      <c r="D13874" s="4" t="s">
        <v>21011</v>
      </c>
      <c r="E13874" s="4" t="s">
        <v>5089</v>
      </c>
      <c r="F13874" s="4" t="s">
        <v>5090</v>
      </c>
      <c r="G13874" s="4"/>
      <c r="H13874" s="4" t="s">
        <v>4701</v>
      </c>
      <c r="I13874" s="4" t="s">
        <v>4702</v>
      </c>
      <c r="J13874" s="4" t="s">
        <v>14809</v>
      </c>
      <c r="K13874" s="4" t="s">
        <v>6861</v>
      </c>
    </row>
    <row r="13875">
      <c r="A13875" s="4">
        <v>325.0</v>
      </c>
      <c r="B13875" s="4" t="s">
        <v>22113</v>
      </c>
      <c r="C13875" s="4"/>
      <c r="D13875" s="4" t="s">
        <v>21012</v>
      </c>
      <c r="E13875" s="4" t="s">
        <v>21013</v>
      </c>
      <c r="F13875" s="4" t="s">
        <v>21014</v>
      </c>
    </row>
    <row r="13876">
      <c r="A13876" s="4">
        <v>326.0</v>
      </c>
      <c r="B13876" s="4" t="s">
        <v>22113</v>
      </c>
      <c r="C13876" s="4"/>
      <c r="D13876" s="4" t="s">
        <v>21015</v>
      </c>
      <c r="E13876" s="4" t="s">
        <v>21016</v>
      </c>
      <c r="F13876" s="4" t="s">
        <v>21017</v>
      </c>
      <c r="G13876" s="4"/>
      <c r="H13876" s="4" t="s">
        <v>8976</v>
      </c>
      <c r="I13876" s="4" t="s">
        <v>20970</v>
      </c>
      <c r="J13876" s="4" t="s">
        <v>7901</v>
      </c>
      <c r="K13876" s="4" t="s">
        <v>7897</v>
      </c>
    </row>
    <row r="13877">
      <c r="A13877" s="4">
        <v>327.0</v>
      </c>
      <c r="B13877" s="4" t="s">
        <v>22113</v>
      </c>
      <c r="C13877" s="4"/>
      <c r="D13877" s="4" t="s">
        <v>21018</v>
      </c>
      <c r="E13877" s="4" t="s">
        <v>21019</v>
      </c>
      <c r="F13877" s="4" t="s">
        <v>21020</v>
      </c>
    </row>
    <row r="13878">
      <c r="A13878" s="4">
        <v>328.0</v>
      </c>
      <c r="B13878" s="4" t="s">
        <v>22113</v>
      </c>
      <c r="C13878" s="4"/>
      <c r="D13878" s="4" t="s">
        <v>6251</v>
      </c>
      <c r="E13878" s="4" t="s">
        <v>21021</v>
      </c>
      <c r="F13878" s="4" t="s">
        <v>15902</v>
      </c>
    </row>
    <row r="13879">
      <c r="A13879" s="4">
        <v>329.0</v>
      </c>
      <c r="B13879" s="4" t="s">
        <v>22113</v>
      </c>
      <c r="C13879" s="4"/>
      <c r="D13879" s="4" t="s">
        <v>1805</v>
      </c>
      <c r="E13879" s="4" t="s">
        <v>1806</v>
      </c>
      <c r="F13879" s="4" t="s">
        <v>1807</v>
      </c>
    </row>
    <row r="13880">
      <c r="A13880" s="4">
        <v>330.0</v>
      </c>
      <c r="B13880" s="4" t="s">
        <v>22113</v>
      </c>
      <c r="C13880" s="4"/>
      <c r="D13880" s="4" t="s">
        <v>20015</v>
      </c>
      <c r="E13880" s="4" t="s">
        <v>1843</v>
      </c>
      <c r="F13880" s="4" t="s">
        <v>1844</v>
      </c>
    </row>
    <row r="13881">
      <c r="A13881" s="4">
        <v>331.0</v>
      </c>
      <c r="B13881" s="4" t="s">
        <v>22113</v>
      </c>
      <c r="C13881" s="4"/>
      <c r="D13881" s="4" t="s">
        <v>1815</v>
      </c>
      <c r="E13881" s="4" t="s">
        <v>1816</v>
      </c>
      <c r="F13881" s="4" t="s">
        <v>1817</v>
      </c>
    </row>
    <row r="13882">
      <c r="A13882" s="4">
        <v>332.0</v>
      </c>
      <c r="B13882" s="4" t="s">
        <v>22113</v>
      </c>
      <c r="C13882" s="4"/>
      <c r="D13882" s="4" t="s">
        <v>21022</v>
      </c>
      <c r="E13882" s="4" t="s">
        <v>21023</v>
      </c>
      <c r="F13882" s="4" t="s">
        <v>21024</v>
      </c>
    </row>
    <row r="13883">
      <c r="A13883" s="4">
        <v>333.0</v>
      </c>
      <c r="B13883" s="4" t="s">
        <v>22113</v>
      </c>
      <c r="C13883" s="4"/>
      <c r="D13883" s="4" t="s">
        <v>21025</v>
      </c>
      <c r="E13883" s="4" t="s">
        <v>21026</v>
      </c>
      <c r="F13883" s="4" t="s">
        <v>21027</v>
      </c>
    </row>
    <row r="13884">
      <c r="A13884" s="4">
        <v>334.0</v>
      </c>
      <c r="B13884" s="4" t="s">
        <v>22113</v>
      </c>
      <c r="C13884" s="4"/>
      <c r="D13884" s="4" t="s">
        <v>21028</v>
      </c>
      <c r="E13884" s="4" t="s">
        <v>21029</v>
      </c>
      <c r="F13884" s="4" t="s">
        <v>21030</v>
      </c>
    </row>
    <row r="13885">
      <c r="A13885" s="4">
        <v>335.0</v>
      </c>
      <c r="B13885" s="4" t="s">
        <v>22113</v>
      </c>
      <c r="C13885" s="4"/>
      <c r="D13885" s="4" t="s">
        <v>1862</v>
      </c>
      <c r="E13885" s="4" t="s">
        <v>1863</v>
      </c>
      <c r="F13885" s="4" t="s">
        <v>1864</v>
      </c>
    </row>
    <row r="13886">
      <c r="A13886" s="4">
        <v>336.0</v>
      </c>
      <c r="B13886" s="4" t="s">
        <v>22113</v>
      </c>
      <c r="C13886" s="4"/>
      <c r="D13886" s="4" t="s">
        <v>21031</v>
      </c>
      <c r="E13886" s="4" t="s">
        <v>21032</v>
      </c>
      <c r="F13886" s="4" t="s">
        <v>21033</v>
      </c>
    </row>
    <row r="13887">
      <c r="A13887" s="4">
        <v>337.0</v>
      </c>
      <c r="B13887" s="4" t="s">
        <v>22113</v>
      </c>
      <c r="C13887" s="4"/>
      <c r="D13887" s="4" t="s">
        <v>21034</v>
      </c>
      <c r="E13887" s="4" t="s">
        <v>21035</v>
      </c>
      <c r="F13887" s="4" t="s">
        <v>21036</v>
      </c>
    </row>
    <row r="13888">
      <c r="A13888" s="4">
        <v>338.0</v>
      </c>
      <c r="B13888" s="4" t="s">
        <v>22113</v>
      </c>
      <c r="C13888" s="4"/>
      <c r="D13888" s="4" t="s">
        <v>21037</v>
      </c>
      <c r="E13888" s="4" t="s">
        <v>21038</v>
      </c>
      <c r="F13888" s="4" t="s">
        <v>21039</v>
      </c>
    </row>
    <row r="13889">
      <c r="A13889" s="4">
        <v>339.0</v>
      </c>
      <c r="B13889" s="4" t="s">
        <v>22113</v>
      </c>
      <c r="C13889" s="4"/>
      <c r="D13889" s="4" t="s">
        <v>21040</v>
      </c>
      <c r="E13889" s="4" t="s">
        <v>21041</v>
      </c>
      <c r="F13889" s="4" t="s">
        <v>21042</v>
      </c>
    </row>
    <row r="13890">
      <c r="A13890" s="4">
        <v>340.0</v>
      </c>
      <c r="B13890" s="4" t="s">
        <v>22113</v>
      </c>
      <c r="C13890" s="4"/>
      <c r="D13890" s="4" t="s">
        <v>21043</v>
      </c>
      <c r="E13890" s="4" t="s">
        <v>21044</v>
      </c>
      <c r="F13890" s="4" t="s">
        <v>21045</v>
      </c>
    </row>
    <row r="13891">
      <c r="A13891" s="4">
        <v>341.0</v>
      </c>
      <c r="B13891" s="4" t="s">
        <v>22113</v>
      </c>
      <c r="C13891" s="4"/>
      <c r="D13891" s="4" t="s">
        <v>21046</v>
      </c>
      <c r="E13891" s="4" t="s">
        <v>21047</v>
      </c>
      <c r="F13891" s="4" t="s">
        <v>19726</v>
      </c>
      <c r="G13891" s="4"/>
      <c r="H13891" s="4" t="s">
        <v>21048</v>
      </c>
    </row>
    <row r="13892">
      <c r="A13892" s="4">
        <v>342.0</v>
      </c>
      <c r="B13892" s="4" t="s">
        <v>22113</v>
      </c>
      <c r="C13892" s="4"/>
      <c r="D13892" s="4" t="s">
        <v>21049</v>
      </c>
      <c r="E13892" s="4" t="s">
        <v>21050</v>
      </c>
      <c r="F13892" s="4" t="s">
        <v>14405</v>
      </c>
    </row>
    <row r="13893">
      <c r="A13893" s="4">
        <v>343.0</v>
      </c>
      <c r="B13893" s="4" t="s">
        <v>22113</v>
      </c>
      <c r="C13893" s="4"/>
      <c r="D13893" s="4" t="s">
        <v>21051</v>
      </c>
      <c r="E13893" s="4" t="s">
        <v>21052</v>
      </c>
      <c r="F13893" s="4" t="s">
        <v>21051</v>
      </c>
    </row>
    <row r="13894">
      <c r="A13894" s="4">
        <v>344.0</v>
      </c>
      <c r="B13894" s="4" t="s">
        <v>22113</v>
      </c>
      <c r="C13894" s="4"/>
      <c r="D13894" s="4" t="s">
        <v>19622</v>
      </c>
      <c r="E13894" s="4" t="s">
        <v>19623</v>
      </c>
      <c r="F13894" s="4" t="s">
        <v>19622</v>
      </c>
      <c r="G13894" s="4"/>
      <c r="H13894" s="4" t="s">
        <v>997</v>
      </c>
      <c r="I13894" s="4" t="s">
        <v>19624</v>
      </c>
      <c r="J13894" s="4" t="s">
        <v>19625</v>
      </c>
      <c r="K13894" s="4" t="s">
        <v>995</v>
      </c>
      <c r="L13894" s="4" t="s">
        <v>19626</v>
      </c>
      <c r="M13894" s="4" t="s">
        <v>21053</v>
      </c>
      <c r="N13894" s="4" t="s">
        <v>21054</v>
      </c>
      <c r="O13894" s="4" t="s">
        <v>4502</v>
      </c>
      <c r="P13894" s="4" t="s">
        <v>997</v>
      </c>
    </row>
    <row r="13895">
      <c r="A13895" s="4">
        <v>345.0</v>
      </c>
      <c r="B13895" s="4" t="s">
        <v>22113</v>
      </c>
      <c r="C13895" s="4"/>
      <c r="D13895" s="4" t="s">
        <v>21055</v>
      </c>
      <c r="E13895" s="4" t="s">
        <v>21056</v>
      </c>
      <c r="F13895" s="4" t="s">
        <v>21057</v>
      </c>
    </row>
    <row r="13896">
      <c r="A13896" s="4">
        <v>346.0</v>
      </c>
      <c r="B13896" s="4" t="s">
        <v>22113</v>
      </c>
      <c r="C13896" s="4"/>
      <c r="D13896" s="4" t="s">
        <v>21058</v>
      </c>
      <c r="E13896" s="4" t="s">
        <v>21059</v>
      </c>
      <c r="F13896" s="4" t="s">
        <v>21060</v>
      </c>
      <c r="G13896" s="4"/>
      <c r="H13896" s="4" t="s">
        <v>21061</v>
      </c>
      <c r="I13896" s="4" t="s">
        <v>21062</v>
      </c>
      <c r="J13896" s="4" t="s">
        <v>21063</v>
      </c>
      <c r="K13896" s="4" t="s">
        <v>21064</v>
      </c>
      <c r="L13896" s="4" t="s">
        <v>6694</v>
      </c>
      <c r="M13896" s="4" t="s">
        <v>15341</v>
      </c>
      <c r="N13896" s="4" t="s">
        <v>21064</v>
      </c>
      <c r="O13896" s="4" t="s">
        <v>21065</v>
      </c>
      <c r="P13896" s="4" t="s">
        <v>21066</v>
      </c>
      <c r="Q13896" s="4" t="s">
        <v>21067</v>
      </c>
      <c r="R13896" s="4" t="s">
        <v>21061</v>
      </c>
    </row>
    <row r="13897">
      <c r="A13897" s="4">
        <v>347.0</v>
      </c>
      <c r="B13897" s="4" t="s">
        <v>22113</v>
      </c>
      <c r="C13897" s="4"/>
      <c r="D13897" s="4" t="s">
        <v>21068</v>
      </c>
      <c r="E13897" s="4" t="s">
        <v>21069</v>
      </c>
      <c r="F13897" s="4" t="s">
        <v>21070</v>
      </c>
    </row>
    <row r="13898">
      <c r="A13898" s="4">
        <v>348.0</v>
      </c>
      <c r="B13898" s="4" t="s">
        <v>22113</v>
      </c>
      <c r="C13898" s="4"/>
      <c r="D13898" s="4" t="s">
        <v>21071</v>
      </c>
      <c r="E13898" s="4" t="s">
        <v>21072</v>
      </c>
      <c r="F13898" s="4" t="s">
        <v>21073</v>
      </c>
    </row>
    <row r="13899">
      <c r="A13899" s="4">
        <v>349.0</v>
      </c>
      <c r="B13899" s="4" t="s">
        <v>22113</v>
      </c>
      <c r="C13899" s="4"/>
      <c r="D13899" s="4" t="s">
        <v>21074</v>
      </c>
      <c r="E13899" s="4" t="s">
        <v>21069</v>
      </c>
      <c r="F13899" s="4" t="s">
        <v>21070</v>
      </c>
    </row>
    <row r="13900">
      <c r="A13900" s="4">
        <v>350.0</v>
      </c>
      <c r="B13900" s="4" t="s">
        <v>22113</v>
      </c>
      <c r="C13900" s="4"/>
      <c r="D13900" s="4" t="s">
        <v>21075</v>
      </c>
      <c r="E13900" s="4" t="s">
        <v>21072</v>
      </c>
      <c r="F13900" s="4" t="s">
        <v>21073</v>
      </c>
    </row>
    <row r="13901">
      <c r="A13901" s="4">
        <v>351.0</v>
      </c>
      <c r="B13901" s="4" t="s">
        <v>22113</v>
      </c>
      <c r="C13901" s="4"/>
      <c r="D13901" s="4" t="s">
        <v>21076</v>
      </c>
      <c r="E13901" s="4" t="s">
        <v>21077</v>
      </c>
      <c r="F13901" s="4" t="s">
        <v>21078</v>
      </c>
    </row>
    <row r="13902">
      <c r="A13902" s="4">
        <v>352.0</v>
      </c>
      <c r="B13902" s="4" t="s">
        <v>22113</v>
      </c>
      <c r="C13902" s="4"/>
      <c r="D13902" s="4" t="s">
        <v>310</v>
      </c>
      <c r="E13902" s="4" t="s">
        <v>309</v>
      </c>
      <c r="F13902" s="4" t="s">
        <v>310</v>
      </c>
    </row>
    <row r="13903">
      <c r="A13903" s="4">
        <v>353.0</v>
      </c>
      <c r="B13903" s="4" t="s">
        <v>22113</v>
      </c>
      <c r="C13903" s="4"/>
      <c r="D13903" s="4" t="s">
        <v>310</v>
      </c>
      <c r="E13903" s="4" t="s">
        <v>1902</v>
      </c>
      <c r="F13903" s="4" t="s">
        <v>1903</v>
      </c>
    </row>
    <row r="13904">
      <c r="A13904" s="4">
        <v>354.0</v>
      </c>
      <c r="B13904" s="4" t="s">
        <v>22113</v>
      </c>
      <c r="C13904" s="4"/>
      <c r="D13904" s="4" t="s">
        <v>21079</v>
      </c>
      <c r="E13904" s="4" t="s">
        <v>21080</v>
      </c>
      <c r="F13904" s="4" t="s">
        <v>21079</v>
      </c>
    </row>
    <row r="13905">
      <c r="A13905" s="4">
        <v>355.0</v>
      </c>
      <c r="B13905" s="4" t="s">
        <v>22113</v>
      </c>
      <c r="C13905" s="4"/>
      <c r="D13905" s="4" t="s">
        <v>1905</v>
      </c>
      <c r="E13905" s="4" t="s">
        <v>1912</v>
      </c>
      <c r="F13905" s="4" t="s">
        <v>1905</v>
      </c>
      <c r="G13905" s="4"/>
      <c r="H13905" s="4" t="s">
        <v>21081</v>
      </c>
      <c r="I13905" s="4" t="s">
        <v>21082</v>
      </c>
      <c r="J13905" s="4" t="s">
        <v>21083</v>
      </c>
      <c r="K13905" s="4" t="s">
        <v>1908</v>
      </c>
      <c r="L13905" s="4" t="s">
        <v>1909</v>
      </c>
      <c r="M13905" s="4" t="s">
        <v>1910</v>
      </c>
      <c r="N13905" s="4" t="s">
        <v>1911</v>
      </c>
      <c r="O13905" s="4" t="s">
        <v>1909</v>
      </c>
      <c r="P13905" s="4" t="s">
        <v>2617</v>
      </c>
    </row>
    <row r="13906">
      <c r="A13906" s="4">
        <v>356.0</v>
      </c>
      <c r="B13906" s="4" t="s">
        <v>22113</v>
      </c>
      <c r="C13906" s="4"/>
      <c r="D13906" s="4" t="s">
        <v>21084</v>
      </c>
      <c r="E13906" s="4" t="s">
        <v>1902</v>
      </c>
      <c r="F13906" s="4" t="s">
        <v>1903</v>
      </c>
      <c r="G13906" s="4"/>
      <c r="H13906" s="4" t="s">
        <v>1904</v>
      </c>
      <c r="I13906" s="4" t="s">
        <v>310</v>
      </c>
      <c r="J13906" s="4" t="s">
        <v>1900</v>
      </c>
    </row>
    <row r="13907">
      <c r="A13907" s="4">
        <v>357.0</v>
      </c>
      <c r="B13907" s="4" t="s">
        <v>22113</v>
      </c>
      <c r="C13907" s="4"/>
      <c r="D13907" s="4" t="s">
        <v>1913</v>
      </c>
      <c r="E13907" s="4" t="s">
        <v>1914</v>
      </c>
      <c r="F13907" s="4" t="s">
        <v>1915</v>
      </c>
      <c r="G13907" s="4"/>
      <c r="H13907" s="4" t="s">
        <v>21085</v>
      </c>
      <c r="I13907" s="4" t="s">
        <v>6270</v>
      </c>
    </row>
    <row r="13908">
      <c r="A13908" s="4">
        <v>358.0</v>
      </c>
      <c r="B13908" s="4" t="s">
        <v>22113</v>
      </c>
      <c r="C13908" s="4"/>
      <c r="D13908" s="4" t="s">
        <v>1916</v>
      </c>
      <c r="E13908" s="4" t="s">
        <v>1917</v>
      </c>
      <c r="F13908" s="4" t="s">
        <v>1918</v>
      </c>
    </row>
    <row r="13909">
      <c r="A13909" s="4">
        <v>359.0</v>
      </c>
      <c r="B13909" s="4" t="s">
        <v>22113</v>
      </c>
      <c r="C13909" s="4"/>
      <c r="D13909" s="4" t="s">
        <v>21086</v>
      </c>
      <c r="E13909" s="4" t="s">
        <v>21087</v>
      </c>
      <c r="F13909" s="4" t="s">
        <v>21088</v>
      </c>
    </row>
    <row r="13910">
      <c r="A13910" s="4">
        <v>360.0</v>
      </c>
      <c r="B13910" s="4" t="s">
        <v>22113</v>
      </c>
      <c r="C13910" s="4"/>
      <c r="D13910" s="4" t="s">
        <v>1919</v>
      </c>
      <c r="E13910" s="4" t="s">
        <v>1922</v>
      </c>
      <c r="F13910" s="4" t="s">
        <v>1923</v>
      </c>
    </row>
    <row r="13911">
      <c r="A13911" s="4">
        <v>361.0</v>
      </c>
      <c r="B13911" s="4" t="s">
        <v>22113</v>
      </c>
      <c r="C13911" s="4"/>
      <c r="D13911" s="4" t="s">
        <v>21089</v>
      </c>
      <c r="E13911" s="4" t="s">
        <v>21090</v>
      </c>
      <c r="F13911" s="4" t="s">
        <v>21091</v>
      </c>
    </row>
    <row r="13912">
      <c r="A13912" s="4">
        <v>362.0</v>
      </c>
      <c r="B13912" s="4" t="s">
        <v>22113</v>
      </c>
      <c r="C13912" s="4"/>
      <c r="D13912" s="4" t="s">
        <v>1940</v>
      </c>
      <c r="E13912" s="4" t="s">
        <v>1941</v>
      </c>
      <c r="F13912" s="4" t="s">
        <v>1940</v>
      </c>
      <c r="G13912" s="4"/>
      <c r="H13912" s="4" t="s">
        <v>1942</v>
      </c>
    </row>
    <row r="13913">
      <c r="A13913" s="4">
        <v>363.0</v>
      </c>
      <c r="B13913" s="4" t="s">
        <v>22113</v>
      </c>
      <c r="C13913" s="4"/>
      <c r="D13913" s="4" t="s">
        <v>1943</v>
      </c>
      <c r="E13913" s="4" t="s">
        <v>1944</v>
      </c>
      <c r="F13913" s="4" t="s">
        <v>1945</v>
      </c>
      <c r="G13913" s="4"/>
      <c r="H13913" s="4" t="s">
        <v>1946</v>
      </c>
      <c r="I13913" s="4" t="s">
        <v>1947</v>
      </c>
      <c r="J13913" s="4" t="s">
        <v>1948</v>
      </c>
      <c r="K13913" s="4" t="s">
        <v>1949</v>
      </c>
      <c r="L13913" s="4" t="s">
        <v>1950</v>
      </c>
      <c r="M13913" s="4" t="s">
        <v>1951</v>
      </c>
      <c r="N13913" s="4" t="s">
        <v>1952</v>
      </c>
      <c r="O13913" s="4" t="s">
        <v>1953</v>
      </c>
      <c r="P13913" s="4" t="s">
        <v>1954</v>
      </c>
      <c r="Q13913" s="4" t="s">
        <v>1955</v>
      </c>
      <c r="R13913" s="4" t="s">
        <v>1956</v>
      </c>
      <c r="S13913" s="4" t="s">
        <v>1957</v>
      </c>
      <c r="T13913" s="4" t="s">
        <v>1958</v>
      </c>
      <c r="U13913" s="4" t="s">
        <v>1959</v>
      </c>
      <c r="V13913" s="4" t="s">
        <v>1960</v>
      </c>
      <c r="W13913" s="4" t="s">
        <v>1961</v>
      </c>
      <c r="X13913" s="4" t="s">
        <v>1962</v>
      </c>
      <c r="Y13913" s="4" t="s">
        <v>1963</v>
      </c>
      <c r="Z13913" s="4" t="s">
        <v>1964</v>
      </c>
      <c r="AA13913" s="4" t="s">
        <v>1965</v>
      </c>
      <c r="AB13913" s="4" t="s">
        <v>1966</v>
      </c>
      <c r="AC13913" s="4" t="s">
        <v>1962</v>
      </c>
      <c r="AD13913" s="4" t="s">
        <v>1950</v>
      </c>
      <c r="AE13913" s="4" t="s">
        <v>1967</v>
      </c>
      <c r="AF13913" s="4" t="s">
        <v>1968</v>
      </c>
      <c r="AG13913" s="4" t="s">
        <v>1967</v>
      </c>
      <c r="AH13913" s="4" t="s">
        <v>1969</v>
      </c>
      <c r="AI13913" s="4" t="s">
        <v>1970</v>
      </c>
      <c r="AJ13913" s="4" t="s">
        <v>1971</v>
      </c>
      <c r="AK13913" s="4" t="s">
        <v>1972</v>
      </c>
      <c r="AL13913" s="4" t="s">
        <v>1973</v>
      </c>
    </row>
    <row r="13914">
      <c r="A13914" s="4">
        <v>364.0</v>
      </c>
      <c r="B13914" s="4" t="s">
        <v>22113</v>
      </c>
      <c r="C13914" s="4"/>
      <c r="D13914" s="4" t="s">
        <v>21092</v>
      </c>
      <c r="E13914" s="4" t="s">
        <v>21093</v>
      </c>
      <c r="F13914" s="4" t="s">
        <v>21092</v>
      </c>
      <c r="G13914" s="4"/>
      <c r="H13914" s="4" t="s">
        <v>636</v>
      </c>
      <c r="I13914" s="4" t="s">
        <v>637</v>
      </c>
      <c r="J13914" s="4" t="s">
        <v>638</v>
      </c>
      <c r="K13914" s="4" t="s">
        <v>637</v>
      </c>
      <c r="L13914" s="4" t="s">
        <v>639</v>
      </c>
      <c r="M13914" s="4" t="s">
        <v>640</v>
      </c>
      <c r="N13914" s="4" t="s">
        <v>642</v>
      </c>
      <c r="O13914" s="4" t="s">
        <v>643</v>
      </c>
      <c r="P13914" s="4" t="s">
        <v>644</v>
      </c>
      <c r="Q13914" s="4" t="s">
        <v>645</v>
      </c>
      <c r="R13914" s="4" t="s">
        <v>637</v>
      </c>
      <c r="S13914" s="4" t="s">
        <v>636</v>
      </c>
      <c r="T13914" s="4" t="s">
        <v>639</v>
      </c>
      <c r="U13914" s="4" t="s">
        <v>6684</v>
      </c>
      <c r="V13914" s="4" t="s">
        <v>21094</v>
      </c>
      <c r="W13914" s="4" t="s">
        <v>20679</v>
      </c>
      <c r="X13914" s="4" t="s">
        <v>15196</v>
      </c>
      <c r="Y13914" s="4" t="s">
        <v>15474</v>
      </c>
      <c r="Z13914" s="4" t="s">
        <v>4146</v>
      </c>
      <c r="AA13914" s="4" t="s">
        <v>21095</v>
      </c>
      <c r="AB13914" s="4" t="s">
        <v>646</v>
      </c>
      <c r="AC13914" s="4" t="s">
        <v>637</v>
      </c>
      <c r="AD13914" s="4" t="s">
        <v>647</v>
      </c>
      <c r="AE13914" s="4" t="s">
        <v>648</v>
      </c>
      <c r="AF13914" s="4" t="s">
        <v>649</v>
      </c>
      <c r="AG13914" s="4" t="s">
        <v>637</v>
      </c>
      <c r="AH13914" s="4" t="s">
        <v>648</v>
      </c>
      <c r="AI13914" s="4" t="s">
        <v>650</v>
      </c>
      <c r="AJ13914" s="4" t="s">
        <v>637</v>
      </c>
      <c r="AK13914" s="4" t="s">
        <v>651</v>
      </c>
      <c r="AL13914" s="4" t="s">
        <v>21096</v>
      </c>
      <c r="AM13914" s="4" t="s">
        <v>11016</v>
      </c>
      <c r="AN13914" s="4" t="s">
        <v>16226</v>
      </c>
      <c r="AO13914" s="4" t="s">
        <v>646</v>
      </c>
      <c r="AP13914" s="4" t="s">
        <v>1266</v>
      </c>
    </row>
    <row r="13915">
      <c r="A13915" s="4">
        <v>365.0</v>
      </c>
      <c r="B13915" s="4" t="s">
        <v>22113</v>
      </c>
      <c r="C13915" s="4"/>
      <c r="D13915" s="4" t="s">
        <v>1983</v>
      </c>
      <c r="E13915" s="4" t="s">
        <v>1984</v>
      </c>
      <c r="F13915" s="4" t="s">
        <v>1983</v>
      </c>
      <c r="G13915" s="4"/>
      <c r="H13915" s="4" t="s">
        <v>1985</v>
      </c>
      <c r="I13915" s="4" t="s">
        <v>1986</v>
      </c>
      <c r="J13915" s="4" t="s">
        <v>1987</v>
      </c>
      <c r="K13915" s="4" t="s">
        <v>1983</v>
      </c>
      <c r="L13915" s="4" t="s">
        <v>1986</v>
      </c>
      <c r="M13915" s="4" t="s">
        <v>1988</v>
      </c>
      <c r="N13915" s="4" t="s">
        <v>1987</v>
      </c>
      <c r="O13915" s="4" t="s">
        <v>1986</v>
      </c>
      <c r="P13915" s="4" t="s">
        <v>1989</v>
      </c>
    </row>
    <row r="13916">
      <c r="A13916" s="4">
        <v>366.0</v>
      </c>
      <c r="B13916" s="4" t="s">
        <v>22113</v>
      </c>
      <c r="C13916" s="4"/>
      <c r="D13916" s="4" t="s">
        <v>1997</v>
      </c>
      <c r="E13916" s="4" t="s">
        <v>1996</v>
      </c>
      <c r="F13916" s="4" t="s">
        <v>1997</v>
      </c>
    </row>
    <row r="13917">
      <c r="A13917" s="4">
        <v>367.0</v>
      </c>
      <c r="B13917" s="4" t="s">
        <v>22113</v>
      </c>
      <c r="C13917" s="4"/>
      <c r="D13917" s="4" t="s">
        <v>21097</v>
      </c>
      <c r="E13917" s="4" t="s">
        <v>21098</v>
      </c>
      <c r="F13917" s="4" t="s">
        <v>21097</v>
      </c>
    </row>
    <row r="13918">
      <c r="A13918" s="4">
        <v>368.0</v>
      </c>
      <c r="B13918" s="4" t="s">
        <v>22113</v>
      </c>
      <c r="C13918" s="4"/>
      <c r="D13918" s="4" t="s">
        <v>21099</v>
      </c>
      <c r="E13918" s="4" t="s">
        <v>21100</v>
      </c>
      <c r="F13918" s="4" t="s">
        <v>21101</v>
      </c>
    </row>
    <row r="13919">
      <c r="A13919" s="4">
        <v>369.0</v>
      </c>
      <c r="B13919" s="4" t="s">
        <v>22113</v>
      </c>
      <c r="C13919" s="4"/>
      <c r="D13919" s="4" t="s">
        <v>21102</v>
      </c>
      <c r="E13919" s="4" t="s">
        <v>21098</v>
      </c>
      <c r="F13919" s="4" t="s">
        <v>21097</v>
      </c>
    </row>
    <row r="13920">
      <c r="A13920" s="4">
        <v>370.0</v>
      </c>
      <c r="B13920" s="4" t="s">
        <v>22113</v>
      </c>
      <c r="C13920" s="4"/>
      <c r="D13920" s="4" t="s">
        <v>21103</v>
      </c>
      <c r="E13920" s="4" t="s">
        <v>21098</v>
      </c>
      <c r="F13920" s="4" t="s">
        <v>21097</v>
      </c>
    </row>
    <row r="13921">
      <c r="A13921" s="4">
        <v>371.0</v>
      </c>
      <c r="B13921" s="4" t="s">
        <v>22113</v>
      </c>
      <c r="C13921" s="4"/>
      <c r="D13921" s="4" t="s">
        <v>21104</v>
      </c>
      <c r="E13921" s="4" t="s">
        <v>21105</v>
      </c>
      <c r="F13921" s="4" t="s">
        <v>21104</v>
      </c>
    </row>
    <row r="13922">
      <c r="A13922" s="4">
        <v>372.0</v>
      </c>
      <c r="B13922" s="4" t="s">
        <v>22113</v>
      </c>
      <c r="C13922" s="4"/>
      <c r="D13922" s="4" t="s">
        <v>2002</v>
      </c>
      <c r="E13922" s="4" t="s">
        <v>2003</v>
      </c>
      <c r="F13922" s="4" t="s">
        <v>2002</v>
      </c>
    </row>
    <row r="13923">
      <c r="A13923" s="4">
        <v>373.0</v>
      </c>
      <c r="B13923" s="4" t="s">
        <v>22113</v>
      </c>
      <c r="C13923" s="4"/>
      <c r="D13923" s="4" t="s">
        <v>19110</v>
      </c>
      <c r="E13923" s="4" t="s">
        <v>1984</v>
      </c>
      <c r="F13923" s="4" t="s">
        <v>1983</v>
      </c>
    </row>
    <row r="13924">
      <c r="A13924" s="4">
        <v>374.0</v>
      </c>
      <c r="B13924" s="4" t="s">
        <v>22113</v>
      </c>
      <c r="C13924" s="4"/>
      <c r="D13924" s="4" t="s">
        <v>21106</v>
      </c>
      <c r="E13924" s="4" t="s">
        <v>1991</v>
      </c>
      <c r="F13924" s="4" t="s">
        <v>1990</v>
      </c>
    </row>
    <row r="13925">
      <c r="A13925" s="4">
        <v>375.0</v>
      </c>
      <c r="B13925" s="4" t="s">
        <v>22113</v>
      </c>
      <c r="C13925" s="4"/>
      <c r="D13925" s="4" t="s">
        <v>1798</v>
      </c>
      <c r="E13925" s="4" t="s">
        <v>1797</v>
      </c>
      <c r="F13925" s="4" t="s">
        <v>1798</v>
      </c>
    </row>
    <row r="13926">
      <c r="A13926" s="4">
        <v>376.0</v>
      </c>
      <c r="B13926" s="4" t="s">
        <v>22113</v>
      </c>
      <c r="C13926" s="4"/>
      <c r="D13926" s="4" t="s">
        <v>21107</v>
      </c>
      <c r="E13926" s="4" t="s">
        <v>21108</v>
      </c>
      <c r="F13926" s="4" t="s">
        <v>21109</v>
      </c>
    </row>
    <row r="13927">
      <c r="A13927" s="4">
        <v>377.0</v>
      </c>
      <c r="B13927" s="4" t="s">
        <v>22113</v>
      </c>
      <c r="C13927" s="4"/>
      <c r="D13927" s="4" t="s">
        <v>5675</v>
      </c>
      <c r="E13927" s="4" t="s">
        <v>5674</v>
      </c>
      <c r="F13927" s="4" t="s">
        <v>5675</v>
      </c>
      <c r="G13927" s="4"/>
      <c r="H13927" s="4" t="s">
        <v>21110</v>
      </c>
    </row>
    <row r="13928">
      <c r="A13928" s="4">
        <v>378.0</v>
      </c>
      <c r="B13928" s="4" t="s">
        <v>22113</v>
      </c>
      <c r="C13928" s="4"/>
      <c r="D13928" s="4" t="s">
        <v>21111</v>
      </c>
      <c r="E13928" s="4" t="s">
        <v>21112</v>
      </c>
      <c r="F13928" s="4" t="s">
        <v>21111</v>
      </c>
    </row>
    <row r="13929">
      <c r="A13929" s="4">
        <v>379.0</v>
      </c>
      <c r="B13929" s="4" t="s">
        <v>22113</v>
      </c>
      <c r="C13929" s="4"/>
      <c r="D13929" s="4" t="s">
        <v>2009</v>
      </c>
      <c r="E13929" s="4" t="s">
        <v>17506</v>
      </c>
      <c r="F13929" s="4" t="s">
        <v>4812</v>
      </c>
    </row>
    <row r="13930">
      <c r="A13930" s="4">
        <v>380.0</v>
      </c>
      <c r="B13930" s="4" t="s">
        <v>22113</v>
      </c>
      <c r="C13930" s="4"/>
      <c r="D13930" s="4" t="s">
        <v>21113</v>
      </c>
      <c r="E13930" s="4" t="s">
        <v>9072</v>
      </c>
      <c r="F13930" s="4" t="s">
        <v>9399</v>
      </c>
    </row>
    <row r="13931">
      <c r="A13931" s="4">
        <v>381.0</v>
      </c>
      <c r="B13931" s="4" t="s">
        <v>22113</v>
      </c>
      <c r="C13931" s="4"/>
      <c r="D13931" s="4" t="s">
        <v>21114</v>
      </c>
      <c r="E13931" s="4" t="s">
        <v>21115</v>
      </c>
      <c r="F13931" s="4" t="s">
        <v>22114</v>
      </c>
    </row>
    <row r="13932">
      <c r="A13932" s="4">
        <v>382.0</v>
      </c>
      <c r="B13932" s="4" t="s">
        <v>22113</v>
      </c>
      <c r="C13932" s="4"/>
      <c r="D13932" s="4" t="s">
        <v>21117</v>
      </c>
      <c r="E13932" s="4" t="s">
        <v>21118</v>
      </c>
      <c r="F13932" s="4" t="s">
        <v>22115</v>
      </c>
    </row>
    <row r="13933">
      <c r="A13933" s="4">
        <v>387.0</v>
      </c>
      <c r="B13933" s="4" t="s">
        <v>22113</v>
      </c>
      <c r="C13933" s="4"/>
      <c r="D13933" s="4" t="s">
        <v>21126</v>
      </c>
      <c r="E13933" s="4" t="s">
        <v>21127</v>
      </c>
      <c r="F13933" s="4" t="s">
        <v>22116</v>
      </c>
    </row>
    <row r="13934">
      <c r="A13934" s="4">
        <v>388.0</v>
      </c>
      <c r="B13934" s="4" t="s">
        <v>22113</v>
      </c>
      <c r="C13934" s="4"/>
      <c r="D13934" s="4" t="s">
        <v>21129</v>
      </c>
      <c r="E13934" s="4" t="s">
        <v>21130</v>
      </c>
      <c r="F13934" s="4" t="s">
        <v>14147</v>
      </c>
      <c r="G13934" s="4"/>
      <c r="H13934" s="4" t="s">
        <v>7334</v>
      </c>
      <c r="I13934" s="4" t="s">
        <v>6291</v>
      </c>
      <c r="J13934" s="4" t="s">
        <v>21131</v>
      </c>
      <c r="K13934" s="4" t="s">
        <v>21132</v>
      </c>
      <c r="L13934" s="4" t="s">
        <v>21133</v>
      </c>
      <c r="M13934" s="4" t="s">
        <v>4433</v>
      </c>
    </row>
    <row r="13935">
      <c r="A13935" s="4">
        <v>389.0</v>
      </c>
      <c r="B13935" s="4" t="s">
        <v>22113</v>
      </c>
      <c r="C13935" s="4"/>
      <c r="D13935" s="4" t="s">
        <v>21134</v>
      </c>
      <c r="E13935" s="4" t="s">
        <v>17518</v>
      </c>
      <c r="F13935" s="4" t="s">
        <v>1777</v>
      </c>
      <c r="G13935" s="4"/>
      <c r="H13935" s="4" t="s">
        <v>12300</v>
      </c>
      <c r="I13935" s="4" t="s">
        <v>12301</v>
      </c>
    </row>
    <row r="13936">
      <c r="A13936" s="4">
        <v>390.0</v>
      </c>
      <c r="B13936" s="4" t="s">
        <v>22113</v>
      </c>
      <c r="C13936" s="4"/>
      <c r="D13936" s="4" t="s">
        <v>21135</v>
      </c>
      <c r="E13936" s="4" t="s">
        <v>21136</v>
      </c>
      <c r="F13936" s="4" t="s">
        <v>22117</v>
      </c>
    </row>
    <row r="13937">
      <c r="A13937" s="4">
        <v>391.0</v>
      </c>
      <c r="B13937" s="4" t="s">
        <v>22113</v>
      </c>
      <c r="C13937" s="4"/>
      <c r="D13937" s="4" t="s">
        <v>9778</v>
      </c>
      <c r="E13937" s="4" t="s">
        <v>21138</v>
      </c>
      <c r="F13937" s="4" t="s">
        <v>22118</v>
      </c>
    </row>
    <row r="13938">
      <c r="A13938" s="4">
        <v>392.0</v>
      </c>
      <c r="B13938" s="4" t="s">
        <v>22113</v>
      </c>
      <c r="C13938" s="4"/>
      <c r="D13938" s="4" t="s">
        <v>21139</v>
      </c>
      <c r="E13938" s="4" t="s">
        <v>5637</v>
      </c>
      <c r="F13938" s="4" t="s">
        <v>6168</v>
      </c>
    </row>
    <row r="13939">
      <c r="A13939" s="4">
        <v>393.0</v>
      </c>
      <c r="B13939" s="4" t="s">
        <v>22113</v>
      </c>
      <c r="C13939" s="4"/>
      <c r="D13939" s="4" t="s">
        <v>21140</v>
      </c>
      <c r="E13939" s="4" t="s">
        <v>21141</v>
      </c>
      <c r="F13939" s="4" t="s">
        <v>22119</v>
      </c>
    </row>
    <row r="13940">
      <c r="A13940" s="4">
        <v>394.0</v>
      </c>
      <c r="B13940" s="4" t="s">
        <v>22113</v>
      </c>
      <c r="C13940" s="4"/>
      <c r="D13940" s="4" t="s">
        <v>21143</v>
      </c>
      <c r="E13940" s="4" t="s">
        <v>21144</v>
      </c>
      <c r="F13940" s="4" t="s">
        <v>22120</v>
      </c>
    </row>
    <row r="13941">
      <c r="A13941" s="4">
        <v>395.0</v>
      </c>
      <c r="B13941" s="4" t="s">
        <v>22113</v>
      </c>
      <c r="C13941" s="4"/>
      <c r="D13941" s="4" t="s">
        <v>21145</v>
      </c>
      <c r="E13941" s="4" t="s">
        <v>21146</v>
      </c>
      <c r="F13941" s="4" t="s">
        <v>22121</v>
      </c>
    </row>
    <row r="13942">
      <c r="A13942" s="4">
        <v>396.0</v>
      </c>
      <c r="B13942" s="4" t="s">
        <v>22113</v>
      </c>
      <c r="C13942" s="4"/>
      <c r="D13942" s="4" t="s">
        <v>21147</v>
      </c>
      <c r="E13942" s="4" t="s">
        <v>21148</v>
      </c>
      <c r="F13942" s="4" t="s">
        <v>22122</v>
      </c>
      <c r="G13942" s="4"/>
      <c r="H13942" s="4" t="s">
        <v>21150</v>
      </c>
      <c r="I13942" s="4" t="s">
        <v>21151</v>
      </c>
      <c r="J13942" s="4" t="s">
        <v>21152</v>
      </c>
      <c r="K13942" s="4" t="s">
        <v>21153</v>
      </c>
    </row>
    <row r="13943">
      <c r="A13943" s="4">
        <v>397.0</v>
      </c>
      <c r="B13943" s="4" t="s">
        <v>22113</v>
      </c>
      <c r="C13943" s="4"/>
      <c r="D13943" s="4" t="s">
        <v>17035</v>
      </c>
      <c r="E13943" s="4" t="s">
        <v>17483</v>
      </c>
      <c r="F13943" s="4" t="s">
        <v>6182</v>
      </c>
    </row>
    <row r="13944">
      <c r="A13944" s="4">
        <v>398.0</v>
      </c>
      <c r="B13944" s="4" t="s">
        <v>22113</v>
      </c>
      <c r="C13944" s="4"/>
      <c r="D13944" s="4" t="s">
        <v>21154</v>
      </c>
      <c r="E13944" s="4" t="s">
        <v>21155</v>
      </c>
      <c r="F13944" s="4" t="s">
        <v>22123</v>
      </c>
    </row>
    <row r="13945">
      <c r="A13945" s="4">
        <v>399.0</v>
      </c>
      <c r="B13945" s="4" t="s">
        <v>22113</v>
      </c>
      <c r="C13945" s="4"/>
      <c r="D13945" s="4" t="s">
        <v>21157</v>
      </c>
      <c r="E13945" s="4" t="s">
        <v>21158</v>
      </c>
      <c r="F13945" s="4" t="s">
        <v>22124</v>
      </c>
    </row>
    <row r="13946">
      <c r="A13946" s="4">
        <v>400.0</v>
      </c>
      <c r="B13946" s="4" t="s">
        <v>22113</v>
      </c>
      <c r="C13946" s="4"/>
      <c r="D13946" s="4" t="s">
        <v>21160</v>
      </c>
      <c r="E13946" s="4" t="s">
        <v>21161</v>
      </c>
      <c r="F13946" s="4" t="s">
        <v>22125</v>
      </c>
    </row>
    <row r="13947">
      <c r="A13947" s="4">
        <v>401.0</v>
      </c>
      <c r="B13947" s="4" t="s">
        <v>22113</v>
      </c>
      <c r="C13947" s="4"/>
      <c r="D13947" s="4" t="s">
        <v>17656</v>
      </c>
      <c r="E13947" s="4" t="s">
        <v>21163</v>
      </c>
      <c r="F13947" s="4" t="s">
        <v>20015</v>
      </c>
    </row>
    <row r="13948">
      <c r="A13948" s="4">
        <v>402.0</v>
      </c>
      <c r="B13948" s="4" t="s">
        <v>22113</v>
      </c>
      <c r="C13948" s="4"/>
      <c r="D13948" s="4" t="s">
        <v>21164</v>
      </c>
      <c r="E13948" s="4" t="s">
        <v>21165</v>
      </c>
      <c r="F13948" s="4" t="s">
        <v>22126</v>
      </c>
    </row>
    <row r="13949">
      <c r="A13949" s="4">
        <v>403.0</v>
      </c>
      <c r="B13949" s="4" t="s">
        <v>22113</v>
      </c>
      <c r="C13949" s="4"/>
      <c r="D13949" s="4" t="s">
        <v>21167</v>
      </c>
      <c r="E13949" s="4" t="s">
        <v>21168</v>
      </c>
      <c r="F13949" s="4" t="s">
        <v>9038</v>
      </c>
    </row>
    <row r="13950">
      <c r="A13950" s="4">
        <v>404.0</v>
      </c>
      <c r="B13950" s="4" t="s">
        <v>22113</v>
      </c>
      <c r="C13950" s="4"/>
      <c r="D13950" s="4" t="s">
        <v>21169</v>
      </c>
      <c r="E13950" s="4" t="s">
        <v>21170</v>
      </c>
      <c r="F13950" s="4" t="s">
        <v>22127</v>
      </c>
      <c r="G13950" s="4"/>
      <c r="H13950" s="4" t="s">
        <v>21171</v>
      </c>
      <c r="I13950" s="4" t="s">
        <v>19172</v>
      </c>
      <c r="J13950" s="4" t="s">
        <v>21172</v>
      </c>
      <c r="K13950" s="4" t="s">
        <v>21173</v>
      </c>
      <c r="L13950" s="4" t="s">
        <v>21174</v>
      </c>
      <c r="M13950" s="4" t="s">
        <v>21175</v>
      </c>
      <c r="N13950" s="4" t="s">
        <v>18957</v>
      </c>
      <c r="O13950" s="4" t="s">
        <v>21176</v>
      </c>
      <c r="P13950" s="4" t="s">
        <v>21173</v>
      </c>
    </row>
    <row r="13951">
      <c r="A13951" s="4">
        <v>405.0</v>
      </c>
      <c r="B13951" s="4" t="s">
        <v>22113</v>
      </c>
      <c r="C13951" s="4"/>
      <c r="D13951" s="4" t="s">
        <v>21177</v>
      </c>
      <c r="E13951" s="4" t="s">
        <v>21178</v>
      </c>
      <c r="F13951" s="4" t="s">
        <v>22128</v>
      </c>
    </row>
    <row r="13952">
      <c r="A13952" s="4">
        <v>406.0</v>
      </c>
      <c r="B13952" s="4" t="s">
        <v>22113</v>
      </c>
      <c r="C13952" s="4"/>
      <c r="D13952" s="4" t="s">
        <v>21180</v>
      </c>
      <c r="E13952" s="4" t="s">
        <v>21181</v>
      </c>
      <c r="F13952" s="4" t="s">
        <v>22129</v>
      </c>
    </row>
    <row r="13953">
      <c r="A13953" s="4">
        <v>407.0</v>
      </c>
      <c r="B13953" s="4" t="s">
        <v>22113</v>
      </c>
      <c r="C13953" s="4"/>
      <c r="D13953" s="4" t="s">
        <v>21183</v>
      </c>
      <c r="E13953" s="4" t="s">
        <v>21184</v>
      </c>
      <c r="F13953" s="4" t="s">
        <v>22130</v>
      </c>
    </row>
    <row r="13954">
      <c r="A13954" s="4">
        <v>408.0</v>
      </c>
      <c r="B13954" s="4" t="s">
        <v>22113</v>
      </c>
      <c r="C13954" s="4"/>
      <c r="D13954" s="4" t="s">
        <v>21186</v>
      </c>
      <c r="E13954" s="4" t="s">
        <v>21187</v>
      </c>
      <c r="F13954" s="4" t="s">
        <v>22131</v>
      </c>
    </row>
    <row r="13955">
      <c r="A13955" s="4">
        <v>409.0</v>
      </c>
      <c r="B13955" s="4" t="s">
        <v>22113</v>
      </c>
      <c r="C13955" s="4"/>
      <c r="D13955" s="4" t="s">
        <v>962</v>
      </c>
      <c r="E13955" s="4" t="s">
        <v>961</v>
      </c>
      <c r="F13955" s="4" t="s">
        <v>962</v>
      </c>
    </row>
    <row r="13956">
      <c r="A13956" s="4">
        <v>410.0</v>
      </c>
      <c r="B13956" s="4" t="s">
        <v>22113</v>
      </c>
      <c r="C13956" s="4"/>
      <c r="D13956" s="4" t="s">
        <v>12448</v>
      </c>
      <c r="E13956" s="4" t="s">
        <v>1232</v>
      </c>
      <c r="F13956" s="4" t="s">
        <v>1233</v>
      </c>
    </row>
    <row r="13957">
      <c r="A13957" s="4">
        <v>411.0</v>
      </c>
      <c r="B13957" s="4" t="s">
        <v>22113</v>
      </c>
      <c r="C13957" s="4"/>
      <c r="D13957" s="4" t="s">
        <v>19097</v>
      </c>
      <c r="E13957" s="4" t="s">
        <v>19096</v>
      </c>
      <c r="F13957" s="4" t="s">
        <v>19097</v>
      </c>
    </row>
    <row r="13958">
      <c r="A13958" s="4">
        <v>412.0</v>
      </c>
      <c r="B13958" s="4" t="s">
        <v>22113</v>
      </c>
      <c r="C13958" s="4"/>
      <c r="D13958" s="4" t="s">
        <v>1336</v>
      </c>
      <c r="E13958" s="4" t="s">
        <v>1335</v>
      </c>
      <c r="F13958" s="4" t="s">
        <v>1336</v>
      </c>
    </row>
    <row r="13959">
      <c r="A13959" s="4">
        <v>413.0</v>
      </c>
      <c r="B13959" s="4" t="s">
        <v>22113</v>
      </c>
      <c r="C13959" s="4"/>
      <c r="D13959" s="4" t="s">
        <v>21189</v>
      </c>
      <c r="E13959" s="4" t="s">
        <v>21190</v>
      </c>
      <c r="F13959" s="4" t="s">
        <v>21189</v>
      </c>
    </row>
    <row r="13960">
      <c r="A13960" s="4">
        <v>414.0</v>
      </c>
      <c r="B13960" s="4" t="s">
        <v>22113</v>
      </c>
      <c r="C13960" s="4"/>
      <c r="D13960" s="4" t="s">
        <v>10135</v>
      </c>
      <c r="E13960" s="4" t="s">
        <v>15066</v>
      </c>
      <c r="F13960" s="4" t="s">
        <v>10135</v>
      </c>
    </row>
    <row r="13961">
      <c r="A13961" s="4">
        <v>415.0</v>
      </c>
      <c r="B13961" s="4" t="s">
        <v>22113</v>
      </c>
      <c r="C13961" s="4"/>
      <c r="D13961" s="4" t="s">
        <v>21191</v>
      </c>
      <c r="E13961" s="4" t="s">
        <v>21192</v>
      </c>
      <c r="F13961" s="4" t="s">
        <v>21191</v>
      </c>
    </row>
    <row r="13962">
      <c r="A13962" s="4">
        <v>416.0</v>
      </c>
      <c r="B13962" s="4" t="s">
        <v>22113</v>
      </c>
      <c r="C13962" s="4"/>
      <c r="D13962" s="4" t="s">
        <v>2015</v>
      </c>
      <c r="E13962" s="4" t="s">
        <v>2016</v>
      </c>
      <c r="F13962" s="4" t="s">
        <v>2015</v>
      </c>
      <c r="G13962" s="4"/>
      <c r="H13962" s="4" t="s">
        <v>2015</v>
      </c>
      <c r="I13962" s="4" t="s">
        <v>2017</v>
      </c>
    </row>
    <row r="13963">
      <c r="A13963" s="4">
        <v>417.0</v>
      </c>
      <c r="B13963" s="4" t="s">
        <v>22113</v>
      </c>
      <c r="C13963" s="4"/>
      <c r="D13963" s="4" t="s">
        <v>21193</v>
      </c>
      <c r="E13963" s="4" t="s">
        <v>21194</v>
      </c>
      <c r="F13963" s="4" t="s">
        <v>14160</v>
      </c>
    </row>
    <row r="13964">
      <c r="A13964" s="4">
        <v>418.0</v>
      </c>
      <c r="B13964" s="4" t="s">
        <v>22113</v>
      </c>
      <c r="C13964" s="4"/>
      <c r="D13964" s="4" t="s">
        <v>21195</v>
      </c>
      <c r="E13964" s="4" t="s">
        <v>21196</v>
      </c>
      <c r="F13964" s="4" t="s">
        <v>17182</v>
      </c>
    </row>
    <row r="13965">
      <c r="A13965" s="4">
        <v>419.0</v>
      </c>
      <c r="B13965" s="4" t="s">
        <v>22113</v>
      </c>
      <c r="C13965" s="4"/>
      <c r="D13965" s="4" t="s">
        <v>21197</v>
      </c>
      <c r="E13965" s="4" t="s">
        <v>21198</v>
      </c>
      <c r="F13965" s="4" t="s">
        <v>21197</v>
      </c>
    </row>
    <row r="13966">
      <c r="A13966" s="4">
        <v>420.0</v>
      </c>
      <c r="B13966" s="4" t="s">
        <v>22113</v>
      </c>
      <c r="C13966" s="4"/>
      <c r="D13966" s="4" t="s">
        <v>2260</v>
      </c>
      <c r="E13966" s="4" t="s">
        <v>2259</v>
      </c>
      <c r="F13966" s="4" t="s">
        <v>2260</v>
      </c>
    </row>
    <row r="13967">
      <c r="A13967" s="4">
        <v>421.0</v>
      </c>
      <c r="B13967" s="4" t="s">
        <v>22113</v>
      </c>
      <c r="C13967" s="4"/>
      <c r="D13967" s="4" t="s">
        <v>2024</v>
      </c>
      <c r="E13967" s="4" t="s">
        <v>2025</v>
      </c>
      <c r="F13967" s="4" t="s">
        <v>2024</v>
      </c>
    </row>
    <row r="13968">
      <c r="A13968" s="4">
        <v>422.0</v>
      </c>
      <c r="B13968" s="4" t="s">
        <v>22113</v>
      </c>
      <c r="C13968" s="4"/>
      <c r="D13968" s="4" t="s">
        <v>21199</v>
      </c>
      <c r="E13968" s="4" t="s">
        <v>21200</v>
      </c>
      <c r="F13968" s="4" t="s">
        <v>21199</v>
      </c>
    </row>
    <row r="13969">
      <c r="A13969" s="4">
        <v>423.0</v>
      </c>
      <c r="B13969" s="4" t="s">
        <v>22113</v>
      </c>
      <c r="C13969" s="4"/>
      <c r="D13969" s="4" t="s">
        <v>21201</v>
      </c>
      <c r="E13969" s="4" t="s">
        <v>21202</v>
      </c>
      <c r="F13969" s="4" t="s">
        <v>21201</v>
      </c>
    </row>
    <row r="13970">
      <c r="A13970" s="4">
        <v>424.0</v>
      </c>
      <c r="B13970" s="4" t="s">
        <v>22113</v>
      </c>
      <c r="C13970" s="4"/>
      <c r="D13970" s="4" t="s">
        <v>21203</v>
      </c>
      <c r="E13970" s="4" t="s">
        <v>21200</v>
      </c>
      <c r="F13970" s="4" t="s">
        <v>21199</v>
      </c>
    </row>
    <row r="13971">
      <c r="A13971" s="4">
        <v>425.0</v>
      </c>
      <c r="B13971" s="4" t="s">
        <v>22113</v>
      </c>
      <c r="C13971" s="4"/>
      <c r="D13971" s="4" t="s">
        <v>21204</v>
      </c>
      <c r="E13971" s="4" t="s">
        <v>21202</v>
      </c>
      <c r="F13971" s="4" t="s">
        <v>21201</v>
      </c>
    </row>
    <row r="13972">
      <c r="A13972" s="4">
        <v>426.0</v>
      </c>
      <c r="B13972" s="4" t="s">
        <v>22113</v>
      </c>
      <c r="C13972" s="4"/>
      <c r="D13972" s="4" t="s">
        <v>21205</v>
      </c>
      <c r="E13972" s="4" t="s">
        <v>21206</v>
      </c>
      <c r="F13972" s="4" t="s">
        <v>21205</v>
      </c>
    </row>
    <row r="13973">
      <c r="A13973" s="4">
        <v>427.0</v>
      </c>
      <c r="B13973" s="4" t="s">
        <v>22113</v>
      </c>
      <c r="C13973" s="4"/>
      <c r="D13973" s="4" t="s">
        <v>10257</v>
      </c>
      <c r="E13973" s="4" t="s">
        <v>12506</v>
      </c>
      <c r="F13973" s="4" t="s">
        <v>10257</v>
      </c>
    </row>
    <row r="13974">
      <c r="A13974" s="4">
        <v>428.0</v>
      </c>
      <c r="B13974" s="4" t="s">
        <v>22113</v>
      </c>
      <c r="C13974" s="4"/>
      <c r="D13974" s="4" t="s">
        <v>21207</v>
      </c>
      <c r="E13974" s="4" t="s">
        <v>21208</v>
      </c>
      <c r="F13974" s="4" t="s">
        <v>21207</v>
      </c>
    </row>
    <row r="13975">
      <c r="A13975" s="4">
        <v>429.0</v>
      </c>
      <c r="B13975" s="4" t="s">
        <v>22113</v>
      </c>
      <c r="C13975" s="4"/>
      <c r="D13975" s="4" t="s">
        <v>21209</v>
      </c>
      <c r="E13975" s="4" t="s">
        <v>21210</v>
      </c>
      <c r="F13975" s="4" t="s">
        <v>21209</v>
      </c>
    </row>
    <row r="13976">
      <c r="A13976" s="4">
        <v>430.0</v>
      </c>
      <c r="B13976" s="4" t="s">
        <v>22113</v>
      </c>
      <c r="C13976" s="4"/>
      <c r="D13976" s="4" t="s">
        <v>6517</v>
      </c>
      <c r="E13976" s="4" t="s">
        <v>12529</v>
      </c>
      <c r="F13976" s="4" t="s">
        <v>6517</v>
      </c>
    </row>
    <row r="13977">
      <c r="A13977" s="4">
        <v>431.0</v>
      </c>
      <c r="B13977" s="4" t="s">
        <v>22113</v>
      </c>
      <c r="C13977" s="4"/>
      <c r="D13977" s="4" t="s">
        <v>21211</v>
      </c>
      <c r="E13977" s="4" t="s">
        <v>21212</v>
      </c>
      <c r="F13977" s="4" t="s">
        <v>21211</v>
      </c>
      <c r="G13977" s="4"/>
      <c r="H13977" s="4" t="s">
        <v>21213</v>
      </c>
      <c r="I13977" s="4" t="s">
        <v>21214</v>
      </c>
    </row>
    <row r="13978">
      <c r="A13978" s="4">
        <v>432.0</v>
      </c>
      <c r="B13978" s="4" t="s">
        <v>22113</v>
      </c>
      <c r="C13978" s="4"/>
      <c r="D13978" s="4" t="s">
        <v>15927</v>
      </c>
      <c r="E13978" s="4" t="s">
        <v>15928</v>
      </c>
      <c r="F13978" s="4" t="s">
        <v>15927</v>
      </c>
      <c r="G13978" s="4"/>
      <c r="H13978" s="4" t="s">
        <v>1120</v>
      </c>
      <c r="I13978" s="4" t="s">
        <v>5944</v>
      </c>
      <c r="J13978" s="4" t="s">
        <v>5945</v>
      </c>
      <c r="K13978" s="4" t="s">
        <v>4438</v>
      </c>
      <c r="L13978" s="4" t="s">
        <v>19642</v>
      </c>
      <c r="M13978" s="4" t="s">
        <v>9618</v>
      </c>
      <c r="N13978" s="4" t="s">
        <v>12767</v>
      </c>
      <c r="O13978" s="4" t="s">
        <v>12768</v>
      </c>
      <c r="P13978" s="4" t="s">
        <v>12769</v>
      </c>
      <c r="Q13978" s="4" t="s">
        <v>21215</v>
      </c>
    </row>
    <row r="13979">
      <c r="A13979" s="4">
        <v>433.0</v>
      </c>
      <c r="B13979" s="4" t="s">
        <v>22113</v>
      </c>
      <c r="C13979" s="4"/>
      <c r="D13979" s="4" t="s">
        <v>17991</v>
      </c>
      <c r="E13979" s="4" t="s">
        <v>17992</v>
      </c>
      <c r="F13979" s="4" t="s">
        <v>17991</v>
      </c>
    </row>
    <row r="13980">
      <c r="A13980" s="4">
        <v>434.0</v>
      </c>
      <c r="B13980" s="4" t="s">
        <v>22113</v>
      </c>
      <c r="C13980" s="4"/>
      <c r="D13980" s="4" t="s">
        <v>10275</v>
      </c>
      <c r="E13980" s="4" t="s">
        <v>16717</v>
      </c>
      <c r="F13980" s="4" t="s">
        <v>10275</v>
      </c>
    </row>
    <row r="13981">
      <c r="A13981" s="4">
        <v>435.0</v>
      </c>
      <c r="B13981" s="4" t="s">
        <v>22113</v>
      </c>
      <c r="C13981" s="4"/>
      <c r="D13981" s="4" t="s">
        <v>21216</v>
      </c>
      <c r="E13981" s="4" t="s">
        <v>21217</v>
      </c>
      <c r="F13981" s="4" t="s">
        <v>21216</v>
      </c>
    </row>
    <row r="13982">
      <c r="A13982" s="4">
        <v>436.0</v>
      </c>
      <c r="B13982" s="4" t="s">
        <v>22113</v>
      </c>
      <c r="C13982" s="4"/>
      <c r="D13982" s="4" t="s">
        <v>21218</v>
      </c>
      <c r="E13982" s="4" t="s">
        <v>21219</v>
      </c>
      <c r="F13982" s="4" t="s">
        <v>21218</v>
      </c>
    </row>
    <row r="13983">
      <c r="A13983" s="4">
        <v>437.0</v>
      </c>
      <c r="B13983" s="4" t="s">
        <v>22113</v>
      </c>
      <c r="C13983" s="4"/>
      <c r="D13983" s="4" t="s">
        <v>21220</v>
      </c>
      <c r="E13983" s="4" t="s">
        <v>21221</v>
      </c>
      <c r="F13983" s="4" t="s">
        <v>21220</v>
      </c>
    </row>
    <row r="13984">
      <c r="A13984" s="4">
        <v>438.0</v>
      </c>
      <c r="B13984" s="4" t="s">
        <v>22113</v>
      </c>
      <c r="C13984" s="4"/>
      <c r="D13984" s="4" t="s">
        <v>21222</v>
      </c>
      <c r="E13984" s="4" t="s">
        <v>21219</v>
      </c>
      <c r="F13984" s="4" t="s">
        <v>21218</v>
      </c>
    </row>
    <row r="13985">
      <c r="A13985" s="4">
        <v>439.0</v>
      </c>
      <c r="B13985" s="4" t="s">
        <v>22113</v>
      </c>
      <c r="C13985" s="4"/>
      <c r="D13985" s="4" t="s">
        <v>21223</v>
      </c>
      <c r="E13985" s="4" t="s">
        <v>21221</v>
      </c>
      <c r="F13985" s="4" t="s">
        <v>21220</v>
      </c>
    </row>
    <row r="13986">
      <c r="A13986" s="4">
        <v>440.0</v>
      </c>
      <c r="B13986" s="4" t="s">
        <v>22113</v>
      </c>
      <c r="C13986" s="4"/>
      <c r="D13986" s="4" t="s">
        <v>21224</v>
      </c>
      <c r="E13986" s="4" t="s">
        <v>21225</v>
      </c>
      <c r="F13986" s="4" t="s">
        <v>21224</v>
      </c>
    </row>
    <row r="13987">
      <c r="A13987" s="4">
        <v>441.0</v>
      </c>
      <c r="B13987" s="4" t="s">
        <v>22113</v>
      </c>
      <c r="C13987" s="4"/>
      <c r="D13987" s="4" t="s">
        <v>14419</v>
      </c>
      <c r="E13987" s="4" t="s">
        <v>14420</v>
      </c>
      <c r="F13987" s="4" t="s">
        <v>14419</v>
      </c>
      <c r="G13987" s="4"/>
      <c r="H13987" s="4" t="s">
        <v>3493</v>
      </c>
      <c r="I13987" s="4" t="s">
        <v>21226</v>
      </c>
      <c r="J13987" s="4" t="s">
        <v>10124</v>
      </c>
      <c r="K13987" s="4" t="s">
        <v>11518</v>
      </c>
      <c r="L13987" s="4" t="s">
        <v>11516</v>
      </c>
      <c r="M13987" s="4" t="s">
        <v>13433</v>
      </c>
      <c r="N13987" s="4" t="s">
        <v>6407</v>
      </c>
      <c r="O13987" s="4" t="s">
        <v>13433</v>
      </c>
    </row>
    <row r="13988">
      <c r="A13988" s="4">
        <v>442.0</v>
      </c>
      <c r="B13988" s="4" t="s">
        <v>22113</v>
      </c>
      <c r="C13988" s="4"/>
      <c r="D13988" s="4" t="s">
        <v>21227</v>
      </c>
      <c r="E13988" s="4" t="s">
        <v>21228</v>
      </c>
      <c r="F13988" s="4" t="s">
        <v>21227</v>
      </c>
    </row>
    <row r="13989">
      <c r="A13989" s="4">
        <v>443.0</v>
      </c>
      <c r="B13989" s="4" t="s">
        <v>22113</v>
      </c>
      <c r="C13989" s="4"/>
      <c r="D13989" s="4" t="s">
        <v>21229</v>
      </c>
      <c r="E13989" s="4" t="s">
        <v>12531</v>
      </c>
      <c r="F13989" s="4" t="s">
        <v>6589</v>
      </c>
      <c r="G13989" s="4"/>
      <c r="H13989" s="4" t="s">
        <v>2141</v>
      </c>
    </row>
    <row r="13990">
      <c r="A13990" s="4">
        <v>444.0</v>
      </c>
      <c r="B13990" s="4" t="s">
        <v>22113</v>
      </c>
      <c r="C13990" s="4"/>
      <c r="D13990" s="4" t="s">
        <v>21230</v>
      </c>
      <c r="E13990" s="4" t="s">
        <v>21231</v>
      </c>
      <c r="F13990" s="4" t="s">
        <v>21232</v>
      </c>
    </row>
    <row r="13991">
      <c r="A13991" s="4">
        <v>445.0</v>
      </c>
      <c r="B13991" s="4" t="s">
        <v>22113</v>
      </c>
      <c r="C13991" s="4"/>
      <c r="D13991" s="4" t="s">
        <v>21233</v>
      </c>
      <c r="E13991" s="4" t="s">
        <v>18007</v>
      </c>
      <c r="F13991" s="4" t="s">
        <v>10297</v>
      </c>
    </row>
    <row r="13992">
      <c r="A13992" s="4">
        <v>446.0</v>
      </c>
      <c r="B13992" s="4" t="s">
        <v>22113</v>
      </c>
      <c r="C13992" s="4"/>
      <c r="D13992" s="4" t="s">
        <v>21234</v>
      </c>
      <c r="E13992" s="4" t="s">
        <v>21235</v>
      </c>
      <c r="F13992" s="4" t="s">
        <v>19641</v>
      </c>
      <c r="G13992" s="4"/>
      <c r="H13992" s="4" t="s">
        <v>21236</v>
      </c>
      <c r="I13992" s="4" t="s">
        <v>4853</v>
      </c>
    </row>
    <row r="13993">
      <c r="A13993" s="4">
        <v>447.0</v>
      </c>
      <c r="B13993" s="4" t="s">
        <v>22113</v>
      </c>
      <c r="C13993" s="4"/>
      <c r="D13993" s="4" t="s">
        <v>2045</v>
      </c>
      <c r="E13993" s="4" t="s">
        <v>2046</v>
      </c>
      <c r="F13993" s="4" t="s">
        <v>2045</v>
      </c>
    </row>
    <row r="13994">
      <c r="A13994" s="4">
        <v>448.0</v>
      </c>
      <c r="B13994" s="4" t="s">
        <v>22113</v>
      </c>
      <c r="C13994" s="4"/>
      <c r="D13994" s="4" t="s">
        <v>10313</v>
      </c>
      <c r="E13994" s="4" t="s">
        <v>12589</v>
      </c>
      <c r="F13994" s="4" t="s">
        <v>10313</v>
      </c>
    </row>
    <row r="13995">
      <c r="A13995" s="4">
        <v>449.0</v>
      </c>
      <c r="B13995" s="4" t="s">
        <v>22113</v>
      </c>
      <c r="C13995" s="4"/>
      <c r="D13995" s="4" t="s">
        <v>21237</v>
      </c>
      <c r="E13995" s="4" t="s">
        <v>21238</v>
      </c>
      <c r="F13995" s="4" t="s">
        <v>21237</v>
      </c>
    </row>
    <row r="13996">
      <c r="A13996" s="4">
        <v>450.0</v>
      </c>
      <c r="B13996" s="4" t="s">
        <v>22113</v>
      </c>
      <c r="C13996" s="4"/>
      <c r="D13996" s="4" t="s">
        <v>21239</v>
      </c>
      <c r="E13996" s="4" t="s">
        <v>21240</v>
      </c>
      <c r="F13996" s="4" t="s">
        <v>21239</v>
      </c>
    </row>
    <row r="13997">
      <c r="A13997" s="4">
        <v>451.0</v>
      </c>
      <c r="B13997" s="4" t="s">
        <v>22113</v>
      </c>
      <c r="C13997" s="4"/>
      <c r="D13997" s="4" t="s">
        <v>2051</v>
      </c>
      <c r="E13997" s="4" t="s">
        <v>2077</v>
      </c>
      <c r="F13997" s="4" t="s">
        <v>2051</v>
      </c>
      <c r="G13997" s="4"/>
      <c r="H13997" s="4" t="s">
        <v>2055</v>
      </c>
      <c r="I13997" s="4" t="s">
        <v>2056</v>
      </c>
      <c r="J13997" s="4" t="s">
        <v>2057</v>
      </c>
      <c r="K13997" s="4" t="s">
        <v>2058</v>
      </c>
      <c r="L13997" s="4" t="s">
        <v>2059</v>
      </c>
      <c r="M13997" s="4" t="s">
        <v>2060</v>
      </c>
      <c r="N13997" s="4" t="s">
        <v>2061</v>
      </c>
      <c r="O13997" s="4" t="s">
        <v>2058</v>
      </c>
      <c r="P13997" s="4" t="s">
        <v>2062</v>
      </c>
      <c r="Q13997" s="4" t="s">
        <v>2060</v>
      </c>
      <c r="R13997" s="4" t="s">
        <v>2055</v>
      </c>
      <c r="S13997" s="4" t="s">
        <v>2059</v>
      </c>
      <c r="T13997" s="4" t="s">
        <v>2065</v>
      </c>
    </row>
    <row r="13998">
      <c r="A13998" s="4">
        <v>452.0</v>
      </c>
      <c r="B13998" s="4" t="s">
        <v>22113</v>
      </c>
      <c r="C13998" s="4"/>
      <c r="D13998" s="4" t="s">
        <v>21241</v>
      </c>
      <c r="E13998" s="4" t="s">
        <v>21242</v>
      </c>
      <c r="F13998" s="4" t="s">
        <v>21241</v>
      </c>
    </row>
    <row r="13999">
      <c r="A13999" s="4">
        <v>453.0</v>
      </c>
      <c r="B13999" s="4" t="s">
        <v>22113</v>
      </c>
      <c r="C13999" s="4"/>
      <c r="D13999" s="4" t="s">
        <v>21243</v>
      </c>
      <c r="E13999" s="4" t="s">
        <v>21244</v>
      </c>
      <c r="F13999" s="4" t="s">
        <v>21243</v>
      </c>
      <c r="G13999" s="4"/>
      <c r="H13999" s="4" t="s">
        <v>21245</v>
      </c>
    </row>
    <row r="14000">
      <c r="A14000" s="4">
        <v>454.0</v>
      </c>
      <c r="B14000" s="4" t="s">
        <v>22113</v>
      </c>
      <c r="C14000" s="4"/>
      <c r="D14000" s="4" t="s">
        <v>21246</v>
      </c>
      <c r="E14000" s="4" t="s">
        <v>18027</v>
      </c>
      <c r="F14000" s="4" t="s">
        <v>18026</v>
      </c>
    </row>
    <row r="14001">
      <c r="A14001" s="4">
        <v>455.0</v>
      </c>
      <c r="B14001" s="4" t="s">
        <v>22113</v>
      </c>
      <c r="C14001" s="4"/>
      <c r="D14001" s="4" t="s">
        <v>2078</v>
      </c>
      <c r="E14001" s="4" t="s">
        <v>2079</v>
      </c>
      <c r="F14001" s="4" t="s">
        <v>2078</v>
      </c>
      <c r="G14001" s="4"/>
      <c r="H14001" s="4" t="s">
        <v>2080</v>
      </c>
      <c r="I14001" s="4" t="s">
        <v>2078</v>
      </c>
      <c r="J14001" s="4" t="s">
        <v>2082</v>
      </c>
    </row>
    <row r="14002">
      <c r="A14002" s="4">
        <v>456.0</v>
      </c>
      <c r="B14002" s="4" t="s">
        <v>22113</v>
      </c>
      <c r="C14002" s="4"/>
      <c r="D14002" s="4" t="s">
        <v>5308</v>
      </c>
      <c r="E14002" s="4" t="s">
        <v>5307</v>
      </c>
      <c r="F14002" s="4" t="s">
        <v>5308</v>
      </c>
      <c r="G14002" s="4"/>
      <c r="H14002" s="4" t="s">
        <v>21247</v>
      </c>
      <c r="I14002" s="4" t="s">
        <v>21248</v>
      </c>
      <c r="J14002" s="4" t="s">
        <v>21249</v>
      </c>
      <c r="K14002" s="4" t="s">
        <v>21250</v>
      </c>
    </row>
    <row r="14003">
      <c r="A14003" s="4">
        <v>457.0</v>
      </c>
      <c r="B14003" s="4" t="s">
        <v>22113</v>
      </c>
      <c r="C14003" s="4"/>
      <c r="D14003" s="4" t="s">
        <v>21251</v>
      </c>
      <c r="E14003" s="4" t="s">
        <v>21252</v>
      </c>
      <c r="F14003" s="4" t="s">
        <v>21251</v>
      </c>
    </row>
    <row r="14004">
      <c r="A14004" s="4">
        <v>458.0</v>
      </c>
      <c r="B14004" s="4" t="s">
        <v>22113</v>
      </c>
      <c r="C14004" s="4"/>
      <c r="D14004" s="4" t="s">
        <v>21253</v>
      </c>
      <c r="E14004" s="4" t="s">
        <v>21254</v>
      </c>
      <c r="F14004" s="4" t="s">
        <v>21253</v>
      </c>
    </row>
    <row r="14005">
      <c r="A14005" s="4">
        <v>459.0</v>
      </c>
      <c r="B14005" s="4" t="s">
        <v>22113</v>
      </c>
      <c r="C14005" s="4"/>
      <c r="D14005" s="4" t="s">
        <v>6669</v>
      </c>
      <c r="E14005" s="4" t="s">
        <v>12633</v>
      </c>
      <c r="F14005" s="4" t="s">
        <v>6671</v>
      </c>
    </row>
    <row r="14006">
      <c r="A14006" s="4">
        <v>460.0</v>
      </c>
      <c r="B14006" s="4" t="s">
        <v>22113</v>
      </c>
      <c r="C14006" s="4"/>
      <c r="D14006" s="4" t="s">
        <v>16732</v>
      </c>
      <c r="E14006" s="4" t="s">
        <v>16733</v>
      </c>
      <c r="F14006" s="4" t="s">
        <v>10387</v>
      </c>
    </row>
    <row r="14007">
      <c r="A14007" s="4">
        <v>461.0</v>
      </c>
      <c r="B14007" s="4" t="s">
        <v>22113</v>
      </c>
      <c r="C14007" s="4"/>
      <c r="D14007" s="4" t="s">
        <v>21255</v>
      </c>
      <c r="E14007" s="4" t="s">
        <v>21256</v>
      </c>
      <c r="F14007" s="4" t="s">
        <v>21257</v>
      </c>
    </row>
    <row r="14008">
      <c r="A14008" s="4">
        <v>462.0</v>
      </c>
      <c r="B14008" s="4" t="s">
        <v>22113</v>
      </c>
      <c r="C14008" s="4"/>
      <c r="D14008" s="4" t="s">
        <v>21258</v>
      </c>
      <c r="E14008" s="4" t="s">
        <v>21259</v>
      </c>
      <c r="F14008" s="4" t="s">
        <v>21258</v>
      </c>
    </row>
    <row r="14009">
      <c r="A14009" s="4">
        <v>463.0</v>
      </c>
      <c r="B14009" s="4" t="s">
        <v>22113</v>
      </c>
      <c r="C14009" s="4"/>
      <c r="D14009" s="4" t="s">
        <v>2249</v>
      </c>
      <c r="E14009" s="4" t="s">
        <v>2248</v>
      </c>
      <c r="F14009" s="4" t="s">
        <v>2249</v>
      </c>
      <c r="G14009" s="4"/>
      <c r="H14009" s="4" t="s">
        <v>2213</v>
      </c>
      <c r="I14009" s="4" t="s">
        <v>2212</v>
      </c>
      <c r="J14009" s="4" t="s">
        <v>2212</v>
      </c>
      <c r="K14009" s="4" t="s">
        <v>21260</v>
      </c>
      <c r="L14009" s="4" t="s">
        <v>2214</v>
      </c>
      <c r="M14009" s="4" t="s">
        <v>2212</v>
      </c>
      <c r="N14009" s="4" t="s">
        <v>2215</v>
      </c>
      <c r="O14009" s="4" t="s">
        <v>2216</v>
      </c>
    </row>
    <row r="14010">
      <c r="A14010" s="4">
        <v>464.0</v>
      </c>
      <c r="B14010" s="4" t="s">
        <v>22113</v>
      </c>
      <c r="C14010" s="4"/>
      <c r="D14010" s="4" t="s">
        <v>2247</v>
      </c>
      <c r="E14010" s="4" t="s">
        <v>2250</v>
      </c>
      <c r="F14010" s="4" t="s">
        <v>2247</v>
      </c>
    </row>
    <row r="14011">
      <c r="A14011" s="4">
        <v>465.0</v>
      </c>
      <c r="B14011" s="4" t="s">
        <v>22113</v>
      </c>
      <c r="C14011" s="4"/>
      <c r="D14011" s="4" t="s">
        <v>21261</v>
      </c>
      <c r="E14011" s="4" t="s">
        <v>21262</v>
      </c>
      <c r="F14011" s="4" t="s">
        <v>21261</v>
      </c>
    </row>
    <row r="14012">
      <c r="A14012" s="4">
        <v>466.0</v>
      </c>
      <c r="B14012" s="4" t="s">
        <v>22113</v>
      </c>
      <c r="C14012" s="4"/>
      <c r="D14012" s="4" t="s">
        <v>2256</v>
      </c>
      <c r="E14012" s="4" t="s">
        <v>2257</v>
      </c>
      <c r="F14012" s="4" t="s">
        <v>2256</v>
      </c>
      <c r="G14012" s="4"/>
      <c r="H14012" s="4" t="s">
        <v>11296</v>
      </c>
    </row>
    <row r="14013">
      <c r="A14013" s="4">
        <v>467.0</v>
      </c>
      <c r="B14013" s="4" t="s">
        <v>22113</v>
      </c>
      <c r="C14013" s="4"/>
      <c r="D14013" s="4" t="s">
        <v>21263</v>
      </c>
      <c r="E14013" s="4" t="s">
        <v>21264</v>
      </c>
      <c r="F14013" s="4" t="s">
        <v>21263</v>
      </c>
    </row>
    <row r="14014">
      <c r="A14014" s="4">
        <v>468.0</v>
      </c>
      <c r="B14014" s="4" t="s">
        <v>22113</v>
      </c>
      <c r="C14014" s="4"/>
      <c r="D14014" s="4" t="s">
        <v>21265</v>
      </c>
      <c r="E14014" s="4" t="s">
        <v>2259</v>
      </c>
      <c r="F14014" s="4" t="s">
        <v>2260</v>
      </c>
      <c r="G14014" s="4"/>
      <c r="H14014" s="4" t="s">
        <v>2261</v>
      </c>
      <c r="I14014" s="4" t="s">
        <v>2262</v>
      </c>
      <c r="J14014" s="4" t="s">
        <v>2263</v>
      </c>
      <c r="K14014" s="4" t="s">
        <v>2264</v>
      </c>
      <c r="L14014" s="4" t="s">
        <v>2265</v>
      </c>
    </row>
    <row r="14015">
      <c r="A14015" s="4">
        <v>469.0</v>
      </c>
      <c r="B14015" s="4" t="s">
        <v>22113</v>
      </c>
      <c r="C14015" s="4"/>
      <c r="D14015" s="4" t="s">
        <v>21266</v>
      </c>
      <c r="E14015" s="4" t="s">
        <v>21208</v>
      </c>
      <c r="F14015" s="4" t="s">
        <v>21207</v>
      </c>
    </row>
    <row r="14016">
      <c r="A14016" s="4">
        <v>470.0</v>
      </c>
      <c r="B14016" s="4" t="s">
        <v>22113</v>
      </c>
      <c r="C14016" s="4"/>
      <c r="D14016" s="4" t="s">
        <v>2269</v>
      </c>
      <c r="E14016" s="4" t="s">
        <v>2270</v>
      </c>
      <c r="F14016" s="4" t="s">
        <v>2271</v>
      </c>
    </row>
    <row r="14017">
      <c r="A14017" s="4">
        <v>471.0</v>
      </c>
      <c r="B14017" s="4" t="s">
        <v>22113</v>
      </c>
      <c r="C14017" s="4"/>
      <c r="D14017" s="4" t="s">
        <v>2275</v>
      </c>
      <c r="E14017" s="4" t="s">
        <v>2276</v>
      </c>
      <c r="F14017" s="4" t="s">
        <v>2277</v>
      </c>
    </row>
    <row r="14018">
      <c r="A14018" s="4">
        <v>472.0</v>
      </c>
      <c r="B14018" s="4" t="s">
        <v>22113</v>
      </c>
      <c r="C14018" s="4"/>
      <c r="D14018" s="4" t="s">
        <v>21267</v>
      </c>
      <c r="E14018" s="4" t="s">
        <v>21268</v>
      </c>
      <c r="F14018" s="4" t="s">
        <v>21269</v>
      </c>
    </row>
    <row r="14019">
      <c r="A14019" s="4">
        <v>473.0</v>
      </c>
      <c r="B14019" s="4" t="s">
        <v>22113</v>
      </c>
      <c r="C14019" s="4"/>
      <c r="D14019" s="4" t="s">
        <v>21270</v>
      </c>
      <c r="E14019" s="4" t="s">
        <v>21271</v>
      </c>
      <c r="F14019" s="4" t="s">
        <v>21272</v>
      </c>
    </row>
    <row r="14020">
      <c r="A14020" s="4">
        <v>474.0</v>
      </c>
      <c r="B14020" s="4" t="s">
        <v>22113</v>
      </c>
      <c r="C14020" s="4"/>
      <c r="D14020" s="4" t="s">
        <v>21273</v>
      </c>
      <c r="E14020" s="4" t="s">
        <v>14643</v>
      </c>
      <c r="F14020" s="4" t="s">
        <v>2601</v>
      </c>
    </row>
    <row r="14021">
      <c r="A14021" s="4">
        <v>475.0</v>
      </c>
      <c r="B14021" s="4" t="s">
        <v>22113</v>
      </c>
      <c r="C14021" s="4"/>
      <c r="D14021" s="4" t="s">
        <v>2280</v>
      </c>
      <c r="E14021" s="4" t="s">
        <v>2281</v>
      </c>
      <c r="F14021" s="4" t="s">
        <v>2282</v>
      </c>
    </row>
    <row r="14022">
      <c r="A14022" s="4">
        <v>476.0</v>
      </c>
      <c r="B14022" s="4" t="s">
        <v>22113</v>
      </c>
      <c r="C14022" s="4"/>
      <c r="D14022" s="4" t="s">
        <v>21274</v>
      </c>
      <c r="E14022" s="4" t="s">
        <v>21275</v>
      </c>
      <c r="F14022" s="4" t="s">
        <v>21276</v>
      </c>
      <c r="G14022" s="4"/>
      <c r="H14022" s="4" t="s">
        <v>18141</v>
      </c>
      <c r="I14022" s="4" t="s">
        <v>18142</v>
      </c>
    </row>
    <row r="14023">
      <c r="A14023" s="4">
        <v>477.0</v>
      </c>
      <c r="B14023" s="4" t="s">
        <v>22113</v>
      </c>
      <c r="C14023" s="4"/>
      <c r="D14023" s="4" t="s">
        <v>21277</v>
      </c>
      <c r="E14023" s="4" t="s">
        <v>21278</v>
      </c>
      <c r="F14023" s="4" t="s">
        <v>21279</v>
      </c>
    </row>
    <row r="14024">
      <c r="A14024" s="4">
        <v>478.0</v>
      </c>
      <c r="B14024" s="4" t="s">
        <v>22113</v>
      </c>
      <c r="C14024" s="4"/>
      <c r="D14024" s="4" t="s">
        <v>21280</v>
      </c>
      <c r="E14024" s="4" t="s">
        <v>21281</v>
      </c>
      <c r="F14024" s="4" t="s">
        <v>18115</v>
      </c>
    </row>
    <row r="14025">
      <c r="A14025" s="4">
        <v>479.0</v>
      </c>
      <c r="B14025" s="4" t="s">
        <v>22113</v>
      </c>
      <c r="C14025" s="4"/>
      <c r="D14025" s="4" t="s">
        <v>21282</v>
      </c>
      <c r="E14025" s="4" t="s">
        <v>21283</v>
      </c>
      <c r="F14025" s="4" t="s">
        <v>21284</v>
      </c>
    </row>
    <row r="14026">
      <c r="A14026" s="4">
        <v>480.0</v>
      </c>
      <c r="B14026" s="4" t="s">
        <v>22113</v>
      </c>
      <c r="C14026" s="4"/>
      <c r="D14026" s="4" t="s">
        <v>21285</v>
      </c>
      <c r="E14026" s="4" t="s">
        <v>21286</v>
      </c>
      <c r="F14026" s="4" t="s">
        <v>21287</v>
      </c>
    </row>
    <row r="14027">
      <c r="A14027" s="4">
        <v>481.0</v>
      </c>
      <c r="B14027" s="4" t="s">
        <v>22113</v>
      </c>
      <c r="C14027" s="4"/>
      <c r="D14027" s="4" t="s">
        <v>2290</v>
      </c>
      <c r="E14027" s="4" t="s">
        <v>2291</v>
      </c>
      <c r="F14027" s="4" t="s">
        <v>2292</v>
      </c>
    </row>
    <row r="14028">
      <c r="A14028" s="4">
        <v>482.0</v>
      </c>
      <c r="B14028" s="4" t="s">
        <v>22113</v>
      </c>
      <c r="C14028" s="4"/>
      <c r="D14028" s="4" t="s">
        <v>21288</v>
      </c>
      <c r="E14028" s="4" t="s">
        <v>2281</v>
      </c>
      <c r="F14028" s="4" t="s">
        <v>2282</v>
      </c>
    </row>
    <row r="14029">
      <c r="A14029" s="4">
        <v>483.0</v>
      </c>
      <c r="B14029" s="4" t="s">
        <v>22113</v>
      </c>
      <c r="C14029" s="4"/>
      <c r="D14029" s="4" t="s">
        <v>10493</v>
      </c>
      <c r="E14029" s="4" t="s">
        <v>18104</v>
      </c>
      <c r="F14029" s="4" t="s">
        <v>2282</v>
      </c>
      <c r="G14029" s="4"/>
      <c r="H14029" s="4" t="s">
        <v>21289</v>
      </c>
      <c r="I14029" s="4" t="s">
        <v>21290</v>
      </c>
      <c r="J14029" s="4" t="s">
        <v>21291</v>
      </c>
      <c r="K14029" s="4" t="s">
        <v>21292</v>
      </c>
    </row>
    <row r="14030">
      <c r="A14030" s="4">
        <v>484.0</v>
      </c>
      <c r="B14030" s="4" t="s">
        <v>22113</v>
      </c>
      <c r="C14030" s="4"/>
      <c r="D14030" s="4" t="s">
        <v>21293</v>
      </c>
      <c r="E14030" s="4" t="s">
        <v>21294</v>
      </c>
      <c r="F14030" s="4" t="s">
        <v>21295</v>
      </c>
      <c r="G14030" s="4"/>
      <c r="H14030" s="4" t="s">
        <v>3481</v>
      </c>
      <c r="I14030" s="4" t="s">
        <v>775</v>
      </c>
      <c r="J14030" s="4" t="s">
        <v>6774</v>
      </c>
    </row>
    <row r="14031">
      <c r="A14031" s="4">
        <v>485.0</v>
      </c>
      <c r="B14031" s="4" t="s">
        <v>22113</v>
      </c>
      <c r="C14031" s="4"/>
      <c r="D14031" s="4" t="s">
        <v>21296</v>
      </c>
      <c r="E14031" s="4" t="s">
        <v>21297</v>
      </c>
      <c r="F14031" s="4" t="s">
        <v>21284</v>
      </c>
    </row>
    <row r="14032">
      <c r="A14032" s="4">
        <v>486.0</v>
      </c>
      <c r="B14032" s="4" t="s">
        <v>22113</v>
      </c>
      <c r="C14032" s="4"/>
      <c r="D14032" s="4" t="s">
        <v>2322</v>
      </c>
      <c r="E14032" s="4" t="s">
        <v>2323</v>
      </c>
      <c r="F14032" s="4" t="s">
        <v>2322</v>
      </c>
      <c r="G14032" s="4"/>
      <c r="H14032" s="4" t="s">
        <v>21298</v>
      </c>
      <c r="I14032" s="4" t="s">
        <v>21299</v>
      </c>
      <c r="J14032" s="4" t="s">
        <v>2345</v>
      </c>
      <c r="K14032" s="4" t="s">
        <v>6344</v>
      </c>
      <c r="L14032" s="4" t="s">
        <v>6344</v>
      </c>
      <c r="M14032" s="4" t="s">
        <v>12749</v>
      </c>
      <c r="N14032" s="4" t="s">
        <v>6344</v>
      </c>
      <c r="O14032" s="4" t="s">
        <v>12755</v>
      </c>
      <c r="P14032" s="4" t="s">
        <v>2324</v>
      </c>
      <c r="Q14032" s="4" t="s">
        <v>2325</v>
      </c>
      <c r="R14032" s="4" t="s">
        <v>2326</v>
      </c>
      <c r="S14032" s="4" t="s">
        <v>2327</v>
      </c>
      <c r="T14032" s="4" t="s">
        <v>2332</v>
      </c>
      <c r="U14032" s="4" t="s">
        <v>10835</v>
      </c>
      <c r="V14032" s="4" t="s">
        <v>2332</v>
      </c>
      <c r="W14032" s="4" t="s">
        <v>2342</v>
      </c>
      <c r="X14032" s="4" t="s">
        <v>2326</v>
      </c>
    </row>
    <row r="14033">
      <c r="A14033" s="4">
        <v>487.0</v>
      </c>
      <c r="B14033" s="4" t="s">
        <v>22113</v>
      </c>
      <c r="C14033" s="4"/>
      <c r="D14033" s="4" t="s">
        <v>2351</v>
      </c>
      <c r="E14033" s="4" t="s">
        <v>2352</v>
      </c>
      <c r="F14033" s="4" t="s">
        <v>2351</v>
      </c>
    </row>
    <row r="14034">
      <c r="A14034" s="4">
        <v>488.0</v>
      </c>
      <c r="B14034" s="4" t="s">
        <v>22113</v>
      </c>
      <c r="C14034" s="4"/>
      <c r="D14034" s="4" t="s">
        <v>21300</v>
      </c>
      <c r="E14034" s="4" t="s">
        <v>21301</v>
      </c>
      <c r="F14034" s="4" t="s">
        <v>21302</v>
      </c>
    </row>
    <row r="14035">
      <c r="A14035" s="4">
        <v>489.0</v>
      </c>
      <c r="B14035" s="4" t="s">
        <v>22113</v>
      </c>
      <c r="C14035" s="4"/>
      <c r="D14035" s="4" t="s">
        <v>2361</v>
      </c>
      <c r="E14035" s="4" t="s">
        <v>2362</v>
      </c>
      <c r="F14035" s="4" t="s">
        <v>2363</v>
      </c>
    </row>
    <row r="14036">
      <c r="A14036" s="4">
        <v>490.0</v>
      </c>
      <c r="B14036" s="4" t="s">
        <v>22113</v>
      </c>
      <c r="C14036" s="4"/>
      <c r="D14036" s="4" t="s">
        <v>21303</v>
      </c>
      <c r="E14036" s="4" t="s">
        <v>21304</v>
      </c>
      <c r="F14036" s="4" t="s">
        <v>21303</v>
      </c>
    </row>
    <row r="14037">
      <c r="A14037" s="4">
        <v>491.0</v>
      </c>
      <c r="B14037" s="4" t="s">
        <v>22113</v>
      </c>
      <c r="C14037" s="4"/>
      <c r="D14037" s="4" t="s">
        <v>21305</v>
      </c>
      <c r="E14037" s="4" t="s">
        <v>5313</v>
      </c>
      <c r="F14037" s="4" t="s">
        <v>5314</v>
      </c>
    </row>
    <row r="14038">
      <c r="A14038" s="4">
        <v>492.0</v>
      </c>
      <c r="B14038" s="4" t="s">
        <v>22113</v>
      </c>
      <c r="C14038" s="4"/>
      <c r="D14038" s="4" t="s">
        <v>2381</v>
      </c>
      <c r="E14038" s="4" t="s">
        <v>2382</v>
      </c>
      <c r="F14038" s="4" t="s">
        <v>2381</v>
      </c>
      <c r="G14038" s="4"/>
      <c r="H14038" s="4" t="s">
        <v>10770</v>
      </c>
      <c r="I14038" s="4" t="s">
        <v>2383</v>
      </c>
      <c r="J14038" s="4" t="s">
        <v>2384</v>
      </c>
      <c r="K14038" s="4" t="s">
        <v>2278</v>
      </c>
      <c r="L14038" s="4" t="s">
        <v>2381</v>
      </c>
      <c r="M14038" s="4" t="s">
        <v>2384</v>
      </c>
      <c r="N14038" s="4" t="s">
        <v>2385</v>
      </c>
      <c r="O14038" s="4" t="s">
        <v>2386</v>
      </c>
      <c r="P14038" s="4" t="s">
        <v>2387</v>
      </c>
      <c r="Q14038" s="4" t="s">
        <v>2388</v>
      </c>
      <c r="R14038" s="4" t="s">
        <v>2389</v>
      </c>
      <c r="S14038" s="4" t="s">
        <v>2390</v>
      </c>
    </row>
    <row r="14039">
      <c r="A14039" s="4">
        <v>493.0</v>
      </c>
      <c r="B14039" s="4" t="s">
        <v>22113</v>
      </c>
      <c r="C14039" s="4"/>
      <c r="D14039" s="4" t="s">
        <v>2391</v>
      </c>
      <c r="E14039" s="4" t="s">
        <v>2392</v>
      </c>
      <c r="F14039" s="4" t="s">
        <v>2391</v>
      </c>
      <c r="G14039" s="4"/>
      <c r="H14039" s="4" t="s">
        <v>21306</v>
      </c>
    </row>
    <row r="14040">
      <c r="A14040" s="4">
        <v>494.0</v>
      </c>
      <c r="B14040" s="4" t="s">
        <v>22113</v>
      </c>
      <c r="C14040" s="4"/>
      <c r="D14040" s="4" t="s">
        <v>21307</v>
      </c>
      <c r="E14040" s="4" t="s">
        <v>21308</v>
      </c>
      <c r="F14040" s="4" t="s">
        <v>21307</v>
      </c>
    </row>
    <row r="14041">
      <c r="A14041" s="4">
        <v>495.0</v>
      </c>
      <c r="B14041" s="4" t="s">
        <v>22113</v>
      </c>
      <c r="C14041" s="4"/>
      <c r="D14041" s="4" t="s">
        <v>12789</v>
      </c>
      <c r="E14041" s="4" t="s">
        <v>12788</v>
      </c>
      <c r="F14041" s="4" t="s">
        <v>12789</v>
      </c>
    </row>
    <row r="14042">
      <c r="A14042" s="4">
        <v>496.0</v>
      </c>
      <c r="B14042" s="4" t="s">
        <v>22113</v>
      </c>
      <c r="C14042" s="4"/>
      <c r="D14042" s="4" t="s">
        <v>21309</v>
      </c>
      <c r="E14042" s="4" t="s">
        <v>21310</v>
      </c>
      <c r="F14042" s="4" t="s">
        <v>21309</v>
      </c>
    </row>
    <row r="14043">
      <c r="A14043" s="4">
        <v>497.0</v>
      </c>
      <c r="B14043" s="4" t="s">
        <v>22113</v>
      </c>
      <c r="C14043" s="4"/>
      <c r="D14043" s="4" t="s">
        <v>21311</v>
      </c>
      <c r="E14043" s="4" t="s">
        <v>21312</v>
      </c>
      <c r="F14043" s="4" t="s">
        <v>21311</v>
      </c>
    </row>
    <row r="14044">
      <c r="A14044" s="4">
        <v>498.0</v>
      </c>
      <c r="B14044" s="4" t="s">
        <v>22113</v>
      </c>
      <c r="C14044" s="4"/>
      <c r="D14044" s="4" t="s">
        <v>14465</v>
      </c>
      <c r="E14044" s="4" t="s">
        <v>2382</v>
      </c>
      <c r="F14044" s="4" t="s">
        <v>2381</v>
      </c>
      <c r="G14044" s="4"/>
      <c r="H14044" s="4" t="s">
        <v>2278</v>
      </c>
      <c r="I14044" s="4" t="s">
        <v>2381</v>
      </c>
      <c r="J14044" s="4" t="s">
        <v>2384</v>
      </c>
      <c r="K14044" s="4" t="s">
        <v>2385</v>
      </c>
      <c r="L14044" s="4" t="s">
        <v>2386</v>
      </c>
      <c r="M14044" s="4" t="s">
        <v>2387</v>
      </c>
      <c r="N14044" s="4" t="s">
        <v>2388</v>
      </c>
      <c r="O14044" s="4" t="s">
        <v>2389</v>
      </c>
      <c r="P14044" s="4" t="s">
        <v>2390</v>
      </c>
    </row>
    <row r="14045">
      <c r="A14045" s="4">
        <v>499.0</v>
      </c>
      <c r="B14045" s="4" t="s">
        <v>22113</v>
      </c>
      <c r="C14045" s="4"/>
      <c r="D14045" s="4" t="s">
        <v>1856</v>
      </c>
      <c r="E14045" s="4" t="s">
        <v>4841</v>
      </c>
      <c r="F14045" s="4" t="s">
        <v>1856</v>
      </c>
      <c r="G14045" s="4"/>
      <c r="H14045" s="4" t="s">
        <v>6747</v>
      </c>
      <c r="I14045" s="4" t="s">
        <v>6748</v>
      </c>
    </row>
    <row r="14046">
      <c r="A14046" s="4">
        <v>500.0</v>
      </c>
      <c r="B14046" s="4" t="s">
        <v>22113</v>
      </c>
      <c r="C14046" s="4"/>
      <c r="D14046" s="4" t="s">
        <v>2401</v>
      </c>
      <c r="E14046" s="4" t="s">
        <v>2402</v>
      </c>
      <c r="F14046" s="4" t="s">
        <v>2401</v>
      </c>
    </row>
    <row r="14047">
      <c r="A14047" s="4">
        <v>501.0</v>
      </c>
      <c r="B14047" s="4" t="s">
        <v>22113</v>
      </c>
      <c r="C14047" s="4"/>
      <c r="D14047" s="4" t="s">
        <v>2403</v>
      </c>
      <c r="E14047" s="4" t="s">
        <v>2404</v>
      </c>
      <c r="F14047" s="4" t="s">
        <v>2403</v>
      </c>
      <c r="G14047" s="4"/>
      <c r="H14047" s="4" t="s">
        <v>11392</v>
      </c>
      <c r="I14047" s="4" t="s">
        <v>8375</v>
      </c>
    </row>
    <row r="14048">
      <c r="A14048" s="4">
        <v>502.0</v>
      </c>
      <c r="B14048" s="4" t="s">
        <v>22113</v>
      </c>
      <c r="C14048" s="4"/>
      <c r="D14048" s="4" t="s">
        <v>21313</v>
      </c>
      <c r="E14048" s="4" t="s">
        <v>21314</v>
      </c>
      <c r="F14048" s="4" t="s">
        <v>21315</v>
      </c>
    </row>
    <row r="14049">
      <c r="A14049" s="4">
        <v>503.0</v>
      </c>
      <c r="B14049" s="4" t="s">
        <v>22113</v>
      </c>
      <c r="C14049" s="4"/>
      <c r="D14049" s="4" t="s">
        <v>2414</v>
      </c>
      <c r="E14049" s="4" t="s">
        <v>2415</v>
      </c>
      <c r="F14049" s="4" t="s">
        <v>2414</v>
      </c>
    </row>
    <row r="14050">
      <c r="A14050" s="4">
        <v>504.0</v>
      </c>
      <c r="B14050" s="4" t="s">
        <v>22113</v>
      </c>
      <c r="C14050" s="4"/>
      <c r="D14050" s="4" t="s">
        <v>12811</v>
      </c>
      <c r="E14050" s="4" t="s">
        <v>20248</v>
      </c>
      <c r="F14050" s="4" t="s">
        <v>12811</v>
      </c>
    </row>
    <row r="14051">
      <c r="A14051" s="4">
        <v>505.0</v>
      </c>
      <c r="B14051" s="4" t="s">
        <v>22113</v>
      </c>
      <c r="C14051" s="4"/>
      <c r="D14051" s="4" t="s">
        <v>2420</v>
      </c>
      <c r="E14051" s="4" t="s">
        <v>2421</v>
      </c>
      <c r="F14051" s="4" t="s">
        <v>2420</v>
      </c>
    </row>
    <row r="14052">
      <c r="A14052" s="4">
        <v>506.0</v>
      </c>
      <c r="B14052" s="4" t="s">
        <v>22113</v>
      </c>
      <c r="C14052" s="4"/>
      <c r="D14052" s="4" t="s">
        <v>2422</v>
      </c>
      <c r="E14052" s="4" t="s">
        <v>2423</v>
      </c>
      <c r="F14052" s="4" t="s">
        <v>2422</v>
      </c>
      <c r="G14052" s="4"/>
      <c r="H14052" s="4" t="s">
        <v>2424</v>
      </c>
      <c r="I14052" s="4" t="s">
        <v>2425</v>
      </c>
      <c r="J14052" s="4" t="s">
        <v>2426</v>
      </c>
      <c r="K14052" s="4" t="s">
        <v>2427</v>
      </c>
      <c r="L14052" s="4" t="s">
        <v>2424</v>
      </c>
      <c r="M14052" s="4" t="s">
        <v>21316</v>
      </c>
      <c r="N14052" s="4" t="s">
        <v>2072</v>
      </c>
      <c r="O14052" s="4" t="s">
        <v>9359</v>
      </c>
      <c r="P14052" s="4" t="s">
        <v>2424</v>
      </c>
      <c r="Q14052" s="4" t="s">
        <v>6084</v>
      </c>
      <c r="R14052" s="4" t="s">
        <v>21317</v>
      </c>
      <c r="S14052" s="4" t="s">
        <v>2427</v>
      </c>
      <c r="T14052" s="4" t="s">
        <v>2424</v>
      </c>
      <c r="U14052" s="4" t="s">
        <v>2428</v>
      </c>
      <c r="V14052" s="4" t="s">
        <v>2429</v>
      </c>
      <c r="W14052" s="4" t="s">
        <v>6081</v>
      </c>
      <c r="X14052" s="4" t="s">
        <v>2424</v>
      </c>
      <c r="Y14052" s="4" t="s">
        <v>6082</v>
      </c>
      <c r="Z14052" s="4" t="s">
        <v>6083</v>
      </c>
      <c r="AA14052" s="4" t="s">
        <v>6072</v>
      </c>
      <c r="AB14052" s="4" t="s">
        <v>6084</v>
      </c>
      <c r="AC14052" s="4" t="s">
        <v>6085</v>
      </c>
    </row>
    <row r="14053">
      <c r="A14053" s="4">
        <v>507.0</v>
      </c>
      <c r="B14053" s="4" t="s">
        <v>22113</v>
      </c>
      <c r="C14053" s="4"/>
      <c r="D14053" s="4" t="s">
        <v>21318</v>
      </c>
      <c r="E14053" s="4" t="s">
        <v>21319</v>
      </c>
      <c r="F14053" s="4" t="s">
        <v>21318</v>
      </c>
    </row>
    <row r="14054">
      <c r="A14054" s="4">
        <v>508.0</v>
      </c>
      <c r="B14054" s="4" t="s">
        <v>22113</v>
      </c>
      <c r="C14054" s="4"/>
      <c r="D14054" s="4" t="s">
        <v>21320</v>
      </c>
      <c r="E14054" s="4" t="s">
        <v>21321</v>
      </c>
      <c r="F14054" s="4" t="s">
        <v>21320</v>
      </c>
    </row>
    <row r="14055">
      <c r="A14055" s="4">
        <v>509.0</v>
      </c>
      <c r="B14055" s="4" t="s">
        <v>22113</v>
      </c>
      <c r="C14055" s="4"/>
      <c r="D14055" s="4" t="s">
        <v>21322</v>
      </c>
      <c r="E14055" s="4" t="s">
        <v>21319</v>
      </c>
      <c r="F14055" s="4" t="s">
        <v>21318</v>
      </c>
    </row>
    <row r="14056">
      <c r="A14056" s="4">
        <v>510.0</v>
      </c>
      <c r="B14056" s="4" t="s">
        <v>22113</v>
      </c>
      <c r="C14056" s="4"/>
      <c r="D14056" s="4" t="s">
        <v>21323</v>
      </c>
      <c r="E14056" s="4" t="s">
        <v>21321</v>
      </c>
      <c r="F14056" s="4" t="s">
        <v>21320</v>
      </c>
    </row>
    <row r="14057">
      <c r="A14057" s="4">
        <v>511.0</v>
      </c>
      <c r="B14057" s="4" t="s">
        <v>22113</v>
      </c>
      <c r="C14057" s="4"/>
      <c r="D14057" s="4" t="s">
        <v>21324</v>
      </c>
      <c r="E14057" s="4" t="s">
        <v>21325</v>
      </c>
      <c r="F14057" s="4" t="s">
        <v>21324</v>
      </c>
    </row>
    <row r="14058">
      <c r="A14058" s="4">
        <v>512.0</v>
      </c>
      <c r="B14058" s="4" t="s">
        <v>22113</v>
      </c>
      <c r="C14058" s="4"/>
      <c r="D14058" s="4" t="s">
        <v>2430</v>
      </c>
      <c r="E14058" s="4" t="s">
        <v>2431</v>
      </c>
      <c r="F14058" s="4" t="s">
        <v>2432</v>
      </c>
    </row>
    <row r="14059">
      <c r="A14059" s="4">
        <v>513.0</v>
      </c>
      <c r="B14059" s="4" t="s">
        <v>22113</v>
      </c>
      <c r="C14059" s="4"/>
      <c r="D14059" s="4" t="s">
        <v>21326</v>
      </c>
      <c r="E14059" s="4" t="s">
        <v>21327</v>
      </c>
      <c r="F14059" s="4" t="s">
        <v>21326</v>
      </c>
    </row>
    <row r="14060">
      <c r="A14060" s="4">
        <v>514.0</v>
      </c>
      <c r="B14060" s="4" t="s">
        <v>22113</v>
      </c>
      <c r="C14060" s="4"/>
      <c r="D14060" s="4" t="s">
        <v>21328</v>
      </c>
      <c r="E14060" s="4" t="s">
        <v>2402</v>
      </c>
      <c r="F14060" s="4" t="s">
        <v>2401</v>
      </c>
      <c r="G14060" s="4"/>
      <c r="H14060" s="4" t="s">
        <v>12820</v>
      </c>
      <c r="I14060" s="4" t="s">
        <v>12821</v>
      </c>
      <c r="J14060" s="4" t="s">
        <v>11310</v>
      </c>
    </row>
    <row r="14061">
      <c r="A14061" s="4">
        <v>515.0</v>
      </c>
      <c r="B14061" s="4" t="s">
        <v>22113</v>
      </c>
      <c r="C14061" s="4"/>
      <c r="D14061" s="4" t="s">
        <v>21329</v>
      </c>
      <c r="E14061" s="4" t="s">
        <v>2415</v>
      </c>
      <c r="F14061" s="4" t="s">
        <v>2414</v>
      </c>
    </row>
    <row r="14062">
      <c r="A14062" s="4">
        <v>516.0</v>
      </c>
      <c r="B14062" s="4" t="s">
        <v>22113</v>
      </c>
      <c r="C14062" s="4"/>
      <c r="D14062" s="4" t="s">
        <v>2458</v>
      </c>
      <c r="E14062" s="4" t="s">
        <v>2459</v>
      </c>
      <c r="F14062" s="4" t="s">
        <v>2458</v>
      </c>
      <c r="G14062" s="4"/>
      <c r="H14062" s="4" t="s">
        <v>2460</v>
      </c>
    </row>
    <row r="14063">
      <c r="A14063" s="4">
        <v>517.0</v>
      </c>
      <c r="B14063" s="4" t="s">
        <v>22113</v>
      </c>
      <c r="C14063" s="4"/>
      <c r="D14063" s="4" t="s">
        <v>21330</v>
      </c>
      <c r="E14063" s="4" t="s">
        <v>21331</v>
      </c>
      <c r="F14063" s="4" t="s">
        <v>10642</v>
      </c>
    </row>
    <row r="14064">
      <c r="A14064" s="4">
        <v>518.0</v>
      </c>
      <c r="B14064" s="4" t="s">
        <v>22113</v>
      </c>
      <c r="C14064" s="4"/>
      <c r="D14064" s="4" t="s">
        <v>21332</v>
      </c>
      <c r="E14064" s="4" t="s">
        <v>21333</v>
      </c>
      <c r="F14064" s="4" t="s">
        <v>21334</v>
      </c>
    </row>
    <row r="14065">
      <c r="A14065" s="4">
        <v>519.0</v>
      </c>
      <c r="B14065" s="4" t="s">
        <v>22113</v>
      </c>
      <c r="C14065" s="4"/>
      <c r="D14065" s="4" t="s">
        <v>21335</v>
      </c>
      <c r="E14065" s="4" t="s">
        <v>21336</v>
      </c>
      <c r="F14065" s="4" t="s">
        <v>21337</v>
      </c>
    </row>
    <row r="14066">
      <c r="A14066" s="4">
        <v>520.0</v>
      </c>
      <c r="B14066" s="4" t="s">
        <v>22113</v>
      </c>
      <c r="C14066" s="4"/>
      <c r="D14066" s="4" t="s">
        <v>21338</v>
      </c>
      <c r="E14066" s="4" t="s">
        <v>21339</v>
      </c>
      <c r="F14066" s="4" t="s">
        <v>21340</v>
      </c>
      <c r="G14066" s="4"/>
      <c r="H14066" s="4" t="s">
        <v>21341</v>
      </c>
      <c r="I14066" s="4" t="s">
        <v>21342</v>
      </c>
    </row>
    <row r="14067">
      <c r="A14067" s="4">
        <v>521.0</v>
      </c>
      <c r="B14067" s="4" t="s">
        <v>22113</v>
      </c>
      <c r="C14067" s="4"/>
      <c r="D14067" s="4" t="s">
        <v>21343</v>
      </c>
      <c r="E14067" s="4" t="s">
        <v>21344</v>
      </c>
      <c r="F14067" s="4" t="s">
        <v>21345</v>
      </c>
    </row>
    <row r="14068">
      <c r="A14068" s="4">
        <v>522.0</v>
      </c>
      <c r="B14068" s="4" t="s">
        <v>22113</v>
      </c>
      <c r="C14068" s="4"/>
      <c r="D14068" s="4" t="s">
        <v>2293</v>
      </c>
      <c r="E14068" s="4" t="s">
        <v>2473</v>
      </c>
      <c r="F14068" s="4" t="s">
        <v>2293</v>
      </c>
      <c r="G14068" s="4"/>
      <c r="H14068" s="4" t="s">
        <v>2474</v>
      </c>
      <c r="I14068" s="4" t="s">
        <v>2475</v>
      </c>
      <c r="J14068" s="4" t="s">
        <v>2474</v>
      </c>
    </row>
    <row r="14069">
      <c r="A14069" s="4">
        <v>523.0</v>
      </c>
      <c r="B14069" s="4" t="s">
        <v>22113</v>
      </c>
      <c r="C14069" s="4"/>
      <c r="D14069" s="4" t="s">
        <v>21346</v>
      </c>
      <c r="E14069" s="4" t="s">
        <v>21347</v>
      </c>
      <c r="F14069" s="4" t="s">
        <v>21346</v>
      </c>
      <c r="G14069" s="4"/>
      <c r="H14069" s="4" t="s">
        <v>21348</v>
      </c>
      <c r="I14069" s="4" t="s">
        <v>15342</v>
      </c>
      <c r="J14069" s="4" t="s">
        <v>21349</v>
      </c>
    </row>
    <row r="14070">
      <c r="A14070" s="4">
        <v>524.0</v>
      </c>
      <c r="B14070" s="4" t="s">
        <v>22113</v>
      </c>
      <c r="C14070" s="4"/>
      <c r="D14070" s="4" t="s">
        <v>21350</v>
      </c>
      <c r="E14070" s="4" t="s">
        <v>21351</v>
      </c>
      <c r="F14070" s="4" t="s">
        <v>21350</v>
      </c>
    </row>
    <row r="14071">
      <c r="A14071" s="4">
        <v>525.0</v>
      </c>
      <c r="B14071" s="4" t="s">
        <v>22113</v>
      </c>
      <c r="C14071" s="4"/>
      <c r="D14071" s="4" t="s">
        <v>2499</v>
      </c>
      <c r="E14071" s="4" t="s">
        <v>2498</v>
      </c>
      <c r="F14071" s="4" t="s">
        <v>2499</v>
      </c>
    </row>
    <row r="14072">
      <c r="A14072" s="4">
        <v>526.0</v>
      </c>
      <c r="B14072" s="4" t="s">
        <v>22113</v>
      </c>
      <c r="C14072" s="4"/>
      <c r="D14072" s="4" t="s">
        <v>2479</v>
      </c>
      <c r="E14072" s="4" t="s">
        <v>2480</v>
      </c>
      <c r="F14072" s="4" t="s">
        <v>2481</v>
      </c>
    </row>
    <row r="14073">
      <c r="A14073" s="4">
        <v>527.0</v>
      </c>
      <c r="B14073" s="4" t="s">
        <v>22113</v>
      </c>
      <c r="C14073" s="4"/>
      <c r="D14073" s="4" t="s">
        <v>21352</v>
      </c>
      <c r="E14073" s="4" t="s">
        <v>21353</v>
      </c>
      <c r="F14073" s="4" t="s">
        <v>21354</v>
      </c>
    </row>
    <row r="14074">
      <c r="A14074" s="4">
        <v>528.0</v>
      </c>
      <c r="B14074" s="4" t="s">
        <v>22113</v>
      </c>
      <c r="C14074" s="4"/>
      <c r="D14074" s="4" t="s">
        <v>2493</v>
      </c>
      <c r="E14074" s="4" t="s">
        <v>2494</v>
      </c>
      <c r="F14074" s="4" t="s">
        <v>2493</v>
      </c>
    </row>
    <row r="14075">
      <c r="A14075" s="4">
        <v>529.0</v>
      </c>
      <c r="B14075" s="4" t="s">
        <v>22113</v>
      </c>
      <c r="C14075" s="4"/>
      <c r="D14075" s="4" t="s">
        <v>21355</v>
      </c>
      <c r="E14075" s="4" t="s">
        <v>21356</v>
      </c>
      <c r="F14075" s="4" t="s">
        <v>21355</v>
      </c>
    </row>
    <row r="14076">
      <c r="A14076" s="4">
        <v>530.0</v>
      </c>
      <c r="B14076" s="4" t="s">
        <v>22113</v>
      </c>
      <c r="C14076" s="4"/>
      <c r="D14076" s="4" t="s">
        <v>21357</v>
      </c>
      <c r="E14076" s="4" t="s">
        <v>21358</v>
      </c>
      <c r="F14076" s="4" t="s">
        <v>21359</v>
      </c>
    </row>
    <row r="14077">
      <c r="A14077" s="4">
        <v>531.0</v>
      </c>
      <c r="B14077" s="4" t="s">
        <v>22113</v>
      </c>
      <c r="C14077" s="4"/>
      <c r="D14077" s="4" t="s">
        <v>21360</v>
      </c>
      <c r="E14077" s="4" t="s">
        <v>21361</v>
      </c>
      <c r="F14077" s="4" t="s">
        <v>21362</v>
      </c>
    </row>
    <row r="14078">
      <c r="A14078" s="4">
        <v>532.0</v>
      </c>
      <c r="B14078" s="4" t="s">
        <v>22113</v>
      </c>
      <c r="C14078" s="4"/>
      <c r="D14078" s="4" t="s">
        <v>339</v>
      </c>
      <c r="E14078" s="4" t="s">
        <v>338</v>
      </c>
      <c r="F14078" s="4" t="s">
        <v>339</v>
      </c>
    </row>
    <row r="14079">
      <c r="A14079" s="4">
        <v>533.0</v>
      </c>
      <c r="B14079" s="4" t="s">
        <v>22113</v>
      </c>
      <c r="C14079" s="4"/>
      <c r="D14079" s="4" t="s">
        <v>2525</v>
      </c>
      <c r="E14079" s="4" t="s">
        <v>2524</v>
      </c>
      <c r="F14079" s="4" t="s">
        <v>2525</v>
      </c>
      <c r="G14079" s="4"/>
      <c r="H14079" s="4" t="s">
        <v>1743</v>
      </c>
      <c r="I14079" s="4" t="s">
        <v>2526</v>
      </c>
      <c r="J14079" s="4" t="s">
        <v>1743</v>
      </c>
      <c r="K14079" s="4" t="s">
        <v>2527</v>
      </c>
      <c r="L14079" s="4" t="s">
        <v>2528</v>
      </c>
      <c r="M14079" s="4" t="s">
        <v>2529</v>
      </c>
      <c r="N14079" s="4" t="s">
        <v>2530</v>
      </c>
      <c r="O14079" s="4" t="s">
        <v>2531</v>
      </c>
      <c r="P14079" s="4" t="s">
        <v>2532</v>
      </c>
      <c r="Q14079" s="4" t="s">
        <v>2533</v>
      </c>
      <c r="R14079" s="4" t="s">
        <v>1743</v>
      </c>
      <c r="S14079" s="4" t="s">
        <v>2534</v>
      </c>
      <c r="T14079" s="4" t="s">
        <v>2535</v>
      </c>
      <c r="U14079" s="4" t="s">
        <v>2536</v>
      </c>
      <c r="V14079" s="4" t="s">
        <v>781</v>
      </c>
      <c r="W14079" s="4" t="s">
        <v>2539</v>
      </c>
      <c r="X14079" s="4" t="s">
        <v>783</v>
      </c>
      <c r="Y14079" s="4" t="s">
        <v>1743</v>
      </c>
      <c r="Z14079" s="4" t="s">
        <v>2540</v>
      </c>
      <c r="AA14079" s="4" t="s">
        <v>2541</v>
      </c>
      <c r="AB14079" s="4" t="s">
        <v>2532</v>
      </c>
      <c r="AC14079" s="4" t="s">
        <v>2542</v>
      </c>
      <c r="AD14079" s="4" t="s">
        <v>2543</v>
      </c>
    </row>
    <row r="14080">
      <c r="A14080" s="4">
        <v>534.0</v>
      </c>
      <c r="B14080" s="4" t="s">
        <v>22113</v>
      </c>
      <c r="C14080" s="4"/>
      <c r="D14080" s="4" t="s">
        <v>21363</v>
      </c>
      <c r="E14080" s="4" t="s">
        <v>21364</v>
      </c>
      <c r="F14080" s="4" t="s">
        <v>21363</v>
      </c>
    </row>
    <row r="14081">
      <c r="A14081" s="4">
        <v>535.0</v>
      </c>
      <c r="B14081" s="4" t="s">
        <v>22113</v>
      </c>
      <c r="C14081" s="4"/>
      <c r="D14081" s="4" t="s">
        <v>21365</v>
      </c>
      <c r="E14081" s="4" t="s">
        <v>21366</v>
      </c>
      <c r="F14081" s="4" t="s">
        <v>21367</v>
      </c>
      <c r="G14081" s="4"/>
      <c r="H14081" s="4" t="s">
        <v>13030</v>
      </c>
    </row>
    <row r="14082">
      <c r="A14082" s="4">
        <v>536.0</v>
      </c>
      <c r="B14082" s="4" t="s">
        <v>22113</v>
      </c>
      <c r="C14082" s="4"/>
      <c r="D14082" s="4" t="s">
        <v>21368</v>
      </c>
      <c r="E14082" s="4" t="s">
        <v>21369</v>
      </c>
      <c r="F14082" s="4" t="s">
        <v>21368</v>
      </c>
    </row>
    <row r="14083">
      <c r="A14083" s="4">
        <v>537.0</v>
      </c>
      <c r="B14083" s="4" t="s">
        <v>22113</v>
      </c>
      <c r="C14083" s="4"/>
      <c r="D14083" s="4" t="s">
        <v>2566</v>
      </c>
      <c r="E14083" s="4" t="s">
        <v>2567</v>
      </c>
      <c r="F14083" s="4" t="s">
        <v>2566</v>
      </c>
      <c r="G14083" s="4"/>
      <c r="H14083" s="4" t="s">
        <v>2569</v>
      </c>
      <c r="I14083" s="4" t="s">
        <v>2570</v>
      </c>
      <c r="J14083" s="4" t="s">
        <v>2570</v>
      </c>
      <c r="K14083" s="4" t="s">
        <v>2570</v>
      </c>
      <c r="L14083" s="4" t="s">
        <v>2570</v>
      </c>
      <c r="M14083" s="4" t="s">
        <v>15148</v>
      </c>
      <c r="N14083" s="4" t="s">
        <v>14028</v>
      </c>
      <c r="O14083" s="4" t="s">
        <v>2570</v>
      </c>
    </row>
    <row r="14084">
      <c r="A14084" s="4">
        <v>538.0</v>
      </c>
      <c r="B14084" s="4" t="s">
        <v>22113</v>
      </c>
      <c r="C14084" s="4"/>
      <c r="D14084" s="4" t="s">
        <v>10680</v>
      </c>
      <c r="E14084" s="4" t="s">
        <v>21370</v>
      </c>
      <c r="F14084" s="4" t="s">
        <v>10680</v>
      </c>
    </row>
    <row r="14085">
      <c r="A14085" s="4">
        <v>539.0</v>
      </c>
      <c r="B14085" s="4" t="s">
        <v>22113</v>
      </c>
      <c r="C14085" s="4"/>
      <c r="D14085" s="4" t="s">
        <v>20249</v>
      </c>
      <c r="E14085" s="4" t="s">
        <v>20250</v>
      </c>
      <c r="F14085" s="4" t="s">
        <v>20249</v>
      </c>
    </row>
    <row r="14086">
      <c r="A14086" s="4">
        <v>540.0</v>
      </c>
      <c r="B14086" s="4" t="s">
        <v>22113</v>
      </c>
      <c r="C14086" s="4"/>
      <c r="D14086" s="4" t="s">
        <v>21371</v>
      </c>
      <c r="E14086" s="4" t="s">
        <v>21372</v>
      </c>
      <c r="F14086" s="4" t="s">
        <v>21371</v>
      </c>
    </row>
    <row r="14087">
      <c r="A14087" s="4">
        <v>541.0</v>
      </c>
      <c r="B14087" s="4" t="s">
        <v>22113</v>
      </c>
      <c r="C14087" s="4"/>
      <c r="D14087" s="4" t="s">
        <v>2445</v>
      </c>
      <c r="E14087" s="4" t="s">
        <v>2444</v>
      </c>
      <c r="F14087" s="4" t="s">
        <v>2445</v>
      </c>
    </row>
    <row r="14088">
      <c r="A14088" s="4">
        <v>542.0</v>
      </c>
      <c r="B14088" s="4" t="s">
        <v>22113</v>
      </c>
      <c r="C14088" s="4"/>
      <c r="D14088" s="4" t="s">
        <v>21373</v>
      </c>
      <c r="E14088" s="4" t="s">
        <v>21374</v>
      </c>
      <c r="F14088" s="4" t="s">
        <v>21373</v>
      </c>
      <c r="G14088" s="4"/>
      <c r="H14088" s="4" t="s">
        <v>21375</v>
      </c>
      <c r="I14088" s="4" t="s">
        <v>2576</v>
      </c>
      <c r="J14088" s="4" t="s">
        <v>2577</v>
      </c>
      <c r="K14088" s="4" t="s">
        <v>2578</v>
      </c>
      <c r="L14088" s="4" t="s">
        <v>2579</v>
      </c>
      <c r="M14088" s="4" t="s">
        <v>21375</v>
      </c>
    </row>
    <row r="14089">
      <c r="A14089" s="4">
        <v>543.0</v>
      </c>
      <c r="B14089" s="4" t="s">
        <v>22113</v>
      </c>
      <c r="C14089" s="4"/>
      <c r="D14089" s="4" t="s">
        <v>21376</v>
      </c>
      <c r="E14089" s="4" t="s">
        <v>21377</v>
      </c>
      <c r="F14089" s="4" t="s">
        <v>21376</v>
      </c>
    </row>
    <row r="14090">
      <c r="A14090" s="4">
        <v>544.0</v>
      </c>
      <c r="B14090" s="4" t="s">
        <v>22113</v>
      </c>
      <c r="C14090" s="4"/>
      <c r="D14090" s="4" t="s">
        <v>16785</v>
      </c>
      <c r="E14090" s="4" t="s">
        <v>16786</v>
      </c>
      <c r="F14090" s="4" t="s">
        <v>16787</v>
      </c>
    </row>
    <row r="14091">
      <c r="A14091" s="4">
        <v>545.0</v>
      </c>
      <c r="B14091" s="4" t="s">
        <v>22113</v>
      </c>
      <c r="C14091" s="4"/>
      <c r="D14091" s="4" t="s">
        <v>342</v>
      </c>
      <c r="E14091" s="4" t="s">
        <v>341</v>
      </c>
      <c r="F14091" s="4" t="s">
        <v>342</v>
      </c>
    </row>
    <row r="14092">
      <c r="A14092" s="4">
        <v>546.0</v>
      </c>
      <c r="B14092" s="4" t="s">
        <v>22113</v>
      </c>
      <c r="C14092" s="4"/>
      <c r="D14092" s="4" t="s">
        <v>12868</v>
      </c>
      <c r="E14092" s="4" t="s">
        <v>12869</v>
      </c>
      <c r="F14092" s="4" t="s">
        <v>12870</v>
      </c>
    </row>
    <row r="14093">
      <c r="A14093" s="4">
        <v>547.0</v>
      </c>
      <c r="B14093" s="4" t="s">
        <v>22113</v>
      </c>
      <c r="C14093" s="4"/>
      <c r="D14093" s="4" t="s">
        <v>2599</v>
      </c>
      <c r="E14093" s="4" t="s">
        <v>2600</v>
      </c>
      <c r="F14093" s="4" t="s">
        <v>2601</v>
      </c>
      <c r="G14093" s="4"/>
      <c r="H14093" s="4" t="s">
        <v>2599</v>
      </c>
      <c r="I14093" s="4" t="s">
        <v>2613</v>
      </c>
    </row>
    <row r="14094">
      <c r="A14094" s="4">
        <v>548.0</v>
      </c>
      <c r="B14094" s="4" t="s">
        <v>22113</v>
      </c>
      <c r="C14094" s="4"/>
      <c r="D14094" s="4" t="s">
        <v>18246</v>
      </c>
      <c r="E14094" s="4" t="s">
        <v>14643</v>
      </c>
      <c r="F14094" s="4" t="s">
        <v>2601</v>
      </c>
    </row>
    <row r="14095">
      <c r="A14095" s="4">
        <v>549.0</v>
      </c>
      <c r="B14095" s="4" t="s">
        <v>22113</v>
      </c>
      <c r="C14095" s="4"/>
      <c r="D14095" s="4" t="s">
        <v>2622</v>
      </c>
      <c r="E14095" s="4" t="s">
        <v>2623</v>
      </c>
      <c r="F14095" s="4" t="s">
        <v>2622</v>
      </c>
      <c r="G14095" s="4"/>
      <c r="H14095" s="4" t="s">
        <v>2622</v>
      </c>
      <c r="I14095" s="4" t="s">
        <v>2624</v>
      </c>
      <c r="J14095" s="4" t="s">
        <v>2625</v>
      </c>
      <c r="K14095" s="4">
        <v>1000.0</v>
      </c>
      <c r="L14095" s="4" t="s">
        <v>2628</v>
      </c>
      <c r="M14095" s="4" t="s">
        <v>2629</v>
      </c>
      <c r="N14095" s="4" t="s">
        <v>2630</v>
      </c>
      <c r="O14095" s="4" t="s">
        <v>2631</v>
      </c>
      <c r="P14095" s="4" t="s">
        <v>2632</v>
      </c>
      <c r="Q14095" s="4" t="s">
        <v>2633</v>
      </c>
      <c r="R14095" s="4" t="s">
        <v>2634</v>
      </c>
    </row>
    <row r="14096">
      <c r="A14096" s="4">
        <v>550.0</v>
      </c>
      <c r="B14096" s="4" t="s">
        <v>22113</v>
      </c>
      <c r="C14096" s="4"/>
      <c r="D14096" s="4" t="s">
        <v>16790</v>
      </c>
      <c r="E14096" s="4" t="s">
        <v>16791</v>
      </c>
      <c r="F14096" s="4" t="s">
        <v>16790</v>
      </c>
    </row>
    <row r="14097">
      <c r="A14097" s="4">
        <v>551.0</v>
      </c>
      <c r="B14097" s="4" t="s">
        <v>22113</v>
      </c>
      <c r="C14097" s="4"/>
      <c r="D14097" s="4" t="s">
        <v>2637</v>
      </c>
      <c r="E14097" s="4" t="s">
        <v>2638</v>
      </c>
      <c r="F14097" s="4" t="s">
        <v>2637</v>
      </c>
    </row>
    <row r="14098">
      <c r="A14098" s="4">
        <v>552.0</v>
      </c>
      <c r="B14098" s="4" t="s">
        <v>22113</v>
      </c>
      <c r="C14098" s="4"/>
      <c r="D14098" s="4" t="s">
        <v>2639</v>
      </c>
      <c r="E14098" s="4" t="s">
        <v>2645</v>
      </c>
      <c r="F14098" s="4" t="s">
        <v>2639</v>
      </c>
      <c r="G14098" s="4"/>
      <c r="H14098" s="4" t="s">
        <v>2641</v>
      </c>
      <c r="I14098" s="4" t="s">
        <v>2641</v>
      </c>
      <c r="J14098" s="4" t="s">
        <v>2641</v>
      </c>
      <c r="K14098" s="4" t="s">
        <v>21378</v>
      </c>
      <c r="L14098" s="4" t="s">
        <v>2642</v>
      </c>
      <c r="M14098" s="4" t="s">
        <v>2643</v>
      </c>
      <c r="N14098" s="4" t="s">
        <v>1856</v>
      </c>
      <c r="O14098" s="4" t="s">
        <v>2644</v>
      </c>
    </row>
    <row r="14099">
      <c r="A14099" s="4">
        <v>553.0</v>
      </c>
      <c r="B14099" s="4" t="s">
        <v>22113</v>
      </c>
      <c r="C14099" s="4"/>
      <c r="D14099" s="4" t="s">
        <v>21379</v>
      </c>
      <c r="E14099" s="4" t="s">
        <v>21380</v>
      </c>
      <c r="F14099" s="4" t="s">
        <v>21379</v>
      </c>
    </row>
    <row r="14100">
      <c r="A14100" s="4">
        <v>554.0</v>
      </c>
      <c r="B14100" s="4" t="s">
        <v>22113</v>
      </c>
      <c r="C14100" s="4"/>
      <c r="D14100" s="4" t="s">
        <v>21381</v>
      </c>
      <c r="E14100" s="4" t="s">
        <v>21382</v>
      </c>
      <c r="F14100" s="4" t="s">
        <v>21381</v>
      </c>
    </row>
    <row r="14101">
      <c r="A14101" s="4">
        <v>555.0</v>
      </c>
      <c r="B14101" s="4" t="s">
        <v>22113</v>
      </c>
      <c r="C14101" s="4"/>
      <c r="D14101" s="4" t="s">
        <v>21383</v>
      </c>
      <c r="E14101" s="4" t="s">
        <v>21380</v>
      </c>
      <c r="F14101" s="4" t="s">
        <v>21379</v>
      </c>
    </row>
    <row r="14102">
      <c r="A14102" s="4">
        <v>556.0</v>
      </c>
      <c r="B14102" s="4" t="s">
        <v>22113</v>
      </c>
      <c r="C14102" s="4"/>
      <c r="D14102" s="4" t="s">
        <v>21384</v>
      </c>
      <c r="E14102" s="4" t="s">
        <v>21382</v>
      </c>
      <c r="F14102" s="4" t="s">
        <v>21381</v>
      </c>
    </row>
    <row r="14103">
      <c r="A14103" s="4">
        <v>557.0</v>
      </c>
      <c r="B14103" s="4" t="s">
        <v>22113</v>
      </c>
      <c r="C14103" s="4"/>
      <c r="D14103" s="4" t="s">
        <v>21385</v>
      </c>
      <c r="E14103" s="4" t="s">
        <v>21386</v>
      </c>
      <c r="F14103" s="4" t="s">
        <v>21385</v>
      </c>
    </row>
    <row r="14104">
      <c r="A14104" s="4">
        <v>558.0</v>
      </c>
      <c r="B14104" s="4" t="s">
        <v>22113</v>
      </c>
      <c r="C14104" s="4"/>
      <c r="D14104" s="4" t="s">
        <v>21387</v>
      </c>
      <c r="E14104" s="4" t="s">
        <v>21388</v>
      </c>
      <c r="F14104" s="4" t="s">
        <v>21387</v>
      </c>
      <c r="G14104" s="4"/>
      <c r="H14104" s="4" t="s">
        <v>21389</v>
      </c>
      <c r="I14104" s="4" t="s">
        <v>21390</v>
      </c>
      <c r="J14104" s="4" t="s">
        <v>8941</v>
      </c>
      <c r="K14104" s="4" t="s">
        <v>9618</v>
      </c>
      <c r="L14104" s="4" t="s">
        <v>21391</v>
      </c>
    </row>
    <row r="14105">
      <c r="A14105" s="4">
        <v>559.0</v>
      </c>
      <c r="B14105" s="4" t="s">
        <v>22113</v>
      </c>
      <c r="C14105" s="4"/>
      <c r="D14105" s="4" t="s">
        <v>2695</v>
      </c>
      <c r="E14105" s="4" t="s">
        <v>2696</v>
      </c>
      <c r="F14105" s="4" t="s">
        <v>2695</v>
      </c>
      <c r="G14105" s="4"/>
      <c r="H14105" s="4" t="s">
        <v>648</v>
      </c>
      <c r="I14105" s="4" t="s">
        <v>2697</v>
      </c>
      <c r="J14105" s="4" t="s">
        <v>2698</v>
      </c>
      <c r="K14105" s="4" t="s">
        <v>2698</v>
      </c>
      <c r="L14105" s="4" t="s">
        <v>21392</v>
      </c>
    </row>
    <row r="14106">
      <c r="A14106" s="4">
        <v>560.0</v>
      </c>
      <c r="B14106" s="4" t="s">
        <v>22113</v>
      </c>
      <c r="C14106" s="4"/>
      <c r="D14106" s="4" t="s">
        <v>2699</v>
      </c>
      <c r="E14106" s="4" t="s">
        <v>2701</v>
      </c>
      <c r="F14106" s="4" t="s">
        <v>2699</v>
      </c>
      <c r="G14106" s="4"/>
      <c r="H14106" s="4" t="s">
        <v>2698</v>
      </c>
      <c r="I14106" s="4" t="s">
        <v>21393</v>
      </c>
      <c r="J14106" s="4" t="s">
        <v>21394</v>
      </c>
    </row>
    <row r="14107">
      <c r="A14107" s="4">
        <v>561.0</v>
      </c>
      <c r="B14107" s="4" t="s">
        <v>22113</v>
      </c>
      <c r="C14107" s="4"/>
      <c r="D14107" s="4" t="s">
        <v>12891</v>
      </c>
      <c r="E14107" s="4" t="s">
        <v>12893</v>
      </c>
      <c r="F14107" s="4" t="s">
        <v>12891</v>
      </c>
    </row>
    <row r="14108">
      <c r="A14108" s="4">
        <v>562.0</v>
      </c>
      <c r="B14108" s="4" t="s">
        <v>22113</v>
      </c>
      <c r="C14108" s="4"/>
      <c r="D14108" s="4" t="s">
        <v>21395</v>
      </c>
      <c r="E14108" s="4" t="s">
        <v>21396</v>
      </c>
      <c r="F14108" s="4" t="s">
        <v>21395</v>
      </c>
    </row>
    <row r="14109">
      <c r="A14109" s="4">
        <v>563.0</v>
      </c>
      <c r="B14109" s="4" t="s">
        <v>22113</v>
      </c>
      <c r="C14109" s="4"/>
      <c r="D14109" s="4" t="s">
        <v>2896</v>
      </c>
      <c r="E14109" s="4" t="s">
        <v>12908</v>
      </c>
      <c r="F14109" s="4" t="s">
        <v>2896</v>
      </c>
    </row>
    <row r="14110">
      <c r="A14110" s="4">
        <v>564.0</v>
      </c>
      <c r="B14110" s="4" t="s">
        <v>22113</v>
      </c>
      <c r="C14110" s="4"/>
      <c r="D14110" s="4" t="s">
        <v>21397</v>
      </c>
      <c r="E14110" s="4" t="s">
        <v>21398</v>
      </c>
      <c r="F14110" s="4" t="s">
        <v>21397</v>
      </c>
    </row>
    <row r="14111">
      <c r="A14111" s="4">
        <v>565.0</v>
      </c>
      <c r="B14111" s="4" t="s">
        <v>22113</v>
      </c>
      <c r="C14111" s="4"/>
      <c r="D14111" s="4" t="s">
        <v>2702</v>
      </c>
      <c r="E14111" s="4" t="s">
        <v>2703</v>
      </c>
      <c r="F14111" s="4" t="s">
        <v>2702</v>
      </c>
    </row>
    <row r="14112">
      <c r="A14112" s="4">
        <v>566.0</v>
      </c>
      <c r="B14112" s="4" t="s">
        <v>22113</v>
      </c>
      <c r="C14112" s="4"/>
      <c r="D14112" s="4" t="s">
        <v>14212</v>
      </c>
      <c r="E14112" s="4" t="s">
        <v>14213</v>
      </c>
      <c r="F14112" s="4" t="s">
        <v>14212</v>
      </c>
      <c r="G14112" s="4"/>
      <c r="H14112" s="4" t="s">
        <v>14214</v>
      </c>
      <c r="I14112" s="4" t="s">
        <v>14215</v>
      </c>
      <c r="J14112" s="4" t="s">
        <v>1063</v>
      </c>
      <c r="K14112" s="4" t="s">
        <v>7918</v>
      </c>
      <c r="L14112" s="4" t="s">
        <v>7919</v>
      </c>
      <c r="M14112" s="4" t="s">
        <v>6669</v>
      </c>
      <c r="N14112" s="4" t="s">
        <v>14216</v>
      </c>
      <c r="O14112" s="4" t="s">
        <v>6686</v>
      </c>
      <c r="P14112" s="4" t="s">
        <v>14214</v>
      </c>
      <c r="Q14112" s="4" t="s">
        <v>14214</v>
      </c>
      <c r="R14112" s="4" t="s">
        <v>6682</v>
      </c>
      <c r="S14112" s="4" t="s">
        <v>6669</v>
      </c>
      <c r="T14112" s="4" t="s">
        <v>4619</v>
      </c>
      <c r="U14112" s="4" t="s">
        <v>19668</v>
      </c>
    </row>
    <row r="14113">
      <c r="A14113" s="4">
        <v>567.0</v>
      </c>
      <c r="B14113" s="4" t="s">
        <v>22113</v>
      </c>
      <c r="C14113" s="4"/>
      <c r="D14113" s="4" t="s">
        <v>2711</v>
      </c>
      <c r="E14113" s="4" t="s">
        <v>2710</v>
      </c>
      <c r="F14113" s="4" t="s">
        <v>2711</v>
      </c>
    </row>
    <row r="14114">
      <c r="A14114" s="4">
        <v>568.0</v>
      </c>
      <c r="B14114" s="4" t="s">
        <v>22113</v>
      </c>
      <c r="C14114" s="4"/>
      <c r="D14114" s="4" t="s">
        <v>2714</v>
      </c>
      <c r="E14114" s="4" t="s">
        <v>2713</v>
      </c>
      <c r="F14114" s="4" t="s">
        <v>2714</v>
      </c>
      <c r="G14114" s="4"/>
      <c r="H14114" s="4" t="s">
        <v>2715</v>
      </c>
      <c r="I14114" s="4" t="s">
        <v>2715</v>
      </c>
    </row>
    <row r="14115">
      <c r="A14115" s="4">
        <v>569.0</v>
      </c>
      <c r="B14115" s="4" t="s">
        <v>22113</v>
      </c>
      <c r="C14115" s="4"/>
      <c r="D14115" s="4" t="s">
        <v>12921</v>
      </c>
      <c r="E14115" s="4" t="s">
        <v>12920</v>
      </c>
      <c r="F14115" s="4" t="s">
        <v>12921</v>
      </c>
    </row>
    <row r="14116">
      <c r="A14116" s="4">
        <v>570.0</v>
      </c>
      <c r="B14116" s="4" t="s">
        <v>22113</v>
      </c>
      <c r="C14116" s="4"/>
      <c r="D14116" s="4" t="s">
        <v>2718</v>
      </c>
      <c r="E14116" s="4" t="s">
        <v>2717</v>
      </c>
      <c r="F14116" s="4" t="s">
        <v>2718</v>
      </c>
    </row>
    <row r="14117">
      <c r="A14117" s="4">
        <v>571.0</v>
      </c>
      <c r="B14117" s="4" t="s">
        <v>22113</v>
      </c>
      <c r="C14117" s="4"/>
      <c r="D14117" s="4" t="s">
        <v>21399</v>
      </c>
      <c r="E14117" s="4" t="s">
        <v>2717</v>
      </c>
      <c r="F14117" s="4" t="s">
        <v>2718</v>
      </c>
    </row>
    <row r="14118">
      <c r="A14118" s="4">
        <v>572.0</v>
      </c>
      <c r="B14118" s="4" t="s">
        <v>22113</v>
      </c>
      <c r="C14118" s="4"/>
      <c r="D14118" s="4" t="s">
        <v>21400</v>
      </c>
      <c r="E14118" s="4" t="s">
        <v>21401</v>
      </c>
      <c r="F14118" s="4" t="s">
        <v>21400</v>
      </c>
    </row>
    <row r="14119">
      <c r="A14119" s="4">
        <v>573.0</v>
      </c>
      <c r="B14119" s="4" t="s">
        <v>22113</v>
      </c>
      <c r="C14119" s="4"/>
      <c r="D14119" s="4" t="s">
        <v>2709</v>
      </c>
      <c r="E14119" s="4" t="s">
        <v>2710</v>
      </c>
      <c r="F14119" s="4" t="s">
        <v>2711</v>
      </c>
    </row>
    <row r="14120">
      <c r="A14120" s="4">
        <v>574.0</v>
      </c>
      <c r="B14120" s="4" t="s">
        <v>22113</v>
      </c>
      <c r="C14120" s="4"/>
      <c r="D14120" s="4" t="s">
        <v>21402</v>
      </c>
      <c r="E14120" s="4" t="s">
        <v>21403</v>
      </c>
      <c r="F14120" s="4" t="s">
        <v>21402</v>
      </c>
    </row>
    <row r="14121">
      <c r="A14121" s="4">
        <v>575.0</v>
      </c>
      <c r="B14121" s="4" t="s">
        <v>22113</v>
      </c>
      <c r="C14121" s="4"/>
      <c r="D14121" s="4" t="s">
        <v>16787</v>
      </c>
      <c r="E14121" s="4" t="s">
        <v>16786</v>
      </c>
      <c r="F14121" s="4" t="s">
        <v>16787</v>
      </c>
    </row>
    <row r="14122">
      <c r="A14122" s="4">
        <v>576.0</v>
      </c>
      <c r="B14122" s="4" t="s">
        <v>22113</v>
      </c>
      <c r="C14122" s="4"/>
      <c r="D14122" s="4" t="s">
        <v>21404</v>
      </c>
      <c r="E14122" s="4" t="s">
        <v>16786</v>
      </c>
      <c r="F14122" s="4" t="s">
        <v>16787</v>
      </c>
    </row>
    <row r="14123">
      <c r="A14123" s="4">
        <v>577.0</v>
      </c>
      <c r="B14123" s="4" t="s">
        <v>22113</v>
      </c>
      <c r="C14123" s="4"/>
      <c r="D14123" s="4" t="s">
        <v>21405</v>
      </c>
      <c r="E14123" s="4" t="s">
        <v>21406</v>
      </c>
      <c r="F14123" s="4" t="s">
        <v>21407</v>
      </c>
    </row>
    <row r="14124">
      <c r="A14124" s="4">
        <v>578.0</v>
      </c>
      <c r="B14124" s="4" t="s">
        <v>22113</v>
      </c>
      <c r="C14124" s="4"/>
      <c r="D14124" s="4" t="s">
        <v>2786</v>
      </c>
      <c r="E14124" s="4" t="s">
        <v>2787</v>
      </c>
      <c r="F14124" s="4" t="s">
        <v>2786</v>
      </c>
      <c r="G14124" s="4"/>
      <c r="H14124" s="4" t="s">
        <v>2785</v>
      </c>
      <c r="I14124" s="4" t="s">
        <v>6237</v>
      </c>
    </row>
    <row r="14125">
      <c r="A14125" s="4">
        <v>579.0</v>
      </c>
      <c r="B14125" s="4" t="s">
        <v>22113</v>
      </c>
      <c r="C14125" s="4"/>
      <c r="D14125" s="4" t="s">
        <v>2788</v>
      </c>
      <c r="E14125" s="4" t="s">
        <v>2789</v>
      </c>
      <c r="F14125" s="4" t="s">
        <v>2788</v>
      </c>
    </row>
    <row r="14126">
      <c r="A14126" s="4">
        <v>580.0</v>
      </c>
      <c r="B14126" s="4" t="s">
        <v>22113</v>
      </c>
      <c r="C14126" s="4"/>
      <c r="D14126" s="4" t="s">
        <v>21408</v>
      </c>
      <c r="E14126" s="4" t="s">
        <v>21409</v>
      </c>
      <c r="F14126" s="4" t="s">
        <v>21408</v>
      </c>
    </row>
    <row r="14127">
      <c r="A14127" s="4">
        <v>581.0</v>
      </c>
      <c r="B14127" s="4" t="s">
        <v>22113</v>
      </c>
      <c r="C14127" s="4"/>
      <c r="D14127" s="4" t="s">
        <v>21410</v>
      </c>
      <c r="E14127" s="4" t="s">
        <v>21411</v>
      </c>
      <c r="F14127" s="4" t="s">
        <v>21410</v>
      </c>
    </row>
    <row r="14128">
      <c r="A14128" s="4">
        <v>582.0</v>
      </c>
      <c r="B14128" s="4" t="s">
        <v>22113</v>
      </c>
      <c r="C14128" s="4"/>
      <c r="D14128" s="4" t="s">
        <v>21412</v>
      </c>
      <c r="E14128" s="4" t="s">
        <v>21413</v>
      </c>
      <c r="F14128" s="4" t="s">
        <v>21412</v>
      </c>
    </row>
    <row r="14129">
      <c r="A14129" s="4">
        <v>583.0</v>
      </c>
      <c r="B14129" s="4" t="s">
        <v>22113</v>
      </c>
      <c r="C14129" s="4"/>
      <c r="D14129" s="4" t="s">
        <v>21414</v>
      </c>
      <c r="E14129" s="4" t="s">
        <v>2787</v>
      </c>
      <c r="F14129" s="4" t="s">
        <v>2786</v>
      </c>
    </row>
    <row r="14130">
      <c r="A14130" s="4">
        <v>584.0</v>
      </c>
      <c r="B14130" s="4" t="s">
        <v>22113</v>
      </c>
      <c r="C14130" s="4"/>
      <c r="D14130" s="4" t="s">
        <v>19237</v>
      </c>
      <c r="E14130" s="4" t="s">
        <v>19238</v>
      </c>
      <c r="F14130" s="4" t="s">
        <v>19237</v>
      </c>
    </row>
    <row r="14131">
      <c r="A14131" s="4">
        <v>585.0</v>
      </c>
      <c r="B14131" s="4" t="s">
        <v>22113</v>
      </c>
      <c r="C14131" s="4"/>
      <c r="D14131" s="4" t="s">
        <v>2833</v>
      </c>
      <c r="E14131" s="4" t="s">
        <v>2834</v>
      </c>
      <c r="F14131" s="4" t="s">
        <v>2833</v>
      </c>
    </row>
    <row r="14132">
      <c r="A14132" s="4">
        <v>586.0</v>
      </c>
      <c r="B14132" s="4" t="s">
        <v>22113</v>
      </c>
      <c r="C14132" s="4"/>
      <c r="D14132" s="4" t="s">
        <v>2743</v>
      </c>
      <c r="E14132" s="4" t="s">
        <v>2742</v>
      </c>
      <c r="F14132" s="4" t="s">
        <v>2743</v>
      </c>
      <c r="G14132" s="4"/>
      <c r="H14132" s="4" t="s">
        <v>2743</v>
      </c>
    </row>
    <row r="14133">
      <c r="A14133" s="4">
        <v>587.0</v>
      </c>
      <c r="B14133" s="4" t="s">
        <v>22113</v>
      </c>
      <c r="C14133" s="4"/>
      <c r="D14133" s="4" t="s">
        <v>2841</v>
      </c>
      <c r="E14133" s="4" t="s">
        <v>2844</v>
      </c>
      <c r="F14133" s="4" t="s">
        <v>2841</v>
      </c>
    </row>
    <row r="14134">
      <c r="A14134" s="4">
        <v>588.0</v>
      </c>
      <c r="B14134" s="4" t="s">
        <v>22113</v>
      </c>
      <c r="C14134" s="4"/>
      <c r="D14134" s="4" t="s">
        <v>13003</v>
      </c>
      <c r="E14134" s="4" t="s">
        <v>13002</v>
      </c>
      <c r="F14134" s="4" t="s">
        <v>13003</v>
      </c>
      <c r="G14134" s="4"/>
      <c r="H14134" s="4" t="s">
        <v>16434</v>
      </c>
    </row>
    <row r="14135">
      <c r="A14135" s="4">
        <v>589.0</v>
      </c>
      <c r="B14135" s="4" t="s">
        <v>22113</v>
      </c>
      <c r="C14135" s="4"/>
      <c r="D14135" s="4" t="s">
        <v>2847</v>
      </c>
      <c r="E14135" s="4" t="s">
        <v>2846</v>
      </c>
      <c r="F14135" s="4" t="s">
        <v>2847</v>
      </c>
      <c r="G14135" s="4"/>
      <c r="H14135" s="4" t="s">
        <v>21415</v>
      </c>
      <c r="I14135" s="4" t="s">
        <v>21416</v>
      </c>
    </row>
    <row r="14136">
      <c r="A14136" s="4">
        <v>590.0</v>
      </c>
      <c r="B14136" s="4" t="s">
        <v>22113</v>
      </c>
      <c r="C14136" s="4"/>
      <c r="D14136" s="4" t="s">
        <v>21417</v>
      </c>
      <c r="E14136" s="4" t="s">
        <v>21418</v>
      </c>
      <c r="F14136" s="4" t="s">
        <v>21417</v>
      </c>
    </row>
    <row r="14137">
      <c r="A14137" s="4">
        <v>591.0</v>
      </c>
      <c r="B14137" s="4" t="s">
        <v>22113</v>
      </c>
      <c r="C14137" s="4"/>
      <c r="D14137" s="4" t="s">
        <v>21419</v>
      </c>
      <c r="E14137" s="4" t="s">
        <v>21420</v>
      </c>
      <c r="F14137" s="4" t="s">
        <v>21421</v>
      </c>
      <c r="G14137" s="4"/>
      <c r="H14137" s="4" t="s">
        <v>21419</v>
      </c>
      <c r="I14137" s="4" t="s">
        <v>21419</v>
      </c>
      <c r="J14137" s="4" t="s">
        <v>11145</v>
      </c>
    </row>
    <row r="14138">
      <c r="A14138" s="4">
        <v>592.0</v>
      </c>
      <c r="B14138" s="4" t="s">
        <v>22113</v>
      </c>
      <c r="C14138" s="4"/>
      <c r="D14138" s="4" t="s">
        <v>2848</v>
      </c>
      <c r="E14138" s="4" t="s">
        <v>2852</v>
      </c>
      <c r="F14138" s="4" t="s">
        <v>2848</v>
      </c>
    </row>
    <row r="14139">
      <c r="A14139" s="4">
        <v>593.0</v>
      </c>
      <c r="B14139" s="4" t="s">
        <v>22113</v>
      </c>
      <c r="C14139" s="4"/>
      <c r="D14139" s="4" t="s">
        <v>21422</v>
      </c>
      <c r="E14139" s="4" t="s">
        <v>21423</v>
      </c>
      <c r="F14139" s="4" t="s">
        <v>21422</v>
      </c>
      <c r="G14139" s="4"/>
      <c r="H14139" s="4" t="s">
        <v>20758</v>
      </c>
      <c r="I14139" s="4" t="s">
        <v>20759</v>
      </c>
      <c r="J14139" s="4" t="s">
        <v>20760</v>
      </c>
      <c r="K14139" s="4" t="s">
        <v>20761</v>
      </c>
      <c r="L14139" s="4" t="s">
        <v>20762</v>
      </c>
      <c r="M14139" s="4" t="s">
        <v>20763</v>
      </c>
      <c r="N14139" s="4" t="s">
        <v>6078</v>
      </c>
      <c r="O14139" s="4" t="s">
        <v>11747</v>
      </c>
      <c r="P14139" s="4" t="s">
        <v>11748</v>
      </c>
      <c r="Q14139" s="4" t="s">
        <v>854</v>
      </c>
    </row>
    <row r="14140">
      <c r="A14140" s="4">
        <v>594.0</v>
      </c>
      <c r="B14140" s="4" t="s">
        <v>22113</v>
      </c>
      <c r="C14140" s="4"/>
      <c r="D14140" s="4" t="s">
        <v>21424</v>
      </c>
      <c r="E14140" s="4" t="s">
        <v>21425</v>
      </c>
      <c r="F14140" s="4" t="s">
        <v>21424</v>
      </c>
    </row>
    <row r="14141">
      <c r="A14141" s="4">
        <v>595.0</v>
      </c>
      <c r="B14141" s="4" t="s">
        <v>22113</v>
      </c>
      <c r="C14141" s="4"/>
      <c r="D14141" s="4" t="s">
        <v>21426</v>
      </c>
      <c r="E14141" s="4" t="s">
        <v>21427</v>
      </c>
      <c r="F14141" s="4" t="s">
        <v>21426</v>
      </c>
    </row>
    <row r="14142">
      <c r="A14142" s="4">
        <v>596.0</v>
      </c>
      <c r="B14142" s="4" t="s">
        <v>22113</v>
      </c>
      <c r="C14142" s="4"/>
      <c r="D14142" s="4" t="s">
        <v>21428</v>
      </c>
      <c r="E14142" s="4" t="s">
        <v>2863</v>
      </c>
      <c r="F14142" s="4" t="s">
        <v>2864</v>
      </c>
    </row>
    <row r="14143">
      <c r="A14143" s="4">
        <v>597.0</v>
      </c>
      <c r="B14143" s="4" t="s">
        <v>22113</v>
      </c>
      <c r="C14143" s="4"/>
      <c r="D14143" s="4" t="s">
        <v>21429</v>
      </c>
      <c r="E14143" s="4" t="s">
        <v>21430</v>
      </c>
      <c r="F14143" s="4" t="s">
        <v>21431</v>
      </c>
    </row>
    <row r="14144">
      <c r="A14144" s="4">
        <v>598.0</v>
      </c>
      <c r="B14144" s="4" t="s">
        <v>22113</v>
      </c>
      <c r="C14144" s="4"/>
      <c r="D14144" s="4" t="s">
        <v>19243</v>
      </c>
      <c r="E14144" s="4" t="s">
        <v>2872</v>
      </c>
      <c r="F14144" s="4" t="s">
        <v>2873</v>
      </c>
      <c r="G14144" s="4"/>
      <c r="H14144" s="4" t="s">
        <v>1301</v>
      </c>
      <c r="I14144" s="4" t="s">
        <v>19244</v>
      </c>
      <c r="J14144" s="4" t="s">
        <v>19245</v>
      </c>
      <c r="K14144" s="4" t="s">
        <v>2874</v>
      </c>
      <c r="L14144" s="4" t="s">
        <v>19246</v>
      </c>
      <c r="M14144" s="4" t="s">
        <v>2874</v>
      </c>
      <c r="N14144" s="4" t="s">
        <v>2874</v>
      </c>
      <c r="O14144" s="4" t="s">
        <v>2875</v>
      </c>
      <c r="P14144" s="4" t="s">
        <v>2874</v>
      </c>
    </row>
    <row r="14145">
      <c r="A14145" s="4">
        <v>599.0</v>
      </c>
      <c r="B14145" s="4" t="s">
        <v>22113</v>
      </c>
      <c r="C14145" s="4"/>
      <c r="D14145" s="4" t="s">
        <v>21432</v>
      </c>
      <c r="E14145" s="4" t="s">
        <v>338</v>
      </c>
      <c r="F14145" s="4" t="s">
        <v>339</v>
      </c>
    </row>
    <row r="14146">
      <c r="A14146" s="4">
        <v>600.0</v>
      </c>
      <c r="B14146" s="4" t="s">
        <v>22113</v>
      </c>
      <c r="C14146" s="4"/>
      <c r="D14146" s="4" t="s">
        <v>21433</v>
      </c>
      <c r="E14146" s="4" t="s">
        <v>341</v>
      </c>
      <c r="F14146" s="4" t="s">
        <v>342</v>
      </c>
    </row>
    <row r="14147">
      <c r="A14147" s="4">
        <v>601.0</v>
      </c>
      <c r="B14147" s="4" t="s">
        <v>22113</v>
      </c>
      <c r="C14147" s="4"/>
      <c r="D14147" s="4" t="s">
        <v>2879</v>
      </c>
      <c r="E14147" s="4" t="s">
        <v>2880</v>
      </c>
      <c r="F14147" s="4" t="s">
        <v>2881</v>
      </c>
      <c r="G14147" s="4"/>
      <c r="H14147" s="4" t="s">
        <v>2886</v>
      </c>
      <c r="I14147" s="4" t="s">
        <v>2887</v>
      </c>
    </row>
    <row r="14148">
      <c r="A14148" s="4">
        <v>602.0</v>
      </c>
      <c r="B14148" s="4" t="s">
        <v>22113</v>
      </c>
      <c r="C14148" s="4"/>
      <c r="D14148" s="4" t="s">
        <v>21434</v>
      </c>
      <c r="E14148" s="4" t="s">
        <v>21435</v>
      </c>
      <c r="F14148" s="4" t="s">
        <v>21436</v>
      </c>
    </row>
    <row r="14149">
      <c r="A14149" s="4">
        <v>603.0</v>
      </c>
      <c r="B14149" s="4" t="s">
        <v>22113</v>
      </c>
      <c r="C14149" s="4"/>
      <c r="D14149" s="4" t="s">
        <v>2902</v>
      </c>
      <c r="E14149" s="4" t="s">
        <v>2903</v>
      </c>
      <c r="F14149" s="4" t="s">
        <v>2904</v>
      </c>
    </row>
    <row r="14150">
      <c r="A14150" s="4">
        <v>604.0</v>
      </c>
      <c r="B14150" s="4" t="s">
        <v>22113</v>
      </c>
      <c r="C14150" s="4"/>
      <c r="D14150" s="4" t="s">
        <v>21437</v>
      </c>
      <c r="E14150" s="4" t="s">
        <v>21438</v>
      </c>
      <c r="F14150" s="4" t="s">
        <v>21439</v>
      </c>
    </row>
    <row r="14151">
      <c r="A14151" s="4">
        <v>605.0</v>
      </c>
      <c r="B14151" s="4" t="s">
        <v>22113</v>
      </c>
      <c r="C14151" s="4"/>
      <c r="D14151" s="4" t="s">
        <v>21440</v>
      </c>
      <c r="E14151" s="4" t="s">
        <v>21441</v>
      </c>
      <c r="F14151" s="4" t="s">
        <v>2897</v>
      </c>
    </row>
    <row r="14152">
      <c r="A14152" s="4">
        <v>606.0</v>
      </c>
      <c r="B14152" s="4" t="s">
        <v>22113</v>
      </c>
      <c r="C14152" s="4"/>
      <c r="D14152" s="4" t="s">
        <v>21442</v>
      </c>
      <c r="E14152" s="4" t="s">
        <v>2812</v>
      </c>
      <c r="F14152" s="4" t="s">
        <v>2813</v>
      </c>
    </row>
    <row r="14153">
      <c r="A14153" s="4">
        <v>607.0</v>
      </c>
      <c r="B14153" s="4" t="s">
        <v>22113</v>
      </c>
      <c r="C14153" s="4"/>
      <c r="D14153" s="4" t="s">
        <v>21443</v>
      </c>
      <c r="E14153" s="4" t="s">
        <v>21444</v>
      </c>
      <c r="F14153" s="4" t="s">
        <v>21445</v>
      </c>
      <c r="G14153" s="4"/>
      <c r="H14153" s="4" t="s">
        <v>4849</v>
      </c>
      <c r="I14153" s="4" t="s">
        <v>4849</v>
      </c>
      <c r="J14153" s="4" t="s">
        <v>21446</v>
      </c>
      <c r="K14153" s="4" t="s">
        <v>4849</v>
      </c>
    </row>
    <row r="14154">
      <c r="A14154" s="4">
        <v>608.0</v>
      </c>
      <c r="B14154" s="4" t="s">
        <v>22113</v>
      </c>
      <c r="C14154" s="4"/>
      <c r="D14154" s="4" t="s">
        <v>16802</v>
      </c>
      <c r="E14154" s="4" t="s">
        <v>16803</v>
      </c>
      <c r="F14154" s="4" t="s">
        <v>16804</v>
      </c>
    </row>
    <row r="14155">
      <c r="A14155" s="4">
        <v>609.0</v>
      </c>
      <c r="B14155" s="4" t="s">
        <v>22113</v>
      </c>
      <c r="C14155" s="4"/>
      <c r="D14155" s="4" t="s">
        <v>21447</v>
      </c>
      <c r="E14155" s="4" t="s">
        <v>18340</v>
      </c>
      <c r="F14155" s="4" t="s">
        <v>18341</v>
      </c>
    </row>
    <row r="14156">
      <c r="A14156" s="4">
        <v>610.0</v>
      </c>
      <c r="B14156" s="4" t="s">
        <v>22113</v>
      </c>
      <c r="C14156" s="4"/>
      <c r="D14156" s="4" t="s">
        <v>21448</v>
      </c>
      <c r="E14156" s="4" t="s">
        <v>21449</v>
      </c>
      <c r="F14156" s="4" t="s">
        <v>21450</v>
      </c>
    </row>
    <row r="14157">
      <c r="A14157" s="4">
        <v>611.0</v>
      </c>
      <c r="B14157" s="4" t="s">
        <v>22113</v>
      </c>
      <c r="C14157" s="4"/>
      <c r="D14157" s="4" t="s">
        <v>21451</v>
      </c>
      <c r="E14157" s="4" t="s">
        <v>21452</v>
      </c>
      <c r="F14157" s="4" t="s">
        <v>21453</v>
      </c>
    </row>
    <row r="14158">
      <c r="A14158" s="4">
        <v>612.0</v>
      </c>
      <c r="B14158" s="4" t="s">
        <v>22113</v>
      </c>
      <c r="C14158" s="4"/>
      <c r="D14158" s="4" t="s">
        <v>2923</v>
      </c>
      <c r="E14158" s="4" t="s">
        <v>2924</v>
      </c>
      <c r="F14158" s="4" t="s">
        <v>2923</v>
      </c>
      <c r="G14158" s="4"/>
      <c r="H14158" s="4" t="s">
        <v>1878</v>
      </c>
      <c r="I14158" s="4" t="s">
        <v>1879</v>
      </c>
      <c r="J14158" s="4" t="s">
        <v>1880</v>
      </c>
      <c r="K14158" s="4" t="s">
        <v>1881</v>
      </c>
      <c r="L14158" s="4" t="s">
        <v>1882</v>
      </c>
      <c r="N14158" s="4" t="s">
        <v>1883</v>
      </c>
    </row>
    <row r="14159">
      <c r="A14159" s="4">
        <v>613.0</v>
      </c>
      <c r="B14159" s="4" t="s">
        <v>22113</v>
      </c>
      <c r="C14159" s="4"/>
      <c r="D14159" s="4" t="s">
        <v>13051</v>
      </c>
      <c r="E14159" s="4" t="s">
        <v>15274</v>
      </c>
      <c r="F14159" s="4" t="s">
        <v>13051</v>
      </c>
    </row>
    <row r="14160">
      <c r="A14160" s="4">
        <v>614.0</v>
      </c>
      <c r="B14160" s="4" t="s">
        <v>22113</v>
      </c>
      <c r="C14160" s="4"/>
      <c r="D14160" s="4" t="s">
        <v>19266</v>
      </c>
      <c r="E14160" s="4" t="s">
        <v>19267</v>
      </c>
      <c r="F14160" s="4" t="s">
        <v>19266</v>
      </c>
      <c r="G14160" s="4"/>
      <c r="H14160" s="4" t="s">
        <v>19268</v>
      </c>
      <c r="I14160" s="4" t="s">
        <v>19269</v>
      </c>
    </row>
    <row r="14161">
      <c r="A14161" s="4">
        <v>615.0</v>
      </c>
      <c r="B14161" s="4" t="s">
        <v>22113</v>
      </c>
      <c r="C14161" s="4"/>
      <c r="D14161" s="4" t="s">
        <v>21454</v>
      </c>
      <c r="E14161" s="4" t="s">
        <v>21455</v>
      </c>
      <c r="F14161" s="4" t="s">
        <v>21454</v>
      </c>
    </row>
    <row r="14162">
      <c r="A14162" s="4">
        <v>616.0</v>
      </c>
      <c r="B14162" s="4" t="s">
        <v>22113</v>
      </c>
      <c r="C14162" s="4"/>
      <c r="D14162" s="4" t="s">
        <v>21456</v>
      </c>
      <c r="E14162" s="4" t="s">
        <v>21457</v>
      </c>
      <c r="F14162" s="4" t="s">
        <v>21456</v>
      </c>
      <c r="G14162" s="4"/>
      <c r="H14162" s="4" t="s">
        <v>21458</v>
      </c>
      <c r="I14162" s="4" t="s">
        <v>21456</v>
      </c>
      <c r="J14162" s="4" t="s">
        <v>21459</v>
      </c>
    </row>
    <row r="14163">
      <c r="A14163" s="4">
        <v>617.0</v>
      </c>
      <c r="B14163" s="4" t="s">
        <v>22113</v>
      </c>
      <c r="C14163" s="4"/>
      <c r="D14163" s="4" t="s">
        <v>2935</v>
      </c>
      <c r="E14163" s="4" t="s">
        <v>2936</v>
      </c>
      <c r="F14163" s="4" t="s">
        <v>2935</v>
      </c>
    </row>
    <row r="14164">
      <c r="A14164" s="4">
        <v>618.0</v>
      </c>
      <c r="B14164" s="4" t="s">
        <v>22113</v>
      </c>
      <c r="C14164" s="4"/>
      <c r="D14164" s="4" t="s">
        <v>2938</v>
      </c>
      <c r="E14164" s="4" t="s">
        <v>2939</v>
      </c>
      <c r="F14164" s="4" t="s">
        <v>2938</v>
      </c>
      <c r="G14164" s="4"/>
      <c r="H14164" s="4" t="s">
        <v>2940</v>
      </c>
      <c r="I14164" s="4" t="s">
        <v>2941</v>
      </c>
    </row>
    <row r="14165">
      <c r="A14165" s="4">
        <v>619.0</v>
      </c>
      <c r="B14165" s="4" t="s">
        <v>22113</v>
      </c>
      <c r="C14165" s="4"/>
      <c r="D14165" s="4" t="s">
        <v>21460</v>
      </c>
      <c r="E14165" s="4" t="s">
        <v>21461</v>
      </c>
      <c r="F14165" s="4" t="s">
        <v>21460</v>
      </c>
    </row>
    <row r="14166">
      <c r="A14166" s="4">
        <v>620.0</v>
      </c>
      <c r="B14166" s="4" t="s">
        <v>22113</v>
      </c>
      <c r="C14166" s="4"/>
      <c r="D14166" s="4" t="s">
        <v>2947</v>
      </c>
      <c r="E14166" s="4" t="s">
        <v>2948</v>
      </c>
      <c r="F14166" s="4" t="s">
        <v>2947</v>
      </c>
    </row>
    <row r="14167">
      <c r="A14167" s="4">
        <v>621.0</v>
      </c>
      <c r="B14167" s="4" t="s">
        <v>22113</v>
      </c>
      <c r="C14167" s="4"/>
      <c r="D14167" s="4" t="s">
        <v>2959</v>
      </c>
      <c r="E14167" s="4" t="s">
        <v>2960</v>
      </c>
      <c r="F14167" s="4" t="s">
        <v>2959</v>
      </c>
      <c r="G14167" s="4"/>
      <c r="H14167" s="4" t="s">
        <v>2961</v>
      </c>
      <c r="I14167" s="4" t="s">
        <v>2962</v>
      </c>
      <c r="J14167" s="4" t="s">
        <v>2959</v>
      </c>
      <c r="K14167" s="4" t="s">
        <v>2963</v>
      </c>
      <c r="L14167" s="4" t="s">
        <v>2964</v>
      </c>
      <c r="M14167" s="4" t="s">
        <v>2965</v>
      </c>
      <c r="N14167" s="4" t="s">
        <v>2966</v>
      </c>
      <c r="O14167" s="4" t="s">
        <v>2967</v>
      </c>
      <c r="P14167" s="4" t="s">
        <v>2968</v>
      </c>
      <c r="Q14167" s="4" t="s">
        <v>2969</v>
      </c>
      <c r="R14167" s="4" t="s">
        <v>2959</v>
      </c>
      <c r="S14167" s="4" t="s">
        <v>2959</v>
      </c>
      <c r="T14167" s="4" t="s">
        <v>2959</v>
      </c>
      <c r="U14167" s="4" t="s">
        <v>2959</v>
      </c>
      <c r="V14167" s="4" t="s">
        <v>2959</v>
      </c>
      <c r="W14167" s="4" t="s">
        <v>2959</v>
      </c>
      <c r="X14167" s="4" t="s">
        <v>2959</v>
      </c>
      <c r="Y14167" s="4" t="s">
        <v>2963</v>
      </c>
      <c r="Z14167" s="4" t="s">
        <v>2970</v>
      </c>
      <c r="AA14167" s="4" t="s">
        <v>15591</v>
      </c>
    </row>
    <row r="14168">
      <c r="A14168" s="4">
        <v>622.0</v>
      </c>
      <c r="B14168" s="4" t="s">
        <v>22113</v>
      </c>
      <c r="C14168" s="4"/>
      <c r="D14168" s="4" t="s">
        <v>21462</v>
      </c>
      <c r="E14168" s="4" t="s">
        <v>21461</v>
      </c>
      <c r="F14168" s="4" t="s">
        <v>21460</v>
      </c>
    </row>
    <row r="14169">
      <c r="A14169" s="4">
        <v>623.0</v>
      </c>
      <c r="B14169" s="4" t="s">
        <v>22113</v>
      </c>
      <c r="C14169" s="4"/>
      <c r="D14169" s="4" t="s">
        <v>389</v>
      </c>
      <c r="E14169" s="4" t="s">
        <v>388</v>
      </c>
      <c r="F14169" s="4" t="s">
        <v>389</v>
      </c>
    </row>
    <row r="14170">
      <c r="A14170" s="4">
        <v>624.0</v>
      </c>
      <c r="B14170" s="4" t="s">
        <v>22113</v>
      </c>
      <c r="C14170" s="4"/>
      <c r="D14170" s="4" t="s">
        <v>6994</v>
      </c>
      <c r="E14170" s="4" t="s">
        <v>13093</v>
      </c>
      <c r="F14170" s="4" t="s">
        <v>6994</v>
      </c>
    </row>
    <row r="14171">
      <c r="A14171" s="4">
        <v>625.0</v>
      </c>
      <c r="B14171" s="4" t="s">
        <v>22113</v>
      </c>
      <c r="C14171" s="4"/>
      <c r="D14171" s="4" t="s">
        <v>21463</v>
      </c>
      <c r="E14171" s="4" t="s">
        <v>21464</v>
      </c>
      <c r="F14171" s="4" t="s">
        <v>21463</v>
      </c>
      <c r="G14171" s="4"/>
      <c r="H14171" s="4" t="s">
        <v>4701</v>
      </c>
      <c r="I14171" s="4" t="s">
        <v>2283</v>
      </c>
      <c r="J14171" s="4" t="s">
        <v>21465</v>
      </c>
      <c r="K14171" s="4" t="s">
        <v>6861</v>
      </c>
      <c r="L14171" s="4" t="s">
        <v>21466</v>
      </c>
      <c r="M14171" s="4" t="s">
        <v>6861</v>
      </c>
      <c r="N14171" s="4" t="s">
        <v>2709</v>
      </c>
      <c r="O14171" s="4" t="s">
        <v>6862</v>
      </c>
      <c r="P14171" s="4" t="s">
        <v>6863</v>
      </c>
      <c r="Q14171" s="4" t="s">
        <v>6864</v>
      </c>
      <c r="R14171" s="4" t="s">
        <v>6865</v>
      </c>
      <c r="S14171" s="4" t="s">
        <v>6581</v>
      </c>
      <c r="T14171" s="4" t="s">
        <v>6582</v>
      </c>
      <c r="U14171" s="4" t="s">
        <v>6583</v>
      </c>
      <c r="V14171" s="4" t="s">
        <v>6584</v>
      </c>
    </row>
    <row r="14172">
      <c r="A14172" s="4">
        <v>626.0</v>
      </c>
      <c r="B14172" s="4" t="s">
        <v>22113</v>
      </c>
      <c r="C14172" s="4"/>
      <c r="D14172" s="4" t="s">
        <v>3037</v>
      </c>
      <c r="E14172" s="4" t="s">
        <v>3038</v>
      </c>
      <c r="F14172" s="4" t="s">
        <v>3039</v>
      </c>
      <c r="G14172" s="4"/>
      <c r="H14172" s="4" t="s">
        <v>3040</v>
      </c>
      <c r="I14172" s="4" t="s">
        <v>3041</v>
      </c>
      <c r="J14172" s="4" t="s">
        <v>3042</v>
      </c>
    </row>
    <row r="14173">
      <c r="A14173" s="4">
        <v>627.0</v>
      </c>
      <c r="B14173" s="4" t="s">
        <v>22113</v>
      </c>
      <c r="C14173" s="4"/>
      <c r="D14173" s="4" t="s">
        <v>21467</v>
      </c>
      <c r="E14173" s="4" t="s">
        <v>388</v>
      </c>
      <c r="F14173" s="4" t="s">
        <v>389</v>
      </c>
      <c r="G14173" s="4"/>
      <c r="H14173" s="4" t="s">
        <v>21468</v>
      </c>
      <c r="I14173" s="4" t="s">
        <v>21469</v>
      </c>
      <c r="J14173" s="4" t="s">
        <v>21470</v>
      </c>
      <c r="K14173" s="4" t="s">
        <v>21471</v>
      </c>
    </row>
    <row r="14174">
      <c r="A14174" s="4">
        <v>628.0</v>
      </c>
      <c r="B14174" s="4" t="s">
        <v>22113</v>
      </c>
      <c r="C14174" s="4"/>
      <c r="D14174" s="4" t="s">
        <v>21472</v>
      </c>
      <c r="E14174" s="4" t="s">
        <v>373</v>
      </c>
      <c r="F14174" s="4" t="s">
        <v>374</v>
      </c>
    </row>
    <row r="14175">
      <c r="A14175" s="4">
        <v>629.0</v>
      </c>
      <c r="B14175" s="4" t="s">
        <v>22113</v>
      </c>
      <c r="C14175" s="4"/>
      <c r="D14175" s="4" t="s">
        <v>21473</v>
      </c>
      <c r="E14175" s="4" t="s">
        <v>21474</v>
      </c>
      <c r="F14175" s="4" t="s">
        <v>21475</v>
      </c>
      <c r="G14175" s="4"/>
      <c r="H14175" s="4" t="s">
        <v>21476</v>
      </c>
      <c r="I14175" s="4" t="s">
        <v>21477</v>
      </c>
    </row>
    <row r="14176">
      <c r="A14176" s="4">
        <v>630.0</v>
      </c>
      <c r="B14176" s="4" t="s">
        <v>22113</v>
      </c>
      <c r="C14176" s="4"/>
      <c r="D14176" s="4" t="s">
        <v>21478</v>
      </c>
      <c r="E14176" s="4" t="s">
        <v>21479</v>
      </c>
      <c r="F14176" s="4" t="s">
        <v>21480</v>
      </c>
    </row>
    <row r="14177">
      <c r="A14177" s="4">
        <v>631.0</v>
      </c>
      <c r="B14177" s="4" t="s">
        <v>22113</v>
      </c>
      <c r="C14177" s="4"/>
      <c r="D14177" s="4" t="s">
        <v>21481</v>
      </c>
      <c r="E14177" s="4" t="s">
        <v>21482</v>
      </c>
      <c r="F14177" s="4" t="s">
        <v>21483</v>
      </c>
    </row>
    <row r="14178">
      <c r="A14178" s="4">
        <v>632.0</v>
      </c>
      <c r="B14178" s="4" t="s">
        <v>22113</v>
      </c>
      <c r="C14178" s="4"/>
      <c r="D14178" s="4" t="s">
        <v>3147</v>
      </c>
      <c r="E14178" s="4" t="s">
        <v>3148</v>
      </c>
      <c r="F14178" s="4" t="s">
        <v>3147</v>
      </c>
      <c r="G14178" s="4"/>
      <c r="H14178" s="4" t="s">
        <v>21484</v>
      </c>
      <c r="I14178" s="4" t="s">
        <v>21485</v>
      </c>
      <c r="J14178" s="4" t="s">
        <v>21486</v>
      </c>
    </row>
    <row r="14179">
      <c r="A14179" s="4">
        <v>633.0</v>
      </c>
      <c r="B14179" s="4" t="s">
        <v>22113</v>
      </c>
      <c r="C14179" s="4"/>
      <c r="D14179" s="4" t="s">
        <v>21487</v>
      </c>
      <c r="E14179" s="4" t="s">
        <v>3162</v>
      </c>
      <c r="F14179" s="4" t="s">
        <v>3161</v>
      </c>
    </row>
    <row r="14180">
      <c r="A14180" s="4">
        <v>634.0</v>
      </c>
      <c r="B14180" s="4" t="s">
        <v>22113</v>
      </c>
      <c r="C14180" s="4"/>
      <c r="D14180" s="4" t="s">
        <v>13144</v>
      </c>
      <c r="E14180" s="4" t="s">
        <v>13145</v>
      </c>
      <c r="F14180" s="4" t="s">
        <v>11055</v>
      </c>
    </row>
    <row r="14181">
      <c r="A14181" s="4">
        <v>635.0</v>
      </c>
      <c r="B14181" s="4" t="s">
        <v>22113</v>
      </c>
      <c r="C14181" s="4"/>
      <c r="D14181" s="4" t="s">
        <v>2543</v>
      </c>
      <c r="E14181" s="4" t="s">
        <v>391</v>
      </c>
      <c r="F14181" s="4" t="s">
        <v>392</v>
      </c>
    </row>
    <row r="14182">
      <c r="A14182" s="4">
        <v>636.0</v>
      </c>
      <c r="B14182" s="4" t="s">
        <v>22113</v>
      </c>
      <c r="C14182" s="4"/>
      <c r="D14182" s="4" t="s">
        <v>21488</v>
      </c>
      <c r="E14182" s="4" t="s">
        <v>21489</v>
      </c>
      <c r="F14182" s="4" t="s">
        <v>10884</v>
      </c>
    </row>
    <row r="14183">
      <c r="A14183" s="4">
        <v>637.0</v>
      </c>
      <c r="B14183" s="4" t="s">
        <v>22113</v>
      </c>
      <c r="C14183" s="4"/>
      <c r="D14183" s="4" t="s">
        <v>10843</v>
      </c>
      <c r="E14183" s="4" t="s">
        <v>18440</v>
      </c>
      <c r="F14183" s="4" t="s">
        <v>11055</v>
      </c>
      <c r="G14183" s="4"/>
      <c r="H14183" s="4" t="s">
        <v>21490</v>
      </c>
      <c r="I14183" s="4" t="s">
        <v>21491</v>
      </c>
      <c r="J14183" s="4" t="s">
        <v>21492</v>
      </c>
      <c r="K14183" s="4" t="s">
        <v>21493</v>
      </c>
      <c r="L14183" s="4" t="s">
        <v>3188</v>
      </c>
      <c r="M14183" s="4" t="s">
        <v>3189</v>
      </c>
      <c r="N14183" s="4" t="s">
        <v>3190</v>
      </c>
      <c r="O14183" s="4" t="s">
        <v>3191</v>
      </c>
      <c r="P14183" s="4" t="s">
        <v>3192</v>
      </c>
      <c r="Q14183" s="4" t="s">
        <v>3193</v>
      </c>
      <c r="R14183" s="4" t="s">
        <v>3194</v>
      </c>
      <c r="S14183" s="4" t="s">
        <v>3195</v>
      </c>
      <c r="T14183" s="4" t="s">
        <v>13166</v>
      </c>
      <c r="U14183" s="4" t="s">
        <v>13167</v>
      </c>
      <c r="V14183" s="4" t="s">
        <v>13168</v>
      </c>
      <c r="W14183" s="4" t="s">
        <v>1190</v>
      </c>
      <c r="X14183" s="4" t="s">
        <v>3196</v>
      </c>
      <c r="Y14183" s="4" t="s">
        <v>13169</v>
      </c>
      <c r="Z14183" s="4" t="s">
        <v>3196</v>
      </c>
      <c r="AA14183" s="4" t="s">
        <v>3197</v>
      </c>
    </row>
    <row r="14184">
      <c r="A14184" s="4">
        <v>638.0</v>
      </c>
      <c r="B14184" s="4" t="s">
        <v>22113</v>
      </c>
      <c r="C14184" s="4"/>
      <c r="D14184" s="4" t="s">
        <v>21494</v>
      </c>
      <c r="E14184" s="4" t="s">
        <v>21495</v>
      </c>
      <c r="F14184" s="4" t="s">
        <v>21496</v>
      </c>
    </row>
    <row r="14185">
      <c r="A14185" s="4">
        <v>639.0</v>
      </c>
      <c r="B14185" s="4" t="s">
        <v>22113</v>
      </c>
      <c r="C14185" s="4"/>
      <c r="D14185" s="4" t="s">
        <v>3173</v>
      </c>
      <c r="E14185" s="4" t="s">
        <v>3174</v>
      </c>
      <c r="F14185" s="4" t="s">
        <v>3173</v>
      </c>
      <c r="G14185" s="4"/>
      <c r="H14185" s="4" t="s">
        <v>13178</v>
      </c>
      <c r="I14185" s="4" t="s">
        <v>21497</v>
      </c>
    </row>
    <row r="14186">
      <c r="A14186" s="4">
        <v>640.0</v>
      </c>
      <c r="B14186" s="4" t="s">
        <v>22113</v>
      </c>
      <c r="C14186" s="4"/>
      <c r="D14186" s="4" t="s">
        <v>3177</v>
      </c>
      <c r="E14186" s="4" t="s">
        <v>3178</v>
      </c>
      <c r="F14186" s="4" t="s">
        <v>3177</v>
      </c>
      <c r="G14186" s="4"/>
      <c r="H14186" s="4" t="s">
        <v>3177</v>
      </c>
      <c r="I14186" s="4" t="s">
        <v>13173</v>
      </c>
      <c r="J14186" s="4" t="s">
        <v>13174</v>
      </c>
      <c r="K14186" s="4" t="s">
        <v>3177</v>
      </c>
      <c r="L14186" s="4" t="s">
        <v>13175</v>
      </c>
    </row>
    <row r="14187">
      <c r="A14187" s="4">
        <v>641.0</v>
      </c>
      <c r="B14187" s="4" t="s">
        <v>22113</v>
      </c>
      <c r="C14187" s="4"/>
      <c r="D14187" s="4" t="s">
        <v>3179</v>
      </c>
      <c r="E14187" s="4" t="s">
        <v>3180</v>
      </c>
      <c r="F14187" s="4" t="s">
        <v>3179</v>
      </c>
    </row>
    <row r="14188">
      <c r="A14188" s="4">
        <v>642.0</v>
      </c>
      <c r="B14188" s="4" t="s">
        <v>22113</v>
      </c>
      <c r="C14188" s="4"/>
      <c r="D14188" s="4" t="s">
        <v>21498</v>
      </c>
      <c r="E14188" s="4" t="s">
        <v>21499</v>
      </c>
      <c r="F14188" s="4" t="s">
        <v>21500</v>
      </c>
    </row>
    <row r="14189">
      <c r="A14189" s="4">
        <v>643.0</v>
      </c>
      <c r="B14189" s="4" t="s">
        <v>22113</v>
      </c>
      <c r="C14189" s="4"/>
      <c r="D14189" s="4" t="s">
        <v>21501</v>
      </c>
      <c r="E14189" s="4" t="s">
        <v>21502</v>
      </c>
      <c r="F14189" s="4" t="s">
        <v>21501</v>
      </c>
    </row>
    <row r="14190">
      <c r="A14190" s="4">
        <v>644.0</v>
      </c>
      <c r="B14190" s="4" t="s">
        <v>22113</v>
      </c>
      <c r="C14190" s="4"/>
      <c r="D14190" s="4" t="s">
        <v>7069</v>
      </c>
      <c r="E14190" s="4" t="s">
        <v>13195</v>
      </c>
      <c r="F14190" s="4" t="s">
        <v>7069</v>
      </c>
      <c r="G14190" s="4"/>
      <c r="H14190" s="4" t="s">
        <v>7072</v>
      </c>
      <c r="I14190" s="4" t="s">
        <v>7074</v>
      </c>
      <c r="J14190" s="4" t="s">
        <v>21503</v>
      </c>
      <c r="K14190" s="4" t="s">
        <v>21504</v>
      </c>
      <c r="L14190" s="4" t="s">
        <v>21505</v>
      </c>
      <c r="M14190" s="4" t="s">
        <v>3149</v>
      </c>
      <c r="N14190" s="4" t="s">
        <v>3150</v>
      </c>
      <c r="O14190" s="4" t="s">
        <v>3151</v>
      </c>
    </row>
    <row r="14191">
      <c r="A14191" s="4">
        <v>645.0</v>
      </c>
      <c r="B14191" s="4" t="s">
        <v>22113</v>
      </c>
      <c r="C14191" s="4"/>
      <c r="D14191" s="4" t="s">
        <v>13193</v>
      </c>
      <c r="E14191" s="4" t="s">
        <v>3264</v>
      </c>
      <c r="F14191" s="4" t="s">
        <v>3265</v>
      </c>
      <c r="G14191" s="4"/>
      <c r="H14191" s="4" t="s">
        <v>3268</v>
      </c>
      <c r="I14191" s="4" t="s">
        <v>3272</v>
      </c>
      <c r="J14191" s="4" t="s">
        <v>3273</v>
      </c>
      <c r="K14191" s="4" t="s">
        <v>3274</v>
      </c>
      <c r="L14191" s="4" t="s">
        <v>3275</v>
      </c>
    </row>
    <row r="14192">
      <c r="A14192" s="4">
        <v>646.0</v>
      </c>
      <c r="B14192" s="4" t="s">
        <v>22113</v>
      </c>
      <c r="C14192" s="4"/>
      <c r="D14192" s="4" t="s">
        <v>21506</v>
      </c>
      <c r="E14192" s="4" t="s">
        <v>21507</v>
      </c>
      <c r="F14192" s="4" t="s">
        <v>21508</v>
      </c>
    </row>
    <row r="14193">
      <c r="A14193" s="4">
        <v>647.0</v>
      </c>
      <c r="B14193" s="4" t="s">
        <v>22113</v>
      </c>
      <c r="C14193" s="4"/>
      <c r="D14193" s="4" t="s">
        <v>21509</v>
      </c>
      <c r="E14193" s="4" t="s">
        <v>21510</v>
      </c>
      <c r="F14193" s="4" t="s">
        <v>21511</v>
      </c>
      <c r="G14193" s="4"/>
      <c r="H14193" s="4" t="s">
        <v>21512</v>
      </c>
    </row>
    <row r="14194">
      <c r="A14194" s="4">
        <v>648.0</v>
      </c>
      <c r="B14194" s="4" t="s">
        <v>22113</v>
      </c>
      <c r="C14194" s="4"/>
      <c r="D14194" s="4" t="s">
        <v>3292</v>
      </c>
      <c r="E14194" s="4" t="s">
        <v>3293</v>
      </c>
      <c r="F14194" s="4" t="s">
        <v>3292</v>
      </c>
      <c r="G14194" s="4"/>
      <c r="H14194" s="4" t="s">
        <v>3294</v>
      </c>
      <c r="I14194" s="4" t="s">
        <v>3295</v>
      </c>
      <c r="J14194" s="4" t="s">
        <v>3296</v>
      </c>
      <c r="K14194" s="4" t="s">
        <v>3147</v>
      </c>
      <c r="L14194" s="4" t="s">
        <v>3292</v>
      </c>
      <c r="M14194" s="4" t="s">
        <v>3297</v>
      </c>
      <c r="N14194" s="4" t="s">
        <v>3298</v>
      </c>
      <c r="O14194" s="4" t="s">
        <v>3299</v>
      </c>
      <c r="P14194" s="4" t="s">
        <v>3300</v>
      </c>
      <c r="Q14194" s="4" t="s">
        <v>3301</v>
      </c>
      <c r="R14194" s="4" t="s">
        <v>3302</v>
      </c>
      <c r="S14194" s="4" t="s">
        <v>3303</v>
      </c>
      <c r="T14194" s="4" t="s">
        <v>3304</v>
      </c>
      <c r="U14194" s="4" t="s">
        <v>3305</v>
      </c>
      <c r="V14194" s="4" t="s">
        <v>3306</v>
      </c>
      <c r="W14194" s="4" t="s">
        <v>3307</v>
      </c>
      <c r="X14194" s="4" t="s">
        <v>3308</v>
      </c>
    </row>
    <row r="14195">
      <c r="A14195" s="4">
        <v>649.0</v>
      </c>
      <c r="B14195" s="4" t="s">
        <v>22113</v>
      </c>
      <c r="C14195" s="4"/>
      <c r="D14195" s="4" t="s">
        <v>16839</v>
      </c>
      <c r="E14195" s="4" t="s">
        <v>16840</v>
      </c>
      <c r="F14195" s="4" t="s">
        <v>16839</v>
      </c>
    </row>
    <row r="14196">
      <c r="A14196" s="4">
        <v>650.0</v>
      </c>
      <c r="B14196" s="4" t="s">
        <v>22113</v>
      </c>
      <c r="C14196" s="4"/>
      <c r="D14196" s="4" t="s">
        <v>21513</v>
      </c>
      <c r="E14196" s="4" t="s">
        <v>21514</v>
      </c>
      <c r="F14196" s="4" t="s">
        <v>21513</v>
      </c>
    </row>
    <row r="14197">
      <c r="A14197" s="4">
        <v>651.0</v>
      </c>
      <c r="B14197" s="4" t="s">
        <v>22113</v>
      </c>
      <c r="C14197" s="4"/>
      <c r="D14197" s="4" t="s">
        <v>21515</v>
      </c>
      <c r="E14197" s="4" t="s">
        <v>21516</v>
      </c>
      <c r="F14197" s="4" t="s">
        <v>21515</v>
      </c>
    </row>
    <row r="14198">
      <c r="A14198" s="4">
        <v>652.0</v>
      </c>
      <c r="B14198" s="4" t="s">
        <v>22113</v>
      </c>
      <c r="C14198" s="4"/>
      <c r="D14198" s="4" t="s">
        <v>7100</v>
      </c>
      <c r="E14198" s="4" t="s">
        <v>13216</v>
      </c>
      <c r="F14198" s="4" t="s">
        <v>7100</v>
      </c>
    </row>
    <row r="14199">
      <c r="A14199" s="4">
        <v>653.0</v>
      </c>
      <c r="B14199" s="4" t="s">
        <v>22113</v>
      </c>
      <c r="C14199" s="4"/>
      <c r="D14199" s="4" t="s">
        <v>21517</v>
      </c>
      <c r="E14199" s="4" t="s">
        <v>21518</v>
      </c>
      <c r="F14199" s="4" t="s">
        <v>21517</v>
      </c>
    </row>
    <row r="14200">
      <c r="A14200" s="4">
        <v>654.0</v>
      </c>
      <c r="B14200" s="4" t="s">
        <v>22113</v>
      </c>
      <c r="C14200" s="4"/>
      <c r="D14200" s="4" t="s">
        <v>21519</v>
      </c>
      <c r="E14200" s="4" t="s">
        <v>21520</v>
      </c>
      <c r="F14200" s="4" t="s">
        <v>21519</v>
      </c>
      <c r="G14200" s="4"/>
      <c r="H14200" s="4" t="s">
        <v>21521</v>
      </c>
      <c r="I14200" s="4" t="s">
        <v>21522</v>
      </c>
    </row>
    <row r="14201">
      <c r="A14201" s="4">
        <v>655.0</v>
      </c>
      <c r="B14201" s="4" t="s">
        <v>22113</v>
      </c>
      <c r="C14201" s="4"/>
      <c r="D14201" s="4" t="s">
        <v>21523</v>
      </c>
      <c r="E14201" s="4" t="s">
        <v>21524</v>
      </c>
      <c r="F14201" s="4" t="s">
        <v>21523</v>
      </c>
    </row>
    <row r="14202">
      <c r="A14202" s="4">
        <v>656.0</v>
      </c>
      <c r="B14202" s="4" t="s">
        <v>22113</v>
      </c>
      <c r="C14202" s="4"/>
      <c r="D14202" s="4" t="s">
        <v>5474</v>
      </c>
      <c r="E14202" s="4" t="s">
        <v>5473</v>
      </c>
      <c r="F14202" s="4" t="s">
        <v>5474</v>
      </c>
    </row>
    <row r="14203">
      <c r="A14203" s="4">
        <v>657.0</v>
      </c>
      <c r="B14203" s="4" t="s">
        <v>22113</v>
      </c>
      <c r="C14203" s="4"/>
      <c r="D14203" s="4" t="s">
        <v>21525</v>
      </c>
      <c r="E14203" s="4" t="s">
        <v>3293</v>
      </c>
      <c r="F14203" s="4" t="s">
        <v>3292</v>
      </c>
      <c r="G14203" s="4"/>
      <c r="H14203" s="4" t="s">
        <v>3294</v>
      </c>
      <c r="I14203" s="4" t="s">
        <v>3295</v>
      </c>
      <c r="J14203" s="4" t="s">
        <v>3296</v>
      </c>
      <c r="K14203" s="4" t="s">
        <v>3147</v>
      </c>
      <c r="L14203" s="4" t="s">
        <v>3292</v>
      </c>
      <c r="M14203" s="4" t="s">
        <v>3297</v>
      </c>
      <c r="N14203" s="4" t="s">
        <v>3298</v>
      </c>
      <c r="O14203" s="4" t="s">
        <v>3299</v>
      </c>
      <c r="P14203" s="4" t="s">
        <v>3300</v>
      </c>
      <c r="Q14203" s="4" t="s">
        <v>3301</v>
      </c>
    </row>
    <row r="14204">
      <c r="A14204" s="4">
        <v>658.0</v>
      </c>
      <c r="B14204" s="4" t="s">
        <v>22113</v>
      </c>
      <c r="C14204" s="4"/>
      <c r="D14204" s="4" t="s">
        <v>13491</v>
      </c>
      <c r="E14204" s="4" t="s">
        <v>21526</v>
      </c>
      <c r="F14204" s="4" t="s">
        <v>13491</v>
      </c>
      <c r="G14204" s="4"/>
      <c r="H14204" s="4" t="s">
        <v>15218</v>
      </c>
      <c r="I14204" s="4" t="s">
        <v>7722</v>
      </c>
      <c r="J14204" s="4" t="s">
        <v>12852</v>
      </c>
      <c r="K14204" s="4" t="s">
        <v>20817</v>
      </c>
      <c r="L14204" s="4" t="s">
        <v>11456</v>
      </c>
      <c r="M14204" s="4" t="s">
        <v>15396</v>
      </c>
      <c r="N14204" s="4" t="s">
        <v>1256</v>
      </c>
      <c r="O14204" s="4" t="s">
        <v>7722</v>
      </c>
      <c r="P14204" s="4" t="s">
        <v>15397</v>
      </c>
      <c r="Q14204" s="4" t="s">
        <v>15396</v>
      </c>
      <c r="R14204" s="4" t="s">
        <v>13491</v>
      </c>
      <c r="S14204" s="4" t="s">
        <v>20816</v>
      </c>
      <c r="T14204" s="4" t="s">
        <v>20817</v>
      </c>
      <c r="U14204" s="4" t="s">
        <v>21527</v>
      </c>
      <c r="V14204" s="4" t="s">
        <v>21528</v>
      </c>
      <c r="W14204" s="4" t="s">
        <v>11456</v>
      </c>
      <c r="X14204" s="4" t="s">
        <v>21529</v>
      </c>
      <c r="Y14204" s="4" t="s">
        <v>14579</v>
      </c>
      <c r="Z14204" s="4" t="s">
        <v>21530</v>
      </c>
      <c r="AA14204" s="4" t="s">
        <v>21531</v>
      </c>
      <c r="AB14204" s="4" t="s">
        <v>21532</v>
      </c>
      <c r="AC14204" s="4" t="s">
        <v>21533</v>
      </c>
      <c r="AD14204" s="4" t="s">
        <v>21534</v>
      </c>
      <c r="AE14204" s="4" t="s">
        <v>21535</v>
      </c>
      <c r="AF14204" s="4" t="s">
        <v>20816</v>
      </c>
    </row>
    <row r="14205">
      <c r="A14205" s="4">
        <v>659.0</v>
      </c>
      <c r="B14205" s="4" t="s">
        <v>22113</v>
      </c>
      <c r="C14205" s="4"/>
      <c r="D14205" s="4" t="s">
        <v>21536</v>
      </c>
      <c r="E14205" s="4" t="s">
        <v>21537</v>
      </c>
      <c r="F14205" s="4" t="s">
        <v>21536</v>
      </c>
    </row>
    <row r="14206">
      <c r="A14206" s="4">
        <v>660.0</v>
      </c>
      <c r="B14206" s="4" t="s">
        <v>22113</v>
      </c>
      <c r="C14206" s="4"/>
      <c r="D14206" s="4" t="s">
        <v>3328</v>
      </c>
      <c r="E14206" s="4" t="s">
        <v>3329</v>
      </c>
      <c r="F14206" s="4" t="s">
        <v>3330</v>
      </c>
    </row>
    <row r="14207">
      <c r="A14207" s="4">
        <v>661.0</v>
      </c>
      <c r="B14207" s="4" t="s">
        <v>22113</v>
      </c>
      <c r="C14207" s="4"/>
      <c r="D14207" s="4" t="s">
        <v>21538</v>
      </c>
      <c r="E14207" s="4" t="s">
        <v>21539</v>
      </c>
      <c r="F14207" s="4" t="s">
        <v>21540</v>
      </c>
    </row>
    <row r="14208">
      <c r="A14208" s="4">
        <v>662.0</v>
      </c>
      <c r="B14208" s="4" t="s">
        <v>22113</v>
      </c>
      <c r="C14208" s="4"/>
      <c r="D14208" s="4" t="s">
        <v>21541</v>
      </c>
      <c r="E14208" s="4" t="s">
        <v>21542</v>
      </c>
      <c r="F14208" s="4" t="s">
        <v>21541</v>
      </c>
    </row>
    <row r="14209">
      <c r="A14209" s="4">
        <v>663.0</v>
      </c>
      <c r="B14209" s="4" t="s">
        <v>22113</v>
      </c>
      <c r="C14209" s="4"/>
      <c r="D14209" s="4" t="s">
        <v>21543</v>
      </c>
      <c r="E14209" s="4" t="s">
        <v>21544</v>
      </c>
      <c r="F14209" s="4" t="s">
        <v>21543</v>
      </c>
      <c r="G14209" s="4"/>
      <c r="H14209" s="4" t="s">
        <v>21545</v>
      </c>
      <c r="I14209" s="4" t="s">
        <v>21546</v>
      </c>
      <c r="J14209" s="4" t="s">
        <v>21547</v>
      </c>
      <c r="K14209" s="4" t="s">
        <v>21548</v>
      </c>
      <c r="L14209" s="4" t="s">
        <v>21549</v>
      </c>
    </row>
    <row r="14210">
      <c r="A14210" s="4">
        <v>664.0</v>
      </c>
      <c r="B14210" s="4" t="s">
        <v>22113</v>
      </c>
      <c r="C14210" s="4"/>
      <c r="D14210" s="4" t="s">
        <v>21550</v>
      </c>
      <c r="E14210" s="4" t="s">
        <v>21551</v>
      </c>
      <c r="F14210" s="4" t="s">
        <v>21550</v>
      </c>
    </row>
    <row r="14211">
      <c r="A14211" s="4">
        <v>665.0</v>
      </c>
      <c r="B14211" s="4" t="s">
        <v>22113</v>
      </c>
      <c r="C14211" s="4"/>
      <c r="D14211" s="4" t="s">
        <v>21552</v>
      </c>
      <c r="E14211" s="4" t="s">
        <v>21553</v>
      </c>
      <c r="F14211" s="4" t="s">
        <v>21554</v>
      </c>
      <c r="G14211" s="4"/>
      <c r="H14211" s="4" t="s">
        <v>21555</v>
      </c>
      <c r="I14211" s="4" t="s">
        <v>21556</v>
      </c>
    </row>
    <row r="14212">
      <c r="A14212" s="4">
        <v>666.0</v>
      </c>
      <c r="B14212" s="4" t="s">
        <v>22113</v>
      </c>
      <c r="C14212" s="4"/>
      <c r="D14212" s="4" t="s">
        <v>3344</v>
      </c>
      <c r="E14212" s="4" t="s">
        <v>3345</v>
      </c>
      <c r="F14212" s="4" t="s">
        <v>3344</v>
      </c>
      <c r="G14212" s="4"/>
      <c r="H14212" s="4" t="s">
        <v>4305</v>
      </c>
      <c r="I14212" s="4" t="s">
        <v>6487</v>
      </c>
      <c r="J14212" s="4" t="s">
        <v>3346</v>
      </c>
      <c r="K14212" s="4" t="s">
        <v>945</v>
      </c>
      <c r="L14212" s="4" t="s">
        <v>941</v>
      </c>
      <c r="M14212" s="4" t="s">
        <v>942</v>
      </c>
      <c r="N14212" s="4" t="s">
        <v>943</v>
      </c>
      <c r="O14212" s="4" t="s">
        <v>944</v>
      </c>
      <c r="P14212" s="4" t="s">
        <v>21557</v>
      </c>
      <c r="Q14212" s="4" t="s">
        <v>326</v>
      </c>
      <c r="R14212" s="4" t="s">
        <v>20649</v>
      </c>
      <c r="S14212" s="4" t="s">
        <v>945</v>
      </c>
      <c r="T14212" s="4" t="s">
        <v>945</v>
      </c>
      <c r="U14212" s="4" t="s">
        <v>948</v>
      </c>
      <c r="V14212" s="4" t="s">
        <v>945</v>
      </c>
      <c r="W14212" s="4" t="s">
        <v>946</v>
      </c>
      <c r="X14212" s="4" t="s">
        <v>947</v>
      </c>
      <c r="Y14212" s="4" t="s">
        <v>945</v>
      </c>
      <c r="Z14212" s="4" t="s">
        <v>948</v>
      </c>
      <c r="AA14212" s="4" t="s">
        <v>326</v>
      </c>
      <c r="AB14212" s="4" t="s">
        <v>949</v>
      </c>
      <c r="AC14212" s="4" t="s">
        <v>950</v>
      </c>
      <c r="AD14212" s="4" t="s">
        <v>945</v>
      </c>
      <c r="AE14212" s="4" t="s">
        <v>951</v>
      </c>
      <c r="AF14212" s="4" t="s">
        <v>952</v>
      </c>
      <c r="AG14212" s="4" t="s">
        <v>953</v>
      </c>
      <c r="AH14212" s="4" t="s">
        <v>3346</v>
      </c>
      <c r="AI14212" s="4" t="s">
        <v>945</v>
      </c>
      <c r="AJ14212" s="4" t="s">
        <v>953</v>
      </c>
      <c r="AK14212" s="4" t="s">
        <v>3347</v>
      </c>
      <c r="AL14212" s="4" t="s">
        <v>3348</v>
      </c>
      <c r="AM14212" s="4" t="s">
        <v>3349</v>
      </c>
    </row>
    <row r="14213">
      <c r="A14213" s="4">
        <v>667.0</v>
      </c>
      <c r="B14213" s="4" t="s">
        <v>22113</v>
      </c>
      <c r="C14213" s="4"/>
      <c r="D14213" s="4" t="s">
        <v>21558</v>
      </c>
      <c r="E14213" s="4" t="s">
        <v>21559</v>
      </c>
      <c r="F14213" s="4" t="s">
        <v>21558</v>
      </c>
    </row>
    <row r="14214">
      <c r="A14214" s="4">
        <v>668.0</v>
      </c>
      <c r="B14214" s="4" t="s">
        <v>22113</v>
      </c>
      <c r="C14214" s="4"/>
      <c r="D14214" s="4" t="s">
        <v>21560</v>
      </c>
      <c r="E14214" s="4" t="s">
        <v>21561</v>
      </c>
      <c r="F14214" s="4" t="s">
        <v>21560</v>
      </c>
    </row>
    <row r="14215">
      <c r="A14215" s="4">
        <v>669.0</v>
      </c>
      <c r="B14215" s="4" t="s">
        <v>22113</v>
      </c>
      <c r="C14215" s="4"/>
      <c r="D14215" s="4" t="s">
        <v>21562</v>
      </c>
      <c r="E14215" s="4" t="s">
        <v>21559</v>
      </c>
      <c r="F14215" s="4" t="s">
        <v>21558</v>
      </c>
    </row>
    <row r="14216">
      <c r="A14216" s="4">
        <v>670.0</v>
      </c>
      <c r="B14216" s="4" t="s">
        <v>22113</v>
      </c>
      <c r="C14216" s="4"/>
      <c r="D14216" s="4" t="s">
        <v>21563</v>
      </c>
      <c r="E14216" s="4" t="s">
        <v>21561</v>
      </c>
      <c r="F14216" s="4" t="s">
        <v>21560</v>
      </c>
    </row>
    <row r="14217">
      <c r="A14217" s="4">
        <v>671.0</v>
      </c>
      <c r="B14217" s="4" t="s">
        <v>22113</v>
      </c>
      <c r="C14217" s="4"/>
      <c r="D14217" s="4" t="s">
        <v>21564</v>
      </c>
      <c r="E14217" s="4" t="s">
        <v>21565</v>
      </c>
      <c r="F14217" s="4" t="s">
        <v>21564</v>
      </c>
    </row>
    <row r="14218">
      <c r="A14218" s="4">
        <v>672.0</v>
      </c>
      <c r="B14218" s="4" t="s">
        <v>22113</v>
      </c>
      <c r="C14218" s="4"/>
      <c r="D14218" s="4" t="s">
        <v>21566</v>
      </c>
      <c r="E14218" s="4" t="s">
        <v>21567</v>
      </c>
      <c r="F14218" s="4" t="s">
        <v>21566</v>
      </c>
    </row>
    <row r="14219">
      <c r="A14219" s="4">
        <v>673.0</v>
      </c>
      <c r="B14219" s="4" t="s">
        <v>22113</v>
      </c>
      <c r="C14219" s="4"/>
      <c r="D14219" s="4" t="s">
        <v>21568</v>
      </c>
      <c r="E14219" s="4" t="s">
        <v>21569</v>
      </c>
      <c r="F14219" s="4" t="s">
        <v>21568</v>
      </c>
    </row>
    <row r="14220">
      <c r="A14220" s="4">
        <v>674.0</v>
      </c>
      <c r="B14220" s="4" t="s">
        <v>22113</v>
      </c>
      <c r="C14220" s="4"/>
      <c r="D14220" s="4" t="s">
        <v>21570</v>
      </c>
      <c r="E14220" s="4" t="s">
        <v>21569</v>
      </c>
      <c r="F14220" s="4" t="s">
        <v>21568</v>
      </c>
    </row>
    <row r="14221">
      <c r="A14221" s="4">
        <v>675.0</v>
      </c>
      <c r="B14221" s="4" t="s">
        <v>22113</v>
      </c>
      <c r="C14221" s="4"/>
      <c r="D14221" s="4" t="s">
        <v>3350</v>
      </c>
      <c r="E14221" s="4" t="s">
        <v>3351</v>
      </c>
      <c r="F14221" s="4" t="s">
        <v>3350</v>
      </c>
    </row>
    <row r="14222">
      <c r="A14222" s="4">
        <v>676.0</v>
      </c>
      <c r="B14222" s="4" t="s">
        <v>22113</v>
      </c>
      <c r="C14222" s="4"/>
      <c r="D14222" s="4" t="s">
        <v>21571</v>
      </c>
      <c r="E14222" s="4" t="s">
        <v>21565</v>
      </c>
      <c r="F14222" s="4" t="s">
        <v>21564</v>
      </c>
    </row>
    <row r="14223">
      <c r="A14223" s="4">
        <v>677.0</v>
      </c>
      <c r="B14223" s="4" t="s">
        <v>22113</v>
      </c>
      <c r="C14223" s="4"/>
      <c r="D14223" s="4" t="s">
        <v>21572</v>
      </c>
      <c r="E14223" s="4" t="s">
        <v>21569</v>
      </c>
      <c r="F14223" s="4" t="s">
        <v>21568</v>
      </c>
    </row>
    <row r="14224">
      <c r="A14224" s="4">
        <v>678.0</v>
      </c>
      <c r="B14224" s="4" t="s">
        <v>22113</v>
      </c>
      <c r="C14224" s="4"/>
      <c r="D14224" s="4" t="s">
        <v>3357</v>
      </c>
      <c r="E14224" s="4" t="s">
        <v>3351</v>
      </c>
      <c r="F14224" s="4" t="s">
        <v>3350</v>
      </c>
      <c r="G14224" s="4"/>
      <c r="H14224" s="4" t="s">
        <v>3352</v>
      </c>
    </row>
    <row r="14225">
      <c r="A14225" s="4">
        <v>679.0</v>
      </c>
      <c r="B14225" s="4" t="s">
        <v>22113</v>
      </c>
      <c r="C14225" s="4"/>
      <c r="D14225" s="4" t="s">
        <v>3387</v>
      </c>
      <c r="E14225" s="4" t="s">
        <v>3386</v>
      </c>
      <c r="F14225" s="4" t="s">
        <v>3387</v>
      </c>
    </row>
    <row r="14226">
      <c r="A14226" s="4">
        <v>680.0</v>
      </c>
      <c r="B14226" s="4" t="s">
        <v>22113</v>
      </c>
      <c r="C14226" s="4"/>
      <c r="D14226" s="4" t="s">
        <v>21573</v>
      </c>
      <c r="E14226" s="4" t="s">
        <v>21574</v>
      </c>
      <c r="F14226" s="4" t="s">
        <v>21573</v>
      </c>
    </row>
    <row r="14227">
      <c r="A14227" s="4">
        <v>681.0</v>
      </c>
      <c r="B14227" s="4" t="s">
        <v>22113</v>
      </c>
      <c r="C14227" s="4"/>
      <c r="D14227" s="4" t="s">
        <v>3396</v>
      </c>
      <c r="E14227" s="4" t="s">
        <v>3395</v>
      </c>
      <c r="F14227" s="4" t="s">
        <v>3396</v>
      </c>
      <c r="G14227" s="4"/>
      <c r="H14227" s="4" t="s">
        <v>4305</v>
      </c>
      <c r="I14227" s="4" t="s">
        <v>21575</v>
      </c>
      <c r="J14227" s="4" t="s">
        <v>15263</v>
      </c>
      <c r="K14227" s="4" t="s">
        <v>3398</v>
      </c>
      <c r="L14227" s="4" t="s">
        <v>3399</v>
      </c>
      <c r="M14227" s="4" t="s">
        <v>3400</v>
      </c>
      <c r="N14227" s="4" t="s">
        <v>3401</v>
      </c>
      <c r="O14227" s="4" t="s">
        <v>3402</v>
      </c>
      <c r="P14227" s="4" t="s">
        <v>647</v>
      </c>
      <c r="Q14227" s="4" t="s">
        <v>3403</v>
      </c>
      <c r="R14227" s="4" t="s">
        <v>3404</v>
      </c>
      <c r="S14227" s="4" t="s">
        <v>3405</v>
      </c>
      <c r="T14227" s="4" t="s">
        <v>3406</v>
      </c>
      <c r="U14227" s="4" t="s">
        <v>7129</v>
      </c>
      <c r="V14227" s="4" t="s">
        <v>7130</v>
      </c>
      <c r="W14227" s="4" t="s">
        <v>7131</v>
      </c>
      <c r="X14227" s="4" t="s">
        <v>3401</v>
      </c>
      <c r="Y14227" s="4" t="s">
        <v>7132</v>
      </c>
      <c r="Z14227" s="4" t="s">
        <v>647</v>
      </c>
      <c r="AA14227" s="4" t="s">
        <v>3401</v>
      </c>
      <c r="AB14227" s="4" t="s">
        <v>2075</v>
      </c>
      <c r="AC14227" s="4" t="s">
        <v>1056</v>
      </c>
      <c r="AD14227" s="4" t="s">
        <v>3413</v>
      </c>
      <c r="AE14227" s="4" t="s">
        <v>646</v>
      </c>
      <c r="AF14227" s="4" t="s">
        <v>3414</v>
      </c>
      <c r="AG14227" s="4" t="s">
        <v>647</v>
      </c>
      <c r="AH14227" s="4" t="s">
        <v>8975</v>
      </c>
      <c r="AI14227" s="4" t="s">
        <v>3415</v>
      </c>
      <c r="AJ14227" s="4" t="s">
        <v>647</v>
      </c>
      <c r="AK14227" s="4" t="s">
        <v>3416</v>
      </c>
      <c r="AL14227" s="4" t="s">
        <v>647</v>
      </c>
      <c r="AM14227" s="4" t="s">
        <v>7127</v>
      </c>
      <c r="AN14227" s="4" t="s">
        <v>7128</v>
      </c>
      <c r="AO14227" s="4" t="s">
        <v>16387</v>
      </c>
      <c r="AP14227" s="4" t="s">
        <v>647</v>
      </c>
      <c r="AQ14227" s="4" t="s">
        <v>7118</v>
      </c>
      <c r="AR14227" s="4" t="s">
        <v>7119</v>
      </c>
      <c r="AS14227" s="4" t="s">
        <v>3417</v>
      </c>
      <c r="AT14227" s="4" t="s">
        <v>3418</v>
      </c>
      <c r="AU14227" s="4" t="s">
        <v>3419</v>
      </c>
      <c r="AV14227" s="4" t="s">
        <v>3420</v>
      </c>
      <c r="AW14227" s="4" t="s">
        <v>3421</v>
      </c>
      <c r="AX14227" s="4" t="s">
        <v>647</v>
      </c>
      <c r="AY14227" s="4" t="s">
        <v>647</v>
      </c>
      <c r="AZ14227" s="4" t="s">
        <v>3422</v>
      </c>
      <c r="BA14227" s="4" t="s">
        <v>7121</v>
      </c>
      <c r="BB14227" s="4" t="s">
        <v>3416</v>
      </c>
      <c r="BC14227" s="4" t="s">
        <v>647</v>
      </c>
      <c r="BD14227" s="4" t="s">
        <v>7122</v>
      </c>
      <c r="BE14227" s="4" t="s">
        <v>7123</v>
      </c>
      <c r="BF14227" s="4" t="s">
        <v>7124</v>
      </c>
      <c r="BG14227" s="4" t="s">
        <v>3421</v>
      </c>
      <c r="BH14227" s="4" t="s">
        <v>7125</v>
      </c>
      <c r="BI14227" s="4" t="s">
        <v>7126</v>
      </c>
      <c r="BJ14227" s="4" t="s">
        <v>21576</v>
      </c>
      <c r="BK14227" s="4" t="s">
        <v>21577</v>
      </c>
      <c r="BL14227" s="4" t="s">
        <v>21578</v>
      </c>
      <c r="BM14227" s="4" t="s">
        <v>21579</v>
      </c>
      <c r="BN14227" s="4" t="s">
        <v>647</v>
      </c>
      <c r="BO14227" s="4" t="s">
        <v>1496</v>
      </c>
      <c r="BP14227" s="4" t="s">
        <v>647</v>
      </c>
      <c r="BQ14227" s="4" t="s">
        <v>2858</v>
      </c>
      <c r="BR14227" s="4" t="s">
        <v>3423</v>
      </c>
      <c r="BS14227" s="4" t="s">
        <v>1496</v>
      </c>
      <c r="BT14227" s="4" t="s">
        <v>3424</v>
      </c>
      <c r="BU14227" s="4" t="s">
        <v>1503</v>
      </c>
      <c r="BV14227" s="4" t="s">
        <v>647</v>
      </c>
      <c r="BW14227" s="4" t="s">
        <v>7120</v>
      </c>
      <c r="BX14227" s="4" t="s">
        <v>647</v>
      </c>
      <c r="BY14227" s="4" t="s">
        <v>21580</v>
      </c>
      <c r="BZ14227" s="4" t="s">
        <v>21581</v>
      </c>
      <c r="CA14227" s="4" t="s">
        <v>21582</v>
      </c>
      <c r="CB14227" s="4" t="s">
        <v>647</v>
      </c>
      <c r="CC14227" s="4" t="s">
        <v>2682</v>
      </c>
      <c r="CD14227" s="4" t="s">
        <v>647</v>
      </c>
      <c r="CE14227" s="4" t="s">
        <v>3398</v>
      </c>
      <c r="CF14227" s="4" t="s">
        <v>646</v>
      </c>
      <c r="CG14227" s="4" t="s">
        <v>637</v>
      </c>
      <c r="CH14227" s="4" t="s">
        <v>647</v>
      </c>
      <c r="CI14227" s="4" t="s">
        <v>648</v>
      </c>
      <c r="CJ14227" s="4" t="s">
        <v>649</v>
      </c>
      <c r="CK14227" s="4" t="s">
        <v>3425</v>
      </c>
      <c r="CL14227" s="4" t="s">
        <v>647</v>
      </c>
      <c r="CM14227" s="4" t="s">
        <v>3426</v>
      </c>
    </row>
    <row r="14228">
      <c r="A14228" s="4">
        <v>682.0</v>
      </c>
      <c r="B14228" s="4" t="s">
        <v>22113</v>
      </c>
      <c r="C14228" s="4"/>
      <c r="D14228" s="4" t="s">
        <v>21583</v>
      </c>
      <c r="E14228" s="4" t="s">
        <v>21584</v>
      </c>
      <c r="F14228" s="4" t="s">
        <v>21583</v>
      </c>
    </row>
    <row r="14229">
      <c r="A14229" s="4">
        <v>683.0</v>
      </c>
      <c r="B14229" s="4" t="s">
        <v>22113</v>
      </c>
      <c r="C14229" s="4"/>
      <c r="D14229" s="4" t="s">
        <v>10941</v>
      </c>
      <c r="E14229" s="4" t="s">
        <v>16845</v>
      </c>
      <c r="F14229" s="4" t="s">
        <v>10941</v>
      </c>
      <c r="G14229" s="4"/>
      <c r="H14229" s="4" t="s">
        <v>10181</v>
      </c>
      <c r="I14229" s="4" t="s">
        <v>7188</v>
      </c>
      <c r="J14229" s="4" t="s">
        <v>21585</v>
      </c>
      <c r="K14229" s="4" t="s">
        <v>1043</v>
      </c>
    </row>
    <row r="14230">
      <c r="A14230" s="4">
        <v>684.0</v>
      </c>
      <c r="B14230" s="4" t="s">
        <v>22113</v>
      </c>
      <c r="C14230" s="4"/>
      <c r="D14230" s="4" t="s">
        <v>21586</v>
      </c>
      <c r="E14230" s="4" t="s">
        <v>21587</v>
      </c>
      <c r="F14230" s="4" t="s">
        <v>21586</v>
      </c>
    </row>
    <row r="14231">
      <c r="A14231" s="4">
        <v>685.0</v>
      </c>
      <c r="B14231" s="4" t="s">
        <v>22113</v>
      </c>
      <c r="C14231" s="4"/>
      <c r="D14231" s="4" t="s">
        <v>3430</v>
      </c>
      <c r="E14231" s="4" t="s">
        <v>3431</v>
      </c>
      <c r="F14231" s="4" t="s">
        <v>3430</v>
      </c>
      <c r="G14231" s="4"/>
      <c r="H14231" s="4" t="s">
        <v>3432</v>
      </c>
      <c r="I14231" s="4" t="s">
        <v>2724</v>
      </c>
      <c r="J14231" s="4" t="s">
        <v>2725</v>
      </c>
      <c r="K14231" s="4" t="s">
        <v>3433</v>
      </c>
      <c r="L14231" s="4" t="s">
        <v>3434</v>
      </c>
      <c r="M14231" s="4" t="s">
        <v>3435</v>
      </c>
      <c r="N14231" s="4" t="s">
        <v>3436</v>
      </c>
      <c r="O14231" s="4" t="s">
        <v>3437</v>
      </c>
      <c r="P14231" s="4" t="s">
        <v>3438</v>
      </c>
      <c r="Q14231" s="4" t="s">
        <v>3439</v>
      </c>
      <c r="R14231" s="4" t="s">
        <v>3440</v>
      </c>
      <c r="S14231" s="4" t="s">
        <v>3441</v>
      </c>
    </row>
    <row r="14232">
      <c r="A14232" s="4">
        <v>686.0</v>
      </c>
      <c r="B14232" s="4" t="s">
        <v>22113</v>
      </c>
      <c r="C14232" s="4"/>
      <c r="D14232" s="4" t="s">
        <v>21588</v>
      </c>
      <c r="E14232" s="4" t="s">
        <v>21589</v>
      </c>
      <c r="F14232" s="4" t="s">
        <v>21590</v>
      </c>
    </row>
    <row r="14233">
      <c r="A14233" s="4">
        <v>687.0</v>
      </c>
      <c r="B14233" s="4" t="s">
        <v>22113</v>
      </c>
      <c r="C14233" s="4"/>
      <c r="D14233" s="4" t="s">
        <v>21591</v>
      </c>
      <c r="E14233" s="4" t="s">
        <v>21592</v>
      </c>
      <c r="F14233" s="4" t="s">
        <v>21591</v>
      </c>
      <c r="G14233" s="4"/>
      <c r="H14233" s="4" t="s">
        <v>19400</v>
      </c>
    </row>
    <row r="14234">
      <c r="A14234" s="4">
        <v>688.0</v>
      </c>
      <c r="B14234" s="4" t="s">
        <v>22113</v>
      </c>
      <c r="C14234" s="4"/>
      <c r="D14234" s="4" t="s">
        <v>21593</v>
      </c>
      <c r="E14234" s="4" t="s">
        <v>3443</v>
      </c>
      <c r="F14234" s="4" t="s">
        <v>3442</v>
      </c>
    </row>
    <row r="14235">
      <c r="A14235" s="4">
        <v>689.0</v>
      </c>
      <c r="B14235" s="4" t="s">
        <v>22113</v>
      </c>
      <c r="C14235" s="4"/>
      <c r="D14235" s="4" t="s">
        <v>21594</v>
      </c>
      <c r="E14235" s="4" t="s">
        <v>13258</v>
      </c>
      <c r="F14235" s="4" t="s">
        <v>13259</v>
      </c>
    </row>
    <row r="14236">
      <c r="A14236" s="4">
        <v>690.0</v>
      </c>
      <c r="B14236" s="4" t="s">
        <v>22113</v>
      </c>
      <c r="C14236" s="4"/>
      <c r="D14236" s="4" t="s">
        <v>21595</v>
      </c>
      <c r="E14236" s="4" t="s">
        <v>21596</v>
      </c>
      <c r="F14236" s="4" t="s">
        <v>21595</v>
      </c>
    </row>
    <row r="14237">
      <c r="A14237" s="4">
        <v>691.0</v>
      </c>
      <c r="B14237" s="4" t="s">
        <v>22113</v>
      </c>
      <c r="C14237" s="4"/>
      <c r="D14237" s="4" t="s">
        <v>21597</v>
      </c>
      <c r="E14237" s="4" t="s">
        <v>21598</v>
      </c>
      <c r="F14237" s="4" t="s">
        <v>21597</v>
      </c>
    </row>
    <row r="14238">
      <c r="A14238" s="4">
        <v>692.0</v>
      </c>
      <c r="B14238" s="4" t="s">
        <v>22113</v>
      </c>
      <c r="C14238" s="4"/>
      <c r="D14238" s="4" t="s">
        <v>21599</v>
      </c>
      <c r="E14238" s="4" t="s">
        <v>18490</v>
      </c>
      <c r="F14238" s="4" t="s">
        <v>18491</v>
      </c>
    </row>
    <row r="14239">
      <c r="A14239" s="4">
        <v>693.0</v>
      </c>
      <c r="B14239" s="4" t="s">
        <v>22113</v>
      </c>
      <c r="C14239" s="4"/>
      <c r="D14239" s="4" t="s">
        <v>230</v>
      </c>
      <c r="E14239" s="4" t="s">
        <v>229</v>
      </c>
      <c r="F14239" s="4" t="s">
        <v>230</v>
      </c>
      <c r="G14239" s="4"/>
      <c r="H14239" s="4" t="s">
        <v>230</v>
      </c>
    </row>
    <row r="14240">
      <c r="A14240" s="4">
        <v>694.0</v>
      </c>
      <c r="B14240" s="4" t="s">
        <v>22113</v>
      </c>
      <c r="C14240" s="4"/>
      <c r="D14240" s="4" t="s">
        <v>3464</v>
      </c>
      <c r="E14240" s="4" t="s">
        <v>235</v>
      </c>
      <c r="F14240" s="4" t="s">
        <v>236</v>
      </c>
      <c r="G14240" s="4"/>
      <c r="H14240" s="4" t="s">
        <v>13316</v>
      </c>
      <c r="I14240" s="4" t="s">
        <v>13317</v>
      </c>
    </row>
    <row r="14241">
      <c r="A14241" s="4">
        <v>695.0</v>
      </c>
      <c r="B14241" s="4" t="s">
        <v>22113</v>
      </c>
      <c r="C14241" s="4"/>
      <c r="D14241" s="4" t="s">
        <v>3480</v>
      </c>
      <c r="E14241" s="4" t="s">
        <v>3506</v>
      </c>
      <c r="F14241" s="4" t="s">
        <v>3507</v>
      </c>
      <c r="G14241" s="4"/>
      <c r="H14241" s="4" t="s">
        <v>6785</v>
      </c>
      <c r="I14241" s="4" t="s">
        <v>6771</v>
      </c>
      <c r="J14241" s="4" t="s">
        <v>6786</v>
      </c>
      <c r="K14241" s="4" t="s">
        <v>6787</v>
      </c>
      <c r="L14241" s="4" t="s">
        <v>6788</v>
      </c>
      <c r="M14241" s="4" t="s">
        <v>3481</v>
      </c>
      <c r="N14241" s="4" t="s">
        <v>3169</v>
      </c>
      <c r="O14241" s="4" t="s">
        <v>3482</v>
      </c>
      <c r="P14241" s="4" t="s">
        <v>21600</v>
      </c>
      <c r="Q14241" s="4" t="s">
        <v>21601</v>
      </c>
      <c r="R14241" s="4" t="s">
        <v>21602</v>
      </c>
      <c r="S14241" s="4" t="s">
        <v>3485</v>
      </c>
      <c r="T14241" s="4" t="s">
        <v>3459</v>
      </c>
      <c r="U14241" s="4" t="s">
        <v>3486</v>
      </c>
      <c r="V14241" s="4" t="s">
        <v>8763</v>
      </c>
      <c r="W14241" s="4" t="s">
        <v>20602</v>
      </c>
      <c r="X14241" s="4" t="s">
        <v>3487</v>
      </c>
      <c r="Y14241" s="4" t="s">
        <v>3487</v>
      </c>
      <c r="Z14241" s="4" t="s">
        <v>789</v>
      </c>
      <c r="AA14241" s="4" t="s">
        <v>3488</v>
      </c>
      <c r="AB14241" s="4" t="s">
        <v>788</v>
      </c>
      <c r="AC14241" s="4" t="s">
        <v>3489</v>
      </c>
      <c r="AD14241" s="4" t="s">
        <v>3490</v>
      </c>
      <c r="AE14241" s="4" t="s">
        <v>789</v>
      </c>
      <c r="AF14241" s="4" t="s">
        <v>3491</v>
      </c>
      <c r="AG14241" s="4" t="s">
        <v>3492</v>
      </c>
      <c r="AH14241" s="4" t="s">
        <v>6172</v>
      </c>
      <c r="AI14241" s="4" t="s">
        <v>2603</v>
      </c>
      <c r="AJ14241" s="4" t="s">
        <v>21603</v>
      </c>
      <c r="AK14241" s="4" t="s">
        <v>536</v>
      </c>
      <c r="AL14241" s="4" t="s">
        <v>4306</v>
      </c>
      <c r="AM14241" s="4" t="s">
        <v>6487</v>
      </c>
      <c r="AN14241" s="4" t="s">
        <v>3496</v>
      </c>
      <c r="AO14241" s="4" t="s">
        <v>3497</v>
      </c>
      <c r="AP14241" s="4" t="s">
        <v>3500</v>
      </c>
      <c r="AQ14241" s="4" t="s">
        <v>3169</v>
      </c>
      <c r="AR14241" s="4" t="s">
        <v>3169</v>
      </c>
      <c r="AS14241" s="4" t="s">
        <v>3459</v>
      </c>
      <c r="AT14241" s="4" t="s">
        <v>943</v>
      </c>
      <c r="AU14241" s="4" t="s">
        <v>3482</v>
      </c>
      <c r="AV14241" s="4" t="s">
        <v>3500</v>
      </c>
      <c r="AW14241" s="4" t="s">
        <v>3497</v>
      </c>
      <c r="AX14241" s="4" t="s">
        <v>21604</v>
      </c>
      <c r="AY14241" s="4" t="s">
        <v>21605</v>
      </c>
      <c r="AZ14241" s="4" t="s">
        <v>919</v>
      </c>
      <c r="BA14241" s="4" t="s">
        <v>920</v>
      </c>
      <c r="BB14241" s="4" t="s">
        <v>6407</v>
      </c>
      <c r="BC14241" s="4" t="s">
        <v>21606</v>
      </c>
      <c r="BD14241" s="4" t="s">
        <v>21607</v>
      </c>
      <c r="BE14241" s="4" t="s">
        <v>3630</v>
      </c>
      <c r="BF14241" s="4" t="s">
        <v>3634</v>
      </c>
      <c r="BG14241" s="4" t="s">
        <v>3501</v>
      </c>
      <c r="BH14241" s="4" t="s">
        <v>3501</v>
      </c>
      <c r="BI14241" s="4" t="s">
        <v>3501</v>
      </c>
      <c r="BJ14241" s="4" t="s">
        <v>3497</v>
      </c>
      <c r="BK14241" s="4" t="s">
        <v>3482</v>
      </c>
      <c r="BL14241" s="4" t="s">
        <v>3503</v>
      </c>
      <c r="BM14241" s="4" t="s">
        <v>3493</v>
      </c>
    </row>
    <row r="14242">
      <c r="A14242" s="4">
        <v>696.0</v>
      </c>
      <c r="B14242" s="4" t="s">
        <v>22113</v>
      </c>
      <c r="C14242" s="4"/>
      <c r="D14242" s="4" t="s">
        <v>21608</v>
      </c>
      <c r="E14242" s="4" t="s">
        <v>21609</v>
      </c>
      <c r="F14242" s="4" t="s">
        <v>21610</v>
      </c>
    </row>
    <row r="14243">
      <c r="A14243" s="4">
        <v>697.0</v>
      </c>
      <c r="B14243" s="4" t="s">
        <v>22113</v>
      </c>
      <c r="C14243" s="4"/>
      <c r="D14243" s="4" t="s">
        <v>21611</v>
      </c>
      <c r="E14243" s="4" t="s">
        <v>21612</v>
      </c>
      <c r="F14243" s="4" t="s">
        <v>21613</v>
      </c>
    </row>
    <row r="14244">
      <c r="A14244" s="4">
        <v>698.0</v>
      </c>
      <c r="B14244" s="4" t="s">
        <v>22113</v>
      </c>
      <c r="C14244" s="4"/>
      <c r="D14244" s="4" t="s">
        <v>21614</v>
      </c>
      <c r="E14244" s="4" t="s">
        <v>21609</v>
      </c>
      <c r="F14244" s="4" t="s">
        <v>21610</v>
      </c>
    </row>
    <row r="14245">
      <c r="A14245" s="4">
        <v>699.0</v>
      </c>
      <c r="B14245" s="4" t="s">
        <v>22113</v>
      </c>
      <c r="C14245" s="4"/>
      <c r="D14245" s="4" t="s">
        <v>21615</v>
      </c>
      <c r="E14245" s="4" t="s">
        <v>21612</v>
      </c>
      <c r="F14245" s="4" t="s">
        <v>21613</v>
      </c>
    </row>
    <row r="14246">
      <c r="A14246" s="4">
        <v>700.0</v>
      </c>
      <c r="B14246" s="4" t="s">
        <v>22113</v>
      </c>
      <c r="C14246" s="4"/>
      <c r="D14246" s="4" t="s">
        <v>21616</v>
      </c>
      <c r="E14246" s="4" t="s">
        <v>21617</v>
      </c>
      <c r="F14246" s="4" t="s">
        <v>21618</v>
      </c>
    </row>
    <row r="14247">
      <c r="A14247" s="4">
        <v>701.0</v>
      </c>
      <c r="B14247" s="4" t="s">
        <v>22113</v>
      </c>
      <c r="C14247" s="4"/>
      <c r="D14247" s="4" t="s">
        <v>18527</v>
      </c>
      <c r="E14247" s="4" t="s">
        <v>21619</v>
      </c>
      <c r="F14247" s="4" t="s">
        <v>236</v>
      </c>
    </row>
    <row r="14248">
      <c r="A14248" s="4">
        <v>702.0</v>
      </c>
      <c r="B14248" s="4" t="s">
        <v>22113</v>
      </c>
      <c r="C14248" s="4"/>
      <c r="D14248" s="4" t="s">
        <v>21620</v>
      </c>
      <c r="E14248" s="4" t="s">
        <v>21621</v>
      </c>
      <c r="F14248" s="4" t="s">
        <v>21622</v>
      </c>
    </row>
    <row r="14249">
      <c r="A14249" s="4">
        <v>703.0</v>
      </c>
      <c r="B14249" s="4" t="s">
        <v>22113</v>
      </c>
      <c r="C14249" s="4"/>
      <c r="D14249" s="4" t="s">
        <v>3519</v>
      </c>
      <c r="E14249" s="4" t="s">
        <v>3520</v>
      </c>
      <c r="F14249" s="4" t="s">
        <v>3519</v>
      </c>
      <c r="G14249" s="4"/>
      <c r="H14249" s="4" t="s">
        <v>3521</v>
      </c>
      <c r="I14249" s="4" t="s">
        <v>3522</v>
      </c>
      <c r="J14249" s="4" t="s">
        <v>3526</v>
      </c>
      <c r="K14249" s="4" t="s">
        <v>3415</v>
      </c>
      <c r="L14249" s="4" t="s">
        <v>483</v>
      </c>
      <c r="M14249" s="4" t="s">
        <v>484</v>
      </c>
      <c r="N14249" s="4" t="s">
        <v>2824</v>
      </c>
      <c r="O14249" s="4" t="s">
        <v>2825</v>
      </c>
      <c r="P14249" s="4" t="s">
        <v>2826</v>
      </c>
      <c r="Q14249" s="4" t="s">
        <v>1734</v>
      </c>
      <c r="R14249" s="4" t="s">
        <v>482</v>
      </c>
      <c r="S14249" s="4" t="s">
        <v>1736</v>
      </c>
      <c r="T14249" s="4" t="s">
        <v>1737</v>
      </c>
      <c r="U14249" s="4" t="s">
        <v>1738</v>
      </c>
      <c r="V14249" s="4" t="s">
        <v>1739</v>
      </c>
      <c r="W14249" s="4" t="s">
        <v>1740</v>
      </c>
      <c r="X14249" s="4" t="s">
        <v>1741</v>
      </c>
      <c r="Y14249" s="4" t="s">
        <v>484</v>
      </c>
      <c r="Z14249" s="4" t="s">
        <v>1742</v>
      </c>
      <c r="AA14249" s="4" t="s">
        <v>1743</v>
      </c>
      <c r="AB14249" s="4" t="s">
        <v>1744</v>
      </c>
      <c r="AC14249" s="4" t="s">
        <v>1745</v>
      </c>
      <c r="AD14249" s="4" t="s">
        <v>1746</v>
      </c>
      <c r="AE14249" s="4" t="s">
        <v>1747</v>
      </c>
      <c r="AF14249" s="4" t="s">
        <v>1748</v>
      </c>
      <c r="AG14249" s="4" t="s">
        <v>1749</v>
      </c>
      <c r="AH14249" s="4" t="s">
        <v>1750</v>
      </c>
      <c r="AI14249" s="4" t="s">
        <v>483</v>
      </c>
      <c r="AJ14249" s="4" t="s">
        <v>1751</v>
      </c>
      <c r="AK14249" s="4" t="s">
        <v>1752</v>
      </c>
      <c r="AL14249" s="4" t="s">
        <v>1753</v>
      </c>
      <c r="AM14249" s="4" t="s">
        <v>1754</v>
      </c>
      <c r="AN14249" s="4" t="s">
        <v>1755</v>
      </c>
      <c r="AO14249" s="4" t="s">
        <v>1756</v>
      </c>
      <c r="AP14249" s="4" t="s">
        <v>1757</v>
      </c>
      <c r="AQ14249" s="4" t="s">
        <v>482</v>
      </c>
      <c r="AR14249" s="4" t="s">
        <v>1758</v>
      </c>
      <c r="AS14249" s="4" t="s">
        <v>780</v>
      </c>
      <c r="AT14249" s="4" t="s">
        <v>1759</v>
      </c>
      <c r="AU14249" s="4" t="s">
        <v>1760</v>
      </c>
      <c r="AV14249" s="4" t="s">
        <v>1761</v>
      </c>
      <c r="AW14249" s="4" t="s">
        <v>1762</v>
      </c>
      <c r="AX14249" s="4" t="s">
        <v>1763</v>
      </c>
      <c r="AY14249" s="4" t="s">
        <v>1764</v>
      </c>
      <c r="AZ14249" s="4" t="s">
        <v>1765</v>
      </c>
      <c r="BA14249" s="4" t="s">
        <v>1766</v>
      </c>
      <c r="BB14249" s="4" t="s">
        <v>1767</v>
      </c>
      <c r="BC14249" s="4" t="s">
        <v>1768</v>
      </c>
      <c r="BD14249" s="4" t="s">
        <v>1769</v>
      </c>
      <c r="BE14249" s="4" t="s">
        <v>1770</v>
      </c>
      <c r="BF14249" s="4" t="s">
        <v>1771</v>
      </c>
      <c r="BG14249" s="4" t="s">
        <v>1772</v>
      </c>
      <c r="BH14249" s="4" t="s">
        <v>1773</v>
      </c>
    </row>
    <row r="14250">
      <c r="A14250" s="4">
        <v>704.0</v>
      </c>
      <c r="B14250" s="4" t="s">
        <v>22113</v>
      </c>
      <c r="C14250" s="4"/>
      <c r="D14250" s="4" t="s">
        <v>3523</v>
      </c>
      <c r="E14250" s="4" t="s">
        <v>3528</v>
      </c>
      <c r="F14250" s="4" t="s">
        <v>3523</v>
      </c>
      <c r="G14250" s="4"/>
      <c r="H14250" s="4" t="s">
        <v>3525</v>
      </c>
      <c r="I14250" s="4" t="s">
        <v>3527</v>
      </c>
    </row>
    <row r="14251">
      <c r="A14251" s="4">
        <v>705.0</v>
      </c>
      <c r="B14251" s="4" t="s">
        <v>22113</v>
      </c>
      <c r="C14251" s="4"/>
      <c r="D14251" s="4" t="s">
        <v>21623</v>
      </c>
      <c r="E14251" s="4" t="s">
        <v>21624</v>
      </c>
      <c r="F14251" s="4" t="s">
        <v>21623</v>
      </c>
      <c r="G14251" s="4"/>
      <c r="H14251" s="4" t="s">
        <v>3596</v>
      </c>
      <c r="I14251" s="4" t="s">
        <v>3497</v>
      </c>
      <c r="J14251" s="4" t="s">
        <v>3597</v>
      </c>
      <c r="K14251" s="4" t="s">
        <v>3598</v>
      </c>
      <c r="L14251" s="4" t="s">
        <v>3599</v>
      </c>
      <c r="M14251" s="4" t="s">
        <v>3600</v>
      </c>
      <c r="N14251" s="4" t="s">
        <v>3601</v>
      </c>
      <c r="O14251" s="4" t="s">
        <v>3602</v>
      </c>
    </row>
    <row r="14252">
      <c r="A14252" s="4">
        <v>706.0</v>
      </c>
      <c r="B14252" s="4" t="s">
        <v>22113</v>
      </c>
      <c r="C14252" s="4"/>
      <c r="D14252" s="4" t="s">
        <v>21625</v>
      </c>
      <c r="E14252" s="4" t="s">
        <v>21626</v>
      </c>
      <c r="F14252" s="4" t="s">
        <v>21625</v>
      </c>
    </row>
    <row r="14253">
      <c r="A14253" s="4">
        <v>707.0</v>
      </c>
      <c r="B14253" s="4" t="s">
        <v>22113</v>
      </c>
      <c r="C14253" s="4"/>
      <c r="D14253" s="4" t="s">
        <v>3170</v>
      </c>
      <c r="E14253" s="4" t="s">
        <v>3539</v>
      </c>
      <c r="F14253" s="4" t="s">
        <v>3170</v>
      </c>
    </row>
    <row r="14254">
      <c r="A14254" s="4">
        <v>708.0</v>
      </c>
      <c r="B14254" s="4" t="s">
        <v>22113</v>
      </c>
      <c r="C14254" s="4"/>
      <c r="D14254" s="4" t="s">
        <v>3553</v>
      </c>
      <c r="E14254" s="4" t="s">
        <v>3554</v>
      </c>
      <c r="F14254" s="4" t="s">
        <v>3553</v>
      </c>
      <c r="G14254" s="4"/>
      <c r="H14254" s="4" t="s">
        <v>16228</v>
      </c>
      <c r="I14254" s="4" t="s">
        <v>16229</v>
      </c>
      <c r="J14254" s="4" t="s">
        <v>3555</v>
      </c>
      <c r="K14254" s="4" t="s">
        <v>3556</v>
      </c>
    </row>
    <row r="14255">
      <c r="A14255" s="4">
        <v>709.0</v>
      </c>
      <c r="B14255" s="4" t="s">
        <v>22113</v>
      </c>
      <c r="C14255" s="4"/>
      <c r="D14255" s="4" t="s">
        <v>3557</v>
      </c>
      <c r="E14255" s="4" t="s">
        <v>3558</v>
      </c>
      <c r="F14255" s="4" t="s">
        <v>3557</v>
      </c>
    </row>
    <row r="14256">
      <c r="A14256" s="4">
        <v>710.0</v>
      </c>
      <c r="B14256" s="4" t="s">
        <v>22113</v>
      </c>
      <c r="C14256" s="4"/>
      <c r="D14256" s="4" t="s">
        <v>21627</v>
      </c>
      <c r="E14256" s="4" t="s">
        <v>21628</v>
      </c>
      <c r="F14256" s="4" t="s">
        <v>21627</v>
      </c>
    </row>
    <row r="14257">
      <c r="A14257" s="4">
        <v>711.0</v>
      </c>
      <c r="B14257" s="4" t="s">
        <v>22113</v>
      </c>
      <c r="C14257" s="4"/>
      <c r="D14257" s="4" t="s">
        <v>21629</v>
      </c>
      <c r="E14257" s="4" t="s">
        <v>5503</v>
      </c>
      <c r="F14257" s="4" t="s">
        <v>5504</v>
      </c>
      <c r="G14257" s="4"/>
      <c r="H14257" s="4" t="s">
        <v>7241</v>
      </c>
      <c r="I14257" s="4" t="s">
        <v>7239</v>
      </c>
      <c r="J14257" s="4" t="s">
        <v>7242</v>
      </c>
      <c r="K14257" s="4" t="s">
        <v>7243</v>
      </c>
      <c r="L14257" s="4" t="s">
        <v>7244</v>
      </c>
      <c r="M14257" s="4" t="s">
        <v>7245</v>
      </c>
    </row>
    <row r="14258">
      <c r="A14258" s="4">
        <v>712.0</v>
      </c>
      <c r="B14258" s="4" t="s">
        <v>22113</v>
      </c>
      <c r="C14258" s="4"/>
      <c r="D14258" s="4" t="s">
        <v>3559</v>
      </c>
      <c r="E14258" s="4" t="s">
        <v>3560</v>
      </c>
      <c r="F14258" s="4" t="s">
        <v>3559</v>
      </c>
      <c r="G14258" s="4"/>
      <c r="H14258" s="4" t="s">
        <v>21630</v>
      </c>
      <c r="I14258" s="4" t="s">
        <v>21631</v>
      </c>
      <c r="J14258" s="4" t="s">
        <v>3561</v>
      </c>
    </row>
    <row r="14259">
      <c r="A14259" s="4">
        <v>713.0</v>
      </c>
      <c r="B14259" s="4" t="s">
        <v>22113</v>
      </c>
      <c r="C14259" s="4"/>
      <c r="D14259" s="4" t="s">
        <v>21632</v>
      </c>
      <c r="E14259" s="4" t="s">
        <v>21633</v>
      </c>
      <c r="F14259" s="4" t="s">
        <v>21632</v>
      </c>
    </row>
    <row r="14260">
      <c r="A14260" s="4">
        <v>714.0</v>
      </c>
      <c r="B14260" s="4" t="s">
        <v>22113</v>
      </c>
      <c r="C14260" s="4"/>
      <c r="D14260" s="4" t="s">
        <v>9171</v>
      </c>
      <c r="E14260" s="4" t="s">
        <v>9172</v>
      </c>
      <c r="F14260" s="4" t="s">
        <v>9171</v>
      </c>
    </row>
    <row r="14261">
      <c r="A14261" s="4">
        <v>715.0</v>
      </c>
      <c r="B14261" s="4" t="s">
        <v>22113</v>
      </c>
      <c r="C14261" s="4"/>
      <c r="D14261" s="4" t="s">
        <v>21634</v>
      </c>
      <c r="E14261" s="4" t="s">
        <v>21635</v>
      </c>
      <c r="F14261" s="4" t="s">
        <v>21634</v>
      </c>
    </row>
    <row r="14262">
      <c r="A14262" s="4">
        <v>716.0</v>
      </c>
      <c r="B14262" s="4" t="s">
        <v>22113</v>
      </c>
      <c r="C14262" s="4"/>
      <c r="D14262" s="4" t="s">
        <v>21636</v>
      </c>
      <c r="E14262" s="4" t="s">
        <v>21637</v>
      </c>
      <c r="F14262" s="4" t="s">
        <v>21636</v>
      </c>
    </row>
    <row r="14263">
      <c r="A14263" s="4">
        <v>717.0</v>
      </c>
      <c r="B14263" s="4" t="s">
        <v>22113</v>
      </c>
      <c r="C14263" s="4"/>
      <c r="D14263" s="4" t="s">
        <v>21638</v>
      </c>
      <c r="E14263" s="4" t="s">
        <v>21639</v>
      </c>
      <c r="F14263" s="4" t="s">
        <v>21640</v>
      </c>
    </row>
    <row r="14264">
      <c r="A14264" s="4">
        <v>718.0</v>
      </c>
      <c r="B14264" s="4" t="s">
        <v>22113</v>
      </c>
      <c r="C14264" s="4"/>
      <c r="D14264" s="4" t="s">
        <v>21641</v>
      </c>
      <c r="E14264" s="4" t="s">
        <v>21642</v>
      </c>
      <c r="F14264" s="4" t="s">
        <v>21643</v>
      </c>
      <c r="G14264" s="4"/>
      <c r="H14264" s="4" t="s">
        <v>8475</v>
      </c>
      <c r="I14264" s="4" t="s">
        <v>3234</v>
      </c>
      <c r="J14264" s="4" t="s">
        <v>8481</v>
      </c>
    </row>
    <row r="14265">
      <c r="A14265" s="4">
        <v>719.0</v>
      </c>
      <c r="B14265" s="4" t="s">
        <v>22113</v>
      </c>
      <c r="C14265" s="4"/>
      <c r="D14265" s="4" t="s">
        <v>3570</v>
      </c>
      <c r="E14265" s="4" t="s">
        <v>3571</v>
      </c>
      <c r="F14265" s="4" t="s">
        <v>3570</v>
      </c>
      <c r="G14265" s="4"/>
      <c r="H14265" s="4" t="s">
        <v>7241</v>
      </c>
      <c r="I14265" s="4" t="s">
        <v>7239</v>
      </c>
      <c r="J14265" s="4" t="s">
        <v>7242</v>
      </c>
      <c r="K14265" s="4" t="s">
        <v>7243</v>
      </c>
      <c r="L14265" s="4" t="s">
        <v>7244</v>
      </c>
      <c r="M14265" s="4" t="s">
        <v>7245</v>
      </c>
    </row>
    <row r="14266">
      <c r="A14266" s="4">
        <v>720.0</v>
      </c>
      <c r="B14266" s="4" t="s">
        <v>22113</v>
      </c>
      <c r="C14266" s="4"/>
      <c r="D14266" s="4" t="s">
        <v>14243</v>
      </c>
      <c r="E14266" s="4" t="s">
        <v>14244</v>
      </c>
      <c r="F14266" s="4" t="s">
        <v>14243</v>
      </c>
      <c r="G14266" s="4"/>
      <c r="H14266" s="4" t="s">
        <v>21644</v>
      </c>
      <c r="I14266" s="4" t="s">
        <v>3368</v>
      </c>
      <c r="J14266" s="4" t="s">
        <v>21645</v>
      </c>
      <c r="K14266" s="4" t="s">
        <v>21644</v>
      </c>
      <c r="L14266" s="4" t="s">
        <v>21646</v>
      </c>
      <c r="M14266" s="4" t="s">
        <v>3365</v>
      </c>
      <c r="N14266" s="4" t="s">
        <v>3368</v>
      </c>
    </row>
    <row r="14267">
      <c r="A14267" s="4">
        <v>721.0</v>
      </c>
      <c r="B14267" s="4" t="s">
        <v>22113</v>
      </c>
      <c r="C14267" s="4"/>
      <c r="D14267" s="4" t="s">
        <v>21647</v>
      </c>
      <c r="E14267" s="4" t="s">
        <v>21648</v>
      </c>
      <c r="F14267" s="4" t="s">
        <v>21647</v>
      </c>
    </row>
    <row r="14268">
      <c r="A14268" s="4">
        <v>722.0</v>
      </c>
      <c r="B14268" s="4" t="s">
        <v>22113</v>
      </c>
      <c r="C14268" s="4"/>
      <c r="D14268" s="4" t="s">
        <v>21649</v>
      </c>
      <c r="E14268" s="4" t="s">
        <v>21650</v>
      </c>
      <c r="F14268" s="4" t="s">
        <v>21649</v>
      </c>
    </row>
    <row r="14269">
      <c r="A14269" s="4">
        <v>723.0</v>
      </c>
      <c r="B14269" s="4" t="s">
        <v>22113</v>
      </c>
      <c r="C14269" s="4"/>
      <c r="D14269" s="4" t="s">
        <v>21651</v>
      </c>
      <c r="E14269" s="4" t="s">
        <v>21648</v>
      </c>
      <c r="F14269" s="4" t="s">
        <v>21647</v>
      </c>
    </row>
    <row r="14270">
      <c r="A14270" s="4">
        <v>724.0</v>
      </c>
      <c r="B14270" s="4" t="s">
        <v>22113</v>
      </c>
      <c r="C14270" s="4"/>
      <c r="D14270" s="4" t="s">
        <v>21652</v>
      </c>
      <c r="E14270" s="4" t="s">
        <v>21650</v>
      </c>
      <c r="F14270" s="4" t="s">
        <v>21649</v>
      </c>
    </row>
    <row r="14271">
      <c r="A14271" s="4">
        <v>725.0</v>
      </c>
      <c r="B14271" s="4" t="s">
        <v>22113</v>
      </c>
      <c r="C14271" s="4"/>
      <c r="D14271" s="4" t="s">
        <v>21653</v>
      </c>
      <c r="E14271" s="4" t="s">
        <v>21654</v>
      </c>
      <c r="F14271" s="4" t="s">
        <v>21653</v>
      </c>
    </row>
    <row r="14272">
      <c r="A14272" s="4">
        <v>726.0</v>
      </c>
      <c r="B14272" s="4" t="s">
        <v>22113</v>
      </c>
      <c r="C14272" s="4"/>
      <c r="D14272" s="4" t="s">
        <v>3595</v>
      </c>
      <c r="E14272" s="4" t="s">
        <v>3594</v>
      </c>
      <c r="F14272" s="4" t="s">
        <v>3595</v>
      </c>
    </row>
    <row r="14273">
      <c r="A14273" s="4">
        <v>727.0</v>
      </c>
      <c r="B14273" s="4" t="s">
        <v>22113</v>
      </c>
      <c r="C14273" s="4"/>
      <c r="D14273" s="4" t="s">
        <v>395</v>
      </c>
      <c r="E14273" s="4" t="s">
        <v>394</v>
      </c>
      <c r="F14273" s="4" t="s">
        <v>395</v>
      </c>
      <c r="G14273" s="4"/>
      <c r="H14273" s="4" t="s">
        <v>395</v>
      </c>
      <c r="I14273" s="4" t="s">
        <v>3587</v>
      </c>
    </row>
    <row r="14274">
      <c r="A14274" s="4">
        <v>728.0</v>
      </c>
      <c r="B14274" s="4" t="s">
        <v>22113</v>
      </c>
      <c r="C14274" s="4"/>
      <c r="D14274" s="4" t="s">
        <v>14245</v>
      </c>
      <c r="E14274" s="4" t="s">
        <v>14246</v>
      </c>
      <c r="F14274" s="4" t="s">
        <v>14245</v>
      </c>
    </row>
    <row r="14275">
      <c r="A14275" s="4">
        <v>729.0</v>
      </c>
      <c r="B14275" s="4" t="s">
        <v>22113</v>
      </c>
      <c r="C14275" s="4"/>
      <c r="D14275" s="4" t="s">
        <v>5458</v>
      </c>
      <c r="E14275" s="4" t="s">
        <v>5457</v>
      </c>
      <c r="F14275" s="4" t="s">
        <v>5458</v>
      </c>
    </row>
    <row r="14276">
      <c r="A14276" s="4">
        <v>730.0</v>
      </c>
      <c r="B14276" s="4" t="s">
        <v>22113</v>
      </c>
      <c r="C14276" s="4"/>
      <c r="D14276" s="4" t="s">
        <v>3545</v>
      </c>
      <c r="E14276" s="4" t="s">
        <v>3544</v>
      </c>
      <c r="F14276" s="4" t="s">
        <v>3545</v>
      </c>
    </row>
    <row r="14277">
      <c r="A14277" s="4">
        <v>731.0</v>
      </c>
      <c r="B14277" s="4" t="s">
        <v>22113</v>
      </c>
      <c r="C14277" s="4"/>
      <c r="D14277" s="4" t="s">
        <v>3551</v>
      </c>
      <c r="E14277" s="4" t="s">
        <v>3550</v>
      </c>
      <c r="F14277" s="4" t="s">
        <v>3551</v>
      </c>
    </row>
    <row r="14278">
      <c r="A14278" s="4">
        <v>732.0</v>
      </c>
      <c r="B14278" s="4" t="s">
        <v>22113</v>
      </c>
      <c r="C14278" s="4"/>
      <c r="D14278" s="4" t="s">
        <v>21655</v>
      </c>
      <c r="E14278" s="4" t="s">
        <v>400</v>
      </c>
      <c r="F14278" s="4" t="s">
        <v>401</v>
      </c>
    </row>
    <row r="14279">
      <c r="A14279" s="4">
        <v>733.0</v>
      </c>
      <c r="B14279" s="4" t="s">
        <v>22113</v>
      </c>
      <c r="C14279" s="4"/>
      <c r="D14279" s="4" t="s">
        <v>21656</v>
      </c>
      <c r="E14279" s="4" t="s">
        <v>21657</v>
      </c>
      <c r="F14279" s="4" t="s">
        <v>21658</v>
      </c>
    </row>
    <row r="14280">
      <c r="A14280" s="4">
        <v>734.0</v>
      </c>
      <c r="B14280" s="4" t="s">
        <v>22113</v>
      </c>
      <c r="C14280" s="4"/>
      <c r="D14280" s="4" t="s">
        <v>21659</v>
      </c>
      <c r="E14280" s="4" t="s">
        <v>21660</v>
      </c>
      <c r="F14280" s="4" t="s">
        <v>21661</v>
      </c>
      <c r="G14280" s="4"/>
      <c r="H14280" s="4" t="s">
        <v>918</v>
      </c>
      <c r="I14280" s="4" t="s">
        <v>21662</v>
      </c>
      <c r="J14280" s="4" t="s">
        <v>8089</v>
      </c>
      <c r="K14280" s="4" t="s">
        <v>7116</v>
      </c>
      <c r="L14280" s="4" t="s">
        <v>8089</v>
      </c>
      <c r="M14280" s="4" t="s">
        <v>7224</v>
      </c>
    </row>
    <row r="14281">
      <c r="A14281" s="4">
        <v>735.0</v>
      </c>
      <c r="B14281" s="4" t="s">
        <v>22113</v>
      </c>
      <c r="C14281" s="4"/>
      <c r="D14281" s="4" t="s">
        <v>21663</v>
      </c>
      <c r="E14281" s="4" t="s">
        <v>21664</v>
      </c>
      <c r="F14281" s="4" t="s">
        <v>21663</v>
      </c>
    </row>
    <row r="14282">
      <c r="A14282" s="4">
        <v>736.0</v>
      </c>
      <c r="B14282" s="4" t="s">
        <v>22113</v>
      </c>
      <c r="C14282" s="4"/>
      <c r="D14282" s="4" t="s">
        <v>3678</v>
      </c>
      <c r="E14282" s="4" t="s">
        <v>3679</v>
      </c>
      <c r="F14282" s="4" t="s">
        <v>3678</v>
      </c>
    </row>
    <row r="14283">
      <c r="A14283" s="4">
        <v>737.0</v>
      </c>
      <c r="B14283" s="4" t="s">
        <v>22113</v>
      </c>
      <c r="C14283" s="4"/>
      <c r="D14283" s="4" t="s">
        <v>11028</v>
      </c>
      <c r="E14283" s="4" t="s">
        <v>21665</v>
      </c>
      <c r="F14283" s="4" t="s">
        <v>11028</v>
      </c>
    </row>
    <row r="14284">
      <c r="A14284" s="4">
        <v>738.0</v>
      </c>
      <c r="B14284" s="4" t="s">
        <v>22113</v>
      </c>
      <c r="C14284" s="4"/>
      <c r="D14284" s="4" t="s">
        <v>16232</v>
      </c>
      <c r="E14284" s="4" t="s">
        <v>16233</v>
      </c>
      <c r="F14284" s="4" t="s">
        <v>16232</v>
      </c>
    </row>
    <row r="14285">
      <c r="A14285" s="4">
        <v>739.0</v>
      </c>
      <c r="B14285" s="4" t="s">
        <v>22113</v>
      </c>
      <c r="C14285" s="4"/>
      <c r="D14285" s="4" t="s">
        <v>21666</v>
      </c>
      <c r="E14285" s="4" t="s">
        <v>21667</v>
      </c>
      <c r="F14285" s="4" t="s">
        <v>21666</v>
      </c>
    </row>
    <row r="14286">
      <c r="A14286" s="4">
        <v>740.0</v>
      </c>
      <c r="B14286" s="4" t="s">
        <v>22113</v>
      </c>
      <c r="C14286" s="4"/>
      <c r="D14286" s="4" t="s">
        <v>21668</v>
      </c>
      <c r="E14286" s="4" t="s">
        <v>21669</v>
      </c>
      <c r="F14286" s="4" t="s">
        <v>21668</v>
      </c>
    </row>
    <row r="14287">
      <c r="A14287" s="4">
        <v>741.0</v>
      </c>
      <c r="B14287" s="4" t="s">
        <v>22113</v>
      </c>
      <c r="C14287" s="4"/>
      <c r="D14287" s="4" t="s">
        <v>21670</v>
      </c>
      <c r="E14287" s="4" t="s">
        <v>21671</v>
      </c>
      <c r="F14287" s="4" t="s">
        <v>21670</v>
      </c>
    </row>
    <row r="14288">
      <c r="A14288" s="4">
        <v>742.0</v>
      </c>
      <c r="B14288" s="4" t="s">
        <v>22113</v>
      </c>
      <c r="C14288" s="4"/>
      <c r="D14288" s="4" t="s">
        <v>3748</v>
      </c>
      <c r="E14288" s="4" t="s">
        <v>3749</v>
      </c>
      <c r="F14288" s="4" t="s">
        <v>3748</v>
      </c>
    </row>
    <row r="14289">
      <c r="A14289" s="4">
        <v>743.0</v>
      </c>
      <c r="B14289" s="4" t="s">
        <v>22113</v>
      </c>
      <c r="C14289" s="4"/>
      <c r="D14289" s="4" t="s">
        <v>21672</v>
      </c>
      <c r="E14289" s="4" t="s">
        <v>21673</v>
      </c>
      <c r="F14289" s="4" t="s">
        <v>21672</v>
      </c>
    </row>
    <row r="14290">
      <c r="A14290" s="4">
        <v>744.0</v>
      </c>
      <c r="B14290" s="4" t="s">
        <v>22113</v>
      </c>
      <c r="C14290" s="4"/>
      <c r="D14290" s="4" t="s">
        <v>3773</v>
      </c>
      <c r="E14290" s="4" t="s">
        <v>3774</v>
      </c>
      <c r="F14290" s="4" t="s">
        <v>3773</v>
      </c>
      <c r="G14290" s="4"/>
      <c r="H14290" s="4" t="s">
        <v>3775</v>
      </c>
      <c r="I14290" s="4" t="s">
        <v>3776</v>
      </c>
      <c r="J14290" s="4" t="s">
        <v>3777</v>
      </c>
      <c r="K14290" s="4" t="s">
        <v>3778</v>
      </c>
      <c r="L14290" s="4" t="s">
        <v>3779</v>
      </c>
      <c r="M14290" s="4" t="s">
        <v>3780</v>
      </c>
      <c r="N14290" s="4" t="s">
        <v>3781</v>
      </c>
    </row>
    <row r="14291">
      <c r="A14291" s="4">
        <v>745.0</v>
      </c>
      <c r="B14291" s="4" t="s">
        <v>22113</v>
      </c>
      <c r="C14291" s="4"/>
      <c r="D14291" s="4" t="s">
        <v>21674</v>
      </c>
      <c r="E14291" s="4" t="s">
        <v>21675</v>
      </c>
      <c r="F14291" s="4" t="s">
        <v>21676</v>
      </c>
    </row>
    <row r="14292">
      <c r="A14292" s="4">
        <v>746.0</v>
      </c>
      <c r="B14292" s="4" t="s">
        <v>22113</v>
      </c>
      <c r="C14292" s="4"/>
      <c r="D14292" s="4" t="s">
        <v>3726</v>
      </c>
      <c r="E14292" s="4" t="s">
        <v>3725</v>
      </c>
      <c r="F14292" s="4" t="s">
        <v>3726</v>
      </c>
      <c r="G14292" s="4"/>
      <c r="H14292" s="4" t="s">
        <v>21677</v>
      </c>
      <c r="I14292" s="4" t="s">
        <v>21678</v>
      </c>
      <c r="J14292" s="4" t="s">
        <v>21679</v>
      </c>
      <c r="K14292" s="4" t="s">
        <v>3727</v>
      </c>
      <c r="L14292" s="4" t="s">
        <v>3728</v>
      </c>
    </row>
    <row r="14293">
      <c r="A14293" s="4">
        <v>747.0</v>
      </c>
      <c r="B14293" s="4" t="s">
        <v>22113</v>
      </c>
      <c r="C14293" s="4"/>
      <c r="D14293" s="4" t="s">
        <v>14250</v>
      </c>
      <c r="E14293" s="4" t="s">
        <v>14251</v>
      </c>
      <c r="F14293" s="4" t="s">
        <v>14250</v>
      </c>
    </row>
    <row r="14294">
      <c r="A14294" s="4">
        <v>748.0</v>
      </c>
      <c r="B14294" s="4" t="s">
        <v>22113</v>
      </c>
      <c r="C14294" s="4"/>
      <c r="D14294" s="4" t="s">
        <v>21680</v>
      </c>
      <c r="E14294" s="4" t="s">
        <v>21489</v>
      </c>
      <c r="F14294" s="4" t="s">
        <v>10884</v>
      </c>
      <c r="G14294" s="4"/>
      <c r="H14294" s="4" t="s">
        <v>14886</v>
      </c>
    </row>
    <row r="14295">
      <c r="A14295" s="4">
        <v>749.0</v>
      </c>
      <c r="B14295" s="4" t="s">
        <v>22113</v>
      </c>
      <c r="C14295" s="4"/>
      <c r="D14295" s="4" t="s">
        <v>21681</v>
      </c>
      <c r="E14295" s="4" t="s">
        <v>21682</v>
      </c>
      <c r="F14295" s="4" t="s">
        <v>21683</v>
      </c>
    </row>
    <row r="14296">
      <c r="A14296" s="4">
        <v>750.0</v>
      </c>
      <c r="B14296" s="4" t="s">
        <v>22113</v>
      </c>
      <c r="C14296" s="4"/>
      <c r="D14296" s="4" t="s">
        <v>21684</v>
      </c>
      <c r="E14296" s="4" t="s">
        <v>16855</v>
      </c>
      <c r="F14296" s="4" t="s">
        <v>13260</v>
      </c>
    </row>
    <row r="14297">
      <c r="A14297" s="4">
        <v>751.0</v>
      </c>
      <c r="B14297" s="4" t="s">
        <v>22113</v>
      </c>
      <c r="C14297" s="4"/>
      <c r="D14297" s="4" t="s">
        <v>21685</v>
      </c>
      <c r="E14297" s="4" t="s">
        <v>21686</v>
      </c>
      <c r="F14297" s="4" t="s">
        <v>21687</v>
      </c>
    </row>
    <row r="14298">
      <c r="A14298" s="4">
        <v>752.0</v>
      </c>
      <c r="B14298" s="4" t="s">
        <v>22113</v>
      </c>
      <c r="C14298" s="4"/>
      <c r="D14298" s="4" t="s">
        <v>21688</v>
      </c>
      <c r="E14298" s="4" t="s">
        <v>21689</v>
      </c>
      <c r="F14298" s="4" t="s">
        <v>21690</v>
      </c>
    </row>
    <row r="14299">
      <c r="A14299" s="4">
        <v>753.0</v>
      </c>
      <c r="B14299" s="4" t="s">
        <v>22113</v>
      </c>
      <c r="C14299" s="4"/>
      <c r="D14299" s="4" t="s">
        <v>21691</v>
      </c>
      <c r="E14299" s="4" t="s">
        <v>17767</v>
      </c>
      <c r="F14299" s="4" t="s">
        <v>17768</v>
      </c>
    </row>
    <row r="14300">
      <c r="A14300" s="4">
        <v>754.0</v>
      </c>
      <c r="B14300" s="4" t="s">
        <v>22113</v>
      </c>
      <c r="C14300" s="4"/>
      <c r="D14300" s="4" t="s">
        <v>21692</v>
      </c>
      <c r="E14300" s="4" t="s">
        <v>21693</v>
      </c>
      <c r="F14300" s="4" t="s">
        <v>21694</v>
      </c>
    </row>
    <row r="14301">
      <c r="A14301" s="4">
        <v>755.0</v>
      </c>
      <c r="B14301" s="4" t="s">
        <v>22113</v>
      </c>
      <c r="C14301" s="4"/>
      <c r="D14301" s="4" t="s">
        <v>3818</v>
      </c>
      <c r="E14301" s="4" t="s">
        <v>3819</v>
      </c>
      <c r="F14301" s="4" t="s">
        <v>3820</v>
      </c>
    </row>
    <row r="14302">
      <c r="A14302" s="4">
        <v>756.0</v>
      </c>
      <c r="B14302" s="4" t="s">
        <v>22113</v>
      </c>
      <c r="C14302" s="4"/>
      <c r="D14302" s="4" t="s">
        <v>21695</v>
      </c>
      <c r="E14302" s="4" t="s">
        <v>21190</v>
      </c>
      <c r="F14302" s="4" t="s">
        <v>21189</v>
      </c>
      <c r="G14302" s="4"/>
      <c r="H14302" s="4" t="s">
        <v>21696</v>
      </c>
    </row>
    <row r="14303">
      <c r="A14303" s="4">
        <v>757.0</v>
      </c>
      <c r="B14303" s="4" t="s">
        <v>22113</v>
      </c>
      <c r="C14303" s="4"/>
      <c r="D14303" s="4" t="s">
        <v>21697</v>
      </c>
      <c r="E14303" s="4" t="s">
        <v>21698</v>
      </c>
      <c r="F14303" s="4" t="s">
        <v>21699</v>
      </c>
    </row>
    <row r="14304">
      <c r="A14304" s="4">
        <v>758.0</v>
      </c>
      <c r="B14304" s="4" t="s">
        <v>22113</v>
      </c>
      <c r="C14304" s="4"/>
      <c r="D14304" s="4" t="s">
        <v>7357</v>
      </c>
      <c r="E14304" s="4" t="s">
        <v>7358</v>
      </c>
      <c r="F14304" s="4" t="s">
        <v>7359</v>
      </c>
      <c r="G14304" s="4"/>
      <c r="H14304" s="4" t="s">
        <v>7357</v>
      </c>
    </row>
    <row r="14305">
      <c r="A14305" s="4">
        <v>759.0</v>
      </c>
      <c r="B14305" s="4" t="s">
        <v>22113</v>
      </c>
      <c r="C14305" s="4"/>
      <c r="D14305" s="4" t="s">
        <v>21700</v>
      </c>
      <c r="E14305" s="4" t="s">
        <v>21701</v>
      </c>
      <c r="F14305" s="4" t="s">
        <v>21702</v>
      </c>
    </row>
    <row r="14306">
      <c r="A14306" s="4">
        <v>760.0</v>
      </c>
      <c r="B14306" s="4" t="s">
        <v>22113</v>
      </c>
      <c r="C14306" s="4"/>
      <c r="D14306" s="4" t="s">
        <v>21703</v>
      </c>
      <c r="E14306" s="4" t="s">
        <v>21704</v>
      </c>
      <c r="F14306" s="4" t="s">
        <v>21705</v>
      </c>
    </row>
    <row r="14307">
      <c r="A14307" s="4">
        <v>761.0</v>
      </c>
      <c r="B14307" s="4" t="s">
        <v>22113</v>
      </c>
      <c r="C14307" s="4"/>
      <c r="D14307" s="4" t="s">
        <v>3833</v>
      </c>
      <c r="E14307" s="4" t="s">
        <v>3834</v>
      </c>
      <c r="F14307" s="4" t="s">
        <v>3835</v>
      </c>
    </row>
    <row r="14308">
      <c r="A14308" s="4">
        <v>762.0</v>
      </c>
      <c r="B14308" s="4" t="s">
        <v>22113</v>
      </c>
      <c r="C14308" s="4"/>
      <c r="D14308" s="4" t="s">
        <v>3836</v>
      </c>
      <c r="E14308" s="4" t="s">
        <v>3837</v>
      </c>
      <c r="F14308" s="4" t="s">
        <v>3838</v>
      </c>
      <c r="G14308" s="4"/>
      <c r="H14308" s="4" t="s">
        <v>538</v>
      </c>
      <c r="I14308" s="4" t="s">
        <v>887</v>
      </c>
      <c r="J14308" s="4" t="s">
        <v>7928</v>
      </c>
      <c r="K14308" s="4" t="s">
        <v>7929</v>
      </c>
      <c r="L14308" s="4" t="s">
        <v>7928</v>
      </c>
      <c r="M14308" s="4" t="s">
        <v>21706</v>
      </c>
      <c r="N14308" s="4" t="s">
        <v>538</v>
      </c>
      <c r="O14308" s="4" t="s">
        <v>7928</v>
      </c>
      <c r="P14308" s="4" t="s">
        <v>21707</v>
      </c>
      <c r="Q14308" s="4" t="s">
        <v>4433</v>
      </c>
      <c r="R14308" s="4" t="s">
        <v>21708</v>
      </c>
      <c r="S14308" s="4" t="s">
        <v>21709</v>
      </c>
      <c r="T14308" s="4" t="s">
        <v>21710</v>
      </c>
      <c r="U14308" s="4" t="s">
        <v>21711</v>
      </c>
      <c r="V14308" s="4" t="s">
        <v>21712</v>
      </c>
      <c r="W14308" s="4" t="s">
        <v>21713</v>
      </c>
      <c r="X14308" s="4" t="s">
        <v>7187</v>
      </c>
      <c r="Y14308" s="4" t="s">
        <v>7187</v>
      </c>
      <c r="Z14308" s="4" t="s">
        <v>4423</v>
      </c>
      <c r="AA14308" s="4" t="s">
        <v>887</v>
      </c>
      <c r="AB14308" s="4" t="s">
        <v>887</v>
      </c>
      <c r="AC14308" s="4" t="s">
        <v>14259</v>
      </c>
      <c r="AD14308" s="4" t="s">
        <v>538</v>
      </c>
      <c r="AE14308" s="4" t="s">
        <v>6299</v>
      </c>
      <c r="AF14308" s="4" t="s">
        <v>6300</v>
      </c>
      <c r="AG14308" s="4" t="s">
        <v>6301</v>
      </c>
      <c r="AH14308" s="4" t="s">
        <v>6302</v>
      </c>
      <c r="AI14308" s="4" t="s">
        <v>6303</v>
      </c>
      <c r="AJ14308" s="4" t="s">
        <v>6304</v>
      </c>
      <c r="AK14308" s="4" t="s">
        <v>6305</v>
      </c>
      <c r="AL14308" s="4" t="s">
        <v>6278</v>
      </c>
      <c r="AM14308" s="4" t="s">
        <v>6306</v>
      </c>
      <c r="AN14308" s="4" t="s">
        <v>6307</v>
      </c>
      <c r="AO14308" s="4" t="s">
        <v>6308</v>
      </c>
      <c r="AP14308" s="4" t="s">
        <v>1800</v>
      </c>
      <c r="AQ14308" s="4" t="s">
        <v>7929</v>
      </c>
      <c r="AR14308" s="4" t="s">
        <v>3414</v>
      </c>
      <c r="AS14308" s="4" t="s">
        <v>7308</v>
      </c>
      <c r="AT14308" s="4" t="s">
        <v>21714</v>
      </c>
      <c r="AU14308" s="4" t="s">
        <v>19735</v>
      </c>
      <c r="AV14308" s="4" t="s">
        <v>11591</v>
      </c>
      <c r="AW14308" s="4" t="s">
        <v>538</v>
      </c>
      <c r="AX14308" s="4" t="s">
        <v>7308</v>
      </c>
      <c r="AY14308" s="4" t="s">
        <v>14260</v>
      </c>
      <c r="AZ14308" s="4" t="s">
        <v>538</v>
      </c>
    </row>
    <row r="14309">
      <c r="A14309" s="4">
        <v>763.0</v>
      </c>
      <c r="B14309" s="4" t="s">
        <v>22113</v>
      </c>
      <c r="C14309" s="4"/>
      <c r="D14309" s="4" t="s">
        <v>3839</v>
      </c>
      <c r="E14309" s="4" t="s">
        <v>3840</v>
      </c>
      <c r="F14309" s="4" t="s">
        <v>3841</v>
      </c>
      <c r="G14309" s="4"/>
      <c r="H14309" s="4" t="s">
        <v>3842</v>
      </c>
    </row>
    <row r="14310">
      <c r="A14310" s="4">
        <v>764.0</v>
      </c>
      <c r="B14310" s="4" t="s">
        <v>22113</v>
      </c>
      <c r="C14310" s="4"/>
      <c r="D14310" s="4" t="s">
        <v>3854</v>
      </c>
      <c r="E14310" s="4" t="s">
        <v>3855</v>
      </c>
      <c r="F14310" s="4" t="s">
        <v>3856</v>
      </c>
      <c r="G14310" s="4"/>
      <c r="H14310" s="4" t="s">
        <v>3857</v>
      </c>
      <c r="I14310" s="4" t="s">
        <v>3858</v>
      </c>
      <c r="J14310" s="4" t="s">
        <v>3857</v>
      </c>
      <c r="K14310" s="4" t="s">
        <v>3859</v>
      </c>
      <c r="L14310" s="4" t="s">
        <v>3860</v>
      </c>
    </row>
    <row r="14311">
      <c r="A14311" s="4">
        <v>765.0</v>
      </c>
      <c r="B14311" s="4" t="s">
        <v>22113</v>
      </c>
      <c r="C14311" s="4"/>
      <c r="D14311" s="4" t="s">
        <v>21715</v>
      </c>
      <c r="E14311" s="4" t="s">
        <v>3880</v>
      </c>
      <c r="F14311" s="4" t="s">
        <v>3881</v>
      </c>
    </row>
    <row r="14312">
      <c r="A14312" s="4">
        <v>766.0</v>
      </c>
      <c r="B14312" s="4" t="s">
        <v>22113</v>
      </c>
      <c r="C14312" s="4"/>
      <c r="D14312" s="4" t="s">
        <v>14253</v>
      </c>
      <c r="E14312" s="4" t="s">
        <v>14254</v>
      </c>
      <c r="F14312" s="4" t="s">
        <v>14255</v>
      </c>
      <c r="G14312" s="4"/>
      <c r="H14312" s="4" t="s">
        <v>538</v>
      </c>
      <c r="I14312" s="4" t="s">
        <v>887</v>
      </c>
      <c r="J14312" s="4" t="s">
        <v>7928</v>
      </c>
      <c r="K14312" s="4" t="s">
        <v>7929</v>
      </c>
      <c r="L14312" s="4" t="s">
        <v>3414</v>
      </c>
      <c r="M14312" s="4" t="s">
        <v>21716</v>
      </c>
      <c r="N14312" s="4" t="s">
        <v>21717</v>
      </c>
      <c r="O14312" s="4" t="s">
        <v>21718</v>
      </c>
      <c r="P14312" s="4" t="s">
        <v>16209</v>
      </c>
      <c r="Q14312" s="4" t="s">
        <v>7316</v>
      </c>
      <c r="R14312" s="4" t="s">
        <v>7308</v>
      </c>
      <c r="S14312" s="4" t="s">
        <v>14993</v>
      </c>
      <c r="T14312" s="4" t="s">
        <v>14258</v>
      </c>
      <c r="U14312" s="4" t="s">
        <v>14994</v>
      </c>
      <c r="V14312" s="4" t="s">
        <v>8878</v>
      </c>
      <c r="W14312" s="4" t="s">
        <v>3379</v>
      </c>
      <c r="X14312" s="4" t="s">
        <v>16894</v>
      </c>
      <c r="Y14312" s="4" t="s">
        <v>1437</v>
      </c>
      <c r="Z14312" s="4" t="s">
        <v>16026</v>
      </c>
      <c r="AA14312" s="4" t="s">
        <v>14258</v>
      </c>
      <c r="AB14312" s="4" t="s">
        <v>21719</v>
      </c>
      <c r="AC14312" s="4" t="s">
        <v>3414</v>
      </c>
      <c r="AD14312" s="4" t="s">
        <v>5158</v>
      </c>
      <c r="AE14312" s="4" t="s">
        <v>21720</v>
      </c>
      <c r="AF14312" s="4" t="s">
        <v>21721</v>
      </c>
      <c r="AG14312" s="4" t="s">
        <v>21722</v>
      </c>
      <c r="AH14312" s="4" t="s">
        <v>14258</v>
      </c>
      <c r="AI14312" s="4" t="s">
        <v>7307</v>
      </c>
      <c r="AJ14312" s="4" t="s">
        <v>4276</v>
      </c>
      <c r="AK14312" s="4" t="s">
        <v>5964</v>
      </c>
      <c r="AL14312" s="4" t="s">
        <v>21723</v>
      </c>
      <c r="AM14312" s="4" t="s">
        <v>1800</v>
      </c>
      <c r="AN14312" s="4" t="s">
        <v>21724</v>
      </c>
      <c r="AO14312" s="4" t="s">
        <v>14258</v>
      </c>
      <c r="AP14312" s="4" t="s">
        <v>21725</v>
      </c>
      <c r="AQ14312" s="4" t="s">
        <v>21726</v>
      </c>
      <c r="AR14312" s="4" t="s">
        <v>8416</v>
      </c>
      <c r="AS14312" s="4" t="s">
        <v>21727</v>
      </c>
      <c r="AT14312" s="4" t="s">
        <v>21728</v>
      </c>
      <c r="AU14312" s="4" t="s">
        <v>21729</v>
      </c>
      <c r="AV14312" s="4" t="s">
        <v>21730</v>
      </c>
      <c r="AW14312" s="4" t="s">
        <v>6291</v>
      </c>
      <c r="AX14312" s="4" t="s">
        <v>21131</v>
      </c>
      <c r="AY14312" s="4" t="s">
        <v>21132</v>
      </c>
      <c r="AZ14312" s="4" t="s">
        <v>21133</v>
      </c>
      <c r="BA14312" s="4" t="s">
        <v>21731</v>
      </c>
      <c r="BB14312" s="4" t="s">
        <v>20370</v>
      </c>
      <c r="BC14312" s="4" t="s">
        <v>21732</v>
      </c>
      <c r="BD14312" s="4" t="s">
        <v>7316</v>
      </c>
      <c r="BE14312" s="4" t="s">
        <v>7318</v>
      </c>
      <c r="BF14312" s="4" t="s">
        <v>21733</v>
      </c>
      <c r="BG14312" s="4" t="s">
        <v>21734</v>
      </c>
      <c r="BH14312" s="4" t="s">
        <v>21735</v>
      </c>
      <c r="BI14312" s="4" t="s">
        <v>21736</v>
      </c>
      <c r="BJ14312" s="4" t="s">
        <v>21737</v>
      </c>
      <c r="BK14312" s="4" t="s">
        <v>21738</v>
      </c>
      <c r="BL14312" s="4" t="s">
        <v>21739</v>
      </c>
      <c r="BM14312" s="4" t="s">
        <v>21740</v>
      </c>
      <c r="BN14312" s="4" t="s">
        <v>21741</v>
      </c>
      <c r="BO14312" s="4" t="s">
        <v>3414</v>
      </c>
      <c r="BP14312" s="4" t="s">
        <v>4433</v>
      </c>
      <c r="BQ14312" s="4" t="s">
        <v>7306</v>
      </c>
      <c r="BR14312" s="4" t="s">
        <v>7307</v>
      </c>
      <c r="BS14312" s="4" t="s">
        <v>7308</v>
      </c>
      <c r="BT14312" s="4" t="s">
        <v>14256</v>
      </c>
      <c r="BU14312" s="4" t="s">
        <v>14257</v>
      </c>
      <c r="BV14312" s="4" t="s">
        <v>14258</v>
      </c>
      <c r="BW14312" s="4" t="s">
        <v>7946</v>
      </c>
      <c r="BX14312" s="4" t="s">
        <v>884</v>
      </c>
      <c r="BY14312" s="4" t="s">
        <v>21742</v>
      </c>
      <c r="BZ14312" s="4" t="s">
        <v>10345</v>
      </c>
      <c r="CA14312" s="4" t="s">
        <v>7929</v>
      </c>
      <c r="CB14312" s="4" t="s">
        <v>3414</v>
      </c>
      <c r="CC14312" s="4" t="s">
        <v>7308</v>
      </c>
      <c r="CD14312" s="4" t="s">
        <v>21714</v>
      </c>
      <c r="CE14312" s="4" t="s">
        <v>538</v>
      </c>
      <c r="CF14312" s="4" t="s">
        <v>7308</v>
      </c>
      <c r="CG14312" s="4" t="s">
        <v>14260</v>
      </c>
      <c r="CH14312" s="4" t="s">
        <v>538</v>
      </c>
    </row>
    <row r="14313">
      <c r="A14313" s="4">
        <v>767.0</v>
      </c>
      <c r="B14313" s="4" t="s">
        <v>22113</v>
      </c>
      <c r="C14313" s="4"/>
      <c r="D14313" s="4" t="s">
        <v>3872</v>
      </c>
      <c r="E14313" s="4" t="s">
        <v>3873</v>
      </c>
      <c r="F14313" s="4" t="s">
        <v>3874</v>
      </c>
    </row>
    <row r="14314">
      <c r="A14314" s="4">
        <v>768.0</v>
      </c>
      <c r="B14314" s="4" t="s">
        <v>22113</v>
      </c>
      <c r="C14314" s="4"/>
      <c r="D14314" s="4" t="s">
        <v>21743</v>
      </c>
      <c r="E14314" s="4" t="s">
        <v>21744</v>
      </c>
      <c r="F14314" s="4" t="s">
        <v>21745</v>
      </c>
    </row>
    <row r="14315">
      <c r="A14315" s="4">
        <v>769.0</v>
      </c>
      <c r="B14315" s="4" t="s">
        <v>22113</v>
      </c>
      <c r="C14315" s="4"/>
      <c r="D14315" s="4" t="s">
        <v>21746</v>
      </c>
      <c r="E14315" s="4" t="s">
        <v>18638</v>
      </c>
      <c r="F14315" s="4" t="s">
        <v>3881</v>
      </c>
    </row>
    <row r="14316">
      <c r="A14316" s="4">
        <v>770.0</v>
      </c>
      <c r="B14316" s="4" t="s">
        <v>22113</v>
      </c>
      <c r="C14316" s="4"/>
      <c r="D14316" s="4" t="s">
        <v>21747</v>
      </c>
      <c r="E14316" s="4" t="s">
        <v>21748</v>
      </c>
      <c r="F14316" s="4" t="s">
        <v>14255</v>
      </c>
      <c r="G14316" s="4"/>
      <c r="H14316" s="4" t="s">
        <v>21749</v>
      </c>
    </row>
    <row r="14317">
      <c r="A14317" s="4">
        <v>771.0</v>
      </c>
      <c r="B14317" s="4" t="s">
        <v>22113</v>
      </c>
      <c r="C14317" s="4"/>
      <c r="D14317" s="4" t="s">
        <v>3882</v>
      </c>
      <c r="E14317" s="4" t="s">
        <v>3883</v>
      </c>
      <c r="F14317" s="4" t="s">
        <v>3882</v>
      </c>
      <c r="G14317" s="4"/>
      <c r="H14317" s="4" t="s">
        <v>3887</v>
      </c>
      <c r="I14317" s="4" t="s">
        <v>3888</v>
      </c>
      <c r="J14317" s="4" t="s">
        <v>3889</v>
      </c>
      <c r="K14317" s="4" t="s">
        <v>3887</v>
      </c>
    </row>
    <row r="14318">
      <c r="A14318" s="4">
        <v>772.0</v>
      </c>
      <c r="B14318" s="4" t="s">
        <v>22113</v>
      </c>
      <c r="C14318" s="4"/>
      <c r="D14318" s="4" t="s">
        <v>3890</v>
      </c>
      <c r="E14318" s="4" t="s">
        <v>3891</v>
      </c>
      <c r="F14318" s="4" t="s">
        <v>3890</v>
      </c>
      <c r="G14318" s="4"/>
      <c r="H14318" s="4" t="s">
        <v>3892</v>
      </c>
      <c r="I14318" s="4" t="s">
        <v>3897</v>
      </c>
      <c r="J14318" s="4" t="s">
        <v>3898</v>
      </c>
      <c r="K14318" s="4" t="s">
        <v>11404</v>
      </c>
      <c r="L14318" s="4" t="s">
        <v>3736</v>
      </c>
      <c r="M14318" s="4" t="s">
        <v>3899</v>
      </c>
    </row>
    <row r="14319">
      <c r="A14319" s="4">
        <v>773.0</v>
      </c>
      <c r="B14319" s="4" t="s">
        <v>22113</v>
      </c>
      <c r="C14319" s="4"/>
      <c r="D14319" s="4" t="s">
        <v>3902</v>
      </c>
      <c r="E14319" s="4" t="s">
        <v>3903</v>
      </c>
      <c r="F14319" s="4" t="s">
        <v>3902</v>
      </c>
    </row>
    <row r="14320">
      <c r="A14320" s="4">
        <v>774.0</v>
      </c>
      <c r="B14320" s="4" t="s">
        <v>22113</v>
      </c>
      <c r="C14320" s="4"/>
      <c r="D14320" s="4" t="s">
        <v>13564</v>
      </c>
      <c r="E14320" s="4" t="s">
        <v>21750</v>
      </c>
      <c r="F14320" s="4" t="s">
        <v>13564</v>
      </c>
    </row>
    <row r="14321">
      <c r="A14321" s="4">
        <v>775.0</v>
      </c>
      <c r="B14321" s="4" t="s">
        <v>22113</v>
      </c>
      <c r="C14321" s="4"/>
      <c r="D14321" s="4" t="s">
        <v>21751</v>
      </c>
      <c r="E14321" s="4" t="s">
        <v>21752</v>
      </c>
      <c r="F14321" s="4" t="s">
        <v>21751</v>
      </c>
      <c r="G14321" s="4"/>
      <c r="H14321" s="4" t="s">
        <v>21753</v>
      </c>
      <c r="I14321" s="4" t="s">
        <v>536</v>
      </c>
      <c r="J14321" s="4" t="s">
        <v>21754</v>
      </c>
      <c r="K14321" s="4" t="s">
        <v>21755</v>
      </c>
      <c r="L14321" s="4" t="s">
        <v>21756</v>
      </c>
      <c r="M14321" s="4" t="s">
        <v>8688</v>
      </c>
      <c r="N14321" s="4" t="s">
        <v>21757</v>
      </c>
      <c r="O14321" s="4" t="s">
        <v>15252</v>
      </c>
      <c r="P14321" s="4" t="s">
        <v>21758</v>
      </c>
      <c r="Q14321" s="4" t="s">
        <v>6680</v>
      </c>
      <c r="R14321" s="4" t="s">
        <v>8688</v>
      </c>
      <c r="S14321" s="4" t="s">
        <v>21759</v>
      </c>
      <c r="T14321" s="4" t="s">
        <v>8878</v>
      </c>
      <c r="U14321" s="4" t="s">
        <v>21759</v>
      </c>
      <c r="V14321" s="4" t="s">
        <v>8688</v>
      </c>
      <c r="W14321" s="4" t="s">
        <v>21760</v>
      </c>
      <c r="X14321" s="4" t="s">
        <v>644</v>
      </c>
      <c r="Y14321" s="4" t="s">
        <v>21761</v>
      </c>
      <c r="Z14321" s="4" t="s">
        <v>4502</v>
      </c>
      <c r="AA14321" s="4" t="s">
        <v>16145</v>
      </c>
      <c r="AB14321" s="4" t="s">
        <v>8688</v>
      </c>
      <c r="AC14321" s="4" t="s">
        <v>21762</v>
      </c>
      <c r="AD14321" s="4" t="s">
        <v>21763</v>
      </c>
      <c r="AE14321" s="4" t="s">
        <v>21764</v>
      </c>
      <c r="AF14321" s="4" t="s">
        <v>8688</v>
      </c>
      <c r="AG14321" s="4" t="s">
        <v>7641</v>
      </c>
      <c r="AH14321" s="4" t="s">
        <v>21765</v>
      </c>
      <c r="AI14321" s="4" t="s">
        <v>16012</v>
      </c>
      <c r="AJ14321" s="4" t="s">
        <v>21766</v>
      </c>
      <c r="AK14321" s="4" t="s">
        <v>16885</v>
      </c>
      <c r="AL14321" s="4" t="s">
        <v>21767</v>
      </c>
      <c r="AM14321" s="4" t="s">
        <v>21768</v>
      </c>
      <c r="AN14321" s="4" t="s">
        <v>21769</v>
      </c>
      <c r="AO14321" s="4" t="s">
        <v>643</v>
      </c>
      <c r="AP14321" s="4" t="s">
        <v>644</v>
      </c>
      <c r="AQ14321" s="4" t="s">
        <v>645</v>
      </c>
      <c r="AR14321" s="4" t="s">
        <v>21766</v>
      </c>
      <c r="AS14321" s="4" t="s">
        <v>2764</v>
      </c>
      <c r="AT14321" s="4" t="s">
        <v>21766</v>
      </c>
      <c r="AU14321" s="4" t="s">
        <v>7307</v>
      </c>
      <c r="AV14321" s="4" t="s">
        <v>643</v>
      </c>
      <c r="AW14321" s="4" t="s">
        <v>21770</v>
      </c>
      <c r="AX14321" s="4" t="s">
        <v>21771</v>
      </c>
      <c r="AY14321" s="4" t="s">
        <v>21772</v>
      </c>
      <c r="AZ14321" s="4" t="s">
        <v>21773</v>
      </c>
      <c r="BA14321" s="4" t="s">
        <v>21774</v>
      </c>
      <c r="BB14321" s="4" t="s">
        <v>21775</v>
      </c>
      <c r="BC14321" s="4" t="s">
        <v>1431</v>
      </c>
      <c r="BD14321" s="4" t="s">
        <v>21776</v>
      </c>
      <c r="BE14321" s="4" t="s">
        <v>21766</v>
      </c>
      <c r="BF14321" s="4" t="s">
        <v>1431</v>
      </c>
      <c r="BG14321" s="4" t="s">
        <v>6686</v>
      </c>
      <c r="BH14321" s="4" t="s">
        <v>4305</v>
      </c>
      <c r="BI14321" s="4" t="s">
        <v>20679</v>
      </c>
      <c r="BJ14321" s="4" t="s">
        <v>15196</v>
      </c>
      <c r="BK14321" s="4" t="s">
        <v>15474</v>
      </c>
      <c r="BL14321" s="4" t="s">
        <v>4146</v>
      </c>
      <c r="BM14321" s="4" t="s">
        <v>21095</v>
      </c>
      <c r="BN14321" s="4" t="s">
        <v>4445</v>
      </c>
      <c r="BO14321" s="4" t="s">
        <v>21767</v>
      </c>
    </row>
    <row r="14322">
      <c r="A14322" s="4">
        <v>776.0</v>
      </c>
      <c r="B14322" s="4" t="s">
        <v>22113</v>
      </c>
      <c r="C14322" s="4"/>
      <c r="D14322" s="4" t="s">
        <v>18602</v>
      </c>
      <c r="E14322" s="4" t="s">
        <v>21777</v>
      </c>
      <c r="F14322" s="4" t="s">
        <v>21778</v>
      </c>
    </row>
    <row r="14323">
      <c r="A14323" s="4">
        <v>777.0</v>
      </c>
      <c r="B14323" s="4" t="s">
        <v>22113</v>
      </c>
      <c r="C14323" s="4"/>
      <c r="D14323" s="4" t="s">
        <v>21779</v>
      </c>
      <c r="E14323" s="4" t="s">
        <v>3920</v>
      </c>
      <c r="F14323" s="4" t="s">
        <v>3921</v>
      </c>
    </row>
    <row r="14324">
      <c r="A14324" s="4">
        <v>778.0</v>
      </c>
      <c r="B14324" s="4" t="s">
        <v>22113</v>
      </c>
      <c r="C14324" s="4"/>
      <c r="D14324" s="4" t="s">
        <v>21780</v>
      </c>
      <c r="E14324" s="4" t="s">
        <v>21781</v>
      </c>
      <c r="F14324" s="4" t="s">
        <v>21782</v>
      </c>
    </row>
    <row r="14325">
      <c r="A14325" s="4">
        <v>779.0</v>
      </c>
      <c r="B14325" s="4" t="s">
        <v>22113</v>
      </c>
      <c r="C14325" s="4"/>
      <c r="D14325" s="4" t="s">
        <v>3937</v>
      </c>
      <c r="E14325" s="4" t="s">
        <v>3938</v>
      </c>
      <c r="F14325" s="4" t="s">
        <v>3937</v>
      </c>
    </row>
    <row r="14326">
      <c r="A14326" s="4">
        <v>780.0</v>
      </c>
      <c r="B14326" s="4" t="s">
        <v>22113</v>
      </c>
      <c r="C14326" s="4"/>
      <c r="D14326" s="4" t="s">
        <v>3939</v>
      </c>
      <c r="E14326" s="4" t="s">
        <v>3940</v>
      </c>
      <c r="F14326" s="4" t="s">
        <v>3939</v>
      </c>
    </row>
    <row r="14327">
      <c r="A14327" s="4">
        <v>781.0</v>
      </c>
      <c r="B14327" s="4" t="s">
        <v>22113</v>
      </c>
      <c r="C14327" s="4"/>
      <c r="D14327" s="4" t="s">
        <v>21783</v>
      </c>
      <c r="E14327" s="4" t="s">
        <v>21784</v>
      </c>
      <c r="F14327" s="4" t="s">
        <v>21783</v>
      </c>
    </row>
    <row r="14328">
      <c r="A14328" s="4">
        <v>782.0</v>
      </c>
      <c r="B14328" s="4" t="s">
        <v>22113</v>
      </c>
      <c r="C14328" s="4"/>
      <c r="D14328" s="4" t="s">
        <v>11123</v>
      </c>
      <c r="E14328" s="4" t="s">
        <v>13599</v>
      </c>
      <c r="F14328" s="4" t="s">
        <v>11123</v>
      </c>
    </row>
    <row r="14329">
      <c r="A14329" s="4">
        <v>783.0</v>
      </c>
      <c r="B14329" s="4" t="s">
        <v>22113</v>
      </c>
      <c r="C14329" s="4"/>
      <c r="D14329" s="4" t="s">
        <v>21785</v>
      </c>
      <c r="E14329" s="4" t="s">
        <v>21786</v>
      </c>
      <c r="F14329" s="4" t="s">
        <v>21785</v>
      </c>
      <c r="G14329" s="4"/>
      <c r="H14329" s="4" t="s">
        <v>21787</v>
      </c>
    </row>
    <row r="14330">
      <c r="A14330" s="4">
        <v>784.0</v>
      </c>
      <c r="B14330" s="4" t="s">
        <v>22113</v>
      </c>
      <c r="C14330" s="4"/>
      <c r="D14330" s="4" t="s">
        <v>21788</v>
      </c>
      <c r="E14330" s="4" t="s">
        <v>21789</v>
      </c>
      <c r="F14330" s="4" t="s">
        <v>21788</v>
      </c>
    </row>
    <row r="14331">
      <c r="A14331" s="4">
        <v>785.0</v>
      </c>
      <c r="B14331" s="4" t="s">
        <v>22113</v>
      </c>
      <c r="C14331" s="4"/>
      <c r="D14331" s="4" t="s">
        <v>21790</v>
      </c>
      <c r="E14331" s="4" t="s">
        <v>5755</v>
      </c>
      <c r="F14331" s="4" t="s">
        <v>5756</v>
      </c>
    </row>
    <row r="14332">
      <c r="A14332" s="4">
        <v>786.0</v>
      </c>
      <c r="B14332" s="4" t="s">
        <v>22113</v>
      </c>
      <c r="C14332" s="4"/>
      <c r="D14332" s="4" t="s">
        <v>3956</v>
      </c>
      <c r="E14332" s="4" t="s">
        <v>3957</v>
      </c>
      <c r="F14332" s="4" t="s">
        <v>3956</v>
      </c>
    </row>
    <row r="14333">
      <c r="A14333" s="4">
        <v>787.0</v>
      </c>
      <c r="B14333" s="4" t="s">
        <v>22113</v>
      </c>
      <c r="C14333" s="4"/>
      <c r="D14333" s="4" t="s">
        <v>3958</v>
      </c>
      <c r="E14333" s="4" t="s">
        <v>3959</v>
      </c>
      <c r="F14333" s="4" t="s">
        <v>3958</v>
      </c>
    </row>
    <row r="14334">
      <c r="A14334" s="4">
        <v>788.0</v>
      </c>
      <c r="B14334" s="4" t="s">
        <v>22113</v>
      </c>
      <c r="C14334" s="4"/>
      <c r="D14334" s="4" t="s">
        <v>21791</v>
      </c>
      <c r="E14334" s="4" t="s">
        <v>21792</v>
      </c>
      <c r="F14334" s="4" t="s">
        <v>21791</v>
      </c>
    </row>
    <row r="14335">
      <c r="A14335" s="4">
        <v>789.0</v>
      </c>
      <c r="B14335" s="4" t="s">
        <v>22113</v>
      </c>
      <c r="C14335" s="4"/>
      <c r="D14335" s="4" t="s">
        <v>21793</v>
      </c>
      <c r="E14335" s="4" t="s">
        <v>21794</v>
      </c>
      <c r="F14335" s="4" t="s">
        <v>21793</v>
      </c>
    </row>
    <row r="14336">
      <c r="A14336" s="4">
        <v>790.0</v>
      </c>
      <c r="B14336" s="4" t="s">
        <v>22113</v>
      </c>
      <c r="C14336" s="4"/>
      <c r="D14336" s="4" t="s">
        <v>21795</v>
      </c>
      <c r="E14336" s="4" t="s">
        <v>21792</v>
      </c>
      <c r="F14336" s="4" t="s">
        <v>21791</v>
      </c>
    </row>
    <row r="14337">
      <c r="A14337" s="4">
        <v>791.0</v>
      </c>
      <c r="B14337" s="4" t="s">
        <v>22113</v>
      </c>
      <c r="C14337" s="4"/>
      <c r="D14337" s="4" t="s">
        <v>21796</v>
      </c>
      <c r="E14337" s="4" t="s">
        <v>21794</v>
      </c>
      <c r="F14337" s="4" t="s">
        <v>21793</v>
      </c>
    </row>
    <row r="14338">
      <c r="A14338" s="4">
        <v>792.0</v>
      </c>
      <c r="B14338" s="4" t="s">
        <v>22113</v>
      </c>
      <c r="C14338" s="4"/>
      <c r="D14338" s="4" t="s">
        <v>21797</v>
      </c>
      <c r="E14338" s="4" t="s">
        <v>21798</v>
      </c>
      <c r="F14338" s="4" t="s">
        <v>21797</v>
      </c>
    </row>
    <row r="14339">
      <c r="A14339" s="4">
        <v>793.0</v>
      </c>
      <c r="B14339" s="4" t="s">
        <v>22113</v>
      </c>
      <c r="C14339" s="4"/>
      <c r="D14339" s="4" t="s">
        <v>21799</v>
      </c>
      <c r="E14339" s="4" t="s">
        <v>20265</v>
      </c>
      <c r="F14339" s="4" t="s">
        <v>20264</v>
      </c>
    </row>
    <row r="14340">
      <c r="A14340" s="4">
        <v>794.0</v>
      </c>
      <c r="B14340" s="4" t="s">
        <v>22113</v>
      </c>
      <c r="C14340" s="4"/>
      <c r="D14340" s="4" t="s">
        <v>21800</v>
      </c>
      <c r="E14340" s="4" t="s">
        <v>21801</v>
      </c>
      <c r="F14340" s="4" t="s">
        <v>21800</v>
      </c>
    </row>
    <row r="14341">
      <c r="A14341" s="4">
        <v>795.0</v>
      </c>
      <c r="B14341" s="4" t="s">
        <v>22113</v>
      </c>
      <c r="C14341" s="4"/>
      <c r="D14341" s="4" t="s">
        <v>21802</v>
      </c>
      <c r="E14341" s="4" t="s">
        <v>14710</v>
      </c>
      <c r="F14341" s="4" t="s">
        <v>14711</v>
      </c>
    </row>
    <row r="14342">
      <c r="A14342" s="4">
        <v>796.0</v>
      </c>
      <c r="B14342" s="4" t="s">
        <v>22113</v>
      </c>
      <c r="C14342" s="4"/>
      <c r="D14342" s="4" t="s">
        <v>401</v>
      </c>
      <c r="E14342" s="4" t="s">
        <v>400</v>
      </c>
      <c r="F14342" s="4" t="s">
        <v>401</v>
      </c>
      <c r="G14342" s="4"/>
      <c r="H14342" s="4" t="s">
        <v>422</v>
      </c>
      <c r="I14342" s="4" t="s">
        <v>3975</v>
      </c>
      <c r="J14342" s="4" t="s">
        <v>401</v>
      </c>
    </row>
    <row r="14343">
      <c r="A14343" s="4">
        <v>797.0</v>
      </c>
      <c r="B14343" s="4" t="s">
        <v>22113</v>
      </c>
      <c r="C14343" s="4"/>
      <c r="D14343" s="4" t="s">
        <v>21803</v>
      </c>
      <c r="E14343" s="4" t="s">
        <v>21804</v>
      </c>
      <c r="F14343" s="4" t="s">
        <v>21805</v>
      </c>
    </row>
    <row r="14344">
      <c r="A14344" s="4">
        <v>798.0</v>
      </c>
      <c r="B14344" s="4" t="s">
        <v>22113</v>
      </c>
      <c r="C14344" s="4"/>
      <c r="D14344" s="4" t="s">
        <v>21806</v>
      </c>
      <c r="E14344" s="4" t="s">
        <v>20267</v>
      </c>
      <c r="F14344" s="4" t="s">
        <v>7538</v>
      </c>
      <c r="G14344" s="4"/>
      <c r="H14344" s="4" t="s">
        <v>7576</v>
      </c>
      <c r="I14344" s="4" t="s">
        <v>7576</v>
      </c>
    </row>
    <row r="14345">
      <c r="A14345" s="4">
        <v>799.0</v>
      </c>
      <c r="B14345" s="4" t="s">
        <v>22113</v>
      </c>
      <c r="C14345" s="4"/>
      <c r="D14345" s="4" t="s">
        <v>1417</v>
      </c>
      <c r="E14345" s="4" t="s">
        <v>1416</v>
      </c>
      <c r="F14345" s="4" t="s">
        <v>1417</v>
      </c>
    </row>
    <row r="14346">
      <c r="A14346" s="4">
        <v>800.0</v>
      </c>
      <c r="B14346" s="4" t="s">
        <v>22113</v>
      </c>
      <c r="C14346" s="4"/>
      <c r="D14346" s="4" t="s">
        <v>21807</v>
      </c>
      <c r="E14346" s="4" t="s">
        <v>21808</v>
      </c>
      <c r="F14346" s="4" t="s">
        <v>21807</v>
      </c>
    </row>
    <row r="14347">
      <c r="A14347" s="4">
        <v>801.0</v>
      </c>
      <c r="B14347" s="4" t="s">
        <v>22113</v>
      </c>
      <c r="C14347" s="4"/>
      <c r="D14347" s="4" t="s">
        <v>3983</v>
      </c>
      <c r="E14347" s="4" t="s">
        <v>3989</v>
      </c>
      <c r="F14347" s="4" t="s">
        <v>3983</v>
      </c>
      <c r="G14347" s="4"/>
      <c r="H14347" s="4" t="s">
        <v>3988</v>
      </c>
      <c r="I14347" s="4" t="s">
        <v>3983</v>
      </c>
      <c r="J14347" s="4" t="s">
        <v>3986</v>
      </c>
      <c r="K14347" s="4" t="s">
        <v>3987</v>
      </c>
      <c r="L14347" s="4" t="s">
        <v>3983</v>
      </c>
      <c r="M14347" s="4" t="s">
        <v>3988</v>
      </c>
      <c r="N14347" s="4" t="s">
        <v>3983</v>
      </c>
      <c r="O14347" s="4" t="s">
        <v>3983</v>
      </c>
    </row>
    <row r="14348">
      <c r="A14348" s="4">
        <v>802.0</v>
      </c>
      <c r="B14348" s="4" t="s">
        <v>22113</v>
      </c>
      <c r="C14348" s="4"/>
      <c r="D14348" s="4" t="s">
        <v>3990</v>
      </c>
      <c r="E14348" s="4" t="s">
        <v>4001</v>
      </c>
      <c r="F14348" s="4" t="s">
        <v>3990</v>
      </c>
      <c r="G14348" s="4"/>
      <c r="H14348" s="4" t="s">
        <v>3993</v>
      </c>
      <c r="I14348" s="4" t="s">
        <v>3994</v>
      </c>
      <c r="J14348" s="4" t="s">
        <v>3995</v>
      </c>
      <c r="K14348" s="4" t="s">
        <v>3996</v>
      </c>
      <c r="L14348" s="4" t="s">
        <v>3997</v>
      </c>
      <c r="M14348" s="4" t="s">
        <v>3998</v>
      </c>
      <c r="N14348" s="4" t="s">
        <v>3999</v>
      </c>
      <c r="O14348" s="4" t="s">
        <v>4000</v>
      </c>
      <c r="P14348" s="4" t="s">
        <v>1911</v>
      </c>
      <c r="Q14348" s="4" t="s">
        <v>883</v>
      </c>
      <c r="R14348" s="4" t="s">
        <v>3997</v>
      </c>
      <c r="S14348" s="4" t="s">
        <v>3996</v>
      </c>
      <c r="T14348" s="4" t="s">
        <v>21809</v>
      </c>
    </row>
    <row r="14349">
      <c r="A14349" s="4">
        <v>803.0</v>
      </c>
      <c r="B14349" s="4" t="s">
        <v>22113</v>
      </c>
      <c r="C14349" s="4"/>
      <c r="D14349" s="4" t="s">
        <v>21810</v>
      </c>
      <c r="E14349" s="4" t="s">
        <v>13669</v>
      </c>
      <c r="F14349" s="4" t="s">
        <v>13670</v>
      </c>
      <c r="G14349" s="4"/>
      <c r="H14349" s="4" t="s">
        <v>13671</v>
      </c>
      <c r="I14349" s="4" t="s">
        <v>13672</v>
      </c>
      <c r="J14349" s="4" t="s">
        <v>13673</v>
      </c>
    </row>
    <row r="14350">
      <c r="A14350" s="4">
        <v>804.0</v>
      </c>
      <c r="B14350" s="4" t="s">
        <v>22113</v>
      </c>
      <c r="C14350" s="4"/>
      <c r="D14350" s="4" t="s">
        <v>404</v>
      </c>
      <c r="E14350" s="4" t="s">
        <v>403</v>
      </c>
      <c r="F14350" s="4" t="s">
        <v>404</v>
      </c>
    </row>
    <row r="14351">
      <c r="A14351" s="4">
        <v>805.0</v>
      </c>
      <c r="B14351" s="4" t="s">
        <v>22113</v>
      </c>
      <c r="C14351" s="4"/>
      <c r="D14351" s="4" t="s">
        <v>21811</v>
      </c>
      <c r="E14351" s="4" t="s">
        <v>21812</v>
      </c>
      <c r="F14351" s="4" t="s">
        <v>21811</v>
      </c>
      <c r="G14351" s="4"/>
      <c r="H14351" s="4" t="s">
        <v>21811</v>
      </c>
    </row>
    <row r="14352">
      <c r="A14352" s="4">
        <v>806.0</v>
      </c>
      <c r="B14352" s="4" t="s">
        <v>22113</v>
      </c>
      <c r="C14352" s="4"/>
      <c r="D14352" s="4" t="s">
        <v>7626</v>
      </c>
      <c r="E14352" s="4" t="s">
        <v>12179</v>
      </c>
      <c r="F14352" s="4" t="s">
        <v>7626</v>
      </c>
    </row>
    <row r="14353">
      <c r="A14353" s="4">
        <v>807.0</v>
      </c>
      <c r="B14353" s="4" t="s">
        <v>22113</v>
      </c>
      <c r="C14353" s="4"/>
      <c r="D14353" s="4" t="s">
        <v>21813</v>
      </c>
      <c r="E14353" s="4" t="s">
        <v>21814</v>
      </c>
      <c r="F14353" s="4" t="s">
        <v>21813</v>
      </c>
    </row>
    <row r="14354">
      <c r="A14354" s="4">
        <v>808.0</v>
      </c>
      <c r="B14354" s="4" t="s">
        <v>22113</v>
      </c>
      <c r="C14354" s="4"/>
      <c r="D14354" s="4" t="s">
        <v>21815</v>
      </c>
      <c r="E14354" s="4" t="s">
        <v>21816</v>
      </c>
      <c r="F14354" s="4" t="s">
        <v>21815</v>
      </c>
    </row>
    <row r="14355">
      <c r="A14355" s="4">
        <v>809.0</v>
      </c>
      <c r="B14355" s="4" t="s">
        <v>22113</v>
      </c>
      <c r="C14355" s="4"/>
      <c r="D14355" s="4" t="s">
        <v>16283</v>
      </c>
      <c r="E14355" s="4" t="s">
        <v>16284</v>
      </c>
      <c r="F14355" s="4" t="s">
        <v>16283</v>
      </c>
    </row>
    <row r="14356">
      <c r="A14356" s="4">
        <v>810.0</v>
      </c>
      <c r="B14356" s="4" t="s">
        <v>22113</v>
      </c>
      <c r="C14356" s="4"/>
      <c r="D14356" s="4" t="s">
        <v>21817</v>
      </c>
      <c r="E14356" s="4" t="s">
        <v>21818</v>
      </c>
      <c r="F14356" s="4" t="s">
        <v>21817</v>
      </c>
    </row>
    <row r="14357">
      <c r="A14357" s="4">
        <v>811.0</v>
      </c>
      <c r="B14357" s="4" t="s">
        <v>22113</v>
      </c>
      <c r="C14357" s="4"/>
      <c r="D14357" s="4" t="s">
        <v>8717</v>
      </c>
      <c r="E14357" s="4" t="s">
        <v>8716</v>
      </c>
      <c r="F14357" s="4" t="s">
        <v>8717</v>
      </c>
    </row>
    <row r="14358">
      <c r="A14358" s="4">
        <v>812.0</v>
      </c>
      <c r="B14358" s="4" t="s">
        <v>22113</v>
      </c>
      <c r="C14358" s="4"/>
      <c r="D14358" s="4" t="s">
        <v>4118</v>
      </c>
      <c r="E14358" s="4" t="s">
        <v>4119</v>
      </c>
      <c r="F14358" s="4" t="s">
        <v>4118</v>
      </c>
      <c r="G14358" s="4"/>
      <c r="H14358" s="4" t="s">
        <v>4120</v>
      </c>
      <c r="I14358" s="4" t="s">
        <v>4121</v>
      </c>
      <c r="J14358" s="4" t="s">
        <v>4122</v>
      </c>
      <c r="K14358" s="4" t="s">
        <v>4123</v>
      </c>
      <c r="L14358" s="4" t="s">
        <v>4125</v>
      </c>
      <c r="M14358" s="4" t="s">
        <v>4553</v>
      </c>
      <c r="N14358" s="4" t="s">
        <v>4554</v>
      </c>
      <c r="O14358" s="4" t="s">
        <v>4123</v>
      </c>
      <c r="P14358" s="4" t="s">
        <v>4124</v>
      </c>
      <c r="Q14358" s="4" t="s">
        <v>4125</v>
      </c>
      <c r="R14358" s="4" t="s">
        <v>4123</v>
      </c>
      <c r="S14358" s="4" t="s">
        <v>4120</v>
      </c>
      <c r="T14358" s="4" t="s">
        <v>4126</v>
      </c>
      <c r="U14358" s="4" t="s">
        <v>4123</v>
      </c>
      <c r="V14358" s="4" t="s">
        <v>4127</v>
      </c>
      <c r="W14358" s="4" t="s">
        <v>4124</v>
      </c>
      <c r="X14358" s="4" t="s">
        <v>4128</v>
      </c>
    </row>
    <row r="14359">
      <c r="A14359" s="4">
        <v>813.0</v>
      </c>
      <c r="B14359" s="4" t="s">
        <v>22113</v>
      </c>
      <c r="C14359" s="4"/>
      <c r="D14359" s="4" t="s">
        <v>21819</v>
      </c>
      <c r="E14359" s="4" t="s">
        <v>21820</v>
      </c>
      <c r="F14359" s="4" t="s">
        <v>21819</v>
      </c>
    </row>
    <row r="14360">
      <c r="A14360" s="4">
        <v>814.0</v>
      </c>
      <c r="B14360" s="4" t="s">
        <v>22113</v>
      </c>
      <c r="C14360" s="4"/>
      <c r="D14360" s="4" t="s">
        <v>21821</v>
      </c>
      <c r="E14360" s="4" t="s">
        <v>21822</v>
      </c>
      <c r="F14360" s="4" t="s">
        <v>21821</v>
      </c>
    </row>
    <row r="14361">
      <c r="A14361" s="4">
        <v>815.0</v>
      </c>
      <c r="B14361" s="4" t="s">
        <v>22113</v>
      </c>
      <c r="C14361" s="4"/>
      <c r="D14361" s="4" t="s">
        <v>21823</v>
      </c>
      <c r="E14361" s="4" t="s">
        <v>21824</v>
      </c>
      <c r="F14361" s="4" t="s">
        <v>21823</v>
      </c>
    </row>
    <row r="14362">
      <c r="A14362" s="4">
        <v>816.0</v>
      </c>
      <c r="B14362" s="4" t="s">
        <v>22113</v>
      </c>
      <c r="C14362" s="4"/>
      <c r="D14362" s="4" t="s">
        <v>21825</v>
      </c>
      <c r="E14362" s="4" t="s">
        <v>7656</v>
      </c>
      <c r="F14362" s="4" t="s">
        <v>7650</v>
      </c>
    </row>
    <row r="14363">
      <c r="A14363" s="4">
        <v>817.0</v>
      </c>
      <c r="B14363" s="4" t="s">
        <v>22113</v>
      </c>
      <c r="C14363" s="4"/>
      <c r="D14363" s="4" t="s">
        <v>4152</v>
      </c>
      <c r="E14363" s="4" t="s">
        <v>4153</v>
      </c>
      <c r="F14363" s="4" t="s">
        <v>4152</v>
      </c>
    </row>
    <row r="14364">
      <c r="A14364" s="4">
        <v>818.0</v>
      </c>
      <c r="B14364" s="4" t="s">
        <v>22113</v>
      </c>
      <c r="C14364" s="4"/>
      <c r="D14364" s="4" t="s">
        <v>21826</v>
      </c>
      <c r="E14364" s="4" t="s">
        <v>21827</v>
      </c>
      <c r="F14364" s="4" t="s">
        <v>21826</v>
      </c>
      <c r="G14364" s="4"/>
      <c r="H14364" s="4" t="s">
        <v>21828</v>
      </c>
      <c r="I14364" s="4" t="s">
        <v>21829</v>
      </c>
      <c r="J14364" s="4" t="s">
        <v>21830</v>
      </c>
      <c r="K14364" s="4" t="s">
        <v>21831</v>
      </c>
      <c r="L14364" s="4" t="s">
        <v>3632</v>
      </c>
      <c r="M14364" s="4" t="s">
        <v>21832</v>
      </c>
      <c r="N14364" s="4" t="s">
        <v>20604</v>
      </c>
    </row>
    <row r="14365">
      <c r="A14365" s="4">
        <v>819.0</v>
      </c>
      <c r="B14365" s="4" t="s">
        <v>22113</v>
      </c>
      <c r="C14365" s="4"/>
      <c r="D14365" s="4" t="s">
        <v>21833</v>
      </c>
      <c r="E14365" s="4" t="s">
        <v>21834</v>
      </c>
      <c r="F14365" s="4" t="s">
        <v>21833</v>
      </c>
      <c r="G14365" s="4"/>
      <c r="H14365" s="4" t="s">
        <v>21835</v>
      </c>
      <c r="I14365" s="4" t="s">
        <v>20165</v>
      </c>
      <c r="J14365" s="4" t="s">
        <v>21836</v>
      </c>
      <c r="K14365" s="4" t="s">
        <v>21837</v>
      </c>
      <c r="L14365" s="4" t="s">
        <v>21838</v>
      </c>
    </row>
    <row r="14366">
      <c r="A14366" s="4">
        <v>820.0</v>
      </c>
      <c r="B14366" s="4" t="s">
        <v>22113</v>
      </c>
      <c r="C14366" s="4"/>
      <c r="D14366" s="4" t="s">
        <v>21839</v>
      </c>
      <c r="E14366" s="4" t="s">
        <v>21840</v>
      </c>
      <c r="F14366" s="4" t="s">
        <v>21839</v>
      </c>
    </row>
    <row r="14367">
      <c r="A14367" s="4">
        <v>821.0</v>
      </c>
      <c r="B14367" s="4" t="s">
        <v>22113</v>
      </c>
      <c r="C14367" s="4"/>
      <c r="D14367" s="4" t="s">
        <v>4172</v>
      </c>
      <c r="E14367" s="4" t="s">
        <v>4173</v>
      </c>
      <c r="F14367" s="4" t="s">
        <v>4172</v>
      </c>
      <c r="G14367" s="4"/>
      <c r="H14367" s="4" t="s">
        <v>5560</v>
      </c>
      <c r="I14367" s="4" t="s">
        <v>5561</v>
      </c>
      <c r="J14367" s="4" t="s">
        <v>5562</v>
      </c>
      <c r="K14367" s="4" t="s">
        <v>5563</v>
      </c>
      <c r="L14367" s="4" t="s">
        <v>5564</v>
      </c>
    </row>
    <row r="14368">
      <c r="A14368" s="4">
        <v>822.0</v>
      </c>
      <c r="B14368" s="4" t="s">
        <v>22113</v>
      </c>
      <c r="C14368" s="4"/>
      <c r="D14368" s="4" t="s">
        <v>11292</v>
      </c>
      <c r="E14368" s="4" t="s">
        <v>11293</v>
      </c>
      <c r="F14368" s="4" t="s">
        <v>11292</v>
      </c>
      <c r="G14368" s="4"/>
      <c r="H14368" s="4" t="s">
        <v>21841</v>
      </c>
      <c r="I14368" s="4" t="s">
        <v>21842</v>
      </c>
      <c r="J14368" s="4" t="s">
        <v>5083</v>
      </c>
      <c r="K14368" s="4" t="s">
        <v>5084</v>
      </c>
      <c r="L14368" s="4" t="s">
        <v>5085</v>
      </c>
      <c r="M14368" s="4" t="s">
        <v>5086</v>
      </c>
      <c r="N14368" s="4" t="s">
        <v>5087</v>
      </c>
    </row>
    <row r="14369">
      <c r="A14369" s="4">
        <v>823.0</v>
      </c>
      <c r="B14369" s="4" t="s">
        <v>22113</v>
      </c>
      <c r="C14369" s="4"/>
      <c r="D14369" s="4" t="s">
        <v>21843</v>
      </c>
      <c r="E14369" s="4" t="s">
        <v>21844</v>
      </c>
      <c r="F14369" s="4" t="s">
        <v>21843</v>
      </c>
    </row>
    <row r="14370">
      <c r="A14370" s="4">
        <v>824.0</v>
      </c>
      <c r="B14370" s="4" t="s">
        <v>22113</v>
      </c>
      <c r="C14370" s="4"/>
      <c r="D14370" s="4" t="s">
        <v>7657</v>
      </c>
      <c r="E14370" s="4" t="s">
        <v>8795</v>
      </c>
      <c r="F14370" s="4" t="s">
        <v>7657</v>
      </c>
    </row>
    <row r="14371">
      <c r="A14371" s="4">
        <v>825.0</v>
      </c>
      <c r="B14371" s="4" t="s">
        <v>22113</v>
      </c>
      <c r="C14371" s="4"/>
      <c r="D14371" s="4" t="s">
        <v>14557</v>
      </c>
      <c r="E14371" s="4" t="s">
        <v>14558</v>
      </c>
      <c r="F14371" s="4" t="s">
        <v>14557</v>
      </c>
      <c r="G14371" s="4"/>
      <c r="H14371" s="4" t="s">
        <v>21845</v>
      </c>
      <c r="I14371" s="4" t="s">
        <v>21846</v>
      </c>
      <c r="J14371" s="4" t="s">
        <v>21847</v>
      </c>
      <c r="K14371" s="4" t="s">
        <v>21848</v>
      </c>
      <c r="L14371" s="4" t="s">
        <v>21847</v>
      </c>
      <c r="M14371" s="4" t="s">
        <v>21847</v>
      </c>
      <c r="N14371" s="4" t="s">
        <v>16450</v>
      </c>
    </row>
    <row r="14372">
      <c r="A14372" s="4">
        <v>826.0</v>
      </c>
      <c r="B14372" s="4" t="s">
        <v>22113</v>
      </c>
      <c r="C14372" s="4"/>
      <c r="D14372" s="4" t="s">
        <v>4186</v>
      </c>
      <c r="E14372" s="4" t="s">
        <v>4187</v>
      </c>
      <c r="F14372" s="4" t="s">
        <v>4186</v>
      </c>
    </row>
    <row r="14373">
      <c r="A14373" s="4">
        <v>827.0</v>
      </c>
      <c r="B14373" s="4" t="s">
        <v>22113</v>
      </c>
      <c r="C14373" s="4"/>
      <c r="D14373" s="4" t="s">
        <v>21849</v>
      </c>
      <c r="E14373" s="4" t="s">
        <v>21850</v>
      </c>
      <c r="F14373" s="4" t="s">
        <v>21849</v>
      </c>
    </row>
    <row r="14374">
      <c r="A14374" s="4">
        <v>828.0</v>
      </c>
      <c r="B14374" s="4" t="s">
        <v>22113</v>
      </c>
      <c r="C14374" s="4"/>
      <c r="D14374" s="4" t="s">
        <v>4192</v>
      </c>
      <c r="E14374" s="4" t="s">
        <v>4193</v>
      </c>
      <c r="F14374" s="4" t="s">
        <v>4192</v>
      </c>
      <c r="G14374" s="4"/>
      <c r="H14374" s="4" t="s">
        <v>4189</v>
      </c>
    </row>
    <row r="14375">
      <c r="A14375" s="4">
        <v>829.0</v>
      </c>
      <c r="B14375" s="4" t="s">
        <v>22113</v>
      </c>
      <c r="C14375" s="4"/>
      <c r="D14375" s="4" t="s">
        <v>21851</v>
      </c>
      <c r="E14375" s="4" t="s">
        <v>21852</v>
      </c>
      <c r="F14375" s="4" t="s">
        <v>21851</v>
      </c>
    </row>
    <row r="14376">
      <c r="A14376" s="4">
        <v>830.0</v>
      </c>
      <c r="B14376" s="4" t="s">
        <v>22113</v>
      </c>
      <c r="C14376" s="4"/>
      <c r="D14376" s="4" t="s">
        <v>4214</v>
      </c>
      <c r="E14376" s="4" t="s">
        <v>400</v>
      </c>
      <c r="F14376" s="4" t="s">
        <v>401</v>
      </c>
    </row>
    <row r="14377">
      <c r="A14377" s="4">
        <v>831.0</v>
      </c>
      <c r="B14377" s="4" t="s">
        <v>22113</v>
      </c>
      <c r="C14377" s="4"/>
      <c r="D14377" s="4" t="s">
        <v>21853</v>
      </c>
      <c r="E14377" s="4" t="s">
        <v>12179</v>
      </c>
      <c r="F14377" s="4" t="s">
        <v>7626</v>
      </c>
    </row>
    <row r="14378">
      <c r="A14378" s="4">
        <v>832.0</v>
      </c>
      <c r="B14378" s="4" t="s">
        <v>22113</v>
      </c>
      <c r="C14378" s="4"/>
      <c r="D14378" s="4" t="s">
        <v>4238</v>
      </c>
      <c r="E14378" s="4" t="s">
        <v>4239</v>
      </c>
      <c r="F14378" s="4" t="s">
        <v>4240</v>
      </c>
    </row>
    <row r="14379">
      <c r="A14379" s="4">
        <v>833.0</v>
      </c>
      <c r="B14379" s="4" t="s">
        <v>22113</v>
      </c>
      <c r="C14379" s="4"/>
      <c r="D14379" s="4" t="s">
        <v>21854</v>
      </c>
      <c r="E14379" s="4" t="s">
        <v>21855</v>
      </c>
      <c r="F14379" s="4" t="s">
        <v>21856</v>
      </c>
    </row>
    <row r="14380">
      <c r="A14380" s="4">
        <v>834.0</v>
      </c>
      <c r="B14380" s="4" t="s">
        <v>22113</v>
      </c>
      <c r="C14380" s="4"/>
      <c r="D14380" s="4" t="s">
        <v>21857</v>
      </c>
      <c r="E14380" s="4" t="s">
        <v>21858</v>
      </c>
      <c r="F14380" s="4" t="s">
        <v>4240</v>
      </c>
      <c r="G14380" s="4"/>
      <c r="H14380" s="4" t="s">
        <v>3492</v>
      </c>
      <c r="I14380" s="4" t="s">
        <v>4288</v>
      </c>
      <c r="J14380" s="4" t="s">
        <v>3491</v>
      </c>
    </row>
    <row r="14381">
      <c r="A14381" s="4">
        <v>835.0</v>
      </c>
      <c r="B14381" s="4" t="s">
        <v>22113</v>
      </c>
      <c r="C14381" s="4"/>
      <c r="D14381" s="4" t="s">
        <v>21859</v>
      </c>
      <c r="E14381" s="4" t="s">
        <v>21860</v>
      </c>
      <c r="F14381" s="4" t="s">
        <v>21861</v>
      </c>
    </row>
    <row r="14382">
      <c r="A14382" s="4">
        <v>836.0</v>
      </c>
      <c r="B14382" s="4" t="s">
        <v>22113</v>
      </c>
      <c r="C14382" s="4"/>
      <c r="D14382" s="4" t="s">
        <v>21862</v>
      </c>
      <c r="E14382" s="4" t="s">
        <v>21863</v>
      </c>
      <c r="F14382" s="4" t="s">
        <v>13763</v>
      </c>
    </row>
    <row r="14383">
      <c r="A14383" s="4">
        <v>837.0</v>
      </c>
      <c r="B14383" s="4" t="s">
        <v>22113</v>
      </c>
      <c r="C14383" s="4"/>
      <c r="D14383" s="4" t="s">
        <v>4251</v>
      </c>
      <c r="E14383" s="4" t="s">
        <v>4252</v>
      </c>
      <c r="F14383" s="4" t="s">
        <v>4251</v>
      </c>
    </row>
    <row r="14384">
      <c r="A14384" s="4">
        <v>838.0</v>
      </c>
      <c r="B14384" s="4" t="s">
        <v>22113</v>
      </c>
      <c r="C14384" s="4"/>
      <c r="D14384" s="4" t="s">
        <v>4254</v>
      </c>
      <c r="E14384" s="4" t="s">
        <v>4255</v>
      </c>
      <c r="F14384" s="4" t="s">
        <v>4254</v>
      </c>
    </row>
    <row r="14385">
      <c r="A14385" s="4">
        <v>839.0</v>
      </c>
      <c r="B14385" s="4" t="s">
        <v>22113</v>
      </c>
      <c r="C14385" s="4"/>
      <c r="D14385" s="4" t="s">
        <v>21864</v>
      </c>
      <c r="E14385" s="4" t="s">
        <v>21865</v>
      </c>
      <c r="F14385" s="4" t="s">
        <v>21866</v>
      </c>
    </row>
    <row r="14386">
      <c r="A14386" s="4">
        <v>840.0</v>
      </c>
      <c r="B14386" s="4" t="s">
        <v>22113</v>
      </c>
      <c r="C14386" s="4"/>
      <c r="D14386" s="4" t="s">
        <v>4264</v>
      </c>
      <c r="E14386" s="4" t="s">
        <v>4265</v>
      </c>
      <c r="F14386" s="4" t="s">
        <v>4264</v>
      </c>
      <c r="G14386" s="4"/>
      <c r="H14386" s="4" t="s">
        <v>21867</v>
      </c>
    </row>
    <row r="14387">
      <c r="A14387" s="4">
        <v>841.0</v>
      </c>
      <c r="B14387" s="4" t="s">
        <v>22113</v>
      </c>
      <c r="C14387" s="4"/>
      <c r="D14387" s="4" t="s">
        <v>11338</v>
      </c>
      <c r="E14387" s="4" t="s">
        <v>16394</v>
      </c>
      <c r="F14387" s="4" t="s">
        <v>11338</v>
      </c>
    </row>
    <row r="14388">
      <c r="A14388" s="4">
        <v>842.0</v>
      </c>
      <c r="B14388" s="4" t="s">
        <v>22113</v>
      </c>
      <c r="C14388" s="4"/>
      <c r="D14388" s="4" t="s">
        <v>21868</v>
      </c>
      <c r="E14388" s="4" t="s">
        <v>21869</v>
      </c>
      <c r="F14388" s="4" t="s">
        <v>21870</v>
      </c>
    </row>
    <row r="14389">
      <c r="A14389" s="4">
        <v>843.0</v>
      </c>
      <c r="B14389" s="4" t="s">
        <v>22113</v>
      </c>
      <c r="C14389" s="4"/>
      <c r="D14389" s="4" t="s">
        <v>21871</v>
      </c>
      <c r="E14389" s="4" t="s">
        <v>21872</v>
      </c>
      <c r="F14389" s="4" t="s">
        <v>21873</v>
      </c>
    </row>
    <row r="14390">
      <c r="A14390" s="4">
        <v>844.0</v>
      </c>
      <c r="B14390" s="4" t="s">
        <v>22113</v>
      </c>
      <c r="C14390" s="4"/>
      <c r="D14390" s="4" t="s">
        <v>21874</v>
      </c>
      <c r="E14390" s="4" t="s">
        <v>21875</v>
      </c>
      <c r="F14390" s="4" t="s">
        <v>21874</v>
      </c>
    </row>
    <row r="14391">
      <c r="A14391" s="4">
        <v>845.0</v>
      </c>
      <c r="B14391" s="4" t="s">
        <v>22113</v>
      </c>
      <c r="C14391" s="4"/>
      <c r="D14391" s="4" t="s">
        <v>7729</v>
      </c>
      <c r="E14391" s="4" t="s">
        <v>21876</v>
      </c>
      <c r="F14391" s="4" t="s">
        <v>7729</v>
      </c>
    </row>
    <row r="14392">
      <c r="A14392" s="4">
        <v>846.0</v>
      </c>
      <c r="B14392" s="4" t="s">
        <v>22113</v>
      </c>
      <c r="C14392" s="4"/>
      <c r="D14392" s="4" t="s">
        <v>4310</v>
      </c>
      <c r="E14392" s="4" t="s">
        <v>4311</v>
      </c>
      <c r="F14392" s="4" t="s">
        <v>4310</v>
      </c>
      <c r="G14392" s="4"/>
      <c r="H14392" s="4" t="s">
        <v>8791</v>
      </c>
    </row>
    <row r="14393">
      <c r="A14393" s="4">
        <v>847.0</v>
      </c>
      <c r="B14393" s="4" t="s">
        <v>22113</v>
      </c>
      <c r="C14393" s="4"/>
      <c r="D14393" s="4" t="s">
        <v>21877</v>
      </c>
      <c r="E14393" s="4" t="s">
        <v>21878</v>
      </c>
      <c r="F14393" s="4" t="s">
        <v>7746</v>
      </c>
    </row>
    <row r="14394">
      <c r="A14394" s="4">
        <v>848.0</v>
      </c>
      <c r="B14394" s="4" t="s">
        <v>22113</v>
      </c>
      <c r="C14394" s="4"/>
      <c r="D14394" s="4" t="s">
        <v>4330</v>
      </c>
      <c r="E14394" s="4" t="s">
        <v>4331</v>
      </c>
      <c r="F14394" s="4" t="s">
        <v>4330</v>
      </c>
    </row>
    <row r="14395">
      <c r="A14395" s="4">
        <v>849.0</v>
      </c>
      <c r="B14395" s="4" t="s">
        <v>22113</v>
      </c>
      <c r="C14395" s="4"/>
      <c r="D14395" s="4" t="s">
        <v>4339</v>
      </c>
      <c r="E14395" s="4" t="s">
        <v>4340</v>
      </c>
      <c r="F14395" s="4" t="s">
        <v>4339</v>
      </c>
      <c r="G14395" s="4"/>
      <c r="H14395" s="4" t="s">
        <v>21879</v>
      </c>
      <c r="I14395" s="4" t="s">
        <v>21880</v>
      </c>
      <c r="J14395" s="4" t="s">
        <v>4323</v>
      </c>
      <c r="K14395" s="4" t="s">
        <v>4341</v>
      </c>
      <c r="L14395" s="4" t="s">
        <v>4342</v>
      </c>
      <c r="M14395" s="4" t="s">
        <v>9932</v>
      </c>
      <c r="N14395" s="4" t="s">
        <v>21881</v>
      </c>
      <c r="O14395" s="4" t="s">
        <v>21882</v>
      </c>
      <c r="P14395" s="4" t="s">
        <v>326</v>
      </c>
      <c r="Q14395" s="4" t="s">
        <v>4343</v>
      </c>
      <c r="R14395" s="4" t="s">
        <v>4344</v>
      </c>
      <c r="S14395" s="4" t="s">
        <v>4343</v>
      </c>
      <c r="T14395" s="4" t="s">
        <v>4345</v>
      </c>
      <c r="U14395" s="4" t="s">
        <v>4344</v>
      </c>
      <c r="V14395" s="4" t="s">
        <v>4346</v>
      </c>
      <c r="W14395" s="4" t="s">
        <v>2073</v>
      </c>
      <c r="X14395" s="4" t="s">
        <v>21883</v>
      </c>
      <c r="Y14395" s="4" t="s">
        <v>21884</v>
      </c>
      <c r="Z14395" s="4" t="s">
        <v>21885</v>
      </c>
      <c r="AA14395" s="4" t="s">
        <v>6320</v>
      </c>
    </row>
    <row r="14396">
      <c r="A14396" s="4">
        <v>850.0</v>
      </c>
      <c r="B14396" s="4" t="s">
        <v>22113</v>
      </c>
      <c r="C14396" s="4"/>
      <c r="D14396" s="4" t="s">
        <v>7766</v>
      </c>
      <c r="E14396" s="4" t="s">
        <v>15521</v>
      </c>
      <c r="F14396" s="4" t="s">
        <v>7766</v>
      </c>
    </row>
    <row r="14397">
      <c r="A14397" s="4">
        <v>851.0</v>
      </c>
      <c r="B14397" s="4" t="s">
        <v>22113</v>
      </c>
      <c r="C14397" s="4"/>
      <c r="D14397" s="4" t="s">
        <v>21886</v>
      </c>
      <c r="E14397" s="4" t="s">
        <v>21887</v>
      </c>
      <c r="F14397" s="4" t="s">
        <v>21886</v>
      </c>
    </row>
    <row r="14398">
      <c r="A14398" s="4">
        <v>852.0</v>
      </c>
      <c r="B14398" s="4" t="s">
        <v>22113</v>
      </c>
      <c r="C14398" s="4"/>
      <c r="D14398" s="4" t="s">
        <v>4361</v>
      </c>
      <c r="E14398" s="4" t="s">
        <v>4362</v>
      </c>
      <c r="F14398" s="4" t="s">
        <v>4361</v>
      </c>
      <c r="G14398" s="4"/>
      <c r="H14398" s="4" t="s">
        <v>2869</v>
      </c>
      <c r="I14398" s="4" t="s">
        <v>2870</v>
      </c>
      <c r="J14398" s="4" t="s">
        <v>2293</v>
      </c>
      <c r="K14398" s="4" t="s">
        <v>21888</v>
      </c>
    </row>
    <row r="14399">
      <c r="A14399" s="4">
        <v>853.0</v>
      </c>
      <c r="B14399" s="4" t="s">
        <v>22113</v>
      </c>
      <c r="C14399" s="4"/>
      <c r="D14399" s="4" t="s">
        <v>21889</v>
      </c>
      <c r="E14399" s="4" t="s">
        <v>21890</v>
      </c>
      <c r="F14399" s="4" t="s">
        <v>21889</v>
      </c>
    </row>
    <row r="14400">
      <c r="A14400" s="4">
        <v>854.0</v>
      </c>
      <c r="B14400" s="4" t="s">
        <v>22113</v>
      </c>
      <c r="C14400" s="4"/>
      <c r="D14400" s="4" t="s">
        <v>21891</v>
      </c>
      <c r="E14400" s="4" t="s">
        <v>21892</v>
      </c>
      <c r="F14400" s="4" t="s">
        <v>21891</v>
      </c>
    </row>
    <row r="14401">
      <c r="A14401" s="4">
        <v>855.0</v>
      </c>
      <c r="B14401" s="4" t="s">
        <v>22113</v>
      </c>
      <c r="C14401" s="4"/>
      <c r="D14401" s="4" t="s">
        <v>21893</v>
      </c>
      <c r="E14401" s="4" t="s">
        <v>21894</v>
      </c>
      <c r="F14401" s="4" t="s">
        <v>21893</v>
      </c>
    </row>
    <row r="14402">
      <c r="A14402" s="4">
        <v>856.0</v>
      </c>
      <c r="B14402" s="4" t="s">
        <v>22113</v>
      </c>
      <c r="C14402" s="4"/>
      <c r="D14402" s="4" t="s">
        <v>4365</v>
      </c>
      <c r="E14402" s="4" t="s">
        <v>4366</v>
      </c>
      <c r="F14402" s="4" t="s">
        <v>4365</v>
      </c>
      <c r="G14402" s="4"/>
      <c r="H14402" s="4" t="s">
        <v>21895</v>
      </c>
      <c r="I14402" s="4" t="s">
        <v>21896</v>
      </c>
      <c r="J14402" s="4" t="s">
        <v>14755</v>
      </c>
      <c r="K14402" s="4" t="s">
        <v>4374</v>
      </c>
    </row>
    <row r="14403">
      <c r="A14403" s="4">
        <v>857.0</v>
      </c>
      <c r="B14403" s="4" t="s">
        <v>22113</v>
      </c>
      <c r="C14403" s="4"/>
      <c r="D14403" s="4" t="s">
        <v>4377</v>
      </c>
      <c r="E14403" s="4" t="s">
        <v>4376</v>
      </c>
      <c r="F14403" s="4" t="s">
        <v>4377</v>
      </c>
      <c r="G14403" s="4"/>
      <c r="H14403" s="4" t="s">
        <v>21897</v>
      </c>
      <c r="I14403" s="4" t="s">
        <v>21898</v>
      </c>
      <c r="J14403" s="4" t="s">
        <v>21899</v>
      </c>
      <c r="K14403" s="4" t="s">
        <v>21900</v>
      </c>
      <c r="L14403" s="4" t="s">
        <v>15338</v>
      </c>
      <c r="M14403" s="4" t="s">
        <v>21901</v>
      </c>
      <c r="N14403" s="4" t="s">
        <v>1707</v>
      </c>
      <c r="O14403" s="4" t="s">
        <v>1708</v>
      </c>
      <c r="P14403" s="4" t="s">
        <v>1709</v>
      </c>
    </row>
    <row r="14404">
      <c r="A14404" s="4">
        <v>858.0</v>
      </c>
      <c r="B14404" s="4" t="s">
        <v>22113</v>
      </c>
      <c r="C14404" s="4"/>
      <c r="D14404" s="4" t="s">
        <v>21902</v>
      </c>
      <c r="E14404" s="4" t="s">
        <v>21903</v>
      </c>
      <c r="F14404" s="4" t="s">
        <v>21902</v>
      </c>
      <c r="G14404" s="4"/>
      <c r="H14404" s="4" t="s">
        <v>19840</v>
      </c>
      <c r="I14404" s="4" t="s">
        <v>3128</v>
      </c>
      <c r="J14404" s="4" t="s">
        <v>21904</v>
      </c>
      <c r="K14404" s="4" t="s">
        <v>21905</v>
      </c>
      <c r="L14404" s="4" t="s">
        <v>21906</v>
      </c>
      <c r="M14404" s="4" t="s">
        <v>21907</v>
      </c>
      <c r="N14404" s="4" t="s">
        <v>21908</v>
      </c>
    </row>
    <row r="14405">
      <c r="A14405" s="4">
        <v>859.0</v>
      </c>
      <c r="B14405" s="4" t="s">
        <v>22113</v>
      </c>
      <c r="C14405" s="4"/>
      <c r="D14405" s="4" t="s">
        <v>13820</v>
      </c>
      <c r="E14405" s="4" t="s">
        <v>13821</v>
      </c>
      <c r="F14405" s="4" t="s">
        <v>13820</v>
      </c>
      <c r="G14405" s="4"/>
      <c r="H14405" s="4" t="s">
        <v>1878</v>
      </c>
      <c r="I14405" s="4" t="s">
        <v>1879</v>
      </c>
      <c r="J14405" s="4" t="s">
        <v>1880</v>
      </c>
      <c r="K14405" s="4" t="s">
        <v>1881</v>
      </c>
      <c r="L14405" s="4" t="s">
        <v>1882</v>
      </c>
      <c r="N14405" s="4" t="s">
        <v>1883</v>
      </c>
    </row>
    <row r="14406">
      <c r="A14406" s="4">
        <v>860.0</v>
      </c>
      <c r="B14406" s="4" t="s">
        <v>22113</v>
      </c>
      <c r="C14406" s="4"/>
      <c r="D14406" s="4" t="s">
        <v>9179</v>
      </c>
      <c r="E14406" s="4" t="s">
        <v>9180</v>
      </c>
      <c r="F14406" s="4" t="s">
        <v>9179</v>
      </c>
    </row>
    <row r="14407">
      <c r="A14407" s="4">
        <v>861.0</v>
      </c>
      <c r="B14407" s="4" t="s">
        <v>22113</v>
      </c>
      <c r="C14407" s="4"/>
      <c r="D14407" s="4" t="s">
        <v>21909</v>
      </c>
      <c r="E14407" s="4" t="s">
        <v>4464</v>
      </c>
      <c r="F14407" s="4" t="s">
        <v>4463</v>
      </c>
    </row>
    <row r="14408">
      <c r="A14408" s="4">
        <v>862.0</v>
      </c>
      <c r="B14408" s="4" t="s">
        <v>22113</v>
      </c>
      <c r="C14408" s="4"/>
      <c r="D14408" s="4" t="s">
        <v>422</v>
      </c>
      <c r="E14408" s="4" t="s">
        <v>421</v>
      </c>
      <c r="F14408" s="4" t="s">
        <v>422</v>
      </c>
    </row>
    <row r="14409">
      <c r="A14409" s="4">
        <v>863.0</v>
      </c>
      <c r="B14409" s="4" t="s">
        <v>22113</v>
      </c>
      <c r="C14409" s="4"/>
      <c r="D14409" s="4" t="s">
        <v>4379</v>
      </c>
      <c r="E14409" s="4" t="s">
        <v>4380</v>
      </c>
      <c r="F14409" s="4" t="s">
        <v>438</v>
      </c>
    </row>
    <row r="14410">
      <c r="A14410" s="4">
        <v>864.0</v>
      </c>
      <c r="B14410" s="4" t="s">
        <v>22113</v>
      </c>
      <c r="C14410" s="4"/>
      <c r="D14410" s="4" t="s">
        <v>21910</v>
      </c>
      <c r="E14410" s="4" t="s">
        <v>21911</v>
      </c>
      <c r="F14410" s="4" t="s">
        <v>21912</v>
      </c>
    </row>
    <row r="14411">
      <c r="A14411" s="4">
        <v>865.0</v>
      </c>
      <c r="B14411" s="4" t="s">
        <v>22113</v>
      </c>
      <c r="C14411" s="4"/>
      <c r="D14411" s="4" t="s">
        <v>21913</v>
      </c>
      <c r="E14411" s="4" t="s">
        <v>21914</v>
      </c>
      <c r="F14411" s="4" t="s">
        <v>21913</v>
      </c>
      <c r="G14411" s="4"/>
      <c r="H14411" s="4" t="s">
        <v>3231</v>
      </c>
      <c r="I14411" s="4" t="s">
        <v>21915</v>
      </c>
      <c r="J14411" s="4" t="s">
        <v>21916</v>
      </c>
      <c r="K14411" s="4" t="s">
        <v>21917</v>
      </c>
      <c r="L14411" s="4" t="s">
        <v>21918</v>
      </c>
      <c r="M14411" s="4" t="s">
        <v>3230</v>
      </c>
      <c r="N14411" s="4" t="s">
        <v>7476</v>
      </c>
      <c r="O14411" s="4" t="s">
        <v>486</v>
      </c>
      <c r="P14411" s="4" t="s">
        <v>21919</v>
      </c>
      <c r="Q14411" s="4" t="s">
        <v>21920</v>
      </c>
      <c r="R14411" s="4" t="s">
        <v>8200</v>
      </c>
      <c r="S14411" s="4" t="s">
        <v>8201</v>
      </c>
      <c r="T14411" s="4" t="s">
        <v>8202</v>
      </c>
      <c r="U14411" s="4" t="s">
        <v>1977</v>
      </c>
      <c r="V14411" s="4" t="s">
        <v>6308</v>
      </c>
      <c r="W14411" s="4" t="s">
        <v>8203</v>
      </c>
      <c r="X14411" s="4" t="s">
        <v>8190</v>
      </c>
      <c r="Y14411" s="4" t="s">
        <v>8204</v>
      </c>
      <c r="Z14411" s="4" t="s">
        <v>8205</v>
      </c>
      <c r="AA14411" s="4" t="s">
        <v>8206</v>
      </c>
      <c r="AB14411" s="4" t="s">
        <v>8197</v>
      </c>
      <c r="AC14411" s="4" t="s">
        <v>8207</v>
      </c>
      <c r="AD14411" s="4" t="s">
        <v>8208</v>
      </c>
      <c r="AE14411" s="4" t="s">
        <v>8209</v>
      </c>
      <c r="AF14411" s="4" t="s">
        <v>8185</v>
      </c>
    </row>
    <row r="14412">
      <c r="A14412" s="4">
        <v>866.0</v>
      </c>
      <c r="B14412" s="4" t="s">
        <v>22113</v>
      </c>
      <c r="C14412" s="4"/>
      <c r="D14412" s="4" t="s">
        <v>21921</v>
      </c>
      <c r="E14412" s="4" t="s">
        <v>21922</v>
      </c>
      <c r="F14412" s="4" t="s">
        <v>21921</v>
      </c>
      <c r="G14412" s="4"/>
      <c r="H14412" s="4" t="s">
        <v>21923</v>
      </c>
      <c r="I14412" s="4" t="s">
        <v>21924</v>
      </c>
    </row>
    <row r="14413">
      <c r="A14413" s="4">
        <v>867.0</v>
      </c>
      <c r="B14413" s="4" t="s">
        <v>22113</v>
      </c>
      <c r="C14413" s="4"/>
      <c r="D14413" s="4" t="s">
        <v>21925</v>
      </c>
      <c r="E14413" s="4" t="s">
        <v>21926</v>
      </c>
      <c r="F14413" s="4" t="s">
        <v>21927</v>
      </c>
    </row>
    <row r="14414">
      <c r="A14414" s="4">
        <v>868.0</v>
      </c>
      <c r="B14414" s="4" t="s">
        <v>22113</v>
      </c>
      <c r="C14414" s="4"/>
      <c r="D14414" s="4" t="s">
        <v>425</v>
      </c>
      <c r="E14414" s="4" t="s">
        <v>424</v>
      </c>
      <c r="F14414" s="4" t="s">
        <v>425</v>
      </c>
    </row>
    <row r="14415">
      <c r="A14415" s="4">
        <v>869.0</v>
      </c>
      <c r="B14415" s="4" t="s">
        <v>22113</v>
      </c>
      <c r="C14415" s="4"/>
      <c r="D14415" s="4" t="s">
        <v>19862</v>
      </c>
      <c r="E14415" s="4" t="s">
        <v>19863</v>
      </c>
      <c r="F14415" s="4" t="s">
        <v>19862</v>
      </c>
    </row>
    <row r="14416">
      <c r="A14416" s="4">
        <v>870.0</v>
      </c>
      <c r="B14416" s="4" t="s">
        <v>22113</v>
      </c>
      <c r="C14416" s="4"/>
      <c r="D14416" s="4" t="s">
        <v>21928</v>
      </c>
      <c r="E14416" s="4" t="s">
        <v>21929</v>
      </c>
      <c r="F14416" s="4" t="s">
        <v>21928</v>
      </c>
    </row>
    <row r="14417">
      <c r="A14417" s="4">
        <v>871.0</v>
      </c>
      <c r="B14417" s="4" t="s">
        <v>22113</v>
      </c>
      <c r="C14417" s="4"/>
      <c r="D14417" s="4" t="s">
        <v>4418</v>
      </c>
      <c r="E14417" s="4" t="s">
        <v>4419</v>
      </c>
      <c r="F14417" s="4" t="s">
        <v>4418</v>
      </c>
      <c r="G14417" s="4"/>
      <c r="H14417" s="4" t="s">
        <v>897</v>
      </c>
      <c r="I14417" s="4" t="s">
        <v>10974</v>
      </c>
      <c r="J14417" s="4" t="s">
        <v>13234</v>
      </c>
    </row>
    <row r="14418">
      <c r="A14418" s="4">
        <v>872.0</v>
      </c>
      <c r="B14418" s="4" t="s">
        <v>22113</v>
      </c>
      <c r="C14418" s="4"/>
      <c r="D14418" s="4" t="s">
        <v>21930</v>
      </c>
      <c r="E14418" s="4" t="s">
        <v>21931</v>
      </c>
      <c r="F14418" s="4" t="s">
        <v>21930</v>
      </c>
    </row>
    <row r="14419">
      <c r="A14419" s="4">
        <v>873.0</v>
      </c>
      <c r="B14419" s="4" t="s">
        <v>22113</v>
      </c>
      <c r="C14419" s="4"/>
      <c r="D14419" s="4" t="s">
        <v>21932</v>
      </c>
      <c r="E14419" s="4" t="s">
        <v>21933</v>
      </c>
      <c r="F14419" s="4" t="s">
        <v>21934</v>
      </c>
      <c r="G14419" s="4"/>
      <c r="H14419" s="4" t="s">
        <v>21934</v>
      </c>
    </row>
    <row r="14420">
      <c r="A14420" s="4">
        <v>874.0</v>
      </c>
      <c r="B14420" s="4" t="s">
        <v>22113</v>
      </c>
      <c r="C14420" s="4"/>
      <c r="D14420" s="4" t="s">
        <v>21935</v>
      </c>
      <c r="E14420" s="4" t="s">
        <v>21936</v>
      </c>
      <c r="F14420" s="4" t="s">
        <v>21935</v>
      </c>
    </row>
    <row r="14421">
      <c r="A14421" s="4">
        <v>875.0</v>
      </c>
      <c r="B14421" s="4" t="s">
        <v>22113</v>
      </c>
      <c r="C14421" s="4"/>
      <c r="D14421" s="4" t="s">
        <v>21937</v>
      </c>
      <c r="E14421" s="4" t="s">
        <v>21938</v>
      </c>
      <c r="F14421" s="4" t="s">
        <v>21937</v>
      </c>
    </row>
    <row r="14422">
      <c r="A14422" s="4">
        <v>876.0</v>
      </c>
      <c r="B14422" s="4" t="s">
        <v>22113</v>
      </c>
      <c r="C14422" s="4"/>
      <c r="D14422" s="4" t="s">
        <v>4427</v>
      </c>
      <c r="E14422" s="4" t="s">
        <v>4450</v>
      </c>
      <c r="F14422" s="4" t="s">
        <v>4427</v>
      </c>
      <c r="G14422" s="4"/>
      <c r="H14422" s="4" t="s">
        <v>4433</v>
      </c>
      <c r="I14422" s="4" t="s">
        <v>7309</v>
      </c>
      <c r="J14422" s="4" t="s">
        <v>910</v>
      </c>
      <c r="K14422" s="4" t="s">
        <v>4430</v>
      </c>
      <c r="L14422" s="4" t="s">
        <v>21939</v>
      </c>
      <c r="M14422" s="4" t="s">
        <v>3414</v>
      </c>
      <c r="N14422" s="4" t="s">
        <v>21940</v>
      </c>
      <c r="O14422" s="4" t="s">
        <v>21941</v>
      </c>
      <c r="P14422" s="4" t="s">
        <v>21942</v>
      </c>
      <c r="Q14422" s="4" t="s">
        <v>4433</v>
      </c>
      <c r="R14422" s="4" t="s">
        <v>3414</v>
      </c>
      <c r="S14422" s="4" t="s">
        <v>4434</v>
      </c>
      <c r="T14422" s="4" t="s">
        <v>4435</v>
      </c>
      <c r="U14422" s="4" t="s">
        <v>4438</v>
      </c>
      <c r="V14422" s="4" t="s">
        <v>21943</v>
      </c>
      <c r="W14422" s="4" t="s">
        <v>4446</v>
      </c>
      <c r="X14422" s="4" t="s">
        <v>7114</v>
      </c>
      <c r="Y14422" s="4" t="s">
        <v>21944</v>
      </c>
      <c r="Z14422" s="4" t="s">
        <v>5158</v>
      </c>
      <c r="AA14422" s="4" t="s">
        <v>21945</v>
      </c>
      <c r="AB14422" s="4" t="s">
        <v>7521</v>
      </c>
      <c r="AC14422" s="4" t="s">
        <v>12253</v>
      </c>
      <c r="AD14422" s="4" t="s">
        <v>7522</v>
      </c>
      <c r="AE14422" s="4" t="s">
        <v>21946</v>
      </c>
      <c r="AF14422" s="4" t="s">
        <v>6872</v>
      </c>
      <c r="AG14422" s="4" t="s">
        <v>7550</v>
      </c>
      <c r="AH14422" s="4" t="s">
        <v>4447</v>
      </c>
      <c r="AI14422" s="4" t="s">
        <v>4430</v>
      </c>
      <c r="AJ14422" s="4" t="s">
        <v>3483</v>
      </c>
      <c r="AK14422" s="4" t="s">
        <v>21947</v>
      </c>
      <c r="AL14422" s="4" t="s">
        <v>21948</v>
      </c>
      <c r="AM14422" s="4" t="s">
        <v>4431</v>
      </c>
      <c r="AN14422" s="4" t="s">
        <v>4447</v>
      </c>
      <c r="AO14422" s="4" t="s">
        <v>4431</v>
      </c>
      <c r="AP14422" s="4" t="s">
        <v>4448</v>
      </c>
      <c r="AQ14422" s="4" t="s">
        <v>15451</v>
      </c>
      <c r="AR14422" s="4" t="s">
        <v>2700</v>
      </c>
      <c r="AS14422" s="4" t="s">
        <v>7521</v>
      </c>
      <c r="AT14422" s="4" t="s">
        <v>7522</v>
      </c>
      <c r="AU14422" s="4" t="s">
        <v>7523</v>
      </c>
      <c r="AV14422" s="4" t="s">
        <v>21949</v>
      </c>
      <c r="AW14422" s="4" t="s">
        <v>7114</v>
      </c>
      <c r="AX14422" s="4" t="s">
        <v>4447</v>
      </c>
      <c r="AY14422" s="4" t="s">
        <v>21950</v>
      </c>
      <c r="AZ14422" s="4" t="s">
        <v>21951</v>
      </c>
      <c r="BA14422" s="4" t="s">
        <v>4441</v>
      </c>
      <c r="BB14422" s="4" t="s">
        <v>21952</v>
      </c>
      <c r="BC14422" s="4" t="s">
        <v>21953</v>
      </c>
      <c r="BD14422" s="4" t="s">
        <v>21954</v>
      </c>
      <c r="BE14422" s="4" t="s">
        <v>21955</v>
      </c>
      <c r="BF14422" s="4" t="s">
        <v>21946</v>
      </c>
      <c r="BG14422" s="4" t="s">
        <v>21956</v>
      </c>
      <c r="BH14422" s="4" t="s">
        <v>8453</v>
      </c>
      <c r="BI14422" s="4" t="s">
        <v>21957</v>
      </c>
      <c r="BJ14422" s="4" t="s">
        <v>21958</v>
      </c>
      <c r="BK14422" s="4" t="s">
        <v>8987</v>
      </c>
      <c r="BL14422" s="4" t="s">
        <v>3414</v>
      </c>
    </row>
    <row r="14423">
      <c r="A14423" s="4">
        <v>877.0</v>
      </c>
      <c r="B14423" s="4" t="s">
        <v>22113</v>
      </c>
      <c r="C14423" s="4"/>
      <c r="D14423" s="4" t="s">
        <v>21959</v>
      </c>
      <c r="E14423" s="4" t="s">
        <v>21960</v>
      </c>
      <c r="F14423" s="4" t="s">
        <v>21959</v>
      </c>
    </row>
    <row r="14424">
      <c r="A14424" s="4">
        <v>878.0</v>
      </c>
      <c r="B14424" s="4" t="s">
        <v>22113</v>
      </c>
      <c r="C14424" s="4"/>
      <c r="D14424" s="4" t="s">
        <v>21961</v>
      </c>
      <c r="E14424" s="4" t="s">
        <v>21962</v>
      </c>
      <c r="F14424" s="4" t="s">
        <v>21961</v>
      </c>
    </row>
    <row r="14425">
      <c r="A14425" s="4">
        <v>879.0</v>
      </c>
      <c r="B14425" s="4" t="s">
        <v>22113</v>
      </c>
      <c r="C14425" s="4"/>
      <c r="D14425" s="4" t="s">
        <v>21963</v>
      </c>
      <c r="E14425" s="4" t="s">
        <v>21960</v>
      </c>
      <c r="F14425" s="4" t="s">
        <v>21959</v>
      </c>
    </row>
    <row r="14426">
      <c r="A14426" s="4">
        <v>880.0</v>
      </c>
      <c r="B14426" s="4" t="s">
        <v>22113</v>
      </c>
      <c r="C14426" s="4"/>
      <c r="D14426" s="4" t="s">
        <v>21964</v>
      </c>
      <c r="E14426" s="4" t="s">
        <v>21962</v>
      </c>
      <c r="F14426" s="4" t="s">
        <v>21961</v>
      </c>
    </row>
    <row r="14427">
      <c r="A14427" s="4">
        <v>881.0</v>
      </c>
      <c r="B14427" s="4" t="s">
        <v>22113</v>
      </c>
      <c r="C14427" s="4"/>
      <c r="D14427" s="4" t="s">
        <v>21965</v>
      </c>
      <c r="E14427" s="4" t="s">
        <v>21966</v>
      </c>
      <c r="F14427" s="4" t="s">
        <v>21965</v>
      </c>
    </row>
    <row r="14428">
      <c r="A14428" s="4">
        <v>882.0</v>
      </c>
      <c r="B14428" s="4" t="s">
        <v>22113</v>
      </c>
      <c r="C14428" s="4"/>
      <c r="D14428" s="4" t="s">
        <v>21967</v>
      </c>
      <c r="E14428" s="4" t="s">
        <v>21968</v>
      </c>
      <c r="F14428" s="4" t="s">
        <v>21967</v>
      </c>
    </row>
    <row r="14429">
      <c r="A14429" s="4">
        <v>883.0</v>
      </c>
      <c r="B14429" s="4" t="s">
        <v>22113</v>
      </c>
      <c r="C14429" s="4"/>
      <c r="D14429" s="4" t="s">
        <v>21969</v>
      </c>
      <c r="E14429" s="4" t="s">
        <v>21970</v>
      </c>
      <c r="F14429" s="4" t="s">
        <v>21969</v>
      </c>
    </row>
    <row r="14430">
      <c r="A14430" s="4">
        <v>884.0</v>
      </c>
      <c r="B14430" s="4" t="s">
        <v>22113</v>
      </c>
      <c r="C14430" s="4"/>
      <c r="D14430" s="4" t="s">
        <v>21971</v>
      </c>
      <c r="E14430" s="4" t="s">
        <v>16452</v>
      </c>
      <c r="F14430" s="4" t="s">
        <v>16451</v>
      </c>
    </row>
    <row r="14431">
      <c r="A14431" s="4">
        <v>885.0</v>
      </c>
      <c r="B14431" s="4" t="s">
        <v>22113</v>
      </c>
      <c r="C14431" s="4"/>
      <c r="D14431" s="4" t="s">
        <v>4463</v>
      </c>
      <c r="E14431" s="4" t="s">
        <v>4464</v>
      </c>
      <c r="F14431" s="4" t="s">
        <v>4463</v>
      </c>
      <c r="G14431" s="4"/>
      <c r="H14431" s="4" t="s">
        <v>11528</v>
      </c>
      <c r="I14431" s="4" t="s">
        <v>11529</v>
      </c>
      <c r="J14431" s="4" t="s">
        <v>11530</v>
      </c>
    </row>
    <row r="14432">
      <c r="A14432" s="4">
        <v>886.0</v>
      </c>
      <c r="B14432" s="4" t="s">
        <v>22113</v>
      </c>
      <c r="C14432" s="4"/>
      <c r="D14432" s="4" t="s">
        <v>4490</v>
      </c>
      <c r="E14432" s="4" t="s">
        <v>4489</v>
      </c>
      <c r="F14432" s="4" t="s">
        <v>4490</v>
      </c>
    </row>
    <row r="14433">
      <c r="A14433" s="4">
        <v>887.0</v>
      </c>
      <c r="B14433" s="4" t="s">
        <v>22113</v>
      </c>
      <c r="C14433" s="4"/>
      <c r="D14433" s="4" t="s">
        <v>21972</v>
      </c>
      <c r="E14433" s="4" t="s">
        <v>21973</v>
      </c>
      <c r="F14433" s="4" t="s">
        <v>21972</v>
      </c>
      <c r="G14433" s="4"/>
      <c r="H14433" s="4" t="s">
        <v>347</v>
      </c>
      <c r="I14433" s="4" t="s">
        <v>21974</v>
      </c>
      <c r="J14433" s="4" t="s">
        <v>354</v>
      </c>
      <c r="K14433" s="4" t="s">
        <v>21975</v>
      </c>
      <c r="L14433" s="4" t="s">
        <v>21976</v>
      </c>
      <c r="M14433" s="4" t="s">
        <v>10073</v>
      </c>
      <c r="N14433" s="4" t="s">
        <v>4448</v>
      </c>
      <c r="O14433" s="4" t="s">
        <v>10073</v>
      </c>
      <c r="P14433" s="4" t="s">
        <v>4448</v>
      </c>
    </row>
    <row r="14434">
      <c r="A14434" s="4">
        <v>888.0</v>
      </c>
      <c r="B14434" s="4" t="s">
        <v>22113</v>
      </c>
      <c r="C14434" s="4"/>
      <c r="D14434" s="4" t="s">
        <v>21977</v>
      </c>
      <c r="E14434" s="4" t="s">
        <v>21978</v>
      </c>
      <c r="F14434" s="4" t="s">
        <v>21977</v>
      </c>
    </row>
    <row r="14435">
      <c r="A14435" s="4">
        <v>889.0</v>
      </c>
      <c r="B14435" s="4" t="s">
        <v>22113</v>
      </c>
      <c r="C14435" s="4"/>
      <c r="D14435" s="4" t="s">
        <v>4470</v>
      </c>
      <c r="E14435" s="4" t="s">
        <v>4471</v>
      </c>
      <c r="F14435" s="4" t="s">
        <v>4470</v>
      </c>
    </row>
    <row r="14436">
      <c r="A14436" s="4">
        <v>890.0</v>
      </c>
      <c r="B14436" s="4" t="s">
        <v>22113</v>
      </c>
      <c r="C14436" s="4"/>
      <c r="D14436" s="4" t="s">
        <v>21979</v>
      </c>
      <c r="E14436" s="4" t="s">
        <v>21980</v>
      </c>
      <c r="F14436" s="4" t="s">
        <v>21979</v>
      </c>
    </row>
    <row r="14437">
      <c r="A14437" s="4">
        <v>891.0</v>
      </c>
      <c r="B14437" s="4" t="s">
        <v>22113</v>
      </c>
      <c r="C14437" s="4"/>
      <c r="D14437" s="4" t="s">
        <v>21981</v>
      </c>
      <c r="E14437" s="4" t="s">
        <v>21982</v>
      </c>
      <c r="F14437" s="4" t="s">
        <v>21981</v>
      </c>
    </row>
    <row r="14438">
      <c r="A14438" s="4">
        <v>892.0</v>
      </c>
      <c r="B14438" s="4" t="s">
        <v>22113</v>
      </c>
      <c r="C14438" s="4"/>
      <c r="D14438" s="4" t="s">
        <v>21983</v>
      </c>
      <c r="E14438" s="4" t="s">
        <v>21980</v>
      </c>
      <c r="F14438" s="4" t="s">
        <v>21979</v>
      </c>
    </row>
    <row r="14439">
      <c r="A14439" s="4">
        <v>893.0</v>
      </c>
      <c r="B14439" s="4" t="s">
        <v>22113</v>
      </c>
      <c r="C14439" s="4"/>
      <c r="D14439" s="4" t="s">
        <v>21984</v>
      </c>
      <c r="E14439" s="4" t="s">
        <v>21982</v>
      </c>
      <c r="F14439" s="4" t="s">
        <v>21981</v>
      </c>
    </row>
    <row r="14440">
      <c r="A14440" s="4">
        <v>894.0</v>
      </c>
      <c r="B14440" s="4" t="s">
        <v>22113</v>
      </c>
      <c r="C14440" s="4"/>
      <c r="D14440" s="4" t="s">
        <v>21985</v>
      </c>
      <c r="E14440" s="4" t="s">
        <v>21986</v>
      </c>
      <c r="F14440" s="4" t="s">
        <v>21985</v>
      </c>
    </row>
    <row r="14441">
      <c r="A14441" s="4">
        <v>895.0</v>
      </c>
      <c r="B14441" s="4" t="s">
        <v>22113</v>
      </c>
      <c r="C14441" s="4"/>
      <c r="D14441" s="4" t="s">
        <v>21987</v>
      </c>
      <c r="E14441" s="4" t="s">
        <v>21988</v>
      </c>
      <c r="F14441" s="4" t="s">
        <v>21987</v>
      </c>
    </row>
    <row r="14442">
      <c r="A14442" s="4">
        <v>896.0</v>
      </c>
      <c r="B14442" s="4" t="s">
        <v>22113</v>
      </c>
      <c r="C14442" s="4"/>
      <c r="D14442" s="4" t="s">
        <v>21989</v>
      </c>
      <c r="E14442" s="4" t="s">
        <v>430</v>
      </c>
      <c r="F14442" s="4" t="s">
        <v>431</v>
      </c>
    </row>
    <row r="14443">
      <c r="A14443" s="4">
        <v>897.0</v>
      </c>
      <c r="B14443" s="4" t="s">
        <v>22113</v>
      </c>
      <c r="C14443" s="4"/>
      <c r="D14443" s="4" t="s">
        <v>4394</v>
      </c>
      <c r="E14443" s="4" t="s">
        <v>4393</v>
      </c>
      <c r="F14443" s="4" t="s">
        <v>4394</v>
      </c>
    </row>
    <row r="14444">
      <c r="A14444" s="4">
        <v>898.0</v>
      </c>
      <c r="B14444" s="4" t="s">
        <v>22113</v>
      </c>
      <c r="C14444" s="4"/>
      <c r="D14444" s="4" t="s">
        <v>21990</v>
      </c>
      <c r="E14444" s="4" t="s">
        <v>21991</v>
      </c>
      <c r="F14444" s="4" t="s">
        <v>21992</v>
      </c>
    </row>
    <row r="14445">
      <c r="A14445" s="4">
        <v>899.0</v>
      </c>
      <c r="B14445" s="4" t="s">
        <v>22113</v>
      </c>
      <c r="C14445" s="4"/>
      <c r="D14445" s="4" t="s">
        <v>21993</v>
      </c>
      <c r="E14445" s="4" t="s">
        <v>21994</v>
      </c>
      <c r="F14445" s="4" t="s">
        <v>21995</v>
      </c>
      <c r="G14445" s="4"/>
      <c r="H14445" s="4" t="s">
        <v>21993</v>
      </c>
      <c r="I14445" s="4" t="s">
        <v>6565</v>
      </c>
    </row>
    <row r="14446">
      <c r="A14446" s="4">
        <v>900.0</v>
      </c>
      <c r="B14446" s="4" t="s">
        <v>22113</v>
      </c>
      <c r="C14446" s="4"/>
      <c r="D14446" s="4" t="s">
        <v>8880</v>
      </c>
      <c r="E14446" s="4" t="s">
        <v>15552</v>
      </c>
      <c r="F14446" s="4" t="s">
        <v>8882</v>
      </c>
      <c r="G14446" s="4"/>
      <c r="H14446" s="4" t="s">
        <v>8880</v>
      </c>
    </row>
    <row r="14447">
      <c r="A14447" s="4">
        <v>901.0</v>
      </c>
      <c r="B14447" s="4" t="s">
        <v>22113</v>
      </c>
      <c r="C14447" s="4"/>
      <c r="D14447" s="4" t="s">
        <v>4555</v>
      </c>
      <c r="E14447" s="4" t="s">
        <v>4556</v>
      </c>
      <c r="F14447" s="4" t="s">
        <v>4555</v>
      </c>
    </row>
    <row r="14448">
      <c r="A14448" s="4">
        <v>902.0</v>
      </c>
      <c r="B14448" s="4" t="s">
        <v>22113</v>
      </c>
      <c r="C14448" s="4"/>
      <c r="D14448" s="4" t="s">
        <v>21996</v>
      </c>
      <c r="E14448" s="4" t="s">
        <v>21997</v>
      </c>
      <c r="F14448" s="4" t="s">
        <v>21998</v>
      </c>
    </row>
    <row r="14449">
      <c r="A14449" s="4">
        <v>903.0</v>
      </c>
      <c r="B14449" s="4" t="s">
        <v>22113</v>
      </c>
      <c r="C14449" s="4"/>
      <c r="D14449" s="4" t="s">
        <v>21999</v>
      </c>
      <c r="E14449" s="4" t="s">
        <v>458</v>
      </c>
      <c r="F14449" s="4" t="s">
        <v>459</v>
      </c>
    </row>
    <row r="14450">
      <c r="A14450" s="4">
        <v>904.0</v>
      </c>
      <c r="B14450" s="4" t="s">
        <v>22113</v>
      </c>
      <c r="C14450" s="4"/>
      <c r="D14450" s="4" t="s">
        <v>22000</v>
      </c>
      <c r="E14450" s="4" t="s">
        <v>22001</v>
      </c>
      <c r="F14450" s="4" t="s">
        <v>22000</v>
      </c>
    </row>
    <row r="14451">
      <c r="A14451" s="4">
        <v>905.0</v>
      </c>
      <c r="B14451" s="4" t="s">
        <v>22113</v>
      </c>
      <c r="C14451" s="4"/>
      <c r="D14451" s="4" t="s">
        <v>22002</v>
      </c>
      <c r="E14451" s="4" t="s">
        <v>18808</v>
      </c>
      <c r="F14451" s="4" t="s">
        <v>18807</v>
      </c>
      <c r="G14451" s="4"/>
      <c r="H14451" s="4" t="s">
        <v>8883</v>
      </c>
    </row>
    <row r="14452">
      <c r="A14452" s="4">
        <v>906.0</v>
      </c>
      <c r="B14452" s="4" t="s">
        <v>22113</v>
      </c>
      <c r="C14452" s="4"/>
      <c r="D14452" s="4" t="s">
        <v>16473</v>
      </c>
      <c r="E14452" s="4" t="s">
        <v>16474</v>
      </c>
      <c r="F14452" s="4" t="s">
        <v>16473</v>
      </c>
      <c r="G14452" s="4"/>
      <c r="H14452" s="4" t="s">
        <v>16473</v>
      </c>
      <c r="I14452" s="4" t="s">
        <v>22003</v>
      </c>
    </row>
    <row r="14453">
      <c r="A14453" s="4">
        <v>907.0</v>
      </c>
      <c r="B14453" s="4" t="s">
        <v>22113</v>
      </c>
      <c r="C14453" s="4"/>
      <c r="D14453" s="4" t="s">
        <v>22004</v>
      </c>
      <c r="E14453" s="4" t="s">
        <v>22005</v>
      </c>
      <c r="F14453" s="4" t="s">
        <v>22004</v>
      </c>
    </row>
    <row r="14454">
      <c r="A14454" s="4">
        <v>908.0</v>
      </c>
      <c r="B14454" s="4" t="s">
        <v>22113</v>
      </c>
      <c r="C14454" s="4"/>
      <c r="D14454" s="4" t="s">
        <v>22006</v>
      </c>
      <c r="E14454" s="4" t="s">
        <v>22007</v>
      </c>
      <c r="F14454" s="4" t="s">
        <v>22006</v>
      </c>
    </row>
    <row r="14455">
      <c r="A14455" s="4">
        <v>909.0</v>
      </c>
      <c r="B14455" s="4" t="s">
        <v>22113</v>
      </c>
      <c r="C14455" s="4"/>
      <c r="D14455" s="4" t="s">
        <v>22008</v>
      </c>
      <c r="E14455" s="4" t="s">
        <v>22009</v>
      </c>
      <c r="F14455" s="4" t="s">
        <v>22010</v>
      </c>
    </row>
    <row r="14456">
      <c r="A14456" s="4">
        <v>910.0</v>
      </c>
      <c r="B14456" s="4" t="s">
        <v>22113</v>
      </c>
      <c r="C14456" s="4"/>
      <c r="D14456" s="4" t="s">
        <v>22011</v>
      </c>
      <c r="E14456" s="4" t="s">
        <v>22012</v>
      </c>
      <c r="F14456" s="4" t="s">
        <v>22011</v>
      </c>
    </row>
    <row r="14457">
      <c r="A14457" s="4">
        <v>911.0</v>
      </c>
      <c r="B14457" s="4" t="s">
        <v>22113</v>
      </c>
      <c r="C14457" s="4"/>
      <c r="D14457" s="4" t="s">
        <v>22013</v>
      </c>
      <c r="E14457" s="4" t="s">
        <v>22014</v>
      </c>
      <c r="F14457" s="4" t="s">
        <v>22015</v>
      </c>
    </row>
    <row r="14458">
      <c r="A14458" s="4">
        <v>912.0</v>
      </c>
      <c r="B14458" s="4" t="s">
        <v>22113</v>
      </c>
      <c r="C14458" s="4"/>
      <c r="D14458" s="4" t="s">
        <v>13881</v>
      </c>
      <c r="E14458" s="4" t="s">
        <v>13880</v>
      </c>
      <c r="F14458" s="4" t="s">
        <v>13881</v>
      </c>
    </row>
    <row r="14459">
      <c r="A14459" s="4">
        <v>913.0</v>
      </c>
      <c r="B14459" s="4" t="s">
        <v>22113</v>
      </c>
      <c r="C14459" s="4"/>
      <c r="D14459" s="4" t="s">
        <v>4577</v>
      </c>
      <c r="E14459" s="4" t="s">
        <v>4578</v>
      </c>
      <c r="F14459" s="4" t="s">
        <v>4579</v>
      </c>
    </row>
    <row r="14460">
      <c r="A14460" s="4">
        <v>914.0</v>
      </c>
      <c r="B14460" s="4" t="s">
        <v>22113</v>
      </c>
      <c r="C14460" s="4"/>
      <c r="D14460" s="4" t="s">
        <v>4593</v>
      </c>
      <c r="E14460" s="4" t="s">
        <v>4594</v>
      </c>
      <c r="F14460" s="4" t="s">
        <v>4595</v>
      </c>
    </row>
    <row r="14461">
      <c r="A14461" s="4">
        <v>915.0</v>
      </c>
      <c r="B14461" s="4" t="s">
        <v>22113</v>
      </c>
      <c r="C14461" s="4"/>
      <c r="D14461" s="4" t="s">
        <v>22016</v>
      </c>
      <c r="E14461" s="4" t="s">
        <v>22017</v>
      </c>
      <c r="F14461" s="4" t="s">
        <v>22018</v>
      </c>
    </row>
    <row r="14462">
      <c r="A14462" s="4">
        <v>916.0</v>
      </c>
      <c r="B14462" s="4" t="s">
        <v>22113</v>
      </c>
      <c r="C14462" s="4"/>
      <c r="D14462" s="4" t="s">
        <v>22019</v>
      </c>
      <c r="E14462" s="4" t="s">
        <v>22020</v>
      </c>
      <c r="F14462" s="4" t="s">
        <v>22021</v>
      </c>
    </row>
    <row r="14463">
      <c r="A14463" s="4">
        <v>917.0</v>
      </c>
      <c r="B14463" s="4" t="s">
        <v>22113</v>
      </c>
      <c r="C14463" s="4"/>
      <c r="D14463" s="4" t="s">
        <v>22022</v>
      </c>
      <c r="E14463" s="4" t="s">
        <v>4556</v>
      </c>
      <c r="F14463" s="4" t="s">
        <v>4555</v>
      </c>
    </row>
    <row r="14464">
      <c r="A14464" s="4">
        <v>918.0</v>
      </c>
      <c r="B14464" s="4" t="s">
        <v>22113</v>
      </c>
      <c r="C14464" s="4"/>
      <c r="D14464" s="4" t="s">
        <v>4607</v>
      </c>
      <c r="E14464" s="4" t="s">
        <v>4608</v>
      </c>
      <c r="F14464" s="4" t="s">
        <v>4609</v>
      </c>
      <c r="G14464" s="4"/>
      <c r="H14464" s="4" t="s">
        <v>4610</v>
      </c>
      <c r="I14464" s="4" t="s">
        <v>4610</v>
      </c>
      <c r="J14464" s="4" t="s">
        <v>4611</v>
      </c>
      <c r="K14464" s="4" t="s">
        <v>4612</v>
      </c>
    </row>
    <row r="14465">
      <c r="A14465" s="4">
        <v>919.0</v>
      </c>
      <c r="B14465" s="4" t="s">
        <v>22113</v>
      </c>
      <c r="C14465" s="4"/>
      <c r="D14465" s="4" t="s">
        <v>1860</v>
      </c>
      <c r="E14465" s="4" t="s">
        <v>1859</v>
      </c>
      <c r="F14465" s="4" t="s">
        <v>1860</v>
      </c>
    </row>
    <row r="14466">
      <c r="A14466" s="4">
        <v>920.0</v>
      </c>
      <c r="B14466" s="4" t="s">
        <v>22113</v>
      </c>
      <c r="C14466" s="4"/>
      <c r="D14466" s="4" t="s">
        <v>1864</v>
      </c>
      <c r="E14466" s="4" t="s">
        <v>1863</v>
      </c>
      <c r="F14466" s="4" t="s">
        <v>1864</v>
      </c>
    </row>
    <row r="14467">
      <c r="A14467" s="4">
        <v>921.0</v>
      </c>
      <c r="B14467" s="4" t="s">
        <v>22113</v>
      </c>
      <c r="C14467" s="4"/>
      <c r="D14467" s="4" t="s">
        <v>21033</v>
      </c>
      <c r="E14467" s="4" t="s">
        <v>21032</v>
      </c>
      <c r="F14467" s="4" t="s">
        <v>21033</v>
      </c>
    </row>
    <row r="14468">
      <c r="A14468" s="4">
        <v>922.0</v>
      </c>
      <c r="B14468" s="4" t="s">
        <v>22113</v>
      </c>
      <c r="C14468" s="4"/>
      <c r="D14468" s="4" t="s">
        <v>4640</v>
      </c>
      <c r="E14468" s="4" t="s">
        <v>4639</v>
      </c>
      <c r="F14468" s="4" t="s">
        <v>4640</v>
      </c>
    </row>
    <row r="14469">
      <c r="A14469" s="4">
        <v>923.0</v>
      </c>
      <c r="B14469" s="4" t="s">
        <v>22113</v>
      </c>
      <c r="C14469" s="4"/>
      <c r="D14469" s="4" t="s">
        <v>4638</v>
      </c>
      <c r="E14469" s="4" t="s">
        <v>4656</v>
      </c>
      <c r="F14469" s="4" t="s">
        <v>4638</v>
      </c>
      <c r="G14469" s="4"/>
      <c r="H14469" s="4" t="s">
        <v>4641</v>
      </c>
      <c r="I14469" s="4" t="s">
        <v>4642</v>
      </c>
      <c r="J14469" s="4" t="s">
        <v>4643</v>
      </c>
      <c r="K14469" s="4" t="s">
        <v>4644</v>
      </c>
      <c r="L14469" s="4" t="s">
        <v>4645</v>
      </c>
      <c r="M14469" s="4" t="s">
        <v>4646</v>
      </c>
      <c r="N14469" s="4" t="s">
        <v>4645</v>
      </c>
      <c r="O14469" s="4" t="s">
        <v>4644</v>
      </c>
      <c r="P14469" s="4" t="s">
        <v>4646</v>
      </c>
      <c r="Q14469" s="4" t="s">
        <v>4647</v>
      </c>
      <c r="R14469" s="4" t="s">
        <v>4648</v>
      </c>
      <c r="S14469" s="4" t="s">
        <v>22023</v>
      </c>
      <c r="T14469" s="4" t="s">
        <v>22024</v>
      </c>
      <c r="U14469" s="4" t="s">
        <v>22025</v>
      </c>
      <c r="V14469" s="4" t="s">
        <v>3048</v>
      </c>
      <c r="W14469" s="4" t="s">
        <v>22026</v>
      </c>
      <c r="X14469" s="4" t="s">
        <v>4653</v>
      </c>
      <c r="Y14469" s="4" t="s">
        <v>4652</v>
      </c>
      <c r="Z14469" s="4" t="s">
        <v>4649</v>
      </c>
      <c r="AA14469" s="4" t="s">
        <v>4650</v>
      </c>
      <c r="AB14469" s="4" t="s">
        <v>4649</v>
      </c>
      <c r="AC14469" s="4" t="s">
        <v>4651</v>
      </c>
      <c r="AD14469" s="4" t="s">
        <v>4496</v>
      </c>
      <c r="AE14469" s="4" t="s">
        <v>4652</v>
      </c>
      <c r="AF14469" s="4" t="s">
        <v>3048</v>
      </c>
      <c r="AG14469" s="4" t="s">
        <v>3050</v>
      </c>
      <c r="AH14469" s="4" t="s">
        <v>4653</v>
      </c>
      <c r="AI14469" s="4" t="s">
        <v>22027</v>
      </c>
      <c r="AJ14469" s="4" t="s">
        <v>22028</v>
      </c>
      <c r="AK14469" s="4" t="s">
        <v>22029</v>
      </c>
      <c r="AL14469" s="4" t="s">
        <v>21767</v>
      </c>
      <c r="AM14469" s="4" t="s">
        <v>22030</v>
      </c>
      <c r="AN14469" s="4" t="s">
        <v>4642</v>
      </c>
      <c r="AO14469" s="4" t="s">
        <v>4652</v>
      </c>
      <c r="AP14469" s="4" t="s">
        <v>3048</v>
      </c>
      <c r="AQ14469" s="4" t="s">
        <v>4653</v>
      </c>
      <c r="AR14469" s="4" t="s">
        <v>4649</v>
      </c>
      <c r="AS14469" s="4" t="s">
        <v>4644</v>
      </c>
      <c r="AT14469" s="4" t="s">
        <v>4644</v>
      </c>
      <c r="AU14469" s="4" t="s">
        <v>4642</v>
      </c>
    </row>
    <row r="14470">
      <c r="A14470" s="4">
        <v>924.0</v>
      </c>
      <c r="B14470" s="4" t="s">
        <v>22113</v>
      </c>
      <c r="C14470" s="4"/>
      <c r="D14470" s="4" t="s">
        <v>22031</v>
      </c>
      <c r="E14470" s="4" t="s">
        <v>22032</v>
      </c>
      <c r="F14470" s="4" t="s">
        <v>22033</v>
      </c>
    </row>
    <row r="14471">
      <c r="A14471" s="4">
        <v>925.0</v>
      </c>
      <c r="B14471" s="4" t="s">
        <v>22113</v>
      </c>
      <c r="C14471" s="4"/>
      <c r="D14471" s="4" t="s">
        <v>22034</v>
      </c>
      <c r="E14471" s="4" t="s">
        <v>22035</v>
      </c>
      <c r="F14471" s="4" t="s">
        <v>22036</v>
      </c>
    </row>
    <row r="14472">
      <c r="A14472" s="4">
        <v>926.0</v>
      </c>
      <c r="B14472" s="4" t="s">
        <v>22113</v>
      </c>
      <c r="C14472" s="4"/>
      <c r="D14472" s="4" t="s">
        <v>4659</v>
      </c>
      <c r="E14472" s="4" t="s">
        <v>4639</v>
      </c>
      <c r="F14472" s="4" t="s">
        <v>4640</v>
      </c>
    </row>
    <row r="14473">
      <c r="A14473" s="4">
        <v>927.0</v>
      </c>
      <c r="B14473" s="4" t="s">
        <v>22113</v>
      </c>
      <c r="C14473" s="4"/>
      <c r="D14473" s="4" t="s">
        <v>22037</v>
      </c>
      <c r="E14473" s="4" t="s">
        <v>22038</v>
      </c>
      <c r="F14473" s="4" t="s">
        <v>22037</v>
      </c>
    </row>
    <row r="14474">
      <c r="A14474" s="4">
        <v>928.0</v>
      </c>
      <c r="B14474" s="4" t="s">
        <v>22113</v>
      </c>
      <c r="C14474" s="4"/>
      <c r="D14474" s="4" t="s">
        <v>22039</v>
      </c>
      <c r="E14474" s="4" t="s">
        <v>22040</v>
      </c>
      <c r="F14474" s="4" t="s">
        <v>22039</v>
      </c>
    </row>
    <row r="14475">
      <c r="A14475" s="4">
        <v>929.0</v>
      </c>
      <c r="B14475" s="4" t="s">
        <v>22113</v>
      </c>
      <c r="C14475" s="4"/>
      <c r="D14475" s="4" t="s">
        <v>22041</v>
      </c>
      <c r="E14475" s="4" t="s">
        <v>22042</v>
      </c>
      <c r="F14475" s="4" t="s">
        <v>22043</v>
      </c>
    </row>
    <row r="14476">
      <c r="A14476" s="4">
        <v>930.0</v>
      </c>
      <c r="B14476" s="4" t="s">
        <v>22113</v>
      </c>
      <c r="C14476" s="4"/>
      <c r="D14476" s="4" t="s">
        <v>22044</v>
      </c>
      <c r="E14476" s="4" t="s">
        <v>22045</v>
      </c>
      <c r="F14476" s="4" t="s">
        <v>22046</v>
      </c>
    </row>
    <row r="14477">
      <c r="A14477" s="4">
        <v>931.0</v>
      </c>
      <c r="B14477" s="4" t="s">
        <v>22113</v>
      </c>
      <c r="C14477" s="4"/>
      <c r="D14477" s="4" t="s">
        <v>22047</v>
      </c>
      <c r="E14477" s="4" t="s">
        <v>22048</v>
      </c>
      <c r="F14477" s="4" t="s">
        <v>22047</v>
      </c>
    </row>
    <row r="14478">
      <c r="A14478" s="4">
        <v>932.0</v>
      </c>
      <c r="B14478" s="4" t="s">
        <v>22113</v>
      </c>
      <c r="C14478" s="4"/>
      <c r="D14478" s="4" t="s">
        <v>19726</v>
      </c>
      <c r="E14478" s="4" t="s">
        <v>21047</v>
      </c>
      <c r="F14478" s="4" t="s">
        <v>19726</v>
      </c>
      <c r="G14478" s="4"/>
      <c r="H14478" s="4" t="s">
        <v>4799</v>
      </c>
      <c r="I14478" s="4" t="s">
        <v>22049</v>
      </c>
      <c r="J14478" s="4" t="s">
        <v>4799</v>
      </c>
      <c r="K14478" s="4" t="s">
        <v>22050</v>
      </c>
      <c r="L14478" s="4" t="s">
        <v>22051</v>
      </c>
      <c r="M14478" s="4" t="s">
        <v>22052</v>
      </c>
      <c r="N14478" s="4" t="s">
        <v>3085</v>
      </c>
      <c r="O14478" s="4" t="s">
        <v>4799</v>
      </c>
      <c r="P14478" s="4" t="s">
        <v>22053</v>
      </c>
      <c r="Q14478" s="4" t="s">
        <v>11348</v>
      </c>
      <c r="R14478" s="4" t="s">
        <v>22052</v>
      </c>
      <c r="S14478" s="4" t="s">
        <v>4799</v>
      </c>
      <c r="T14478" s="4" t="s">
        <v>4799</v>
      </c>
    </row>
    <row r="14479">
      <c r="A14479" s="4">
        <v>933.0</v>
      </c>
      <c r="B14479" s="4" t="s">
        <v>22113</v>
      </c>
      <c r="C14479" s="4"/>
      <c r="D14479" s="4" t="s">
        <v>22054</v>
      </c>
      <c r="E14479" s="4" t="s">
        <v>22055</v>
      </c>
      <c r="F14479" s="4" t="s">
        <v>22054</v>
      </c>
    </row>
    <row r="14480">
      <c r="A14480" s="4">
        <v>934.0</v>
      </c>
      <c r="B14480" s="4" t="s">
        <v>22113</v>
      </c>
      <c r="C14480" s="4"/>
      <c r="D14480" s="4" t="s">
        <v>22056</v>
      </c>
      <c r="E14480" s="4" t="s">
        <v>22057</v>
      </c>
      <c r="F14480" s="4" t="s">
        <v>22056</v>
      </c>
    </row>
    <row r="14481">
      <c r="A14481" s="4">
        <v>935.0</v>
      </c>
      <c r="B14481" s="4" t="s">
        <v>22113</v>
      </c>
      <c r="C14481" s="4"/>
      <c r="D14481" s="4" t="s">
        <v>22058</v>
      </c>
      <c r="E14481" s="4" t="s">
        <v>22055</v>
      </c>
      <c r="F14481" s="4" t="s">
        <v>22054</v>
      </c>
    </row>
    <row r="14482">
      <c r="A14482" s="4">
        <v>936.0</v>
      </c>
      <c r="B14482" s="4" t="s">
        <v>22113</v>
      </c>
      <c r="C14482" s="4"/>
      <c r="D14482" s="4" t="s">
        <v>22059</v>
      </c>
      <c r="E14482" s="4" t="s">
        <v>22057</v>
      </c>
      <c r="F14482" s="4" t="s">
        <v>22056</v>
      </c>
    </row>
    <row r="14483">
      <c r="A14483" s="4">
        <v>937.0</v>
      </c>
      <c r="B14483" s="4" t="s">
        <v>22113</v>
      </c>
      <c r="C14483" s="4"/>
      <c r="D14483" s="4" t="s">
        <v>22060</v>
      </c>
      <c r="E14483" s="4" t="s">
        <v>22061</v>
      </c>
      <c r="F14483" s="4" t="s">
        <v>22060</v>
      </c>
    </row>
    <row r="14484">
      <c r="A14484" s="4">
        <v>938.0</v>
      </c>
      <c r="B14484" s="4" t="s">
        <v>22113</v>
      </c>
      <c r="C14484" s="4"/>
      <c r="D14484" s="4" t="s">
        <v>22062</v>
      </c>
      <c r="E14484" s="4" t="s">
        <v>22063</v>
      </c>
      <c r="F14484" s="4" t="s">
        <v>22064</v>
      </c>
    </row>
    <row r="14485">
      <c r="A14485" s="4">
        <v>939.0</v>
      </c>
      <c r="B14485" s="4" t="s">
        <v>22113</v>
      </c>
      <c r="C14485" s="4"/>
      <c r="D14485" s="4" t="s">
        <v>22065</v>
      </c>
      <c r="E14485" s="4" t="s">
        <v>22066</v>
      </c>
      <c r="F14485" s="4" t="s">
        <v>22067</v>
      </c>
    </row>
    <row r="14486">
      <c r="A14486" s="4">
        <v>940.0</v>
      </c>
      <c r="B14486" s="4" t="s">
        <v>22113</v>
      </c>
      <c r="C14486" s="4"/>
      <c r="D14486" s="4" t="s">
        <v>22068</v>
      </c>
      <c r="E14486" s="4" t="s">
        <v>22069</v>
      </c>
      <c r="F14486" s="4" t="s">
        <v>22068</v>
      </c>
      <c r="G14486" s="4"/>
      <c r="H14486" s="4" t="s">
        <v>22070</v>
      </c>
      <c r="I14486" s="4" t="s">
        <v>22070</v>
      </c>
      <c r="J14486" s="4" t="s">
        <v>22071</v>
      </c>
    </row>
    <row r="14487">
      <c r="A14487" s="4">
        <v>941.0</v>
      </c>
      <c r="B14487" s="4" t="s">
        <v>22113</v>
      </c>
      <c r="C14487" s="4"/>
      <c r="D14487" s="4" t="s">
        <v>22072</v>
      </c>
      <c r="E14487" s="4" t="s">
        <v>22073</v>
      </c>
      <c r="F14487" s="4" t="s">
        <v>22072</v>
      </c>
      <c r="G14487" s="4"/>
      <c r="H14487" s="4" t="s">
        <v>15061</v>
      </c>
      <c r="I14487" s="4" t="s">
        <v>22074</v>
      </c>
      <c r="J14487" s="4" t="s">
        <v>8236</v>
      </c>
    </row>
    <row r="14488">
      <c r="A14488" s="4">
        <v>942.0</v>
      </c>
      <c r="B14488" s="4" t="s">
        <v>22113</v>
      </c>
      <c r="C14488" s="4"/>
      <c r="D14488" s="4" t="s">
        <v>22075</v>
      </c>
      <c r="E14488" s="4" t="s">
        <v>21127</v>
      </c>
      <c r="F14488" s="4" t="s">
        <v>21128</v>
      </c>
    </row>
    <row r="14489">
      <c r="A14489" s="4">
        <v>943.0</v>
      </c>
      <c r="B14489" s="4" t="s">
        <v>22113</v>
      </c>
      <c r="C14489" s="4"/>
      <c r="D14489" s="4" t="s">
        <v>22076</v>
      </c>
      <c r="E14489" s="4" t="s">
        <v>22077</v>
      </c>
      <c r="F14489" s="4" t="s">
        <v>22078</v>
      </c>
    </row>
    <row r="14490">
      <c r="A14490" s="4">
        <v>944.0</v>
      </c>
      <c r="B14490" s="4" t="s">
        <v>22113</v>
      </c>
      <c r="C14490" s="4"/>
      <c r="D14490" s="4" t="s">
        <v>22076</v>
      </c>
      <c r="E14490" s="4" t="s">
        <v>22079</v>
      </c>
      <c r="F14490" s="4" t="s">
        <v>22080</v>
      </c>
    </row>
    <row r="14491">
      <c r="A14491" s="4">
        <v>945.0</v>
      </c>
      <c r="B14491" s="4" t="s">
        <v>22113</v>
      </c>
      <c r="C14491" s="4"/>
      <c r="D14491" s="4" t="s">
        <v>22081</v>
      </c>
      <c r="E14491" s="4" t="s">
        <v>400</v>
      </c>
      <c r="F14491" s="4" t="s">
        <v>401</v>
      </c>
    </row>
    <row r="14492">
      <c r="A14492" s="4">
        <v>946.0</v>
      </c>
      <c r="B14492" s="4" t="s">
        <v>22113</v>
      </c>
      <c r="C14492" s="4"/>
      <c r="D14492" s="4" t="s">
        <v>22082</v>
      </c>
      <c r="E14492" s="4" t="s">
        <v>22083</v>
      </c>
      <c r="F14492" s="4" t="s">
        <v>9207</v>
      </c>
    </row>
    <row r="14493">
      <c r="A14493" s="4">
        <v>947.0</v>
      </c>
      <c r="B14493" s="4" t="s">
        <v>22113</v>
      </c>
      <c r="C14493" s="4"/>
      <c r="D14493" s="4" t="s">
        <v>22084</v>
      </c>
      <c r="E14493" s="4" t="s">
        <v>22085</v>
      </c>
      <c r="F14493" s="4" t="s">
        <v>14748</v>
      </c>
      <c r="G14493" s="4"/>
      <c r="H14493" s="4" t="s">
        <v>22086</v>
      </c>
      <c r="I14493" s="4" t="s">
        <v>22087</v>
      </c>
      <c r="J14493" s="4" t="s">
        <v>22088</v>
      </c>
      <c r="K14493" s="4" t="s">
        <v>22089</v>
      </c>
      <c r="L14493" s="4" t="s">
        <v>22090</v>
      </c>
      <c r="M14493" s="4" t="s">
        <v>22091</v>
      </c>
      <c r="N14493" s="4" t="s">
        <v>997</v>
      </c>
      <c r="O14493" s="4" t="s">
        <v>22092</v>
      </c>
      <c r="P14493" s="4" t="s">
        <v>19816</v>
      </c>
      <c r="Q14493" s="4" t="s">
        <v>22086</v>
      </c>
      <c r="R14493" s="4" t="s">
        <v>22087</v>
      </c>
      <c r="S14493" s="4" t="s">
        <v>22093</v>
      </c>
      <c r="T14493" s="4" t="s">
        <v>6967</v>
      </c>
      <c r="U14493" s="4" t="s">
        <v>3216</v>
      </c>
    </row>
    <row r="14494">
      <c r="A14494" s="4">
        <v>948.0</v>
      </c>
      <c r="B14494" s="4" t="s">
        <v>22113</v>
      </c>
      <c r="C14494" s="4"/>
      <c r="D14494" s="4" t="s">
        <v>22094</v>
      </c>
      <c r="E14494" s="4" t="s">
        <v>653</v>
      </c>
      <c r="F14494" s="4" t="s">
        <v>652</v>
      </c>
    </row>
    <row r="14495">
      <c r="A14495" s="4">
        <v>949.0</v>
      </c>
      <c r="B14495" s="4" t="s">
        <v>22113</v>
      </c>
      <c r="C14495" s="4"/>
      <c r="D14495" s="4" t="s">
        <v>22095</v>
      </c>
      <c r="E14495" s="4" t="s">
        <v>4775</v>
      </c>
      <c r="F14495" s="4" t="s">
        <v>4776</v>
      </c>
    </row>
    <row r="14496">
      <c r="A14496" s="4">
        <v>950.0</v>
      </c>
      <c r="B14496" s="4" t="s">
        <v>22113</v>
      </c>
      <c r="C14496" s="4"/>
      <c r="D14496" s="4" t="s">
        <v>16664</v>
      </c>
      <c r="E14496" s="4" t="s">
        <v>16663</v>
      </c>
      <c r="F14496" s="4" t="s">
        <v>16664</v>
      </c>
    </row>
    <row r="14497">
      <c r="A14497" s="4">
        <v>951.0</v>
      </c>
      <c r="B14497" s="4" t="s">
        <v>22113</v>
      </c>
      <c r="C14497" s="4"/>
      <c r="D14497" s="4" t="s">
        <v>3055</v>
      </c>
      <c r="E14497" s="4" t="s">
        <v>3054</v>
      </c>
      <c r="F14497" s="4" t="s">
        <v>3055</v>
      </c>
    </row>
    <row r="14498">
      <c r="A14498" s="4">
        <v>952.0</v>
      </c>
      <c r="B14498" s="4" t="s">
        <v>22113</v>
      </c>
      <c r="C14498" s="4"/>
      <c r="D14498" s="4" t="s">
        <v>22096</v>
      </c>
      <c r="E14498" s="4" t="s">
        <v>22097</v>
      </c>
      <c r="F14498" s="4" t="s">
        <v>22096</v>
      </c>
    </row>
    <row r="14499">
      <c r="A14499" s="4">
        <v>953.0</v>
      </c>
      <c r="B14499" s="4" t="s">
        <v>22113</v>
      </c>
      <c r="C14499" s="4"/>
      <c r="D14499" s="4" t="s">
        <v>18379</v>
      </c>
      <c r="E14499" s="4" t="s">
        <v>18378</v>
      </c>
      <c r="F14499" s="4" t="s">
        <v>18379</v>
      </c>
    </row>
    <row r="14500">
      <c r="A14500" s="4">
        <v>954.0</v>
      </c>
      <c r="B14500" s="4" t="s">
        <v>22113</v>
      </c>
      <c r="C14500" s="4"/>
      <c r="D14500" s="4" t="s">
        <v>22098</v>
      </c>
      <c r="E14500" s="4" t="s">
        <v>22099</v>
      </c>
      <c r="F14500" s="4" t="s">
        <v>22098</v>
      </c>
    </row>
    <row r="14501">
      <c r="A14501" s="4">
        <v>955.0</v>
      </c>
      <c r="B14501" s="4" t="s">
        <v>22113</v>
      </c>
      <c r="C14501" s="4"/>
      <c r="D14501" s="4" t="s">
        <v>22100</v>
      </c>
      <c r="E14501" s="4" t="s">
        <v>22101</v>
      </c>
      <c r="F14501" s="4" t="s">
        <v>22100</v>
      </c>
    </row>
    <row r="14502">
      <c r="A14502" s="4">
        <v>956.0</v>
      </c>
      <c r="B14502" s="4" t="s">
        <v>22113</v>
      </c>
      <c r="C14502" s="4"/>
      <c r="D14502" s="4" t="s">
        <v>3066</v>
      </c>
      <c r="E14502" s="4" t="s">
        <v>3065</v>
      </c>
      <c r="F14502" s="4" t="s">
        <v>3066</v>
      </c>
    </row>
    <row r="14503">
      <c r="A14503" s="4">
        <v>957.0</v>
      </c>
      <c r="B14503" s="4" t="s">
        <v>22113</v>
      </c>
      <c r="C14503" s="4"/>
      <c r="D14503" s="4" t="s">
        <v>22102</v>
      </c>
      <c r="E14503" s="4" t="s">
        <v>22103</v>
      </c>
      <c r="F14503" s="4" t="s">
        <v>22104</v>
      </c>
    </row>
    <row r="14504">
      <c r="A14504" s="4">
        <v>958.0</v>
      </c>
      <c r="B14504" s="4" t="s">
        <v>22113</v>
      </c>
      <c r="C14504" s="4"/>
      <c r="D14504" s="4" t="s">
        <v>22105</v>
      </c>
      <c r="E14504" s="4" t="s">
        <v>19878</v>
      </c>
      <c r="F14504" s="4" t="s">
        <v>19877</v>
      </c>
      <c r="G14504" s="4"/>
      <c r="H14504" s="4" t="s">
        <v>22106</v>
      </c>
      <c r="I14504" s="4" t="s">
        <v>22107</v>
      </c>
      <c r="J14504" s="4" t="s">
        <v>22108</v>
      </c>
      <c r="K14504" s="4" t="s">
        <v>19882</v>
      </c>
      <c r="L14504" s="4" t="s">
        <v>22109</v>
      </c>
      <c r="M14504" s="4" t="s">
        <v>16185</v>
      </c>
      <c r="N14504" s="4" t="s">
        <v>19882</v>
      </c>
      <c r="O14504" s="4" t="s">
        <v>19883</v>
      </c>
      <c r="P14504" s="4" t="s">
        <v>17013</v>
      </c>
      <c r="Q14504" s="4" t="s">
        <v>17014</v>
      </c>
    </row>
    <row r="14505">
      <c r="A14505" s="4">
        <v>1.0</v>
      </c>
      <c r="B14505" s="4" t="s">
        <v>22132</v>
      </c>
      <c r="C14505" s="4"/>
      <c r="D14505" s="4" t="s">
        <v>20305</v>
      </c>
      <c r="E14505" s="4" t="s">
        <v>20306</v>
      </c>
      <c r="F14505" s="4" t="s">
        <v>20307</v>
      </c>
    </row>
    <row r="14506">
      <c r="A14506" s="4">
        <v>2.0</v>
      </c>
      <c r="B14506" s="4" t="s">
        <v>22132</v>
      </c>
      <c r="C14506" s="4"/>
      <c r="D14506" s="4" t="s">
        <v>20308</v>
      </c>
      <c r="E14506" s="4" t="s">
        <v>20309</v>
      </c>
      <c r="F14506" s="4" t="s">
        <v>20310</v>
      </c>
      <c r="G14506" s="4"/>
      <c r="H14506" s="4" t="s">
        <v>20311</v>
      </c>
    </row>
    <row r="14507">
      <c r="A14507" s="4">
        <v>3.0</v>
      </c>
      <c r="B14507" s="4" t="s">
        <v>22132</v>
      </c>
      <c r="C14507" s="4"/>
      <c r="D14507" s="4" t="s">
        <v>20312</v>
      </c>
      <c r="E14507" s="4" t="s">
        <v>20313</v>
      </c>
      <c r="F14507" s="4" t="s">
        <v>20314</v>
      </c>
    </row>
    <row r="14508">
      <c r="A14508" s="4">
        <v>4.0</v>
      </c>
      <c r="B14508" s="4" t="s">
        <v>22132</v>
      </c>
      <c r="C14508" s="4"/>
      <c r="D14508" s="4" t="s">
        <v>20318</v>
      </c>
      <c r="E14508" s="4" t="s">
        <v>20319</v>
      </c>
      <c r="F14508" s="4" t="s">
        <v>20320</v>
      </c>
    </row>
    <row r="14509">
      <c r="A14509" s="4">
        <v>5.0</v>
      </c>
      <c r="B14509" s="4" t="s">
        <v>22132</v>
      </c>
      <c r="C14509" s="4"/>
      <c r="D14509" s="4" t="s">
        <v>479</v>
      </c>
      <c r="E14509" s="4" t="s">
        <v>480</v>
      </c>
      <c r="F14509" s="4" t="s">
        <v>481</v>
      </c>
      <c r="G14509" s="4"/>
      <c r="H14509" s="4" t="s">
        <v>482</v>
      </c>
      <c r="I14509" s="4" t="s">
        <v>483</v>
      </c>
      <c r="J14509" s="4" t="s">
        <v>484</v>
      </c>
      <c r="K14509" s="4" t="s">
        <v>485</v>
      </c>
      <c r="L14509" s="4" t="s">
        <v>486</v>
      </c>
      <c r="M14509" s="4" t="s">
        <v>487</v>
      </c>
      <c r="N14509" s="4" t="s">
        <v>488</v>
      </c>
      <c r="O14509" s="4" t="s">
        <v>489</v>
      </c>
      <c r="P14509" s="4" t="s">
        <v>490</v>
      </c>
      <c r="Q14509" s="4" t="s">
        <v>491</v>
      </c>
      <c r="R14509" s="4" t="s">
        <v>492</v>
      </c>
      <c r="S14509" s="4" t="s">
        <v>493</v>
      </c>
      <c r="T14509" s="4" t="s">
        <v>20321</v>
      </c>
      <c r="U14509" s="4" t="s">
        <v>485</v>
      </c>
      <c r="V14509" s="4" t="s">
        <v>20322</v>
      </c>
      <c r="W14509" s="4" t="s">
        <v>20323</v>
      </c>
      <c r="X14509" s="4" t="s">
        <v>20324</v>
      </c>
      <c r="Y14509" s="4" t="s">
        <v>20325</v>
      </c>
      <c r="Z14509" s="4" t="s">
        <v>494</v>
      </c>
      <c r="AA14509" s="4" t="s">
        <v>494</v>
      </c>
      <c r="AB14509" s="4" t="s">
        <v>495</v>
      </c>
      <c r="AC14509" s="4" t="s">
        <v>496</v>
      </c>
      <c r="AD14509" s="4" t="s">
        <v>497</v>
      </c>
      <c r="AE14509" s="4" t="s">
        <v>498</v>
      </c>
      <c r="AF14509" s="4" t="s">
        <v>499</v>
      </c>
    </row>
    <row r="14510">
      <c r="A14510" s="4">
        <v>6.0</v>
      </c>
      <c r="B14510" s="4" t="s">
        <v>22132</v>
      </c>
      <c r="C14510" s="4"/>
      <c r="D14510" s="4" t="s">
        <v>20326</v>
      </c>
      <c r="E14510" s="4" t="s">
        <v>20327</v>
      </c>
      <c r="F14510" s="4" t="s">
        <v>20328</v>
      </c>
    </row>
    <row r="14511">
      <c r="A14511" s="4">
        <v>7.0</v>
      </c>
      <c r="B14511" s="4" t="s">
        <v>22132</v>
      </c>
      <c r="C14511" s="4"/>
      <c r="D14511" s="4" t="s">
        <v>20329</v>
      </c>
      <c r="E14511" s="4" t="s">
        <v>4896</v>
      </c>
      <c r="F14511" s="4" t="s">
        <v>4897</v>
      </c>
    </row>
    <row r="14512">
      <c r="A14512" s="4">
        <v>8.0</v>
      </c>
      <c r="B14512" s="4" t="s">
        <v>22132</v>
      </c>
      <c r="C14512" s="4"/>
      <c r="D14512" s="4" t="s">
        <v>20330</v>
      </c>
      <c r="E14512" s="4" t="s">
        <v>20331</v>
      </c>
      <c r="F14512" s="4" t="s">
        <v>20332</v>
      </c>
      <c r="G14512" s="4"/>
      <c r="H14512" s="4" t="s">
        <v>917</v>
      </c>
      <c r="I14512" s="4" t="s">
        <v>20333</v>
      </c>
      <c r="J14512" s="4" t="s">
        <v>917</v>
      </c>
      <c r="K14512" s="4" t="s">
        <v>20334</v>
      </c>
    </row>
    <row r="14513">
      <c r="A14513" s="4">
        <v>9.0</v>
      </c>
      <c r="B14513" s="4" t="s">
        <v>22132</v>
      </c>
      <c r="C14513" s="4"/>
      <c r="D14513" s="4" t="s">
        <v>20335</v>
      </c>
      <c r="E14513" s="4" t="s">
        <v>20336</v>
      </c>
      <c r="F14513" s="4" t="s">
        <v>20337</v>
      </c>
    </row>
    <row r="14514">
      <c r="A14514" s="4">
        <v>10.0</v>
      </c>
      <c r="B14514" s="4" t="s">
        <v>22132</v>
      </c>
      <c r="C14514" s="4"/>
      <c r="D14514" s="4" t="s">
        <v>20338</v>
      </c>
      <c r="E14514" s="4" t="s">
        <v>20339</v>
      </c>
      <c r="F14514" s="4" t="s">
        <v>20340</v>
      </c>
    </row>
    <row r="14515">
      <c r="A14515" s="4">
        <v>11.0</v>
      </c>
      <c r="B14515" s="4" t="s">
        <v>22132</v>
      </c>
      <c r="C14515" s="4"/>
      <c r="D14515" s="4" t="s">
        <v>20341</v>
      </c>
      <c r="E14515" s="4" t="s">
        <v>20336</v>
      </c>
      <c r="F14515" s="4" t="s">
        <v>20337</v>
      </c>
    </row>
    <row r="14516">
      <c r="A14516" s="4">
        <v>12.0</v>
      </c>
      <c r="B14516" s="4" t="s">
        <v>22132</v>
      </c>
      <c r="C14516" s="4"/>
      <c r="D14516" s="4" t="s">
        <v>20342</v>
      </c>
      <c r="E14516" s="4" t="s">
        <v>20339</v>
      </c>
      <c r="F14516" s="4" t="s">
        <v>20340</v>
      </c>
    </row>
    <row r="14517">
      <c r="A14517" s="4">
        <v>13.0</v>
      </c>
      <c r="B14517" s="4" t="s">
        <v>22132</v>
      </c>
      <c r="C14517" s="4"/>
      <c r="D14517" s="4" t="s">
        <v>20343</v>
      </c>
      <c r="E14517" s="4" t="s">
        <v>20344</v>
      </c>
      <c r="F14517" s="4" t="s">
        <v>20345</v>
      </c>
    </row>
    <row r="14518">
      <c r="A14518" s="4">
        <v>14.0</v>
      </c>
      <c r="B14518" s="4" t="s">
        <v>22132</v>
      </c>
      <c r="C14518" s="4"/>
      <c r="D14518" s="4" t="s">
        <v>20346</v>
      </c>
      <c r="E14518" s="4" t="s">
        <v>20347</v>
      </c>
      <c r="F14518" s="4" t="s">
        <v>20348</v>
      </c>
    </row>
    <row r="14519">
      <c r="A14519" s="4">
        <v>15.0</v>
      </c>
      <c r="B14519" s="4" t="s">
        <v>22132</v>
      </c>
      <c r="C14519" s="4"/>
      <c r="D14519" s="4" t="s">
        <v>20349</v>
      </c>
      <c r="E14519" s="4" t="s">
        <v>20350</v>
      </c>
      <c r="F14519" s="4" t="s">
        <v>20351</v>
      </c>
      <c r="G14519" s="4"/>
      <c r="H14519" s="4" t="s">
        <v>20352</v>
      </c>
      <c r="I14519" s="4" t="s">
        <v>20353</v>
      </c>
    </row>
    <row r="14520">
      <c r="A14520" s="4">
        <v>16.0</v>
      </c>
      <c r="B14520" s="4" t="s">
        <v>22132</v>
      </c>
      <c r="C14520" s="4"/>
      <c r="D14520" s="4" t="s">
        <v>14049</v>
      </c>
      <c r="E14520" s="4" t="s">
        <v>14050</v>
      </c>
      <c r="F14520" s="4" t="s">
        <v>14051</v>
      </c>
    </row>
    <row r="14521">
      <c r="A14521" s="4">
        <v>17.0</v>
      </c>
      <c r="B14521" s="4" t="s">
        <v>22132</v>
      </c>
      <c r="C14521" s="4"/>
      <c r="D14521" s="4" t="s">
        <v>20382</v>
      </c>
      <c r="E14521" s="4" t="s">
        <v>20383</v>
      </c>
      <c r="F14521" s="4" t="s">
        <v>14051</v>
      </c>
    </row>
    <row r="14522">
      <c r="A14522" s="4">
        <v>18.0</v>
      </c>
      <c r="B14522" s="4" t="s">
        <v>22132</v>
      </c>
      <c r="C14522" s="4"/>
      <c r="D14522" s="4" t="s">
        <v>20385</v>
      </c>
      <c r="E14522" s="4" t="s">
        <v>20386</v>
      </c>
      <c r="F14522" s="4" t="s">
        <v>20387</v>
      </c>
    </row>
    <row r="14523">
      <c r="A14523" s="4">
        <v>19.0</v>
      </c>
      <c r="B14523" s="4" t="s">
        <v>22132</v>
      </c>
      <c r="C14523" s="4"/>
      <c r="D14523" s="4" t="s">
        <v>20388</v>
      </c>
      <c r="E14523" s="4" t="s">
        <v>20389</v>
      </c>
      <c r="F14523" s="4" t="s">
        <v>19893</v>
      </c>
    </row>
    <row r="14524">
      <c r="A14524" s="4">
        <v>20.0</v>
      </c>
      <c r="B14524" s="4" t="s">
        <v>22132</v>
      </c>
      <c r="C14524" s="4"/>
      <c r="D14524" s="4" t="s">
        <v>20390</v>
      </c>
      <c r="E14524" s="4" t="s">
        <v>20383</v>
      </c>
      <c r="F14524" s="4" t="s">
        <v>14051</v>
      </c>
    </row>
    <row r="14525">
      <c r="A14525" s="4">
        <v>21.0</v>
      </c>
      <c r="B14525" s="4" t="s">
        <v>22132</v>
      </c>
      <c r="C14525" s="4"/>
      <c r="D14525" s="4" t="s">
        <v>20391</v>
      </c>
      <c r="E14525" s="4" t="s">
        <v>20392</v>
      </c>
      <c r="F14525" s="4" t="s">
        <v>816</v>
      </c>
    </row>
    <row r="14526">
      <c r="A14526" s="4">
        <v>22.0</v>
      </c>
      <c r="B14526" s="4" t="s">
        <v>22132</v>
      </c>
      <c r="C14526" s="4"/>
      <c r="D14526" s="4" t="s">
        <v>20393</v>
      </c>
      <c r="E14526" s="4" t="s">
        <v>20394</v>
      </c>
      <c r="F14526" s="4" t="s">
        <v>20395</v>
      </c>
    </row>
    <row r="14527">
      <c r="A14527" s="4">
        <v>23.0</v>
      </c>
      <c r="B14527" s="4" t="s">
        <v>22132</v>
      </c>
      <c r="C14527" s="4"/>
      <c r="D14527" s="4" t="s">
        <v>506</v>
      </c>
      <c r="E14527" s="4" t="s">
        <v>507</v>
      </c>
      <c r="F14527" s="4" t="s">
        <v>506</v>
      </c>
      <c r="G14527" s="4"/>
      <c r="H14527" s="4" t="s">
        <v>556</v>
      </c>
      <c r="I14527" s="4" t="s">
        <v>557</v>
      </c>
      <c r="J14527" s="4" t="s">
        <v>558</v>
      </c>
      <c r="K14527" s="4" t="s">
        <v>559</v>
      </c>
    </row>
    <row r="14528">
      <c r="A14528" s="4">
        <v>24.0</v>
      </c>
      <c r="B14528" s="4" t="s">
        <v>22132</v>
      </c>
      <c r="C14528" s="4"/>
      <c r="D14528" s="4" t="s">
        <v>508</v>
      </c>
      <c r="E14528" s="4" t="s">
        <v>509</v>
      </c>
      <c r="F14528" s="4" t="s">
        <v>508</v>
      </c>
      <c r="G14528" s="4"/>
      <c r="H14528" s="4" t="s">
        <v>510</v>
      </c>
      <c r="I14528" s="4" t="s">
        <v>511</v>
      </c>
      <c r="J14528" s="4" t="s">
        <v>512</v>
      </c>
      <c r="K14528" s="4" t="s">
        <v>513</v>
      </c>
      <c r="L14528" s="4" t="s">
        <v>510</v>
      </c>
      <c r="M14528" s="4" t="s">
        <v>514</v>
      </c>
      <c r="N14528" s="4" t="s">
        <v>510</v>
      </c>
      <c r="O14528" s="4" t="s">
        <v>510</v>
      </c>
      <c r="P14528" s="4" t="s">
        <v>515</v>
      </c>
      <c r="Q14528" s="4" t="s">
        <v>517</v>
      </c>
    </row>
    <row r="14529">
      <c r="A14529" s="4">
        <v>25.0</v>
      </c>
      <c r="B14529" s="4" t="s">
        <v>22132</v>
      </c>
      <c r="C14529" s="4"/>
      <c r="D14529" s="4" t="s">
        <v>20396</v>
      </c>
      <c r="E14529" s="4" t="s">
        <v>20397</v>
      </c>
      <c r="F14529" s="4" t="s">
        <v>20398</v>
      </c>
    </row>
    <row r="14530">
      <c r="A14530" s="4">
        <v>26.0</v>
      </c>
      <c r="B14530" s="4" t="s">
        <v>22132</v>
      </c>
      <c r="C14530" s="4"/>
      <c r="D14530" s="4" t="s">
        <v>20399</v>
      </c>
      <c r="E14530" s="4" t="s">
        <v>20400</v>
      </c>
      <c r="F14530" s="4" t="s">
        <v>20399</v>
      </c>
    </row>
    <row r="14531">
      <c r="A14531" s="4">
        <v>27.0</v>
      </c>
      <c r="B14531" s="4" t="s">
        <v>22132</v>
      </c>
      <c r="C14531" s="4"/>
      <c r="D14531" s="4" t="s">
        <v>20401</v>
      </c>
      <c r="E14531" s="4" t="s">
        <v>20402</v>
      </c>
      <c r="F14531" s="4" t="s">
        <v>20401</v>
      </c>
    </row>
    <row r="14532">
      <c r="A14532" s="4">
        <v>28.0</v>
      </c>
      <c r="B14532" s="4" t="s">
        <v>22132</v>
      </c>
      <c r="C14532" s="4"/>
      <c r="D14532" s="4" t="s">
        <v>4967</v>
      </c>
      <c r="E14532" s="4" t="s">
        <v>4966</v>
      </c>
      <c r="F14532" s="4" t="s">
        <v>4967</v>
      </c>
    </row>
    <row r="14533">
      <c r="A14533" s="4">
        <v>29.0</v>
      </c>
      <c r="B14533" s="4" t="s">
        <v>22132</v>
      </c>
      <c r="C14533" s="4"/>
      <c r="D14533" s="4" t="s">
        <v>20406</v>
      </c>
      <c r="E14533" s="4" t="s">
        <v>20407</v>
      </c>
      <c r="F14533" s="4" t="s">
        <v>20406</v>
      </c>
    </row>
    <row r="14534">
      <c r="A14534" s="4">
        <v>30.0</v>
      </c>
      <c r="B14534" s="4" t="s">
        <v>22132</v>
      </c>
      <c r="C14534" s="4"/>
      <c r="D14534" s="4" t="s">
        <v>17420</v>
      </c>
      <c r="E14534" s="4" t="s">
        <v>20408</v>
      </c>
      <c r="F14534" s="4" t="s">
        <v>17420</v>
      </c>
    </row>
    <row r="14535">
      <c r="A14535" s="4">
        <v>31.0</v>
      </c>
      <c r="B14535" s="4" t="s">
        <v>22132</v>
      </c>
      <c r="C14535" s="4"/>
      <c r="D14535" s="4" t="s">
        <v>14149</v>
      </c>
      <c r="E14535" s="4" t="s">
        <v>14148</v>
      </c>
      <c r="F14535" s="4" t="s">
        <v>14149</v>
      </c>
      <c r="G14535" s="4"/>
      <c r="H14535" s="4" t="s">
        <v>20409</v>
      </c>
      <c r="I14535" s="4" t="s">
        <v>14149</v>
      </c>
    </row>
    <row r="14536">
      <c r="A14536" s="4">
        <v>32.0</v>
      </c>
      <c r="B14536" s="4" t="s">
        <v>22132</v>
      </c>
      <c r="C14536" s="4"/>
      <c r="D14536" s="4" t="s">
        <v>20410</v>
      </c>
      <c r="E14536" s="4" t="s">
        <v>20411</v>
      </c>
      <c r="F14536" s="4" t="s">
        <v>20412</v>
      </c>
    </row>
    <row r="14537">
      <c r="A14537" s="4">
        <v>33.0</v>
      </c>
      <c r="B14537" s="4" t="s">
        <v>22132</v>
      </c>
      <c r="C14537" s="4"/>
      <c r="D14537" s="4" t="s">
        <v>4900</v>
      </c>
      <c r="E14537" s="4" t="s">
        <v>4899</v>
      </c>
      <c r="F14537" s="4" t="s">
        <v>4900</v>
      </c>
    </row>
    <row r="14538">
      <c r="A14538" s="4">
        <v>34.0</v>
      </c>
      <c r="B14538" s="4" t="s">
        <v>22132</v>
      </c>
      <c r="C14538" s="4"/>
      <c r="D14538" s="4" t="s">
        <v>20413</v>
      </c>
      <c r="E14538" s="4" t="s">
        <v>20414</v>
      </c>
      <c r="F14538" s="4" t="s">
        <v>20415</v>
      </c>
    </row>
    <row r="14539">
      <c r="A14539" s="4">
        <v>35.0</v>
      </c>
      <c r="B14539" s="4" t="s">
        <v>22132</v>
      </c>
      <c r="C14539" s="4"/>
      <c r="D14539" s="4" t="s">
        <v>20416</v>
      </c>
      <c r="E14539" s="4" t="s">
        <v>20417</v>
      </c>
      <c r="F14539" s="4" t="s">
        <v>14303</v>
      </c>
    </row>
    <row r="14540">
      <c r="A14540" s="4">
        <v>36.0</v>
      </c>
      <c r="B14540" s="4" t="s">
        <v>22132</v>
      </c>
      <c r="C14540" s="4"/>
      <c r="D14540" s="4" t="s">
        <v>20418</v>
      </c>
      <c r="E14540" s="4" t="s">
        <v>20419</v>
      </c>
      <c r="F14540" s="4" t="s">
        <v>20420</v>
      </c>
    </row>
    <row r="14541">
      <c r="A14541" s="4">
        <v>37.0</v>
      </c>
      <c r="B14541" s="4" t="s">
        <v>22132</v>
      </c>
      <c r="C14541" s="4"/>
      <c r="D14541" s="4" t="s">
        <v>20421</v>
      </c>
      <c r="E14541" s="4" t="s">
        <v>20422</v>
      </c>
      <c r="F14541" s="4" t="s">
        <v>20423</v>
      </c>
    </row>
    <row r="14542">
      <c r="A14542" s="4">
        <v>38.0</v>
      </c>
      <c r="B14542" s="4" t="s">
        <v>22132</v>
      </c>
      <c r="C14542" s="4"/>
      <c r="D14542" s="4" t="s">
        <v>20424</v>
      </c>
      <c r="E14542" s="4" t="s">
        <v>20411</v>
      </c>
      <c r="F14542" s="4" t="s">
        <v>20412</v>
      </c>
    </row>
    <row r="14543">
      <c r="A14543" s="4">
        <v>39.0</v>
      </c>
      <c r="B14543" s="4" t="s">
        <v>22132</v>
      </c>
      <c r="C14543" s="4"/>
      <c r="D14543" s="4" t="s">
        <v>17424</v>
      </c>
      <c r="E14543" s="4" t="s">
        <v>20428</v>
      </c>
      <c r="F14543" s="4" t="s">
        <v>20429</v>
      </c>
    </row>
    <row r="14544">
      <c r="A14544" s="4">
        <v>40.0</v>
      </c>
      <c r="B14544" s="4" t="s">
        <v>22132</v>
      </c>
      <c r="C14544" s="4"/>
      <c r="D14544" s="4" t="s">
        <v>20430</v>
      </c>
      <c r="E14544" s="4" t="s">
        <v>20431</v>
      </c>
      <c r="F14544" s="4" t="s">
        <v>20432</v>
      </c>
    </row>
    <row r="14545">
      <c r="A14545" s="4">
        <v>41.0</v>
      </c>
      <c r="B14545" s="4" t="s">
        <v>22132</v>
      </c>
      <c r="C14545" s="4"/>
      <c r="D14545" s="4" t="s">
        <v>20433</v>
      </c>
      <c r="E14545" s="4" t="s">
        <v>20434</v>
      </c>
      <c r="F14545" s="4" t="s">
        <v>20435</v>
      </c>
    </row>
    <row r="14546">
      <c r="A14546" s="4">
        <v>42.0</v>
      </c>
      <c r="B14546" s="4" t="s">
        <v>22132</v>
      </c>
      <c r="C14546" s="4"/>
      <c r="D14546" s="4" t="s">
        <v>20436</v>
      </c>
      <c r="E14546" s="4" t="s">
        <v>20437</v>
      </c>
      <c r="F14546" s="4" t="s">
        <v>20438</v>
      </c>
    </row>
    <row r="14547">
      <c r="A14547" s="4">
        <v>43.0</v>
      </c>
      <c r="B14547" s="4" t="s">
        <v>22132</v>
      </c>
      <c r="C14547" s="4"/>
      <c r="D14547" s="4" t="s">
        <v>20439</v>
      </c>
      <c r="E14547" s="4" t="s">
        <v>20440</v>
      </c>
      <c r="F14547" s="4" t="s">
        <v>20441</v>
      </c>
    </row>
    <row r="14548">
      <c r="A14548" s="4">
        <v>44.0</v>
      </c>
      <c r="B14548" s="4" t="s">
        <v>22132</v>
      </c>
      <c r="C14548" s="4"/>
      <c r="D14548" s="4" t="s">
        <v>20442</v>
      </c>
      <c r="E14548" s="4" t="s">
        <v>20434</v>
      </c>
      <c r="F14548" s="4" t="s">
        <v>20435</v>
      </c>
    </row>
    <row r="14549">
      <c r="A14549" s="4">
        <v>45.0</v>
      </c>
      <c r="B14549" s="4" t="s">
        <v>22132</v>
      </c>
      <c r="C14549" s="4"/>
      <c r="D14549" s="4" t="s">
        <v>20443</v>
      </c>
      <c r="E14549" s="4" t="s">
        <v>20440</v>
      </c>
      <c r="F14549" s="4" t="s">
        <v>20441</v>
      </c>
    </row>
    <row r="14550">
      <c r="A14550" s="4">
        <v>46.0</v>
      </c>
      <c r="B14550" s="4" t="s">
        <v>22132</v>
      </c>
      <c r="C14550" s="4"/>
      <c r="D14550" s="4" t="s">
        <v>20444</v>
      </c>
      <c r="E14550" s="4" t="s">
        <v>20445</v>
      </c>
      <c r="F14550" s="4" t="s">
        <v>20446</v>
      </c>
    </row>
    <row r="14551">
      <c r="A14551" s="4">
        <v>47.0</v>
      </c>
      <c r="B14551" s="4" t="s">
        <v>22132</v>
      </c>
      <c r="C14551" s="4"/>
      <c r="D14551" s="4" t="s">
        <v>20447</v>
      </c>
      <c r="E14551" s="4" t="s">
        <v>20448</v>
      </c>
      <c r="F14551" s="4" t="s">
        <v>20447</v>
      </c>
    </row>
    <row r="14552">
      <c r="A14552" s="4">
        <v>48.0</v>
      </c>
      <c r="B14552" s="4" t="s">
        <v>22132</v>
      </c>
      <c r="C14552" s="4"/>
      <c r="D14552" s="4" t="s">
        <v>20449</v>
      </c>
      <c r="E14552" s="4" t="s">
        <v>20450</v>
      </c>
      <c r="F14552" s="4" t="s">
        <v>20449</v>
      </c>
    </row>
    <row r="14553">
      <c r="A14553" s="4">
        <v>49.0</v>
      </c>
      <c r="B14553" s="4" t="s">
        <v>22132</v>
      </c>
      <c r="C14553" s="4"/>
      <c r="D14553" s="4" t="s">
        <v>20451</v>
      </c>
      <c r="E14553" s="4" t="s">
        <v>20452</v>
      </c>
      <c r="F14553" s="4" t="s">
        <v>20453</v>
      </c>
    </row>
    <row r="14554">
      <c r="A14554" s="4">
        <v>50.0</v>
      </c>
      <c r="B14554" s="4" t="s">
        <v>22132</v>
      </c>
      <c r="C14554" s="4"/>
      <c r="D14554" s="4" t="s">
        <v>20454</v>
      </c>
      <c r="E14554" s="4" t="s">
        <v>20455</v>
      </c>
      <c r="F14554" s="4" t="s">
        <v>20454</v>
      </c>
    </row>
    <row r="14555">
      <c r="A14555" s="4">
        <v>51.0</v>
      </c>
      <c r="B14555" s="4" t="s">
        <v>22132</v>
      </c>
      <c r="C14555" s="4"/>
      <c r="D14555" s="4" t="s">
        <v>20456</v>
      </c>
      <c r="E14555" s="4" t="s">
        <v>20457</v>
      </c>
      <c r="F14555" s="4" t="s">
        <v>20456</v>
      </c>
    </row>
    <row r="14556">
      <c r="A14556" s="4">
        <v>52.0</v>
      </c>
      <c r="B14556" s="4" t="s">
        <v>22132</v>
      </c>
      <c r="C14556" s="4"/>
      <c r="D14556" s="4" t="s">
        <v>20462</v>
      </c>
      <c r="E14556" s="4" t="s">
        <v>20463</v>
      </c>
      <c r="F14556" s="4" t="s">
        <v>20462</v>
      </c>
    </row>
    <row r="14557">
      <c r="A14557" s="4">
        <v>53.0</v>
      </c>
      <c r="B14557" s="4" t="s">
        <v>22132</v>
      </c>
      <c r="C14557" s="4"/>
      <c r="D14557" s="4" t="s">
        <v>18935</v>
      </c>
      <c r="E14557" s="4" t="s">
        <v>509</v>
      </c>
      <c r="F14557" s="4" t="s">
        <v>508</v>
      </c>
      <c r="G14557" s="4"/>
      <c r="H14557" s="4" t="s">
        <v>18936</v>
      </c>
    </row>
    <row r="14558">
      <c r="A14558" s="4">
        <v>54.0</v>
      </c>
      <c r="B14558" s="4" t="s">
        <v>22132</v>
      </c>
      <c r="C14558" s="4"/>
      <c r="D14558" s="4" t="s">
        <v>20469</v>
      </c>
      <c r="E14558" s="4" t="s">
        <v>20470</v>
      </c>
      <c r="F14558" s="4" t="s">
        <v>20471</v>
      </c>
    </row>
    <row r="14559">
      <c r="A14559" s="4">
        <v>55.0</v>
      </c>
      <c r="B14559" s="4" t="s">
        <v>22132</v>
      </c>
      <c r="C14559" s="4"/>
      <c r="D14559" s="4" t="s">
        <v>566</v>
      </c>
      <c r="E14559" s="4" t="s">
        <v>567</v>
      </c>
      <c r="F14559" s="4" t="s">
        <v>566</v>
      </c>
      <c r="G14559" s="4"/>
      <c r="H14559" s="4" t="s">
        <v>20472</v>
      </c>
      <c r="I14559" s="4" t="s">
        <v>20473</v>
      </c>
      <c r="J14559" s="4" t="s">
        <v>20474</v>
      </c>
      <c r="K14559" s="4" t="s">
        <v>17249</v>
      </c>
    </row>
    <row r="14560">
      <c r="A14560" s="4">
        <v>56.0</v>
      </c>
      <c r="B14560" s="4" t="s">
        <v>22132</v>
      </c>
      <c r="C14560" s="4"/>
      <c r="D14560" s="4" t="s">
        <v>20475</v>
      </c>
      <c r="E14560" s="4" t="s">
        <v>20476</v>
      </c>
      <c r="F14560" s="4" t="s">
        <v>20475</v>
      </c>
    </row>
    <row r="14561">
      <c r="A14561" s="4">
        <v>57.0</v>
      </c>
      <c r="B14561" s="4" t="s">
        <v>22132</v>
      </c>
      <c r="C14561" s="4"/>
      <c r="D14561" s="4" t="s">
        <v>20477</v>
      </c>
      <c r="E14561" s="4" t="s">
        <v>20478</v>
      </c>
      <c r="F14561" s="4" t="s">
        <v>20479</v>
      </c>
    </row>
    <row r="14562">
      <c r="A14562" s="4">
        <v>58.0</v>
      </c>
      <c r="B14562" s="4" t="s">
        <v>22132</v>
      </c>
      <c r="C14562" s="4"/>
      <c r="D14562" s="4" t="s">
        <v>570</v>
      </c>
      <c r="E14562" s="4" t="s">
        <v>571</v>
      </c>
      <c r="F14562" s="4" t="s">
        <v>570</v>
      </c>
      <c r="G14562" s="4"/>
      <c r="H14562" s="4" t="s">
        <v>572</v>
      </c>
    </row>
    <row r="14563">
      <c r="A14563" s="4">
        <v>59.0</v>
      </c>
      <c r="B14563" s="4" t="s">
        <v>22132</v>
      </c>
      <c r="C14563" s="4"/>
      <c r="D14563" s="4" t="s">
        <v>573</v>
      </c>
      <c r="E14563" s="4" t="s">
        <v>574</v>
      </c>
      <c r="F14563" s="4" t="s">
        <v>573</v>
      </c>
    </row>
    <row r="14564">
      <c r="A14564" s="4">
        <v>60.0</v>
      </c>
      <c r="B14564" s="4" t="s">
        <v>22132</v>
      </c>
      <c r="C14564" s="4"/>
      <c r="D14564" s="4" t="s">
        <v>575</v>
      </c>
      <c r="E14564" s="4" t="s">
        <v>576</v>
      </c>
      <c r="F14564" s="4" t="s">
        <v>575</v>
      </c>
    </row>
    <row r="14565">
      <c r="A14565" s="4">
        <v>61.0</v>
      </c>
      <c r="B14565" s="4" t="s">
        <v>22132</v>
      </c>
      <c r="C14565" s="4"/>
      <c r="D14565" s="4" t="s">
        <v>20480</v>
      </c>
      <c r="E14565" s="4" t="s">
        <v>20481</v>
      </c>
      <c r="F14565" s="4" t="s">
        <v>20480</v>
      </c>
    </row>
    <row r="14566">
      <c r="A14566" s="4">
        <v>62.0</v>
      </c>
      <c r="B14566" s="4" t="s">
        <v>22132</v>
      </c>
      <c r="C14566" s="4"/>
      <c r="D14566" s="4" t="s">
        <v>14312</v>
      </c>
      <c r="E14566" s="4" t="s">
        <v>14313</v>
      </c>
      <c r="F14566" s="4" t="s">
        <v>14312</v>
      </c>
      <c r="G14566" s="4"/>
      <c r="H14566" s="4" t="s">
        <v>20482</v>
      </c>
      <c r="I14566" s="4" t="s">
        <v>6611</v>
      </c>
    </row>
    <row r="14567">
      <c r="A14567" s="4">
        <v>63.0</v>
      </c>
      <c r="B14567" s="4" t="s">
        <v>22132</v>
      </c>
      <c r="C14567" s="4"/>
      <c r="D14567" s="4" t="s">
        <v>20483</v>
      </c>
      <c r="E14567" s="4" t="s">
        <v>20484</v>
      </c>
      <c r="F14567" s="4" t="s">
        <v>20485</v>
      </c>
    </row>
    <row r="14568">
      <c r="A14568" s="4">
        <v>64.0</v>
      </c>
      <c r="B14568" s="4" t="s">
        <v>22132</v>
      </c>
      <c r="C14568" s="4"/>
      <c r="D14568" s="4" t="s">
        <v>14077</v>
      </c>
      <c r="E14568" s="4" t="s">
        <v>14078</v>
      </c>
      <c r="F14568" s="4" t="s">
        <v>14077</v>
      </c>
    </row>
    <row r="14569">
      <c r="A14569" s="4">
        <v>65.0</v>
      </c>
      <c r="B14569" s="4" t="s">
        <v>22132</v>
      </c>
      <c r="C14569" s="4"/>
      <c r="D14569" s="4" t="s">
        <v>11659</v>
      </c>
      <c r="E14569" s="4" t="s">
        <v>11660</v>
      </c>
      <c r="F14569" s="4" t="s">
        <v>11661</v>
      </c>
    </row>
    <row r="14570">
      <c r="A14570" s="4">
        <v>66.0</v>
      </c>
      <c r="B14570" s="4" t="s">
        <v>22132</v>
      </c>
      <c r="C14570" s="4"/>
      <c r="D14570" s="4" t="s">
        <v>20486</v>
      </c>
      <c r="E14570" s="4" t="s">
        <v>20487</v>
      </c>
      <c r="F14570" s="4" t="s">
        <v>20486</v>
      </c>
    </row>
    <row r="14571">
      <c r="A14571" s="4">
        <v>67.0</v>
      </c>
      <c r="B14571" s="4" t="s">
        <v>22132</v>
      </c>
      <c r="C14571" s="4"/>
      <c r="D14571" s="4" t="s">
        <v>20488</v>
      </c>
      <c r="E14571" s="4" t="s">
        <v>20489</v>
      </c>
      <c r="F14571" s="4" t="s">
        <v>20488</v>
      </c>
    </row>
    <row r="14572">
      <c r="A14572" s="4">
        <v>68.0</v>
      </c>
      <c r="B14572" s="4" t="s">
        <v>22132</v>
      </c>
      <c r="C14572" s="4"/>
      <c r="D14572" s="4" t="s">
        <v>608</v>
      </c>
      <c r="E14572" s="4" t="s">
        <v>609</v>
      </c>
      <c r="F14572" s="4" t="s">
        <v>608</v>
      </c>
    </row>
    <row r="14573">
      <c r="A14573" s="4">
        <v>69.0</v>
      </c>
      <c r="B14573" s="4" t="s">
        <v>22132</v>
      </c>
      <c r="C14573" s="4"/>
      <c r="D14573" s="4" t="s">
        <v>20490</v>
      </c>
      <c r="E14573" s="4" t="s">
        <v>20491</v>
      </c>
      <c r="F14573" s="4" t="s">
        <v>20490</v>
      </c>
    </row>
    <row r="14574">
      <c r="A14574" s="4">
        <v>70.0</v>
      </c>
      <c r="B14574" s="4" t="s">
        <v>22132</v>
      </c>
      <c r="C14574" s="4"/>
      <c r="D14574" s="4" t="s">
        <v>5823</v>
      </c>
      <c r="E14574" s="4" t="s">
        <v>20492</v>
      </c>
      <c r="F14574" s="4" t="s">
        <v>5823</v>
      </c>
    </row>
    <row r="14575">
      <c r="A14575" s="4">
        <v>71.0</v>
      </c>
      <c r="B14575" s="4" t="s">
        <v>22132</v>
      </c>
      <c r="C14575" s="4"/>
      <c r="D14575" s="4" t="s">
        <v>20493</v>
      </c>
      <c r="E14575" s="4" t="s">
        <v>20478</v>
      </c>
      <c r="F14575" s="4" t="s">
        <v>20479</v>
      </c>
    </row>
    <row r="14576">
      <c r="A14576" s="4">
        <v>72.0</v>
      </c>
      <c r="B14576" s="4" t="s">
        <v>22132</v>
      </c>
      <c r="C14576" s="4"/>
      <c r="D14576" s="4" t="s">
        <v>20496</v>
      </c>
      <c r="E14576" s="4" t="s">
        <v>20497</v>
      </c>
      <c r="F14576" s="4" t="s">
        <v>20498</v>
      </c>
    </row>
    <row r="14577">
      <c r="A14577" s="4">
        <v>73.0</v>
      </c>
      <c r="B14577" s="4" t="s">
        <v>22132</v>
      </c>
      <c r="C14577" s="4"/>
      <c r="D14577" s="4" t="s">
        <v>20499</v>
      </c>
      <c r="E14577" s="4" t="s">
        <v>20500</v>
      </c>
      <c r="F14577" s="4" t="s">
        <v>20501</v>
      </c>
    </row>
    <row r="14578">
      <c r="A14578" s="4">
        <v>74.0</v>
      </c>
      <c r="B14578" s="4" t="s">
        <v>22132</v>
      </c>
      <c r="C14578" s="4"/>
      <c r="D14578" s="4" t="s">
        <v>741</v>
      </c>
      <c r="E14578" s="4" t="s">
        <v>740</v>
      </c>
      <c r="F14578" s="4" t="s">
        <v>741</v>
      </c>
    </row>
    <row r="14579">
      <c r="A14579" s="4">
        <v>75.0</v>
      </c>
      <c r="B14579" s="4" t="s">
        <v>22132</v>
      </c>
      <c r="C14579" s="4"/>
      <c r="D14579" s="4" t="s">
        <v>622</v>
      </c>
      <c r="E14579" s="4" t="s">
        <v>623</v>
      </c>
      <c r="F14579" s="4" t="s">
        <v>622</v>
      </c>
      <c r="G14579" s="4"/>
      <c r="H14579" s="4" t="s">
        <v>622</v>
      </c>
    </row>
    <row r="14580">
      <c r="A14580" s="4">
        <v>76.0</v>
      </c>
      <c r="B14580" s="4" t="s">
        <v>22132</v>
      </c>
      <c r="C14580" s="4"/>
      <c r="D14580" s="4" t="s">
        <v>20504</v>
      </c>
      <c r="E14580" s="4" t="s">
        <v>5023</v>
      </c>
      <c r="F14580" s="4" t="s">
        <v>5024</v>
      </c>
    </row>
    <row r="14581">
      <c r="A14581" s="4">
        <v>77.0</v>
      </c>
      <c r="B14581" s="4" t="s">
        <v>22132</v>
      </c>
      <c r="C14581" s="4"/>
      <c r="D14581" s="4" t="s">
        <v>20505</v>
      </c>
      <c r="E14581" s="4" t="s">
        <v>4810</v>
      </c>
      <c r="F14581" s="4" t="s">
        <v>3547</v>
      </c>
    </row>
    <row r="14582">
      <c r="A14582" s="4">
        <v>78.0</v>
      </c>
      <c r="B14582" s="4" t="s">
        <v>22132</v>
      </c>
      <c r="C14582" s="4"/>
      <c r="D14582" s="4" t="s">
        <v>20506</v>
      </c>
      <c r="E14582" s="4" t="s">
        <v>20507</v>
      </c>
      <c r="F14582" s="4" t="s">
        <v>20506</v>
      </c>
    </row>
    <row r="14583">
      <c r="A14583" s="4">
        <v>79.0</v>
      </c>
      <c r="B14583" s="4" t="s">
        <v>22132</v>
      </c>
      <c r="C14583" s="4"/>
      <c r="D14583" s="4" t="s">
        <v>17442</v>
      </c>
      <c r="E14583" s="4" t="s">
        <v>18937</v>
      </c>
      <c r="F14583" s="4" t="s">
        <v>17442</v>
      </c>
      <c r="G14583" s="4"/>
      <c r="H14583" s="4" t="s">
        <v>17445</v>
      </c>
      <c r="I14583" s="4" t="s">
        <v>17446</v>
      </c>
      <c r="J14583" s="4" t="s">
        <v>17447</v>
      </c>
      <c r="K14583" s="4" t="s">
        <v>17448</v>
      </c>
    </row>
    <row r="14584">
      <c r="A14584" s="4">
        <v>80.0</v>
      </c>
      <c r="B14584" s="4" t="s">
        <v>22132</v>
      </c>
      <c r="C14584" s="4"/>
      <c r="D14584" s="4" t="s">
        <v>652</v>
      </c>
      <c r="E14584" s="4" t="s">
        <v>653</v>
      </c>
      <c r="F14584" s="4" t="s">
        <v>652</v>
      </c>
    </row>
    <row r="14585">
      <c r="A14585" s="4">
        <v>81.0</v>
      </c>
      <c r="B14585" s="4" t="s">
        <v>22132</v>
      </c>
      <c r="C14585" s="4"/>
      <c r="D14585" s="4" t="s">
        <v>654</v>
      </c>
      <c r="E14585" s="4" t="s">
        <v>655</v>
      </c>
      <c r="F14585" s="4" t="s">
        <v>654</v>
      </c>
      <c r="G14585" s="4"/>
      <c r="H14585" s="4" t="s">
        <v>654</v>
      </c>
      <c r="I14585" s="4" t="s">
        <v>656</v>
      </c>
      <c r="J14585" s="4" t="s">
        <v>657</v>
      </c>
      <c r="K14585" s="4" t="s">
        <v>658</v>
      </c>
      <c r="L14585" s="4" t="s">
        <v>659</v>
      </c>
      <c r="M14585" s="4" t="s">
        <v>660</v>
      </c>
      <c r="N14585" s="4" t="s">
        <v>657</v>
      </c>
      <c r="O14585" s="4" t="s">
        <v>664</v>
      </c>
      <c r="P14585" s="4" t="s">
        <v>665</v>
      </c>
      <c r="Q14585" s="4" t="s">
        <v>658</v>
      </c>
      <c r="R14585" s="4" t="s">
        <v>666</v>
      </c>
      <c r="S14585" s="4" t="s">
        <v>667</v>
      </c>
      <c r="T14585" s="4" t="s">
        <v>668</v>
      </c>
      <c r="U14585" s="4" t="s">
        <v>669</v>
      </c>
      <c r="V14585" s="4" t="s">
        <v>670</v>
      </c>
      <c r="W14585" s="4" t="s">
        <v>671</v>
      </c>
      <c r="X14585" s="4" t="s">
        <v>672</v>
      </c>
      <c r="Y14585" s="4" t="s">
        <v>673</v>
      </c>
      <c r="Z14585" s="4" t="s">
        <v>674</v>
      </c>
      <c r="AA14585" s="4" t="s">
        <v>675</v>
      </c>
      <c r="AB14585" s="4" t="s">
        <v>676</v>
      </c>
      <c r="AC14585" s="4" t="s">
        <v>677</v>
      </c>
      <c r="AD14585" s="4" t="s">
        <v>678</v>
      </c>
      <c r="AE14585" s="4" t="s">
        <v>679</v>
      </c>
    </row>
    <row r="14586">
      <c r="A14586" s="4">
        <v>82.0</v>
      </c>
      <c r="B14586" s="4" t="s">
        <v>22132</v>
      </c>
      <c r="C14586" s="4"/>
      <c r="D14586" s="4" t="s">
        <v>680</v>
      </c>
      <c r="E14586" s="4" t="s">
        <v>681</v>
      </c>
      <c r="F14586" s="4" t="s">
        <v>680</v>
      </c>
      <c r="G14586" s="4"/>
      <c r="H14586" s="4" t="s">
        <v>682</v>
      </c>
      <c r="I14586" s="4" t="s">
        <v>683</v>
      </c>
      <c r="J14586" s="4" t="s">
        <v>684</v>
      </c>
      <c r="K14586" s="4" t="s">
        <v>685</v>
      </c>
      <c r="L14586" s="4" t="s">
        <v>686</v>
      </c>
      <c r="M14586" s="4" t="s">
        <v>687</v>
      </c>
      <c r="N14586" s="4" t="s">
        <v>688</v>
      </c>
      <c r="O14586" s="4" t="s">
        <v>689</v>
      </c>
      <c r="P14586" s="4" t="s">
        <v>690</v>
      </c>
      <c r="Q14586" s="4" t="s">
        <v>4751</v>
      </c>
      <c r="R14586" s="4" t="s">
        <v>19744</v>
      </c>
      <c r="S14586" s="4" t="s">
        <v>19745</v>
      </c>
      <c r="T14586" s="4" t="s">
        <v>598</v>
      </c>
      <c r="U14586" s="4" t="s">
        <v>695</v>
      </c>
      <c r="V14586" s="4" t="s">
        <v>696</v>
      </c>
      <c r="W14586" s="4" t="s">
        <v>690</v>
      </c>
      <c r="X14586" s="4" t="s">
        <v>16894</v>
      </c>
      <c r="Y14586" s="4" t="s">
        <v>1800</v>
      </c>
      <c r="Z14586" s="4" t="s">
        <v>3887</v>
      </c>
      <c r="AA14586" s="4" t="s">
        <v>697</v>
      </c>
      <c r="AB14586" s="4" t="s">
        <v>698</v>
      </c>
      <c r="AC14586" s="4" t="s">
        <v>699</v>
      </c>
      <c r="AD14586" s="4" t="s">
        <v>700</v>
      </c>
      <c r="AE14586" s="4" t="s">
        <v>700</v>
      </c>
      <c r="AF14586" s="4" t="s">
        <v>20510</v>
      </c>
      <c r="AG14586" s="4" t="s">
        <v>19746</v>
      </c>
      <c r="AH14586" s="4" t="s">
        <v>9437</v>
      </c>
      <c r="AI14586" s="4" t="s">
        <v>20511</v>
      </c>
      <c r="AJ14586" s="4" t="s">
        <v>20512</v>
      </c>
      <c r="AK14586" s="4" t="s">
        <v>20513</v>
      </c>
      <c r="AL14586" s="4" t="s">
        <v>684</v>
      </c>
      <c r="AM14586" s="4" t="s">
        <v>700</v>
      </c>
      <c r="AN14586" s="4" t="s">
        <v>701</v>
      </c>
      <c r="AO14586" s="4" t="s">
        <v>703</v>
      </c>
      <c r="AP14586" s="4" t="s">
        <v>704</v>
      </c>
      <c r="AQ14586" s="4" t="s">
        <v>705</v>
      </c>
      <c r="AR14586" s="4" t="s">
        <v>706</v>
      </c>
      <c r="AS14586" s="4" t="s">
        <v>8083</v>
      </c>
      <c r="AT14586" s="4" t="s">
        <v>19746</v>
      </c>
      <c r="AU14586" s="4" t="s">
        <v>690</v>
      </c>
      <c r="AV14586" s="4" t="s">
        <v>689</v>
      </c>
      <c r="AW14586" s="4" t="s">
        <v>686</v>
      </c>
      <c r="AX14586" s="4" t="s">
        <v>19747</v>
      </c>
      <c r="AY14586" s="4" t="s">
        <v>700</v>
      </c>
      <c r="AZ14586" s="4" t="s">
        <v>20514</v>
      </c>
      <c r="BA14586" s="4" t="s">
        <v>20515</v>
      </c>
      <c r="BB14586" s="4" t="s">
        <v>20516</v>
      </c>
      <c r="BC14586" s="4" t="s">
        <v>699</v>
      </c>
      <c r="BD14586" s="4" t="s">
        <v>718</v>
      </c>
      <c r="BE14586" s="4" t="s">
        <v>719</v>
      </c>
    </row>
    <row r="14587">
      <c r="A14587" s="4">
        <v>83.0</v>
      </c>
      <c r="B14587" s="4" t="s">
        <v>22132</v>
      </c>
      <c r="C14587" s="4"/>
      <c r="D14587" s="4" t="s">
        <v>20517</v>
      </c>
      <c r="E14587" s="4" t="s">
        <v>20518</v>
      </c>
      <c r="F14587" s="4" t="s">
        <v>20517</v>
      </c>
    </row>
    <row r="14588">
      <c r="A14588" s="4">
        <v>84.0</v>
      </c>
      <c r="B14588" s="4" t="s">
        <v>22132</v>
      </c>
      <c r="C14588" s="4"/>
      <c r="D14588" s="4" t="s">
        <v>20519</v>
      </c>
      <c r="E14588" s="4" t="s">
        <v>20520</v>
      </c>
      <c r="F14588" s="4" t="s">
        <v>20519</v>
      </c>
    </row>
    <row r="14589">
      <c r="A14589" s="4">
        <v>85.0</v>
      </c>
      <c r="B14589" s="4" t="s">
        <v>22132</v>
      </c>
      <c r="C14589" s="4"/>
      <c r="D14589" s="4" t="s">
        <v>20521</v>
      </c>
      <c r="E14589" s="4" t="s">
        <v>20518</v>
      </c>
      <c r="F14589" s="4" t="s">
        <v>20517</v>
      </c>
    </row>
    <row r="14590">
      <c r="A14590" s="4">
        <v>86.0</v>
      </c>
      <c r="B14590" s="4" t="s">
        <v>22132</v>
      </c>
      <c r="C14590" s="4"/>
      <c r="D14590" s="4" t="s">
        <v>20522</v>
      </c>
      <c r="E14590" s="4" t="s">
        <v>20520</v>
      </c>
      <c r="F14590" s="4" t="s">
        <v>20519</v>
      </c>
    </row>
    <row r="14591">
      <c r="A14591" s="4">
        <v>87.0</v>
      </c>
      <c r="B14591" s="4" t="s">
        <v>22132</v>
      </c>
      <c r="C14591" s="4"/>
      <c r="D14591" s="4" t="s">
        <v>11683</v>
      </c>
      <c r="E14591" s="4" t="s">
        <v>11682</v>
      </c>
      <c r="F14591" s="4" t="s">
        <v>11683</v>
      </c>
    </row>
    <row r="14592">
      <c r="A14592" s="4">
        <v>88.0</v>
      </c>
      <c r="B14592" s="4" t="s">
        <v>22132</v>
      </c>
      <c r="C14592" s="4"/>
      <c r="D14592" s="4" t="s">
        <v>20523</v>
      </c>
      <c r="E14592" s="4" t="s">
        <v>20524</v>
      </c>
      <c r="F14592" s="4" t="s">
        <v>20525</v>
      </c>
      <c r="G14592" s="4"/>
      <c r="H14592" s="4" t="s">
        <v>20526</v>
      </c>
      <c r="I14592" s="4" t="s">
        <v>20527</v>
      </c>
      <c r="J14592" s="4" t="s">
        <v>20528</v>
      </c>
      <c r="K14592" s="4" t="s">
        <v>20529</v>
      </c>
    </row>
    <row r="14593">
      <c r="A14593" s="4">
        <v>89.0</v>
      </c>
      <c r="B14593" s="4" t="s">
        <v>22132</v>
      </c>
      <c r="C14593" s="4"/>
      <c r="D14593" s="4" t="s">
        <v>20530</v>
      </c>
      <c r="E14593" s="4" t="s">
        <v>20531</v>
      </c>
      <c r="F14593" s="4" t="s">
        <v>20530</v>
      </c>
    </row>
    <row r="14594">
      <c r="A14594" s="4">
        <v>90.0</v>
      </c>
      <c r="B14594" s="4" t="s">
        <v>22132</v>
      </c>
      <c r="C14594" s="4"/>
      <c r="D14594" s="4" t="s">
        <v>20532</v>
      </c>
      <c r="E14594" s="4" t="s">
        <v>20533</v>
      </c>
      <c r="F14594" s="4" t="s">
        <v>20532</v>
      </c>
    </row>
    <row r="14595">
      <c r="A14595" s="4">
        <v>91.0</v>
      </c>
      <c r="B14595" s="4" t="s">
        <v>22132</v>
      </c>
      <c r="C14595" s="4"/>
      <c r="D14595" s="4" t="s">
        <v>20534</v>
      </c>
      <c r="E14595" s="4" t="s">
        <v>20535</v>
      </c>
      <c r="F14595" s="4" t="s">
        <v>20534</v>
      </c>
      <c r="G14595" s="4"/>
      <c r="H14595" s="4" t="s">
        <v>19930</v>
      </c>
      <c r="I14595" s="4" t="s">
        <v>3045</v>
      </c>
      <c r="J14595" s="4" t="s">
        <v>2297</v>
      </c>
      <c r="K14595" s="4" t="s">
        <v>8984</v>
      </c>
      <c r="L14595" s="4" t="s">
        <v>8985</v>
      </c>
      <c r="M14595" s="4" t="s">
        <v>19934</v>
      </c>
      <c r="N14595" s="4" t="s">
        <v>20536</v>
      </c>
      <c r="O14595" s="4" t="s">
        <v>20537</v>
      </c>
      <c r="P14595" s="4" t="s">
        <v>6431</v>
      </c>
      <c r="Q14595" s="4" t="s">
        <v>20538</v>
      </c>
      <c r="R14595" s="4" t="s">
        <v>20539</v>
      </c>
      <c r="S14595" s="4" t="s">
        <v>20540</v>
      </c>
      <c r="T14595" s="4" t="s">
        <v>20541</v>
      </c>
      <c r="U14595" s="4" t="s">
        <v>20542</v>
      </c>
      <c r="V14595" s="4" t="s">
        <v>20543</v>
      </c>
      <c r="W14595" s="4" t="s">
        <v>20544</v>
      </c>
      <c r="X14595" s="4" t="s">
        <v>19931</v>
      </c>
      <c r="Y14595" s="4" t="s">
        <v>1800</v>
      </c>
      <c r="Z14595" s="4" t="s">
        <v>20545</v>
      </c>
      <c r="AA14595" s="4" t="s">
        <v>20543</v>
      </c>
      <c r="AB14595" s="4" t="s">
        <v>20546</v>
      </c>
      <c r="AC14595" s="4" t="s">
        <v>20540</v>
      </c>
      <c r="AD14595" s="4" t="s">
        <v>20547</v>
      </c>
      <c r="AE14595" s="4" t="s">
        <v>20548</v>
      </c>
      <c r="AF14595" s="4" t="s">
        <v>15699</v>
      </c>
      <c r="AG14595" s="4" t="s">
        <v>15700</v>
      </c>
      <c r="AH14595" s="4" t="s">
        <v>15700</v>
      </c>
      <c r="AI14595" s="4" t="s">
        <v>20549</v>
      </c>
      <c r="AJ14595" s="4" t="s">
        <v>19930</v>
      </c>
      <c r="AK14595" s="4" t="s">
        <v>19931</v>
      </c>
      <c r="AL14595" s="4" t="s">
        <v>19932</v>
      </c>
      <c r="AM14595" s="4" t="s">
        <v>3045</v>
      </c>
      <c r="AN14595" s="4" t="s">
        <v>19933</v>
      </c>
      <c r="AO14595" s="4" t="s">
        <v>19934</v>
      </c>
      <c r="AP14595" s="4" t="s">
        <v>20541</v>
      </c>
      <c r="AQ14595" s="4" t="s">
        <v>3346</v>
      </c>
      <c r="AR14595" s="4" t="s">
        <v>20549</v>
      </c>
      <c r="AS14595" s="4" t="s">
        <v>8965</v>
      </c>
      <c r="AT14595" s="4" t="s">
        <v>20550</v>
      </c>
      <c r="AU14595" s="4" t="s">
        <v>20551</v>
      </c>
    </row>
    <row r="14596">
      <c r="A14596" s="4">
        <v>92.0</v>
      </c>
      <c r="B14596" s="4" t="s">
        <v>22132</v>
      </c>
      <c r="C14596" s="4"/>
      <c r="D14596" s="4" t="s">
        <v>20552</v>
      </c>
      <c r="E14596" s="4" t="s">
        <v>20553</v>
      </c>
      <c r="F14596" s="4" t="s">
        <v>14817</v>
      </c>
      <c r="G14596" s="4"/>
      <c r="H14596" s="4" t="s">
        <v>4998</v>
      </c>
      <c r="I14596" s="4" t="s">
        <v>20554</v>
      </c>
      <c r="J14596" s="4" t="s">
        <v>20555</v>
      </c>
      <c r="K14596" s="4" t="s">
        <v>4998</v>
      </c>
      <c r="L14596" s="4" t="s">
        <v>4999</v>
      </c>
      <c r="M14596" s="4" t="s">
        <v>4998</v>
      </c>
      <c r="N14596" s="4" t="s">
        <v>4998</v>
      </c>
    </row>
    <row r="14597">
      <c r="A14597" s="4">
        <v>93.0</v>
      </c>
      <c r="B14597" s="4" t="s">
        <v>22132</v>
      </c>
      <c r="C14597" s="4"/>
      <c r="D14597" s="4" t="s">
        <v>745</v>
      </c>
      <c r="E14597" s="4" t="s">
        <v>746</v>
      </c>
      <c r="F14597" s="4" t="s">
        <v>747</v>
      </c>
      <c r="G14597" s="4"/>
      <c r="H14597" s="4" t="s">
        <v>751</v>
      </c>
      <c r="I14597" s="4" t="s">
        <v>752</v>
      </c>
    </row>
    <row r="14598">
      <c r="A14598" s="4">
        <v>94.0</v>
      </c>
      <c r="B14598" s="4" t="s">
        <v>22132</v>
      </c>
      <c r="C14598" s="4"/>
      <c r="D14598" s="4" t="s">
        <v>755</v>
      </c>
      <c r="E14598" s="4" t="s">
        <v>756</v>
      </c>
      <c r="F14598" s="4" t="s">
        <v>755</v>
      </c>
    </row>
    <row r="14599">
      <c r="A14599" s="4">
        <v>95.0</v>
      </c>
      <c r="B14599" s="4" t="s">
        <v>22132</v>
      </c>
      <c r="C14599" s="4"/>
      <c r="D14599" s="4" t="s">
        <v>20556</v>
      </c>
      <c r="E14599" s="4" t="s">
        <v>20557</v>
      </c>
      <c r="F14599" s="4" t="s">
        <v>20556</v>
      </c>
    </row>
    <row r="14600">
      <c r="A14600" s="4">
        <v>96.0</v>
      </c>
      <c r="B14600" s="4" t="s">
        <v>22132</v>
      </c>
      <c r="C14600" s="4"/>
      <c r="D14600" s="4" t="s">
        <v>20558</v>
      </c>
      <c r="E14600" s="4" t="s">
        <v>20559</v>
      </c>
      <c r="F14600" s="4" t="s">
        <v>20558</v>
      </c>
      <c r="G14600" s="4"/>
      <c r="H14600" s="4" t="s">
        <v>20560</v>
      </c>
      <c r="I14600" s="4" t="s">
        <v>20561</v>
      </c>
      <c r="J14600" s="4" t="s">
        <v>20562</v>
      </c>
    </row>
    <row r="14601">
      <c r="A14601" s="4">
        <v>97.0</v>
      </c>
      <c r="B14601" s="4" t="s">
        <v>22132</v>
      </c>
      <c r="C14601" s="4"/>
      <c r="D14601" s="4" t="s">
        <v>20563</v>
      </c>
      <c r="E14601" s="4" t="s">
        <v>20564</v>
      </c>
      <c r="F14601" s="4" t="s">
        <v>20563</v>
      </c>
    </row>
    <row r="14602">
      <c r="A14602" s="4">
        <v>98.0</v>
      </c>
      <c r="B14602" s="4" t="s">
        <v>22132</v>
      </c>
      <c r="C14602" s="4"/>
      <c r="D14602" s="4" t="s">
        <v>20565</v>
      </c>
      <c r="E14602" s="4" t="s">
        <v>20566</v>
      </c>
      <c r="F14602" s="4" t="s">
        <v>20565</v>
      </c>
    </row>
    <row r="14603">
      <c r="A14603" s="4">
        <v>99.0</v>
      </c>
      <c r="B14603" s="4" t="s">
        <v>22132</v>
      </c>
      <c r="C14603" s="4"/>
      <c r="D14603" s="4" t="s">
        <v>20567</v>
      </c>
      <c r="E14603" s="4" t="s">
        <v>20568</v>
      </c>
      <c r="F14603" s="4" t="s">
        <v>20567</v>
      </c>
    </row>
    <row r="14604">
      <c r="A14604" s="4">
        <v>100.0</v>
      </c>
      <c r="B14604" s="4" t="s">
        <v>22132</v>
      </c>
      <c r="C14604" s="4"/>
      <c r="D14604" s="4" t="s">
        <v>20569</v>
      </c>
      <c r="E14604" s="4" t="s">
        <v>20566</v>
      </c>
      <c r="F14604" s="4" t="s">
        <v>20565</v>
      </c>
    </row>
    <row r="14605">
      <c r="A14605" s="4">
        <v>101.0</v>
      </c>
      <c r="B14605" s="4" t="s">
        <v>22132</v>
      </c>
      <c r="C14605" s="4"/>
      <c r="D14605" s="4" t="s">
        <v>20570</v>
      </c>
      <c r="E14605" s="4" t="s">
        <v>20568</v>
      </c>
      <c r="F14605" s="4" t="s">
        <v>20567</v>
      </c>
    </row>
    <row r="14606">
      <c r="A14606" s="4">
        <v>102.0</v>
      </c>
      <c r="B14606" s="4" t="s">
        <v>22132</v>
      </c>
      <c r="C14606" s="4"/>
      <c r="D14606" s="4" t="s">
        <v>20571</v>
      </c>
      <c r="E14606" s="4" t="s">
        <v>20572</v>
      </c>
      <c r="F14606" s="4" t="s">
        <v>20571</v>
      </c>
    </row>
    <row r="14607">
      <c r="A14607" s="4">
        <v>103.0</v>
      </c>
      <c r="B14607" s="4" t="s">
        <v>22132</v>
      </c>
      <c r="C14607" s="4"/>
      <c r="D14607" s="4" t="s">
        <v>14082</v>
      </c>
      <c r="E14607" s="4" t="s">
        <v>14083</v>
      </c>
      <c r="F14607" s="4" t="s">
        <v>14082</v>
      </c>
    </row>
    <row r="14608">
      <c r="A14608" s="4">
        <v>104.0</v>
      </c>
      <c r="B14608" s="4" t="s">
        <v>22132</v>
      </c>
      <c r="C14608" s="4"/>
      <c r="D14608" s="4" t="s">
        <v>20575</v>
      </c>
      <c r="E14608" s="4" t="s">
        <v>20576</v>
      </c>
      <c r="F14608" s="4" t="s">
        <v>20577</v>
      </c>
    </row>
    <row r="14609">
      <c r="A14609" s="4">
        <v>105.0</v>
      </c>
      <c r="B14609" s="4" t="s">
        <v>22132</v>
      </c>
      <c r="C14609" s="4"/>
      <c r="D14609" s="4" t="s">
        <v>20578</v>
      </c>
      <c r="E14609" s="4" t="s">
        <v>20579</v>
      </c>
      <c r="F14609" s="4" t="s">
        <v>20578</v>
      </c>
    </row>
    <row r="14610">
      <c r="A14610" s="4">
        <v>106.0</v>
      </c>
      <c r="B14610" s="4" t="s">
        <v>22132</v>
      </c>
      <c r="C14610" s="4"/>
      <c r="D14610" s="4" t="s">
        <v>774</v>
      </c>
      <c r="E14610" s="4" t="s">
        <v>773</v>
      </c>
      <c r="F14610" s="4" t="s">
        <v>774</v>
      </c>
      <c r="G14610" s="4"/>
      <c r="H14610" s="4" t="s">
        <v>781</v>
      </c>
      <c r="I14610" s="4" t="s">
        <v>782</v>
      </c>
    </row>
    <row r="14611">
      <c r="A14611" s="4">
        <v>107.0</v>
      </c>
      <c r="B14611" s="4" t="s">
        <v>22132</v>
      </c>
      <c r="C14611" s="4"/>
      <c r="D14611" s="4" t="s">
        <v>784</v>
      </c>
      <c r="E14611" s="4" t="s">
        <v>474</v>
      </c>
      <c r="F14611" s="4" t="s">
        <v>475</v>
      </c>
    </row>
    <row r="14612">
      <c r="A14612" s="4">
        <v>108.0</v>
      </c>
      <c r="B14612" s="4" t="s">
        <v>22132</v>
      </c>
      <c r="C14612" s="4"/>
      <c r="D14612" s="4" t="s">
        <v>791</v>
      </c>
      <c r="E14612" s="4" t="s">
        <v>792</v>
      </c>
      <c r="F14612" s="4" t="s">
        <v>791</v>
      </c>
    </row>
    <row r="14613">
      <c r="A14613" s="4">
        <v>109.0</v>
      </c>
      <c r="B14613" s="4" t="s">
        <v>22132</v>
      </c>
      <c r="C14613" s="4"/>
      <c r="D14613" s="4" t="s">
        <v>793</v>
      </c>
      <c r="E14613" s="4" t="s">
        <v>794</v>
      </c>
      <c r="F14613" s="4" t="s">
        <v>793</v>
      </c>
      <c r="G14613" s="4"/>
      <c r="H14613" s="4" t="s">
        <v>15159</v>
      </c>
      <c r="I14613" s="4" t="s">
        <v>795</v>
      </c>
      <c r="J14613" s="4" t="s">
        <v>796</v>
      </c>
    </row>
    <row r="14614">
      <c r="A14614" s="4">
        <v>110.0</v>
      </c>
      <c r="B14614" s="4" t="s">
        <v>22132</v>
      </c>
      <c r="C14614" s="4"/>
      <c r="D14614" s="4" t="s">
        <v>20580</v>
      </c>
      <c r="E14614" s="4" t="s">
        <v>20581</v>
      </c>
      <c r="F14614" s="4" t="s">
        <v>20580</v>
      </c>
    </row>
    <row r="14615">
      <c r="A14615" s="4">
        <v>111.0</v>
      </c>
      <c r="B14615" s="4" t="s">
        <v>22132</v>
      </c>
      <c r="C14615" s="4"/>
      <c r="D14615" s="4" t="s">
        <v>20582</v>
      </c>
      <c r="E14615" s="4" t="s">
        <v>20583</v>
      </c>
      <c r="F14615" s="4" t="s">
        <v>20582</v>
      </c>
    </row>
    <row r="14616">
      <c r="A14616" s="4">
        <v>112.0</v>
      </c>
      <c r="B14616" s="4" t="s">
        <v>22132</v>
      </c>
      <c r="C14616" s="4"/>
      <c r="D14616" s="4" t="s">
        <v>20584</v>
      </c>
      <c r="E14616" s="4" t="s">
        <v>20581</v>
      </c>
      <c r="F14616" s="4" t="s">
        <v>20580</v>
      </c>
    </row>
    <row r="14617">
      <c r="A14617" s="4">
        <v>113.0</v>
      </c>
      <c r="B14617" s="4" t="s">
        <v>22132</v>
      </c>
      <c r="C14617" s="4"/>
      <c r="D14617" s="4" t="s">
        <v>20585</v>
      </c>
      <c r="E14617" s="4" t="s">
        <v>20583</v>
      </c>
      <c r="F14617" s="4" t="s">
        <v>20582</v>
      </c>
    </row>
    <row r="14618">
      <c r="A14618" s="4">
        <v>114.0</v>
      </c>
      <c r="B14618" s="4" t="s">
        <v>22132</v>
      </c>
      <c r="C14618" s="4"/>
      <c r="D14618" s="4" t="s">
        <v>20586</v>
      </c>
      <c r="E14618" s="4" t="s">
        <v>20587</v>
      </c>
      <c r="F14618" s="4" t="s">
        <v>20586</v>
      </c>
    </row>
    <row r="14619">
      <c r="A14619" s="4">
        <v>115.0</v>
      </c>
      <c r="B14619" s="4" t="s">
        <v>22132</v>
      </c>
      <c r="C14619" s="4"/>
      <c r="D14619" s="4" t="s">
        <v>787</v>
      </c>
      <c r="E14619" s="4" t="s">
        <v>786</v>
      </c>
      <c r="F14619" s="4" t="s">
        <v>787</v>
      </c>
      <c r="G14619" s="4"/>
      <c r="H14619" s="4" t="s">
        <v>789</v>
      </c>
      <c r="I14619" s="4" t="s">
        <v>3488</v>
      </c>
      <c r="J14619" s="4" t="s">
        <v>788</v>
      </c>
      <c r="K14619" s="4" t="s">
        <v>3489</v>
      </c>
      <c r="L14619" s="4" t="s">
        <v>3490</v>
      </c>
      <c r="M14619" s="4" t="s">
        <v>788</v>
      </c>
      <c r="N14619" s="4" t="s">
        <v>789</v>
      </c>
      <c r="O14619" s="4" t="s">
        <v>3727</v>
      </c>
    </row>
    <row r="14620">
      <c r="A14620" s="4">
        <v>116.0</v>
      </c>
      <c r="B14620" s="4" t="s">
        <v>22132</v>
      </c>
      <c r="C14620" s="4"/>
      <c r="D14620" s="4" t="s">
        <v>20588</v>
      </c>
      <c r="E14620" s="4" t="s">
        <v>20589</v>
      </c>
      <c r="F14620" s="4" t="s">
        <v>20590</v>
      </c>
    </row>
    <row r="14621">
      <c r="A14621" s="4">
        <v>117.0</v>
      </c>
      <c r="B14621" s="4" t="s">
        <v>22132</v>
      </c>
      <c r="C14621" s="4"/>
      <c r="D14621" s="4" t="s">
        <v>814</v>
      </c>
      <c r="E14621" s="4" t="s">
        <v>815</v>
      </c>
      <c r="F14621" s="4" t="s">
        <v>816</v>
      </c>
    </row>
    <row r="14622">
      <c r="A14622" s="4">
        <v>118.0</v>
      </c>
      <c r="B14622" s="4" t="s">
        <v>22132</v>
      </c>
      <c r="C14622" s="4"/>
      <c r="D14622" s="4" t="s">
        <v>817</v>
      </c>
      <c r="E14622" s="4" t="s">
        <v>818</v>
      </c>
      <c r="F14622" s="4" t="s">
        <v>817</v>
      </c>
      <c r="G14622" s="4"/>
      <c r="H14622" s="4" t="s">
        <v>20591</v>
      </c>
      <c r="I14622" s="4" t="s">
        <v>20592</v>
      </c>
      <c r="J14622" s="4" t="s">
        <v>20591</v>
      </c>
    </row>
    <row r="14623">
      <c r="A14623" s="4">
        <v>119.0</v>
      </c>
      <c r="B14623" s="4" t="s">
        <v>22132</v>
      </c>
      <c r="C14623" s="4"/>
      <c r="D14623" s="4" t="s">
        <v>20593</v>
      </c>
      <c r="E14623" s="4" t="s">
        <v>20594</v>
      </c>
      <c r="F14623" s="4" t="s">
        <v>20593</v>
      </c>
    </row>
    <row r="14624">
      <c r="A14624" s="4">
        <v>120.0</v>
      </c>
      <c r="B14624" s="4" t="s">
        <v>22132</v>
      </c>
      <c r="C14624" s="4"/>
      <c r="D14624" s="4" t="s">
        <v>20595</v>
      </c>
      <c r="E14624" s="4" t="s">
        <v>20596</v>
      </c>
      <c r="F14624" s="4" t="s">
        <v>20595</v>
      </c>
    </row>
    <row r="14625">
      <c r="A14625" s="4">
        <v>121.0</v>
      </c>
      <c r="B14625" s="4" t="s">
        <v>22132</v>
      </c>
      <c r="C14625" s="4"/>
      <c r="D14625" s="4" t="s">
        <v>20597</v>
      </c>
      <c r="E14625" s="4" t="s">
        <v>20598</v>
      </c>
      <c r="F14625" s="4" t="s">
        <v>20599</v>
      </c>
    </row>
    <row r="14626">
      <c r="A14626" s="4">
        <v>122.0</v>
      </c>
      <c r="B14626" s="4" t="s">
        <v>22132</v>
      </c>
      <c r="C14626" s="4"/>
      <c r="D14626" s="4" t="s">
        <v>824</v>
      </c>
      <c r="E14626" s="4" t="s">
        <v>823</v>
      </c>
      <c r="F14626" s="4" t="s">
        <v>824</v>
      </c>
      <c r="G14626" s="4"/>
      <c r="H14626" s="4" t="s">
        <v>825</v>
      </c>
    </row>
    <row r="14627">
      <c r="A14627" s="4">
        <v>123.0</v>
      </c>
      <c r="B14627" s="4" t="s">
        <v>22132</v>
      </c>
      <c r="C14627" s="4"/>
      <c r="D14627" s="4" t="s">
        <v>20600</v>
      </c>
      <c r="E14627" s="4" t="s">
        <v>20601</v>
      </c>
      <c r="F14627" s="4" t="s">
        <v>20600</v>
      </c>
      <c r="G14627" s="4"/>
      <c r="H14627" s="4" t="s">
        <v>20602</v>
      </c>
      <c r="I14627" s="4" t="s">
        <v>12577</v>
      </c>
      <c r="J14627" s="4" t="s">
        <v>20603</v>
      </c>
      <c r="K14627" s="4" t="s">
        <v>19611</v>
      </c>
      <c r="L14627" s="4" t="s">
        <v>20604</v>
      </c>
      <c r="M14627" s="4" t="s">
        <v>6284</v>
      </c>
    </row>
    <row r="14628">
      <c r="A14628" s="4">
        <v>124.0</v>
      </c>
      <c r="B14628" s="4" t="s">
        <v>22132</v>
      </c>
      <c r="C14628" s="4"/>
      <c r="D14628" s="4" t="s">
        <v>20607</v>
      </c>
      <c r="E14628" s="4" t="s">
        <v>20608</v>
      </c>
      <c r="F14628" s="4" t="s">
        <v>20609</v>
      </c>
    </row>
    <row r="14629">
      <c r="A14629" s="4">
        <v>125.0</v>
      </c>
      <c r="B14629" s="4" t="s">
        <v>22132</v>
      </c>
      <c r="C14629" s="4"/>
      <c r="D14629" s="4" t="s">
        <v>20610</v>
      </c>
      <c r="E14629" s="4" t="s">
        <v>20611</v>
      </c>
      <c r="F14629" s="4" t="s">
        <v>20610</v>
      </c>
    </row>
    <row r="14630">
      <c r="A14630" s="4">
        <v>126.0</v>
      </c>
      <c r="B14630" s="4" t="s">
        <v>22132</v>
      </c>
      <c r="C14630" s="4"/>
      <c r="D14630" s="4" t="s">
        <v>20612</v>
      </c>
      <c r="E14630" s="4" t="s">
        <v>20613</v>
      </c>
      <c r="F14630" s="4" t="s">
        <v>20614</v>
      </c>
    </row>
    <row r="14631">
      <c r="A14631" s="4">
        <v>127.0</v>
      </c>
      <c r="B14631" s="4" t="s">
        <v>22132</v>
      </c>
      <c r="C14631" s="4"/>
      <c r="D14631" s="4" t="s">
        <v>295</v>
      </c>
      <c r="E14631" s="4" t="s">
        <v>294</v>
      </c>
      <c r="F14631" s="4" t="s">
        <v>295</v>
      </c>
      <c r="G14631" s="4"/>
      <c r="H14631" s="4" t="s">
        <v>833</v>
      </c>
      <c r="I14631" s="4" t="s">
        <v>833</v>
      </c>
      <c r="J14631" s="4" t="s">
        <v>834</v>
      </c>
      <c r="K14631" s="4" t="s">
        <v>605</v>
      </c>
      <c r="L14631" s="4" t="s">
        <v>835</v>
      </c>
      <c r="M14631" s="4" t="s">
        <v>836</v>
      </c>
      <c r="N14631" s="4" t="s">
        <v>837</v>
      </c>
      <c r="O14631" s="4" t="s">
        <v>838</v>
      </c>
      <c r="P14631" s="4" t="s">
        <v>839</v>
      </c>
      <c r="Q14631" s="4" t="s">
        <v>840</v>
      </c>
      <c r="R14631" s="4" t="s">
        <v>841</v>
      </c>
      <c r="S14631" s="4" t="s">
        <v>842</v>
      </c>
      <c r="T14631" s="4" t="s">
        <v>843</v>
      </c>
      <c r="U14631" s="4" t="s">
        <v>844</v>
      </c>
      <c r="V14631" s="4" t="s">
        <v>845</v>
      </c>
      <c r="W14631" s="4" t="s">
        <v>846</v>
      </c>
    </row>
    <row r="14632">
      <c r="A14632" s="4">
        <v>128.0</v>
      </c>
      <c r="B14632" s="4" t="s">
        <v>22132</v>
      </c>
      <c r="C14632" s="4"/>
      <c r="D14632" s="4" t="s">
        <v>14086</v>
      </c>
      <c r="E14632" s="4" t="s">
        <v>14087</v>
      </c>
      <c r="F14632" s="4" t="s">
        <v>14086</v>
      </c>
      <c r="G14632" s="4"/>
      <c r="H14632" s="4" t="s">
        <v>2426</v>
      </c>
      <c r="I14632" s="4" t="s">
        <v>11321</v>
      </c>
      <c r="J14632" s="4" t="s">
        <v>14088</v>
      </c>
      <c r="K14632" s="4" t="s">
        <v>313</v>
      </c>
    </row>
    <row r="14633">
      <c r="A14633" s="4">
        <v>129.0</v>
      </c>
      <c r="B14633" s="4" t="s">
        <v>22132</v>
      </c>
      <c r="C14633" s="4"/>
      <c r="D14633" s="4" t="s">
        <v>9342</v>
      </c>
      <c r="E14633" s="4" t="s">
        <v>15648</v>
      </c>
      <c r="F14633" s="4" t="s">
        <v>9342</v>
      </c>
      <c r="G14633" s="4"/>
      <c r="H14633" s="4" t="s">
        <v>9342</v>
      </c>
    </row>
    <row r="14634">
      <c r="A14634" s="4">
        <v>130.0</v>
      </c>
      <c r="B14634" s="4" t="s">
        <v>22132</v>
      </c>
      <c r="C14634" s="4"/>
      <c r="D14634" s="4" t="s">
        <v>14089</v>
      </c>
      <c r="E14634" s="4" t="s">
        <v>14090</v>
      </c>
      <c r="F14634" s="4" t="s">
        <v>14089</v>
      </c>
    </row>
    <row r="14635">
      <c r="A14635" s="4">
        <v>131.0</v>
      </c>
      <c r="B14635" s="4" t="s">
        <v>22132</v>
      </c>
      <c r="C14635" s="4"/>
      <c r="D14635" s="4" t="s">
        <v>20615</v>
      </c>
      <c r="E14635" s="4" t="s">
        <v>20616</v>
      </c>
      <c r="F14635" s="4" t="s">
        <v>20615</v>
      </c>
    </row>
    <row r="14636">
      <c r="A14636" s="4">
        <v>132.0</v>
      </c>
      <c r="B14636" s="4" t="s">
        <v>22132</v>
      </c>
      <c r="C14636" s="4"/>
      <c r="D14636" s="4" t="s">
        <v>20617</v>
      </c>
      <c r="E14636" s="4" t="s">
        <v>20618</v>
      </c>
      <c r="F14636" s="4" t="s">
        <v>20617</v>
      </c>
    </row>
    <row r="14637">
      <c r="A14637" s="4">
        <v>133.0</v>
      </c>
      <c r="B14637" s="4" t="s">
        <v>22132</v>
      </c>
      <c r="C14637" s="4"/>
      <c r="D14637" s="4" t="s">
        <v>20619</v>
      </c>
      <c r="E14637" s="4" t="s">
        <v>20616</v>
      </c>
      <c r="F14637" s="4" t="s">
        <v>20615</v>
      </c>
    </row>
    <row r="14638">
      <c r="A14638" s="4">
        <v>134.0</v>
      </c>
      <c r="B14638" s="4" t="s">
        <v>22132</v>
      </c>
      <c r="C14638" s="4"/>
      <c r="D14638" s="4" t="s">
        <v>20620</v>
      </c>
      <c r="E14638" s="4" t="s">
        <v>20618</v>
      </c>
      <c r="F14638" s="4" t="s">
        <v>20617</v>
      </c>
    </row>
    <row r="14639">
      <c r="A14639" s="4">
        <v>135.0</v>
      </c>
      <c r="B14639" s="4" t="s">
        <v>22132</v>
      </c>
      <c r="C14639" s="4"/>
      <c r="D14639" s="4" t="s">
        <v>15649</v>
      </c>
      <c r="E14639" s="4" t="s">
        <v>15650</v>
      </c>
      <c r="F14639" s="4" t="s">
        <v>15649</v>
      </c>
    </row>
    <row r="14640">
      <c r="A14640" s="4">
        <v>136.0</v>
      </c>
      <c r="B14640" s="4" t="s">
        <v>22132</v>
      </c>
      <c r="C14640" s="4"/>
      <c r="D14640" s="4" t="s">
        <v>20621</v>
      </c>
      <c r="E14640" s="4" t="s">
        <v>20622</v>
      </c>
      <c r="F14640" s="4" t="s">
        <v>20621</v>
      </c>
      <c r="G14640" s="4"/>
      <c r="H14640" s="4" t="s">
        <v>486</v>
      </c>
    </row>
    <row r="14641">
      <c r="A14641" s="4">
        <v>137.0</v>
      </c>
      <c r="B14641" s="4" t="s">
        <v>22132</v>
      </c>
      <c r="C14641" s="4"/>
      <c r="D14641" s="4" t="s">
        <v>875</v>
      </c>
      <c r="E14641" s="4" t="s">
        <v>874</v>
      </c>
      <c r="F14641" s="4" t="s">
        <v>875</v>
      </c>
      <c r="G14641" s="4"/>
      <c r="H14641" s="4" t="s">
        <v>876</v>
      </c>
      <c r="I14641" s="4" t="s">
        <v>877</v>
      </c>
      <c r="J14641" s="4" t="s">
        <v>877</v>
      </c>
      <c r="K14641" s="4" t="s">
        <v>878</v>
      </c>
      <c r="L14641" s="4" t="s">
        <v>876</v>
      </c>
      <c r="M14641" s="4" t="s">
        <v>879</v>
      </c>
      <c r="N14641" s="4" t="s">
        <v>486</v>
      </c>
      <c r="O14641" s="4" t="s">
        <v>878</v>
      </c>
    </row>
    <row r="14642">
      <c r="A14642" s="4">
        <v>138.0</v>
      </c>
      <c r="B14642" s="4" t="s">
        <v>22132</v>
      </c>
      <c r="C14642" s="4"/>
      <c r="D14642" s="4" t="s">
        <v>20623</v>
      </c>
      <c r="E14642" s="4" t="s">
        <v>20624</v>
      </c>
      <c r="F14642" s="4" t="s">
        <v>20623</v>
      </c>
    </row>
    <row r="14643">
      <c r="A14643" s="4">
        <v>139.0</v>
      </c>
      <c r="B14643" s="4" t="s">
        <v>22132</v>
      </c>
      <c r="C14643" s="4"/>
      <c r="D14643" s="4" t="s">
        <v>20625</v>
      </c>
      <c r="E14643" s="4" t="s">
        <v>20626</v>
      </c>
      <c r="F14643" s="4" t="s">
        <v>20625</v>
      </c>
    </row>
    <row r="14644">
      <c r="A14644" s="4">
        <v>140.0</v>
      </c>
      <c r="B14644" s="4" t="s">
        <v>22132</v>
      </c>
      <c r="C14644" s="4"/>
      <c r="D14644" s="4" t="s">
        <v>20627</v>
      </c>
      <c r="E14644" s="4" t="s">
        <v>20628</v>
      </c>
      <c r="F14644" s="4" t="s">
        <v>20627</v>
      </c>
      <c r="G14644" s="4"/>
      <c r="H14644" s="4" t="s">
        <v>20629</v>
      </c>
      <c r="I14644" s="4" t="s">
        <v>20630</v>
      </c>
      <c r="J14644" s="4" t="s">
        <v>20631</v>
      </c>
      <c r="K14644" s="4" t="s">
        <v>11322</v>
      </c>
      <c r="L14644" s="4" t="s">
        <v>20632</v>
      </c>
      <c r="M14644" s="4" t="s">
        <v>20633</v>
      </c>
      <c r="N14644" s="4" t="s">
        <v>20633</v>
      </c>
      <c r="O14644" s="4" t="s">
        <v>11321</v>
      </c>
      <c r="P14644" s="4" t="s">
        <v>15189</v>
      </c>
      <c r="Q14644" s="4" t="s">
        <v>5742</v>
      </c>
      <c r="R14644" s="4" t="s">
        <v>11321</v>
      </c>
    </row>
    <row r="14645">
      <c r="A14645" s="4">
        <v>141.0</v>
      </c>
      <c r="B14645" s="4" t="s">
        <v>22132</v>
      </c>
      <c r="C14645" s="4"/>
      <c r="D14645" s="4" t="s">
        <v>9347</v>
      </c>
      <c r="E14645" s="4" t="s">
        <v>15678</v>
      </c>
      <c r="F14645" s="4" t="s">
        <v>9347</v>
      </c>
    </row>
    <row r="14646">
      <c r="A14646" s="4">
        <v>142.0</v>
      </c>
      <c r="B14646" s="4" t="s">
        <v>22132</v>
      </c>
      <c r="C14646" s="4"/>
      <c r="D14646" s="4" t="s">
        <v>882</v>
      </c>
      <c r="E14646" s="4" t="s">
        <v>881</v>
      </c>
      <c r="F14646" s="4" t="s">
        <v>882</v>
      </c>
      <c r="G14646" s="4"/>
      <c r="H14646" s="4" t="s">
        <v>883</v>
      </c>
      <c r="I14646" s="4" t="s">
        <v>884</v>
      </c>
      <c r="J14646" s="4" t="s">
        <v>885</v>
      </c>
      <c r="K14646" s="4" t="s">
        <v>886</v>
      </c>
      <c r="L14646" s="4" t="s">
        <v>887</v>
      </c>
      <c r="M14646" s="4" t="s">
        <v>878</v>
      </c>
      <c r="N14646" s="4" t="s">
        <v>888</v>
      </c>
      <c r="O14646" s="4" t="s">
        <v>15684</v>
      </c>
      <c r="P14646" s="4" t="s">
        <v>888</v>
      </c>
      <c r="Q14646" s="4" t="s">
        <v>7917</v>
      </c>
      <c r="R14646" s="4" t="s">
        <v>883</v>
      </c>
      <c r="S14646" s="4" t="s">
        <v>883</v>
      </c>
      <c r="T14646" s="4" t="s">
        <v>885</v>
      </c>
      <c r="U14646" s="4" t="s">
        <v>886</v>
      </c>
      <c r="V14646" s="4" t="s">
        <v>888</v>
      </c>
      <c r="W14646" s="4" t="s">
        <v>3086</v>
      </c>
      <c r="X14646" s="4" t="s">
        <v>887</v>
      </c>
      <c r="Y14646" s="4" t="s">
        <v>3082</v>
      </c>
    </row>
    <row r="14647">
      <c r="A14647" s="4">
        <v>143.0</v>
      </c>
      <c r="B14647" s="4" t="s">
        <v>22132</v>
      </c>
      <c r="C14647" s="4"/>
      <c r="D14647" s="4" t="s">
        <v>20634</v>
      </c>
      <c r="E14647" s="4" t="s">
        <v>14087</v>
      </c>
      <c r="F14647" s="4" t="s">
        <v>14086</v>
      </c>
    </row>
    <row r="14648">
      <c r="A14648" s="4">
        <v>144.0</v>
      </c>
      <c r="B14648" s="4" t="s">
        <v>22132</v>
      </c>
      <c r="C14648" s="4"/>
      <c r="D14648" s="4" t="s">
        <v>20635</v>
      </c>
      <c r="E14648" s="4" t="s">
        <v>501</v>
      </c>
      <c r="F14648" s="4" t="s">
        <v>502</v>
      </c>
    </row>
    <row r="14649">
      <c r="A14649" s="4">
        <v>145.0</v>
      </c>
      <c r="B14649" s="4" t="s">
        <v>22132</v>
      </c>
      <c r="C14649" s="4"/>
      <c r="D14649" s="4" t="s">
        <v>20636</v>
      </c>
      <c r="E14649" s="4" t="s">
        <v>890</v>
      </c>
      <c r="F14649" s="4" t="s">
        <v>891</v>
      </c>
    </row>
    <row r="14650">
      <c r="A14650" s="4">
        <v>146.0</v>
      </c>
      <c r="B14650" s="4" t="s">
        <v>22132</v>
      </c>
      <c r="C14650" s="4"/>
      <c r="D14650" s="4" t="s">
        <v>17441</v>
      </c>
      <c r="E14650" s="4" t="s">
        <v>17440</v>
      </c>
      <c r="F14650" s="4" t="s">
        <v>17441</v>
      </c>
    </row>
    <row r="14651">
      <c r="A14651" s="4">
        <v>147.0</v>
      </c>
      <c r="B14651" s="4" t="s">
        <v>22132</v>
      </c>
      <c r="C14651" s="4"/>
      <c r="D14651" s="4" t="s">
        <v>20685</v>
      </c>
      <c r="E14651" s="4" t="s">
        <v>20686</v>
      </c>
      <c r="F14651" s="4" t="s">
        <v>20685</v>
      </c>
    </row>
    <row r="14652">
      <c r="A14652" s="4">
        <v>148.0</v>
      </c>
      <c r="B14652" s="4" t="s">
        <v>22132</v>
      </c>
      <c r="C14652" s="4"/>
      <c r="D14652" s="4" t="s">
        <v>20687</v>
      </c>
      <c r="E14652" s="4" t="s">
        <v>20688</v>
      </c>
      <c r="F14652" s="4" t="s">
        <v>20687</v>
      </c>
    </row>
    <row r="14653">
      <c r="A14653" s="4">
        <v>149.0</v>
      </c>
      <c r="B14653" s="4" t="s">
        <v>22132</v>
      </c>
      <c r="C14653" s="4"/>
      <c r="D14653" s="4" t="s">
        <v>960</v>
      </c>
      <c r="E14653" s="4" t="s">
        <v>961</v>
      </c>
      <c r="F14653" s="4" t="s">
        <v>962</v>
      </c>
    </row>
    <row r="14654">
      <c r="A14654" s="4">
        <v>150.0</v>
      </c>
      <c r="B14654" s="4" t="s">
        <v>22132</v>
      </c>
      <c r="C14654" s="4"/>
      <c r="D14654" s="4" t="s">
        <v>20689</v>
      </c>
      <c r="E14654" s="4" t="s">
        <v>20690</v>
      </c>
      <c r="F14654" s="4" t="s">
        <v>9073</v>
      </c>
      <c r="G14654" s="4"/>
      <c r="H14654" s="4" t="s">
        <v>20691</v>
      </c>
      <c r="I14654" s="4" t="s">
        <v>1301</v>
      </c>
      <c r="J14654" s="4" t="s">
        <v>20692</v>
      </c>
      <c r="K14654" s="4" t="s">
        <v>20693</v>
      </c>
      <c r="L14654" s="4" t="s">
        <v>20694</v>
      </c>
      <c r="M14654" s="4" t="s">
        <v>20695</v>
      </c>
      <c r="N14654" s="4" t="s">
        <v>10333</v>
      </c>
      <c r="O14654" s="4" t="s">
        <v>11925</v>
      </c>
      <c r="P14654" s="4" t="s">
        <v>1337</v>
      </c>
      <c r="Q14654" s="4" t="s">
        <v>11924</v>
      </c>
      <c r="R14654" s="4" t="s">
        <v>20696</v>
      </c>
      <c r="S14654" s="4" t="s">
        <v>20697</v>
      </c>
      <c r="T14654" s="4" t="s">
        <v>20691</v>
      </c>
    </row>
    <row r="14655">
      <c r="A14655" s="4">
        <v>151.0</v>
      </c>
      <c r="B14655" s="4" t="s">
        <v>22132</v>
      </c>
      <c r="C14655" s="4"/>
      <c r="D14655" s="4" t="s">
        <v>976</v>
      </c>
      <c r="E14655" s="4" t="s">
        <v>977</v>
      </c>
      <c r="F14655" s="4" t="s">
        <v>978</v>
      </c>
      <c r="G14655" s="4"/>
      <c r="H14655" s="4" t="s">
        <v>20705</v>
      </c>
      <c r="I14655" s="4" t="s">
        <v>20706</v>
      </c>
    </row>
    <row r="14656">
      <c r="A14656" s="4">
        <v>152.0</v>
      </c>
      <c r="B14656" s="4" t="s">
        <v>22132</v>
      </c>
      <c r="C14656" s="4"/>
      <c r="D14656" s="4" t="s">
        <v>20707</v>
      </c>
      <c r="E14656" s="4" t="s">
        <v>20708</v>
      </c>
      <c r="F14656" s="4" t="s">
        <v>20709</v>
      </c>
    </row>
    <row r="14657">
      <c r="A14657" s="4">
        <v>153.0</v>
      </c>
      <c r="B14657" s="4" t="s">
        <v>22132</v>
      </c>
      <c r="C14657" s="4"/>
      <c r="D14657" s="4" t="s">
        <v>20710</v>
      </c>
      <c r="E14657" s="4" t="s">
        <v>20711</v>
      </c>
      <c r="F14657" s="4" t="s">
        <v>20712</v>
      </c>
    </row>
    <row r="14658">
      <c r="A14658" s="4">
        <v>154.0</v>
      </c>
      <c r="B14658" s="4" t="s">
        <v>22132</v>
      </c>
      <c r="C14658" s="4"/>
      <c r="D14658" s="4" t="s">
        <v>984</v>
      </c>
      <c r="E14658" s="4" t="s">
        <v>985</v>
      </c>
      <c r="F14658" s="4" t="s">
        <v>986</v>
      </c>
    </row>
    <row r="14659">
      <c r="A14659" s="4">
        <v>155.0</v>
      </c>
      <c r="B14659" s="4" t="s">
        <v>22132</v>
      </c>
      <c r="C14659" s="4"/>
      <c r="D14659" s="4" t="s">
        <v>990</v>
      </c>
      <c r="E14659" s="4" t="s">
        <v>991</v>
      </c>
      <c r="F14659" s="4" t="s">
        <v>992</v>
      </c>
      <c r="G14659" s="4"/>
      <c r="H14659" s="4" t="s">
        <v>993</v>
      </c>
      <c r="I14659" s="4" t="s">
        <v>994</v>
      </c>
      <c r="J14659" s="4" t="s">
        <v>2798</v>
      </c>
      <c r="K14659" s="4" t="s">
        <v>20713</v>
      </c>
      <c r="L14659" s="4" t="s">
        <v>3632</v>
      </c>
      <c r="M14659" s="4" t="s">
        <v>940</v>
      </c>
    </row>
    <row r="14660">
      <c r="A14660" s="4">
        <v>156.0</v>
      </c>
      <c r="B14660" s="4" t="s">
        <v>22132</v>
      </c>
      <c r="C14660" s="4"/>
      <c r="D14660" s="4" t="s">
        <v>20714</v>
      </c>
      <c r="E14660" s="4" t="s">
        <v>1004</v>
      </c>
      <c r="F14660" s="4" t="s">
        <v>1005</v>
      </c>
    </row>
    <row r="14661">
      <c r="A14661" s="4">
        <v>157.0</v>
      </c>
      <c r="B14661" s="4" t="s">
        <v>22132</v>
      </c>
      <c r="C14661" s="4"/>
      <c r="D14661" s="4" t="s">
        <v>20715</v>
      </c>
      <c r="E14661" s="4" t="s">
        <v>1007</v>
      </c>
      <c r="F14661" s="4" t="s">
        <v>1008</v>
      </c>
    </row>
    <row r="14662">
      <c r="A14662" s="4">
        <v>158.0</v>
      </c>
      <c r="B14662" s="4" t="s">
        <v>22132</v>
      </c>
      <c r="C14662" s="4"/>
      <c r="D14662" s="4" t="s">
        <v>20716</v>
      </c>
      <c r="E14662" s="4" t="s">
        <v>1004</v>
      </c>
      <c r="F14662" s="4" t="s">
        <v>1005</v>
      </c>
    </row>
    <row r="14663">
      <c r="A14663" s="4">
        <v>159.0</v>
      </c>
      <c r="B14663" s="4" t="s">
        <v>22132</v>
      </c>
      <c r="C14663" s="4"/>
      <c r="D14663" s="4" t="s">
        <v>20717</v>
      </c>
      <c r="E14663" s="4" t="s">
        <v>1007</v>
      </c>
      <c r="F14663" s="4" t="s">
        <v>1008</v>
      </c>
    </row>
    <row r="14664">
      <c r="A14664" s="4">
        <v>160.0</v>
      </c>
      <c r="B14664" s="4" t="s">
        <v>22132</v>
      </c>
      <c r="C14664" s="4"/>
      <c r="D14664" s="4" t="s">
        <v>11822</v>
      </c>
      <c r="E14664" s="4" t="s">
        <v>11824</v>
      </c>
      <c r="F14664" s="4" t="s">
        <v>11825</v>
      </c>
    </row>
    <row r="14665">
      <c r="A14665" s="4">
        <v>161.0</v>
      </c>
      <c r="B14665" s="4" t="s">
        <v>22132</v>
      </c>
      <c r="C14665" s="4"/>
      <c r="D14665" s="4" t="s">
        <v>5931</v>
      </c>
      <c r="E14665" s="4" t="s">
        <v>5147</v>
      </c>
      <c r="F14665" s="4" t="s">
        <v>5148</v>
      </c>
    </row>
    <row r="14666">
      <c r="A14666" s="4">
        <v>162.0</v>
      </c>
      <c r="B14666" s="4" t="s">
        <v>22132</v>
      </c>
      <c r="C14666" s="4"/>
      <c r="D14666" s="4" t="s">
        <v>1040</v>
      </c>
      <c r="E14666" s="4" t="s">
        <v>1041</v>
      </c>
      <c r="F14666" s="4" t="s">
        <v>1042</v>
      </c>
      <c r="G14666" s="4"/>
      <c r="H14666" s="4" t="s">
        <v>1241</v>
      </c>
    </row>
    <row r="14667">
      <c r="A14667" s="4">
        <v>163.0</v>
      </c>
      <c r="B14667" s="4" t="s">
        <v>22132</v>
      </c>
      <c r="C14667" s="4"/>
      <c r="D14667" s="4" t="s">
        <v>1053</v>
      </c>
      <c r="E14667" s="4" t="s">
        <v>1054</v>
      </c>
      <c r="F14667" s="4" t="s">
        <v>1055</v>
      </c>
      <c r="G14667" s="4"/>
      <c r="H14667" s="4" t="s">
        <v>1056</v>
      </c>
      <c r="I14667" s="4" t="s">
        <v>20721</v>
      </c>
      <c r="J14667" s="4" t="s">
        <v>1056</v>
      </c>
      <c r="K14667" s="4" t="s">
        <v>1057</v>
      </c>
      <c r="L14667" s="4" t="s">
        <v>1056</v>
      </c>
    </row>
    <row r="14668">
      <c r="A14668" s="4">
        <v>164.0</v>
      </c>
      <c r="B14668" s="4" t="s">
        <v>22132</v>
      </c>
      <c r="C14668" s="4"/>
      <c r="D14668" s="4" t="s">
        <v>20727</v>
      </c>
      <c r="E14668" s="4" t="s">
        <v>15796</v>
      </c>
      <c r="F14668" s="4" t="s">
        <v>5056</v>
      </c>
      <c r="G14668" s="4"/>
      <c r="H14668" s="4" t="s">
        <v>20728</v>
      </c>
    </row>
    <row r="14669">
      <c r="A14669" s="4">
        <v>165.0</v>
      </c>
      <c r="B14669" s="4" t="s">
        <v>22132</v>
      </c>
      <c r="C14669" s="4"/>
      <c r="D14669" s="4" t="s">
        <v>1123</v>
      </c>
      <c r="E14669" s="4" t="s">
        <v>1124</v>
      </c>
      <c r="F14669" s="4" t="s">
        <v>1125</v>
      </c>
      <c r="G14669" s="4"/>
      <c r="H14669" s="4" t="s">
        <v>20732</v>
      </c>
      <c r="I14669" s="4" t="s">
        <v>20733</v>
      </c>
    </row>
    <row r="14670">
      <c r="A14670" s="4">
        <v>166.0</v>
      </c>
      <c r="B14670" s="4" t="s">
        <v>22132</v>
      </c>
      <c r="C14670" s="4"/>
      <c r="D14670" s="4" t="s">
        <v>1126</v>
      </c>
      <c r="E14670" s="4" t="s">
        <v>1127</v>
      </c>
      <c r="F14670" s="4" t="s">
        <v>1128</v>
      </c>
      <c r="G14670" s="4"/>
      <c r="H14670" s="4" t="s">
        <v>1126</v>
      </c>
      <c r="I14670" s="4" t="s">
        <v>1136</v>
      </c>
      <c r="J14670" s="4" t="s">
        <v>19760</v>
      </c>
      <c r="K14670" s="4" t="s">
        <v>19761</v>
      </c>
      <c r="L14670" s="4" t="s">
        <v>1129</v>
      </c>
      <c r="M14670" s="4" t="s">
        <v>1130</v>
      </c>
      <c r="N14670" s="4" t="s">
        <v>1131</v>
      </c>
      <c r="O14670" s="4" t="s">
        <v>1132</v>
      </c>
      <c r="P14670" s="4" t="s">
        <v>1133</v>
      </c>
      <c r="Q14670" s="4" t="s">
        <v>1134</v>
      </c>
      <c r="R14670" s="4" t="s">
        <v>20734</v>
      </c>
      <c r="S14670" s="4" t="s">
        <v>1130</v>
      </c>
      <c r="T14670" s="4" t="s">
        <v>1135</v>
      </c>
      <c r="U14670" s="4" t="s">
        <v>1126</v>
      </c>
      <c r="V14670" s="4" t="s">
        <v>1136</v>
      </c>
      <c r="W14670" s="4" t="s">
        <v>1136</v>
      </c>
      <c r="X14670" s="4" t="s">
        <v>1137</v>
      </c>
      <c r="Y14670" s="4" t="s">
        <v>1136</v>
      </c>
    </row>
    <row r="14671">
      <c r="A14671" s="4">
        <v>167.0</v>
      </c>
      <c r="B14671" s="4" t="s">
        <v>22132</v>
      </c>
      <c r="C14671" s="4"/>
      <c r="D14671" s="4" t="s">
        <v>1161</v>
      </c>
      <c r="E14671" s="4" t="s">
        <v>1162</v>
      </c>
      <c r="F14671" s="4" t="s">
        <v>1163</v>
      </c>
      <c r="G14671" s="4"/>
      <c r="H14671" s="4" t="s">
        <v>20735</v>
      </c>
      <c r="I14671" s="4" t="s">
        <v>20736</v>
      </c>
    </row>
    <row r="14672">
      <c r="A14672" s="4">
        <v>168.0</v>
      </c>
      <c r="B14672" s="4" t="s">
        <v>22132</v>
      </c>
      <c r="C14672" s="4"/>
      <c r="D14672" s="4" t="s">
        <v>20737</v>
      </c>
      <c r="E14672" s="4" t="s">
        <v>20738</v>
      </c>
      <c r="F14672" s="4" t="s">
        <v>20739</v>
      </c>
    </row>
    <row r="14673">
      <c r="A14673" s="4">
        <v>169.0</v>
      </c>
      <c r="B14673" s="4" t="s">
        <v>22132</v>
      </c>
      <c r="C14673" s="4"/>
      <c r="D14673" s="4" t="s">
        <v>20740</v>
      </c>
      <c r="E14673" s="4" t="s">
        <v>1206</v>
      </c>
      <c r="F14673" s="4" t="s">
        <v>1207</v>
      </c>
    </row>
    <row r="14674">
      <c r="A14674" s="4">
        <v>170.0</v>
      </c>
      <c r="B14674" s="4" t="s">
        <v>22132</v>
      </c>
      <c r="C14674" s="4"/>
      <c r="D14674" s="4" t="s">
        <v>20741</v>
      </c>
      <c r="E14674" s="4" t="s">
        <v>20742</v>
      </c>
      <c r="F14674" s="4" t="s">
        <v>20743</v>
      </c>
      <c r="G14674" s="4"/>
      <c r="H14674" s="4" t="s">
        <v>20744</v>
      </c>
      <c r="I14674" s="4" t="s">
        <v>20745</v>
      </c>
    </row>
    <row r="14675">
      <c r="A14675" s="4">
        <v>171.0</v>
      </c>
      <c r="B14675" s="4" t="s">
        <v>22132</v>
      </c>
      <c r="C14675" s="4"/>
      <c r="D14675" s="4" t="s">
        <v>1176</v>
      </c>
      <c r="E14675" s="4" t="s">
        <v>1177</v>
      </c>
      <c r="F14675" s="4" t="s">
        <v>1178</v>
      </c>
    </row>
    <row r="14676">
      <c r="A14676" s="4">
        <v>172.0</v>
      </c>
      <c r="B14676" s="4" t="s">
        <v>22132</v>
      </c>
      <c r="C14676" s="4"/>
      <c r="D14676" s="4" t="s">
        <v>20746</v>
      </c>
      <c r="E14676" s="4" t="s">
        <v>20747</v>
      </c>
      <c r="F14676" s="4" t="s">
        <v>20748</v>
      </c>
    </row>
    <row r="14677">
      <c r="A14677" s="4">
        <v>173.0</v>
      </c>
      <c r="B14677" s="4" t="s">
        <v>22132</v>
      </c>
      <c r="C14677" s="4"/>
      <c r="D14677" s="4" t="s">
        <v>20752</v>
      </c>
      <c r="E14677" s="4" t="s">
        <v>19992</v>
      </c>
      <c r="F14677" s="4" t="s">
        <v>19993</v>
      </c>
      <c r="G14677" s="4"/>
      <c r="H14677" s="4" t="s">
        <v>20753</v>
      </c>
      <c r="I14677" s="4" t="s">
        <v>20754</v>
      </c>
      <c r="J14677" s="4" t="s">
        <v>20755</v>
      </c>
      <c r="K14677" s="4" t="s">
        <v>20756</v>
      </c>
    </row>
    <row r="14678">
      <c r="A14678" s="4">
        <v>174.0</v>
      </c>
      <c r="B14678" s="4" t="s">
        <v>22132</v>
      </c>
      <c r="C14678" s="4"/>
      <c r="D14678" s="4" t="s">
        <v>1231</v>
      </c>
      <c r="E14678" s="4" t="s">
        <v>1232</v>
      </c>
      <c r="F14678" s="4" t="s">
        <v>1233</v>
      </c>
      <c r="G14678" s="4"/>
      <c r="H14678" s="4" t="s">
        <v>1234</v>
      </c>
      <c r="I14678" s="4" t="s">
        <v>1235</v>
      </c>
      <c r="J14678" s="4" t="s">
        <v>1236</v>
      </c>
      <c r="K14678" s="4" t="s">
        <v>1237</v>
      </c>
      <c r="L14678" s="4" t="s">
        <v>1241</v>
      </c>
      <c r="M14678" s="4" t="s">
        <v>1217</v>
      </c>
      <c r="N14678" s="4" t="s">
        <v>1243</v>
      </c>
      <c r="O14678" s="4" t="s">
        <v>1238</v>
      </c>
      <c r="P14678" s="4" t="s">
        <v>1235</v>
      </c>
      <c r="Q14678" s="4" t="s">
        <v>1239</v>
      </c>
      <c r="R14678" s="4" t="s">
        <v>1240</v>
      </c>
      <c r="S14678" s="4" t="s">
        <v>1237</v>
      </c>
      <c r="T14678" s="4" t="s">
        <v>1241</v>
      </c>
      <c r="U14678" s="4" t="s">
        <v>1237</v>
      </c>
      <c r="V14678" s="4" t="s">
        <v>1242</v>
      </c>
      <c r="W14678" s="4" t="s">
        <v>1243</v>
      </c>
      <c r="X14678" s="4" t="s">
        <v>20757</v>
      </c>
    </row>
    <row r="14679">
      <c r="A14679" s="4">
        <v>175.0</v>
      </c>
      <c r="B14679" s="4" t="s">
        <v>22132</v>
      </c>
      <c r="C14679" s="4"/>
      <c r="D14679" s="4" t="s">
        <v>1244</v>
      </c>
      <c r="E14679" s="4" t="s">
        <v>1245</v>
      </c>
      <c r="F14679" s="4" t="s">
        <v>1246</v>
      </c>
      <c r="G14679" s="4"/>
      <c r="H14679" s="4" t="s">
        <v>20758</v>
      </c>
      <c r="I14679" s="4" t="s">
        <v>20759</v>
      </c>
      <c r="J14679" s="4" t="s">
        <v>20760</v>
      </c>
      <c r="K14679" s="4" t="s">
        <v>20761</v>
      </c>
      <c r="L14679" s="4" t="s">
        <v>20762</v>
      </c>
      <c r="M14679" s="4" t="s">
        <v>20763</v>
      </c>
      <c r="N14679" s="4" t="s">
        <v>6078</v>
      </c>
    </row>
    <row r="14680">
      <c r="A14680" s="4">
        <v>176.0</v>
      </c>
      <c r="B14680" s="4" t="s">
        <v>22132</v>
      </c>
      <c r="C14680" s="4"/>
      <c r="D14680" s="4" t="s">
        <v>20764</v>
      </c>
      <c r="E14680" s="4" t="s">
        <v>20765</v>
      </c>
      <c r="F14680" s="4" t="s">
        <v>20766</v>
      </c>
    </row>
    <row r="14681">
      <c r="A14681" s="4">
        <v>177.0</v>
      </c>
      <c r="B14681" s="4" t="s">
        <v>22132</v>
      </c>
      <c r="C14681" s="4"/>
      <c r="D14681" s="4" t="s">
        <v>20775</v>
      </c>
      <c r="E14681" s="4" t="s">
        <v>1232</v>
      </c>
      <c r="F14681" s="4" t="s">
        <v>1233</v>
      </c>
    </row>
    <row r="14682">
      <c r="A14682" s="4">
        <v>178.0</v>
      </c>
      <c r="B14682" s="4" t="s">
        <v>22132</v>
      </c>
      <c r="C14682" s="4"/>
      <c r="D14682" s="4" t="s">
        <v>1295</v>
      </c>
      <c r="E14682" s="4" t="s">
        <v>1296</v>
      </c>
      <c r="F14682" s="4" t="s">
        <v>1297</v>
      </c>
      <c r="G14682" s="4"/>
      <c r="H14682" s="4" t="s">
        <v>20776</v>
      </c>
    </row>
    <row r="14683">
      <c r="A14683" s="4">
        <v>179.0</v>
      </c>
      <c r="B14683" s="4" t="s">
        <v>22132</v>
      </c>
      <c r="C14683" s="4"/>
      <c r="D14683" s="4" t="s">
        <v>1305</v>
      </c>
      <c r="E14683" s="4" t="s">
        <v>1306</v>
      </c>
      <c r="F14683" s="4" t="s">
        <v>1307</v>
      </c>
      <c r="G14683" s="4"/>
      <c r="H14683" s="4" t="s">
        <v>1310</v>
      </c>
      <c r="I14683" s="4" t="s">
        <v>1209</v>
      </c>
      <c r="J14683" s="4" t="s">
        <v>515</v>
      </c>
      <c r="K14683" s="4" t="s">
        <v>1308</v>
      </c>
      <c r="L14683" s="4" t="s">
        <v>1309</v>
      </c>
      <c r="M14683" s="4" t="s">
        <v>1310</v>
      </c>
      <c r="N14683" s="4" t="s">
        <v>1311</v>
      </c>
      <c r="O14683" s="4" t="s">
        <v>1312</v>
      </c>
      <c r="P14683" s="4" t="s">
        <v>1313</v>
      </c>
      <c r="Q14683" s="4" t="s">
        <v>1310</v>
      </c>
      <c r="R14683" s="4" t="s">
        <v>1314</v>
      </c>
      <c r="S14683" s="4" t="s">
        <v>3491</v>
      </c>
      <c r="T14683" s="4" t="s">
        <v>1310</v>
      </c>
      <c r="U14683" s="4" t="s">
        <v>1315</v>
      </c>
      <c r="V14683" s="4" t="s">
        <v>1310</v>
      </c>
      <c r="W14683" s="4" t="s">
        <v>20779</v>
      </c>
      <c r="X14683" s="4" t="s">
        <v>1310</v>
      </c>
      <c r="Y14683" s="4" t="s">
        <v>515</v>
      </c>
      <c r="Z14683" s="4" t="s">
        <v>1310</v>
      </c>
      <c r="AA14683" s="4" t="s">
        <v>950</v>
      </c>
      <c r="AB14683" s="4" t="s">
        <v>1310</v>
      </c>
    </row>
    <row r="14684">
      <c r="A14684" s="4">
        <v>180.0</v>
      </c>
      <c r="B14684" s="4" t="s">
        <v>22132</v>
      </c>
      <c r="C14684" s="4"/>
      <c r="D14684" s="4" t="s">
        <v>20780</v>
      </c>
      <c r="E14684" s="4" t="s">
        <v>20781</v>
      </c>
      <c r="F14684" s="4" t="s">
        <v>20782</v>
      </c>
    </row>
    <row r="14685">
      <c r="A14685" s="4">
        <v>181.0</v>
      </c>
      <c r="B14685" s="4" t="s">
        <v>22132</v>
      </c>
      <c r="C14685" s="4"/>
      <c r="D14685" s="4" t="s">
        <v>20783</v>
      </c>
      <c r="E14685" s="4" t="s">
        <v>20784</v>
      </c>
      <c r="F14685" s="4" t="s">
        <v>20785</v>
      </c>
    </row>
    <row r="14686">
      <c r="A14686" s="4">
        <v>182.0</v>
      </c>
      <c r="B14686" s="4" t="s">
        <v>22132</v>
      </c>
      <c r="C14686" s="4"/>
      <c r="D14686" s="4" t="s">
        <v>20789</v>
      </c>
      <c r="E14686" s="4" t="s">
        <v>20790</v>
      </c>
      <c r="F14686" s="4" t="s">
        <v>20791</v>
      </c>
    </row>
    <row r="14687">
      <c r="A14687" s="4">
        <v>183.0</v>
      </c>
      <c r="B14687" s="4" t="s">
        <v>22132</v>
      </c>
      <c r="C14687" s="4"/>
      <c r="D14687" s="4" t="s">
        <v>20795</v>
      </c>
      <c r="E14687" s="4" t="s">
        <v>20796</v>
      </c>
      <c r="F14687" s="4" t="s">
        <v>20797</v>
      </c>
    </row>
    <row r="14688">
      <c r="A14688" s="4">
        <v>184.0</v>
      </c>
      <c r="B14688" s="4" t="s">
        <v>22132</v>
      </c>
      <c r="C14688" s="4"/>
      <c r="D14688" s="4" t="s">
        <v>19025</v>
      </c>
      <c r="E14688" s="4" t="s">
        <v>1306</v>
      </c>
      <c r="F14688" s="4" t="s">
        <v>1307</v>
      </c>
    </row>
    <row r="14689">
      <c r="A14689" s="4">
        <v>185.0</v>
      </c>
      <c r="B14689" s="4" t="s">
        <v>22132</v>
      </c>
      <c r="C14689" s="4"/>
      <c r="D14689" s="4" t="s">
        <v>1334</v>
      </c>
      <c r="E14689" s="4" t="s">
        <v>1335</v>
      </c>
      <c r="F14689" s="4" t="s">
        <v>1336</v>
      </c>
    </row>
    <row r="14690">
      <c r="A14690" s="4">
        <v>186.0</v>
      </c>
      <c r="B14690" s="4" t="s">
        <v>22132</v>
      </c>
      <c r="C14690" s="4"/>
      <c r="D14690" s="4" t="s">
        <v>16624</v>
      </c>
      <c r="E14690" s="4" t="s">
        <v>1358</v>
      </c>
      <c r="F14690" s="4" t="s">
        <v>1359</v>
      </c>
      <c r="G14690" s="4"/>
      <c r="H14690" s="4" t="s">
        <v>20801</v>
      </c>
      <c r="I14690" s="4" t="s">
        <v>20802</v>
      </c>
      <c r="J14690" s="4" t="s">
        <v>20803</v>
      </c>
      <c r="K14690" s="4" t="s">
        <v>20804</v>
      </c>
      <c r="L14690" s="4" t="s">
        <v>20805</v>
      </c>
      <c r="M14690" s="4" t="s">
        <v>3573</v>
      </c>
      <c r="N14690" s="4" t="s">
        <v>2125</v>
      </c>
      <c r="O14690" s="4" t="s">
        <v>3574</v>
      </c>
      <c r="P14690" s="4" t="s">
        <v>3575</v>
      </c>
      <c r="Q14690" s="4" t="s">
        <v>3576</v>
      </c>
      <c r="R14690" s="4" t="s">
        <v>3577</v>
      </c>
      <c r="S14690" s="4" t="s">
        <v>2130</v>
      </c>
      <c r="T14690" s="4" t="s">
        <v>2130</v>
      </c>
      <c r="U14690" s="4" t="s">
        <v>2547</v>
      </c>
      <c r="V14690" s="4" t="s">
        <v>2130</v>
      </c>
      <c r="W14690" s="4" t="s">
        <v>20806</v>
      </c>
      <c r="X14690" s="4" t="s">
        <v>20807</v>
      </c>
      <c r="Y14690" s="4" t="s">
        <v>20808</v>
      </c>
      <c r="Z14690" s="4" t="s">
        <v>20809</v>
      </c>
      <c r="AA14690" s="4" t="s">
        <v>2128</v>
      </c>
      <c r="AB14690" s="4" t="s">
        <v>2129</v>
      </c>
      <c r="AC14690" s="4" t="s">
        <v>2130</v>
      </c>
      <c r="AD14690" s="4" t="s">
        <v>2125</v>
      </c>
      <c r="AE14690" s="4" t="s">
        <v>2131</v>
      </c>
      <c r="AF14690" s="4" t="s">
        <v>2130</v>
      </c>
      <c r="AG14690" s="4" t="s">
        <v>2125</v>
      </c>
      <c r="AH14690" s="4" t="s">
        <v>2125</v>
      </c>
      <c r="AI14690" s="4" t="s">
        <v>11158</v>
      </c>
      <c r="AJ14690" s="4" t="s">
        <v>2125</v>
      </c>
    </row>
    <row r="14691">
      <c r="A14691" s="4">
        <v>187.0</v>
      </c>
      <c r="B14691" s="4" t="s">
        <v>22132</v>
      </c>
      <c r="C14691" s="4"/>
      <c r="D14691" s="4" t="s">
        <v>20810</v>
      </c>
      <c r="E14691" s="4" t="s">
        <v>20811</v>
      </c>
      <c r="F14691" s="4" t="s">
        <v>20812</v>
      </c>
    </row>
    <row r="14692">
      <c r="A14692" s="4">
        <v>188.0</v>
      </c>
      <c r="B14692" s="4" t="s">
        <v>22132</v>
      </c>
      <c r="C14692" s="4"/>
      <c r="D14692" s="4" t="s">
        <v>14129</v>
      </c>
      <c r="E14692" s="4" t="s">
        <v>14130</v>
      </c>
      <c r="F14692" s="4" t="s">
        <v>14131</v>
      </c>
    </row>
    <row r="14693">
      <c r="A14693" s="4">
        <v>189.0</v>
      </c>
      <c r="B14693" s="4" t="s">
        <v>22132</v>
      </c>
      <c r="C14693" s="4"/>
      <c r="D14693" s="4" t="s">
        <v>14354</v>
      </c>
      <c r="E14693" s="4" t="s">
        <v>1371</v>
      </c>
      <c r="F14693" s="4" t="s">
        <v>1372</v>
      </c>
      <c r="G14693" s="4"/>
      <c r="H14693" s="4" t="s">
        <v>7722</v>
      </c>
      <c r="I14693" s="4" t="s">
        <v>12852</v>
      </c>
      <c r="J14693" s="4" t="s">
        <v>20816</v>
      </c>
      <c r="K14693" s="4" t="s">
        <v>20817</v>
      </c>
      <c r="L14693" s="4" t="s">
        <v>20818</v>
      </c>
      <c r="M14693" s="4" t="s">
        <v>7722</v>
      </c>
      <c r="N14693" s="4" t="s">
        <v>20819</v>
      </c>
      <c r="O14693" s="4" t="s">
        <v>20820</v>
      </c>
      <c r="P14693" s="4" t="s">
        <v>3050</v>
      </c>
      <c r="Q14693" s="4" t="s">
        <v>20821</v>
      </c>
      <c r="R14693" s="4" t="s">
        <v>650</v>
      </c>
      <c r="S14693" s="4" t="s">
        <v>637</v>
      </c>
      <c r="T14693" s="4" t="s">
        <v>651</v>
      </c>
    </row>
    <row r="14694">
      <c r="A14694" s="4">
        <v>190.0</v>
      </c>
      <c r="B14694" s="4" t="s">
        <v>22132</v>
      </c>
      <c r="C14694" s="4"/>
      <c r="D14694" s="4" t="s">
        <v>20822</v>
      </c>
      <c r="E14694" s="4" t="s">
        <v>20823</v>
      </c>
      <c r="F14694" s="4" t="s">
        <v>20824</v>
      </c>
    </row>
    <row r="14695">
      <c r="A14695" s="4">
        <v>191.0</v>
      </c>
      <c r="B14695" s="4" t="s">
        <v>22132</v>
      </c>
      <c r="C14695" s="4"/>
      <c r="D14695" s="4" t="s">
        <v>20825</v>
      </c>
      <c r="E14695" s="4" t="s">
        <v>20826</v>
      </c>
      <c r="F14695" s="4" t="s">
        <v>20827</v>
      </c>
    </row>
    <row r="14696">
      <c r="A14696" s="4">
        <v>192.0</v>
      </c>
      <c r="B14696" s="4" t="s">
        <v>22132</v>
      </c>
      <c r="C14696" s="4"/>
      <c r="D14696" s="4" t="s">
        <v>20828</v>
      </c>
      <c r="E14696" s="4" t="s">
        <v>20823</v>
      </c>
      <c r="F14696" s="4" t="s">
        <v>20824</v>
      </c>
    </row>
    <row r="14697">
      <c r="A14697" s="4">
        <v>193.0</v>
      </c>
      <c r="B14697" s="4" t="s">
        <v>22132</v>
      </c>
      <c r="C14697" s="4"/>
      <c r="D14697" s="4" t="s">
        <v>20829</v>
      </c>
      <c r="E14697" s="4" t="s">
        <v>20826</v>
      </c>
      <c r="F14697" s="4" t="s">
        <v>20827</v>
      </c>
    </row>
    <row r="14698">
      <c r="A14698" s="4">
        <v>194.0</v>
      </c>
      <c r="B14698" s="4" t="s">
        <v>22132</v>
      </c>
      <c r="C14698" s="4"/>
      <c r="D14698" s="4" t="s">
        <v>20830</v>
      </c>
      <c r="E14698" s="4" t="s">
        <v>20831</v>
      </c>
      <c r="F14698" s="4" t="s">
        <v>20832</v>
      </c>
    </row>
    <row r="14699">
      <c r="A14699" s="4">
        <v>195.0</v>
      </c>
      <c r="B14699" s="4" t="s">
        <v>22132</v>
      </c>
      <c r="C14699" s="4"/>
      <c r="D14699" s="4" t="s">
        <v>20833</v>
      </c>
      <c r="E14699" s="4" t="s">
        <v>11937</v>
      </c>
      <c r="F14699" s="4" t="s">
        <v>8121</v>
      </c>
    </row>
    <row r="14700">
      <c r="A14700" s="4">
        <v>196.0</v>
      </c>
      <c r="B14700" s="4" t="s">
        <v>22132</v>
      </c>
      <c r="C14700" s="4"/>
      <c r="D14700" s="4" t="s">
        <v>20873</v>
      </c>
      <c r="E14700" s="4" t="s">
        <v>1185</v>
      </c>
      <c r="F14700" s="4" t="s">
        <v>1186</v>
      </c>
      <c r="G14700" s="4"/>
      <c r="H14700" s="4" t="s">
        <v>1044</v>
      </c>
      <c r="I14700" s="4" t="s">
        <v>1187</v>
      </c>
      <c r="J14700" s="4" t="s">
        <v>1188</v>
      </c>
      <c r="K14700" s="4" t="s">
        <v>11871</v>
      </c>
      <c r="L14700" s="4" t="s">
        <v>1189</v>
      </c>
    </row>
    <row r="14701">
      <c r="A14701" s="4">
        <v>197.0</v>
      </c>
      <c r="B14701" s="4" t="s">
        <v>22132</v>
      </c>
      <c r="C14701" s="4"/>
      <c r="D14701" s="4" t="s">
        <v>20874</v>
      </c>
      <c r="E14701" s="4" t="s">
        <v>20875</v>
      </c>
      <c r="F14701" s="4" t="s">
        <v>20876</v>
      </c>
    </row>
    <row r="14702">
      <c r="A14702" s="4">
        <v>198.0</v>
      </c>
      <c r="B14702" s="4" t="s">
        <v>22132</v>
      </c>
      <c r="C14702" s="4"/>
      <c r="D14702" s="4" t="s">
        <v>20877</v>
      </c>
      <c r="E14702" s="4" t="s">
        <v>20878</v>
      </c>
      <c r="F14702" s="4" t="s">
        <v>20879</v>
      </c>
    </row>
    <row r="14703">
      <c r="A14703" s="4">
        <v>199.0</v>
      </c>
      <c r="B14703" s="4" t="s">
        <v>22132</v>
      </c>
      <c r="C14703" s="4"/>
      <c r="D14703" s="4" t="s">
        <v>20880</v>
      </c>
      <c r="E14703" s="4" t="s">
        <v>20881</v>
      </c>
      <c r="F14703" s="4" t="s">
        <v>20882</v>
      </c>
    </row>
    <row r="14704">
      <c r="A14704" s="4">
        <v>200.0</v>
      </c>
      <c r="B14704" s="4" t="s">
        <v>22132</v>
      </c>
      <c r="C14704" s="4"/>
      <c r="D14704" s="4" t="s">
        <v>20886</v>
      </c>
      <c r="E14704" s="4" t="s">
        <v>17710</v>
      </c>
      <c r="F14704" s="4" t="s">
        <v>17711</v>
      </c>
    </row>
    <row r="14705">
      <c r="A14705" s="4">
        <v>201.0</v>
      </c>
      <c r="B14705" s="4" t="s">
        <v>22132</v>
      </c>
      <c r="C14705" s="4"/>
      <c r="D14705" s="4" t="s">
        <v>1554</v>
      </c>
      <c r="E14705" s="4" t="s">
        <v>1555</v>
      </c>
      <c r="F14705" s="4" t="s">
        <v>1556</v>
      </c>
      <c r="G14705" s="4"/>
      <c r="H14705" s="4" t="s">
        <v>1554</v>
      </c>
    </row>
    <row r="14706">
      <c r="A14706" s="4">
        <v>202.0</v>
      </c>
      <c r="B14706" s="4" t="s">
        <v>22132</v>
      </c>
      <c r="C14706" s="4"/>
      <c r="D14706" s="4" t="s">
        <v>12185</v>
      </c>
      <c r="E14706" s="4" t="s">
        <v>1600</v>
      </c>
      <c r="F14706" s="4" t="s">
        <v>1601</v>
      </c>
    </row>
    <row r="14707">
      <c r="A14707" s="4">
        <v>203.0</v>
      </c>
      <c r="B14707" s="4" t="s">
        <v>22132</v>
      </c>
      <c r="C14707" s="4"/>
      <c r="D14707" s="4" t="s">
        <v>1580</v>
      </c>
      <c r="E14707" s="4" t="s">
        <v>1581</v>
      </c>
      <c r="F14707" s="4" t="s">
        <v>1582</v>
      </c>
    </row>
    <row r="14708">
      <c r="A14708" s="4">
        <v>204.0</v>
      </c>
      <c r="B14708" s="4" t="s">
        <v>22132</v>
      </c>
      <c r="C14708" s="4"/>
      <c r="D14708" s="4" t="s">
        <v>20887</v>
      </c>
      <c r="E14708" s="4" t="s">
        <v>17817</v>
      </c>
      <c r="F14708" s="4" t="s">
        <v>10111</v>
      </c>
    </row>
    <row r="14709">
      <c r="A14709" s="4">
        <v>205.0</v>
      </c>
      <c r="B14709" s="4" t="s">
        <v>22132</v>
      </c>
      <c r="C14709" s="4"/>
      <c r="D14709" s="4" t="s">
        <v>20888</v>
      </c>
      <c r="E14709" s="4" t="s">
        <v>20889</v>
      </c>
      <c r="F14709" s="4" t="s">
        <v>20890</v>
      </c>
    </row>
    <row r="14710">
      <c r="A14710" s="4">
        <v>206.0</v>
      </c>
      <c r="B14710" s="4" t="s">
        <v>22132</v>
      </c>
      <c r="C14710" s="4"/>
      <c r="D14710" s="4" t="s">
        <v>20891</v>
      </c>
      <c r="E14710" s="4" t="s">
        <v>20892</v>
      </c>
      <c r="F14710" s="4" t="s">
        <v>20893</v>
      </c>
    </row>
    <row r="14711">
      <c r="A14711" s="4">
        <v>207.0</v>
      </c>
      <c r="B14711" s="4" t="s">
        <v>22132</v>
      </c>
      <c r="C14711" s="4"/>
      <c r="D14711" s="4" t="s">
        <v>20897</v>
      </c>
      <c r="E14711" s="4" t="s">
        <v>17847</v>
      </c>
      <c r="F14711" s="4" t="s">
        <v>17846</v>
      </c>
    </row>
    <row r="14712">
      <c r="A14712" s="4">
        <v>208.0</v>
      </c>
      <c r="B14712" s="4" t="s">
        <v>22132</v>
      </c>
      <c r="C14712" s="4"/>
      <c r="D14712" s="4" t="s">
        <v>20898</v>
      </c>
      <c r="E14712" s="4" t="s">
        <v>20899</v>
      </c>
      <c r="F14712" s="4" t="s">
        <v>20900</v>
      </c>
    </row>
    <row r="14713">
      <c r="A14713" s="4">
        <v>209.0</v>
      </c>
      <c r="B14713" s="4" t="s">
        <v>22132</v>
      </c>
      <c r="C14713" s="4"/>
      <c r="D14713" s="4" t="s">
        <v>20901</v>
      </c>
      <c r="E14713" s="4" t="s">
        <v>20902</v>
      </c>
      <c r="F14713" s="4" t="s">
        <v>20903</v>
      </c>
    </row>
    <row r="14714">
      <c r="A14714" s="4">
        <v>210.0</v>
      </c>
      <c r="B14714" s="4" t="s">
        <v>22132</v>
      </c>
      <c r="C14714" s="4"/>
      <c r="D14714" s="4" t="s">
        <v>16660</v>
      </c>
      <c r="E14714" s="4" t="s">
        <v>15066</v>
      </c>
      <c r="F14714" s="4" t="s">
        <v>10135</v>
      </c>
      <c r="G14714" s="4"/>
      <c r="H14714" s="4" t="s">
        <v>20904</v>
      </c>
      <c r="I14714" s="4" t="s">
        <v>20905</v>
      </c>
      <c r="J14714" s="4" t="s">
        <v>20906</v>
      </c>
      <c r="K14714" s="4" t="s">
        <v>17157</v>
      </c>
      <c r="L14714" s="4" t="s">
        <v>9239</v>
      </c>
      <c r="M14714" s="4" t="s">
        <v>20907</v>
      </c>
      <c r="N14714" s="4" t="s">
        <v>20908</v>
      </c>
      <c r="O14714" s="4" t="s">
        <v>20904</v>
      </c>
      <c r="P14714" s="4" t="s">
        <v>20909</v>
      </c>
      <c r="Q14714" s="4" t="s">
        <v>20910</v>
      </c>
      <c r="R14714" s="4" t="s">
        <v>20911</v>
      </c>
      <c r="S14714" s="4" t="s">
        <v>2125</v>
      </c>
    </row>
    <row r="14715">
      <c r="A14715" s="4">
        <v>211.0</v>
      </c>
      <c r="B14715" s="4" t="s">
        <v>22132</v>
      </c>
      <c r="C14715" s="4"/>
      <c r="D14715" s="4" t="s">
        <v>1646</v>
      </c>
      <c r="E14715" s="4" t="s">
        <v>1647</v>
      </c>
      <c r="F14715" s="4" t="s">
        <v>1648</v>
      </c>
      <c r="G14715" s="4"/>
      <c r="H14715" s="4" t="s">
        <v>1656</v>
      </c>
      <c r="I14715" s="4" t="s">
        <v>1657</v>
      </c>
      <c r="J14715" s="4" t="s">
        <v>1658</v>
      </c>
      <c r="K14715" s="4" t="s">
        <v>1659</v>
      </c>
      <c r="L14715" s="4" t="s">
        <v>20912</v>
      </c>
      <c r="M14715" s="4" t="s">
        <v>1661</v>
      </c>
    </row>
    <row r="14716">
      <c r="A14716" s="4">
        <v>212.0</v>
      </c>
      <c r="B14716" s="4" t="s">
        <v>22132</v>
      </c>
      <c r="C14716" s="4"/>
      <c r="D14716" s="4" t="s">
        <v>1662</v>
      </c>
      <c r="E14716" s="4" t="s">
        <v>1665</v>
      </c>
      <c r="F14716" s="4" t="s">
        <v>1666</v>
      </c>
      <c r="G14716" s="4"/>
      <c r="H14716" s="4" t="s">
        <v>1663</v>
      </c>
      <c r="I14716" s="4" t="s">
        <v>1658</v>
      </c>
      <c r="J14716" s="4" t="s">
        <v>1664</v>
      </c>
      <c r="K14716" s="4" t="s">
        <v>20913</v>
      </c>
      <c r="L14716" s="4" t="s">
        <v>1664</v>
      </c>
      <c r="M14716" s="4" t="s">
        <v>1658</v>
      </c>
    </row>
    <row r="14717">
      <c r="A14717" s="4">
        <v>213.0</v>
      </c>
      <c r="B14717" s="4" t="s">
        <v>22132</v>
      </c>
      <c r="C14717" s="4"/>
      <c r="D14717" s="4" t="s">
        <v>1690</v>
      </c>
      <c r="E14717" s="4" t="s">
        <v>1674</v>
      </c>
      <c r="F14717" s="4" t="s">
        <v>1675</v>
      </c>
    </row>
    <row r="14718">
      <c r="A14718" s="4">
        <v>214.0</v>
      </c>
      <c r="B14718" s="4" t="s">
        <v>22132</v>
      </c>
      <c r="C14718" s="4"/>
      <c r="D14718" s="4" t="s">
        <v>20931</v>
      </c>
      <c r="E14718" s="4" t="s">
        <v>5223</v>
      </c>
      <c r="F14718" s="4" t="s">
        <v>5224</v>
      </c>
      <c r="G14718" s="4"/>
      <c r="H14718" s="4" t="s">
        <v>20932</v>
      </c>
      <c r="I14718" s="4" t="s">
        <v>20933</v>
      </c>
      <c r="J14718" s="4" t="s">
        <v>20934</v>
      </c>
    </row>
    <row r="14719">
      <c r="A14719" s="4">
        <v>215.0</v>
      </c>
      <c r="B14719" s="4" t="s">
        <v>22132</v>
      </c>
      <c r="C14719" s="4"/>
      <c r="D14719" s="4" t="s">
        <v>20935</v>
      </c>
      <c r="E14719" s="4" t="s">
        <v>20936</v>
      </c>
      <c r="F14719" s="4" t="s">
        <v>20937</v>
      </c>
    </row>
    <row r="14720">
      <c r="A14720" s="4">
        <v>216.0</v>
      </c>
      <c r="B14720" s="4" t="s">
        <v>22132</v>
      </c>
      <c r="C14720" s="4"/>
      <c r="D14720" s="4" t="s">
        <v>20938</v>
      </c>
      <c r="E14720" s="4" t="s">
        <v>20939</v>
      </c>
      <c r="F14720" s="4" t="s">
        <v>20940</v>
      </c>
      <c r="G14720" s="4"/>
      <c r="H14720" s="4" t="s">
        <v>20941</v>
      </c>
      <c r="I14720" s="4" t="s">
        <v>20942</v>
      </c>
      <c r="J14720" s="4" t="s">
        <v>13584</v>
      </c>
      <c r="K14720" s="4" t="s">
        <v>20943</v>
      </c>
      <c r="L14720" s="4" t="s">
        <v>20944</v>
      </c>
      <c r="M14720" s="4" t="s">
        <v>20945</v>
      </c>
      <c r="N14720" s="4" t="s">
        <v>20941</v>
      </c>
      <c r="O14720" s="4" t="s">
        <v>13584</v>
      </c>
      <c r="P14720" s="4" t="s">
        <v>2130</v>
      </c>
      <c r="Q14720" s="4" t="s">
        <v>13584</v>
      </c>
      <c r="R14720" s="4" t="s">
        <v>20946</v>
      </c>
      <c r="S14720" s="4" t="s">
        <v>20947</v>
      </c>
      <c r="T14720" s="4" t="s">
        <v>20948</v>
      </c>
    </row>
    <row r="14721">
      <c r="A14721" s="4">
        <v>217.0</v>
      </c>
      <c r="B14721" s="4" t="s">
        <v>22132</v>
      </c>
      <c r="C14721" s="4"/>
      <c r="D14721" s="4" t="s">
        <v>20952</v>
      </c>
      <c r="E14721" s="4" t="s">
        <v>1558</v>
      </c>
      <c r="F14721" s="4" t="s">
        <v>1559</v>
      </c>
      <c r="G14721" s="4"/>
      <c r="H14721" s="4" t="s">
        <v>20953</v>
      </c>
      <c r="I14721" s="4" t="s">
        <v>5920</v>
      </c>
      <c r="J14721" s="4" t="s">
        <v>5920</v>
      </c>
      <c r="K14721" s="4" t="s">
        <v>20954</v>
      </c>
      <c r="L14721" s="4" t="s">
        <v>20955</v>
      </c>
    </row>
    <row r="14722">
      <c r="A14722" s="4">
        <v>218.0</v>
      </c>
      <c r="B14722" s="4" t="s">
        <v>22132</v>
      </c>
      <c r="C14722" s="4"/>
      <c r="D14722" s="4" t="s">
        <v>17085</v>
      </c>
      <c r="E14722" s="4" t="s">
        <v>17539</v>
      </c>
      <c r="F14722" s="4" t="s">
        <v>3801</v>
      </c>
    </row>
    <row r="14723">
      <c r="A14723" s="4">
        <v>219.0</v>
      </c>
      <c r="B14723" s="4" t="s">
        <v>22132</v>
      </c>
      <c r="C14723" s="4"/>
      <c r="D14723" s="4" t="s">
        <v>20956</v>
      </c>
      <c r="E14723" s="4" t="s">
        <v>20957</v>
      </c>
      <c r="F14723" s="4" t="s">
        <v>10035</v>
      </c>
    </row>
    <row r="14724">
      <c r="A14724" s="4">
        <v>220.0</v>
      </c>
      <c r="B14724" s="4" t="s">
        <v>22132</v>
      </c>
      <c r="C14724" s="4"/>
      <c r="D14724" s="4" t="s">
        <v>20958</v>
      </c>
      <c r="E14724" s="4" t="s">
        <v>20959</v>
      </c>
      <c r="F14724" s="4" t="s">
        <v>20960</v>
      </c>
    </row>
    <row r="14725">
      <c r="A14725" s="4">
        <v>221.0</v>
      </c>
      <c r="B14725" s="4" t="s">
        <v>22132</v>
      </c>
      <c r="C14725" s="4"/>
      <c r="D14725" s="4" t="s">
        <v>20961</v>
      </c>
      <c r="E14725" s="4" t="s">
        <v>20962</v>
      </c>
      <c r="F14725" s="4" t="s">
        <v>20963</v>
      </c>
      <c r="G14725" s="4"/>
      <c r="H14725" s="4" t="s">
        <v>9055</v>
      </c>
      <c r="I14725" s="4" t="s">
        <v>3424</v>
      </c>
      <c r="J14725" s="4" t="s">
        <v>15181</v>
      </c>
      <c r="K14725" s="4" t="s">
        <v>15181</v>
      </c>
      <c r="L14725" s="4" t="s">
        <v>20964</v>
      </c>
      <c r="M14725" s="4" t="s">
        <v>14041</v>
      </c>
      <c r="N14725" s="4" t="s">
        <v>1088</v>
      </c>
      <c r="O14725" s="4" t="s">
        <v>20965</v>
      </c>
      <c r="P14725" s="4" t="s">
        <v>6564</v>
      </c>
      <c r="Q14725" s="4" t="s">
        <v>20966</v>
      </c>
      <c r="R14725" s="4" t="s">
        <v>20967</v>
      </c>
      <c r="S14725" s="4" t="s">
        <v>20968</v>
      </c>
      <c r="T14725" s="4" t="s">
        <v>7212</v>
      </c>
      <c r="U14725" s="4" t="s">
        <v>20969</v>
      </c>
      <c r="V14725" s="4" t="s">
        <v>20970</v>
      </c>
      <c r="W14725" s="4" t="s">
        <v>20971</v>
      </c>
      <c r="X14725" s="4" t="s">
        <v>7115</v>
      </c>
      <c r="Y14725" s="4" t="s">
        <v>14501</v>
      </c>
      <c r="Z14725" s="4" t="s">
        <v>20972</v>
      </c>
      <c r="AA14725" s="4" t="s">
        <v>7115</v>
      </c>
      <c r="AB14725" s="4" t="s">
        <v>7890</v>
      </c>
      <c r="AC14725" s="4" t="s">
        <v>20973</v>
      </c>
      <c r="AD14725" s="4" t="s">
        <v>20970</v>
      </c>
      <c r="AE14725" s="4" t="s">
        <v>15181</v>
      </c>
      <c r="AF14725" s="4" t="s">
        <v>3424</v>
      </c>
      <c r="AG14725" s="4" t="s">
        <v>15181</v>
      </c>
      <c r="AH14725" s="4" t="s">
        <v>15181</v>
      </c>
      <c r="AI14725" s="4" t="s">
        <v>20974</v>
      </c>
      <c r="AJ14725" s="4" t="s">
        <v>20975</v>
      </c>
    </row>
    <row r="14726">
      <c r="A14726" s="4">
        <v>222.0</v>
      </c>
      <c r="B14726" s="4" t="s">
        <v>22132</v>
      </c>
      <c r="C14726" s="4"/>
      <c r="D14726" s="4" t="s">
        <v>20976</v>
      </c>
      <c r="E14726" s="4" t="s">
        <v>20977</v>
      </c>
      <c r="F14726" s="4" t="s">
        <v>20978</v>
      </c>
    </row>
    <row r="14727">
      <c r="A14727" s="4">
        <v>223.0</v>
      </c>
      <c r="B14727" s="4" t="s">
        <v>22132</v>
      </c>
      <c r="C14727" s="4"/>
      <c r="D14727" s="4" t="s">
        <v>20979</v>
      </c>
      <c r="E14727" s="4" t="s">
        <v>20980</v>
      </c>
      <c r="F14727" s="4" t="s">
        <v>6469</v>
      </c>
    </row>
    <row r="14728">
      <c r="A14728" s="4">
        <v>224.0</v>
      </c>
      <c r="B14728" s="4" t="s">
        <v>22132</v>
      </c>
      <c r="C14728" s="4"/>
      <c r="D14728" s="4" t="s">
        <v>1777</v>
      </c>
      <c r="E14728" s="4" t="s">
        <v>509</v>
      </c>
      <c r="F14728" s="4" t="s">
        <v>508</v>
      </c>
    </row>
    <row r="14729">
      <c r="A14729" s="4">
        <v>225.0</v>
      </c>
      <c r="B14729" s="4" t="s">
        <v>22132</v>
      </c>
      <c r="C14729" s="4"/>
      <c r="D14729" s="4" t="s">
        <v>14147</v>
      </c>
      <c r="E14729" s="4" t="s">
        <v>14148</v>
      </c>
      <c r="F14729" s="4" t="s">
        <v>14149</v>
      </c>
    </row>
    <row r="14730">
      <c r="A14730" s="4">
        <v>226.0</v>
      </c>
      <c r="B14730" s="4" t="s">
        <v>22132</v>
      </c>
      <c r="C14730" s="4"/>
      <c r="D14730" s="4" t="s">
        <v>20987</v>
      </c>
      <c r="E14730" s="4" t="s">
        <v>20988</v>
      </c>
      <c r="F14730" s="4" t="s">
        <v>20989</v>
      </c>
    </row>
    <row r="14731">
      <c r="A14731" s="4">
        <v>227.0</v>
      </c>
      <c r="B14731" s="4" t="s">
        <v>22132</v>
      </c>
      <c r="C14731" s="4"/>
      <c r="D14731" s="4" t="s">
        <v>20990</v>
      </c>
      <c r="E14731" s="4" t="s">
        <v>20991</v>
      </c>
      <c r="F14731" s="4" t="s">
        <v>20992</v>
      </c>
    </row>
    <row r="14732">
      <c r="A14732" s="4">
        <v>228.0</v>
      </c>
      <c r="B14732" s="4" t="s">
        <v>22132</v>
      </c>
      <c r="C14732" s="4"/>
      <c r="D14732" s="4" t="s">
        <v>20993</v>
      </c>
      <c r="E14732" s="4" t="s">
        <v>20994</v>
      </c>
      <c r="F14732" s="4" t="s">
        <v>20995</v>
      </c>
    </row>
    <row r="14733">
      <c r="A14733" s="4">
        <v>229.0</v>
      </c>
      <c r="B14733" s="4" t="s">
        <v>22132</v>
      </c>
      <c r="C14733" s="4"/>
      <c r="D14733" s="4" t="s">
        <v>20993</v>
      </c>
      <c r="E14733" s="4" t="s">
        <v>20996</v>
      </c>
      <c r="F14733" s="4" t="s">
        <v>20997</v>
      </c>
    </row>
    <row r="14734">
      <c r="A14734" s="4">
        <v>230.0</v>
      </c>
      <c r="B14734" s="4" t="s">
        <v>22132</v>
      </c>
      <c r="C14734" s="4"/>
      <c r="D14734" s="4" t="s">
        <v>21001</v>
      </c>
      <c r="E14734" s="4" t="s">
        <v>21002</v>
      </c>
      <c r="F14734" s="4" t="s">
        <v>21003</v>
      </c>
      <c r="G14734" s="4"/>
      <c r="H14734" s="4" t="s">
        <v>21004</v>
      </c>
    </row>
    <row r="14735">
      <c r="A14735" s="4">
        <v>231.0</v>
      </c>
      <c r="B14735" s="4" t="s">
        <v>22132</v>
      </c>
      <c r="C14735" s="4"/>
      <c r="D14735" s="4" t="s">
        <v>21005</v>
      </c>
      <c r="E14735" s="4" t="s">
        <v>21006</v>
      </c>
      <c r="F14735" s="4" t="s">
        <v>21007</v>
      </c>
    </row>
    <row r="14736">
      <c r="A14736" s="4">
        <v>232.0</v>
      </c>
      <c r="B14736" s="4" t="s">
        <v>22132</v>
      </c>
      <c r="C14736" s="4"/>
      <c r="D14736" s="4" t="s">
        <v>21008</v>
      </c>
      <c r="E14736" s="4" t="s">
        <v>818</v>
      </c>
      <c r="F14736" s="4" t="s">
        <v>817</v>
      </c>
    </row>
    <row r="14737">
      <c r="A14737" s="4">
        <v>233.0</v>
      </c>
      <c r="B14737" s="4" t="s">
        <v>22132</v>
      </c>
      <c r="C14737" s="4"/>
      <c r="D14737" s="4" t="s">
        <v>21010</v>
      </c>
      <c r="E14737" s="4" t="s">
        <v>20613</v>
      </c>
      <c r="F14737" s="4" t="s">
        <v>20614</v>
      </c>
    </row>
    <row r="14738">
      <c r="A14738" s="4">
        <v>234.0</v>
      </c>
      <c r="B14738" s="4" t="s">
        <v>22132</v>
      </c>
      <c r="C14738" s="4"/>
      <c r="D14738" s="4" t="s">
        <v>1787</v>
      </c>
      <c r="E14738" s="4" t="s">
        <v>294</v>
      </c>
      <c r="F14738" s="4" t="s">
        <v>295</v>
      </c>
    </row>
    <row r="14739">
      <c r="A14739" s="4">
        <v>235.0</v>
      </c>
      <c r="B14739" s="4" t="s">
        <v>22132</v>
      </c>
      <c r="C14739" s="4"/>
      <c r="D14739" s="4" t="s">
        <v>21011</v>
      </c>
      <c r="E14739" s="4" t="s">
        <v>5089</v>
      </c>
      <c r="F14739" s="4" t="s">
        <v>5090</v>
      </c>
      <c r="G14739" s="4"/>
      <c r="H14739" s="4" t="s">
        <v>4701</v>
      </c>
      <c r="I14739" s="4" t="s">
        <v>4702</v>
      </c>
      <c r="J14739" s="4" t="s">
        <v>14809</v>
      </c>
      <c r="K14739" s="4" t="s">
        <v>6861</v>
      </c>
    </row>
    <row r="14740">
      <c r="A14740" s="4">
        <v>236.0</v>
      </c>
      <c r="B14740" s="4" t="s">
        <v>22132</v>
      </c>
      <c r="C14740" s="4"/>
      <c r="D14740" s="4" t="s">
        <v>21015</v>
      </c>
      <c r="E14740" s="4" t="s">
        <v>21016</v>
      </c>
      <c r="F14740" s="4" t="s">
        <v>21017</v>
      </c>
      <c r="G14740" s="4"/>
      <c r="H14740" s="4" t="s">
        <v>8976</v>
      </c>
      <c r="I14740" s="4" t="s">
        <v>20970</v>
      </c>
      <c r="J14740" s="4" t="s">
        <v>7901</v>
      </c>
      <c r="K14740" s="4" t="s">
        <v>7897</v>
      </c>
    </row>
    <row r="14741">
      <c r="A14741" s="4">
        <v>237.0</v>
      </c>
      <c r="B14741" s="4" t="s">
        <v>22132</v>
      </c>
      <c r="C14741" s="4"/>
      <c r="D14741" s="4" t="s">
        <v>6251</v>
      </c>
      <c r="E14741" s="4" t="s">
        <v>21021</v>
      </c>
      <c r="F14741" s="4" t="s">
        <v>15902</v>
      </c>
    </row>
    <row r="14742">
      <c r="A14742" s="4">
        <v>238.0</v>
      </c>
      <c r="B14742" s="4" t="s">
        <v>22132</v>
      </c>
      <c r="C14742" s="4"/>
      <c r="D14742" s="4" t="s">
        <v>20015</v>
      </c>
      <c r="E14742" s="4" t="s">
        <v>1843</v>
      </c>
      <c r="F14742" s="4" t="s">
        <v>1844</v>
      </c>
    </row>
    <row r="14743">
      <c r="A14743" s="4">
        <v>239.0</v>
      </c>
      <c r="B14743" s="4" t="s">
        <v>22132</v>
      </c>
      <c r="C14743" s="4"/>
      <c r="D14743" s="4" t="s">
        <v>1815</v>
      </c>
      <c r="E14743" s="4" t="s">
        <v>1816</v>
      </c>
      <c r="F14743" s="4" t="s">
        <v>1817</v>
      </c>
    </row>
    <row r="14744">
      <c r="A14744" s="4">
        <v>240.0</v>
      </c>
      <c r="B14744" s="4" t="s">
        <v>22132</v>
      </c>
      <c r="C14744" s="4"/>
      <c r="D14744" s="4" t="s">
        <v>21022</v>
      </c>
      <c r="E14744" s="4" t="s">
        <v>21023</v>
      </c>
      <c r="F14744" s="4" t="s">
        <v>21024</v>
      </c>
    </row>
    <row r="14745">
      <c r="A14745" s="4">
        <v>241.0</v>
      </c>
      <c r="B14745" s="4" t="s">
        <v>22132</v>
      </c>
      <c r="C14745" s="4"/>
      <c r="D14745" s="4" t="s">
        <v>21025</v>
      </c>
      <c r="E14745" s="4" t="s">
        <v>21026</v>
      </c>
      <c r="F14745" s="4" t="s">
        <v>21027</v>
      </c>
    </row>
    <row r="14746">
      <c r="A14746" s="4">
        <v>242.0</v>
      </c>
      <c r="B14746" s="4" t="s">
        <v>22132</v>
      </c>
      <c r="C14746" s="4"/>
      <c r="D14746" s="4" t="s">
        <v>1862</v>
      </c>
      <c r="E14746" s="4" t="s">
        <v>1863</v>
      </c>
      <c r="F14746" s="4" t="s">
        <v>1864</v>
      </c>
    </row>
    <row r="14747">
      <c r="A14747" s="4">
        <v>243.0</v>
      </c>
      <c r="B14747" s="4" t="s">
        <v>22132</v>
      </c>
      <c r="C14747" s="4"/>
      <c r="D14747" s="4" t="s">
        <v>21031</v>
      </c>
      <c r="E14747" s="4" t="s">
        <v>21032</v>
      </c>
      <c r="F14747" s="4" t="s">
        <v>21033</v>
      </c>
    </row>
    <row r="14748">
      <c r="A14748" s="4">
        <v>244.0</v>
      </c>
      <c r="B14748" s="4" t="s">
        <v>22132</v>
      </c>
      <c r="C14748" s="4"/>
      <c r="D14748" s="4" t="s">
        <v>21037</v>
      </c>
      <c r="E14748" s="4" t="s">
        <v>21038</v>
      </c>
      <c r="F14748" s="4" t="s">
        <v>21039</v>
      </c>
    </row>
    <row r="14749">
      <c r="A14749" s="4">
        <v>245.0</v>
      </c>
      <c r="B14749" s="4" t="s">
        <v>22132</v>
      </c>
      <c r="C14749" s="4"/>
      <c r="D14749" s="4" t="s">
        <v>21040</v>
      </c>
      <c r="E14749" s="4" t="s">
        <v>21041</v>
      </c>
      <c r="F14749" s="4" t="s">
        <v>21042</v>
      </c>
    </row>
    <row r="14750">
      <c r="A14750" s="4">
        <v>246.0</v>
      </c>
      <c r="B14750" s="4" t="s">
        <v>22132</v>
      </c>
      <c r="C14750" s="4"/>
      <c r="D14750" s="4" t="s">
        <v>21043</v>
      </c>
      <c r="E14750" s="4" t="s">
        <v>21044</v>
      </c>
      <c r="F14750" s="4" t="s">
        <v>21045</v>
      </c>
    </row>
    <row r="14751">
      <c r="A14751" s="4">
        <v>247.0</v>
      </c>
      <c r="B14751" s="4" t="s">
        <v>22132</v>
      </c>
      <c r="C14751" s="4"/>
      <c r="D14751" s="4" t="s">
        <v>21046</v>
      </c>
      <c r="E14751" s="4" t="s">
        <v>21047</v>
      </c>
      <c r="F14751" s="4" t="s">
        <v>19726</v>
      </c>
      <c r="G14751" s="4"/>
      <c r="H14751" s="4" t="s">
        <v>21048</v>
      </c>
    </row>
    <row r="14752">
      <c r="A14752" s="4">
        <v>248.0</v>
      </c>
      <c r="B14752" s="4" t="s">
        <v>22132</v>
      </c>
      <c r="C14752" s="4"/>
      <c r="D14752" s="4" t="s">
        <v>21049</v>
      </c>
      <c r="E14752" s="4" t="s">
        <v>21050</v>
      </c>
      <c r="F14752" s="4" t="s">
        <v>14405</v>
      </c>
    </row>
    <row r="14753">
      <c r="A14753" s="4">
        <v>249.0</v>
      </c>
      <c r="B14753" s="4" t="s">
        <v>22132</v>
      </c>
      <c r="C14753" s="4"/>
      <c r="D14753" s="4" t="s">
        <v>19622</v>
      </c>
      <c r="E14753" s="4" t="s">
        <v>19623</v>
      </c>
      <c r="F14753" s="4" t="s">
        <v>19622</v>
      </c>
      <c r="G14753" s="4"/>
      <c r="H14753" s="4" t="s">
        <v>997</v>
      </c>
      <c r="I14753" s="4" t="s">
        <v>19624</v>
      </c>
      <c r="J14753" s="4" t="s">
        <v>19625</v>
      </c>
      <c r="K14753" s="4" t="s">
        <v>995</v>
      </c>
      <c r="L14753" s="4" t="s">
        <v>19626</v>
      </c>
      <c r="M14753" s="4" t="s">
        <v>21053</v>
      </c>
      <c r="N14753" s="4" t="s">
        <v>21054</v>
      </c>
      <c r="O14753" s="4" t="s">
        <v>4502</v>
      </c>
      <c r="P14753" s="4" t="s">
        <v>997</v>
      </c>
    </row>
    <row r="14754">
      <c r="A14754" s="4">
        <v>250.0</v>
      </c>
      <c r="B14754" s="4" t="s">
        <v>22132</v>
      </c>
      <c r="C14754" s="4"/>
      <c r="D14754" s="4" t="s">
        <v>21055</v>
      </c>
      <c r="E14754" s="4" t="s">
        <v>21056</v>
      </c>
      <c r="F14754" s="4" t="s">
        <v>21057</v>
      </c>
    </row>
    <row r="14755">
      <c r="A14755" s="4">
        <v>251.0</v>
      </c>
      <c r="B14755" s="4" t="s">
        <v>22132</v>
      </c>
      <c r="C14755" s="4"/>
      <c r="D14755" s="4" t="s">
        <v>21058</v>
      </c>
      <c r="E14755" s="4" t="s">
        <v>21059</v>
      </c>
      <c r="F14755" s="4" t="s">
        <v>21060</v>
      </c>
      <c r="G14755" s="4"/>
      <c r="H14755" s="4" t="s">
        <v>21061</v>
      </c>
      <c r="I14755" s="4" t="s">
        <v>21062</v>
      </c>
      <c r="J14755" s="4" t="s">
        <v>21063</v>
      </c>
      <c r="K14755" s="4" t="s">
        <v>21064</v>
      </c>
      <c r="L14755" s="4" t="s">
        <v>6694</v>
      </c>
      <c r="M14755" s="4" t="s">
        <v>15341</v>
      </c>
      <c r="N14755" s="4" t="s">
        <v>21064</v>
      </c>
      <c r="O14755" s="4" t="s">
        <v>21065</v>
      </c>
      <c r="P14755" s="4" t="s">
        <v>21066</v>
      </c>
      <c r="Q14755" s="4" t="s">
        <v>21067</v>
      </c>
      <c r="R14755" s="4" t="s">
        <v>21061</v>
      </c>
    </row>
    <row r="14756">
      <c r="A14756" s="4">
        <v>252.0</v>
      </c>
      <c r="B14756" s="4" t="s">
        <v>22132</v>
      </c>
      <c r="C14756" s="4"/>
      <c r="D14756" s="4" t="s">
        <v>21068</v>
      </c>
      <c r="E14756" s="4" t="s">
        <v>21069</v>
      </c>
      <c r="F14756" s="4" t="s">
        <v>21070</v>
      </c>
    </row>
    <row r="14757">
      <c r="A14757" s="4">
        <v>253.0</v>
      </c>
      <c r="B14757" s="4" t="s">
        <v>22132</v>
      </c>
      <c r="C14757" s="4"/>
      <c r="D14757" s="4" t="s">
        <v>21071</v>
      </c>
      <c r="E14757" s="4" t="s">
        <v>21072</v>
      </c>
      <c r="F14757" s="4" t="s">
        <v>21073</v>
      </c>
    </row>
    <row r="14758">
      <c r="A14758" s="4">
        <v>254.0</v>
      </c>
      <c r="B14758" s="4" t="s">
        <v>22132</v>
      </c>
      <c r="C14758" s="4"/>
      <c r="D14758" s="4" t="s">
        <v>21074</v>
      </c>
      <c r="E14758" s="4" t="s">
        <v>21069</v>
      </c>
      <c r="F14758" s="4" t="s">
        <v>21070</v>
      </c>
    </row>
    <row r="14759">
      <c r="A14759" s="4">
        <v>255.0</v>
      </c>
      <c r="B14759" s="4" t="s">
        <v>22132</v>
      </c>
      <c r="C14759" s="4"/>
      <c r="D14759" s="4" t="s">
        <v>21075</v>
      </c>
      <c r="E14759" s="4" t="s">
        <v>21072</v>
      </c>
      <c r="F14759" s="4" t="s">
        <v>21073</v>
      </c>
    </row>
    <row r="14760">
      <c r="A14760" s="4">
        <v>256.0</v>
      </c>
      <c r="B14760" s="4" t="s">
        <v>22132</v>
      </c>
      <c r="C14760" s="4"/>
      <c r="D14760" s="4" t="s">
        <v>21076</v>
      </c>
      <c r="E14760" s="4" t="s">
        <v>21077</v>
      </c>
      <c r="F14760" s="4" t="s">
        <v>21078</v>
      </c>
    </row>
    <row r="14761">
      <c r="A14761" s="4">
        <v>257.0</v>
      </c>
      <c r="B14761" s="4" t="s">
        <v>22132</v>
      </c>
      <c r="C14761" s="4"/>
      <c r="D14761" s="4" t="s">
        <v>21079</v>
      </c>
      <c r="E14761" s="4" t="s">
        <v>21080</v>
      </c>
      <c r="F14761" s="4" t="s">
        <v>21079</v>
      </c>
    </row>
    <row r="14762">
      <c r="A14762" s="4">
        <v>258.0</v>
      </c>
      <c r="B14762" s="4" t="s">
        <v>22132</v>
      </c>
      <c r="C14762" s="4"/>
      <c r="D14762" s="4" t="s">
        <v>1913</v>
      </c>
      <c r="E14762" s="4" t="s">
        <v>1914</v>
      </c>
      <c r="F14762" s="4" t="s">
        <v>1915</v>
      </c>
      <c r="G14762" s="4"/>
      <c r="H14762" s="4" t="s">
        <v>21085</v>
      </c>
      <c r="I14762" s="4" t="s">
        <v>6270</v>
      </c>
    </row>
    <row r="14763">
      <c r="A14763" s="4">
        <v>259.0</v>
      </c>
      <c r="B14763" s="4" t="s">
        <v>22132</v>
      </c>
      <c r="C14763" s="4"/>
      <c r="D14763" s="4" t="s">
        <v>1916</v>
      </c>
      <c r="E14763" s="4" t="s">
        <v>1917</v>
      </c>
      <c r="F14763" s="4" t="s">
        <v>1918</v>
      </c>
    </row>
    <row r="14764">
      <c r="A14764" s="4">
        <v>260.0</v>
      </c>
      <c r="B14764" s="4" t="s">
        <v>22132</v>
      </c>
      <c r="C14764" s="4"/>
      <c r="D14764" s="4" t="s">
        <v>21086</v>
      </c>
      <c r="E14764" s="4" t="s">
        <v>21087</v>
      </c>
      <c r="F14764" s="4" t="s">
        <v>21088</v>
      </c>
    </row>
    <row r="14765">
      <c r="A14765" s="4">
        <v>261.0</v>
      </c>
      <c r="B14765" s="4" t="s">
        <v>22132</v>
      </c>
      <c r="C14765" s="4"/>
      <c r="D14765" s="4" t="s">
        <v>1919</v>
      </c>
      <c r="E14765" s="4" t="s">
        <v>1922</v>
      </c>
      <c r="F14765" s="4" t="s">
        <v>1923</v>
      </c>
    </row>
    <row r="14766">
      <c r="A14766" s="4">
        <v>262.0</v>
      </c>
      <c r="B14766" s="4" t="s">
        <v>22132</v>
      </c>
      <c r="C14766" s="4"/>
      <c r="D14766" s="4" t="s">
        <v>1940</v>
      </c>
      <c r="E14766" s="4" t="s">
        <v>1941</v>
      </c>
      <c r="F14766" s="4" t="s">
        <v>1940</v>
      </c>
      <c r="G14766" s="4"/>
      <c r="H14766" s="4" t="s">
        <v>1942</v>
      </c>
    </row>
    <row r="14767">
      <c r="A14767" s="4">
        <v>263.0</v>
      </c>
      <c r="B14767" s="4" t="s">
        <v>22132</v>
      </c>
      <c r="C14767" s="4"/>
      <c r="D14767" s="4" t="s">
        <v>21092</v>
      </c>
      <c r="E14767" s="4" t="s">
        <v>21093</v>
      </c>
      <c r="F14767" s="4" t="s">
        <v>21092</v>
      </c>
      <c r="G14767" s="4"/>
      <c r="H14767" s="4" t="s">
        <v>636</v>
      </c>
      <c r="I14767" s="4" t="s">
        <v>637</v>
      </c>
      <c r="J14767" s="4" t="s">
        <v>638</v>
      </c>
      <c r="K14767" s="4" t="s">
        <v>637</v>
      </c>
      <c r="L14767" s="4" t="s">
        <v>639</v>
      </c>
      <c r="M14767" s="4" t="s">
        <v>640</v>
      </c>
      <c r="N14767" s="4" t="s">
        <v>642</v>
      </c>
      <c r="O14767" s="4" t="s">
        <v>643</v>
      </c>
      <c r="P14767" s="4" t="s">
        <v>644</v>
      </c>
      <c r="Q14767" s="4" t="s">
        <v>645</v>
      </c>
      <c r="R14767" s="4" t="s">
        <v>637</v>
      </c>
      <c r="S14767" s="4" t="s">
        <v>636</v>
      </c>
      <c r="T14767" s="4" t="s">
        <v>639</v>
      </c>
      <c r="U14767" s="4" t="s">
        <v>6684</v>
      </c>
      <c r="V14767" s="4" t="s">
        <v>21094</v>
      </c>
      <c r="W14767" s="4" t="s">
        <v>20679</v>
      </c>
      <c r="X14767" s="4" t="s">
        <v>15196</v>
      </c>
      <c r="Y14767" s="4" t="s">
        <v>15474</v>
      </c>
      <c r="Z14767" s="4" t="s">
        <v>4146</v>
      </c>
      <c r="AA14767" s="4" t="s">
        <v>21095</v>
      </c>
      <c r="AB14767" s="4" t="s">
        <v>646</v>
      </c>
      <c r="AC14767" s="4" t="s">
        <v>637</v>
      </c>
      <c r="AD14767" s="4" t="s">
        <v>647</v>
      </c>
      <c r="AE14767" s="4" t="s">
        <v>648</v>
      </c>
      <c r="AF14767" s="4" t="s">
        <v>649</v>
      </c>
      <c r="AG14767" s="4" t="s">
        <v>637</v>
      </c>
      <c r="AH14767" s="4" t="s">
        <v>648</v>
      </c>
      <c r="AI14767" s="4" t="s">
        <v>650</v>
      </c>
      <c r="AJ14767" s="4" t="s">
        <v>637</v>
      </c>
      <c r="AK14767" s="4" t="s">
        <v>651</v>
      </c>
      <c r="AL14767" s="4" t="s">
        <v>21096</v>
      </c>
      <c r="AM14767" s="4" t="s">
        <v>11016</v>
      </c>
      <c r="AN14767" s="4" t="s">
        <v>16226</v>
      </c>
      <c r="AO14767" s="4" t="s">
        <v>646</v>
      </c>
      <c r="AP14767" s="4" t="s">
        <v>1266</v>
      </c>
    </row>
    <row r="14768">
      <c r="A14768" s="4">
        <v>264.0</v>
      </c>
      <c r="B14768" s="4" t="s">
        <v>22132</v>
      </c>
      <c r="C14768" s="4"/>
      <c r="D14768" s="4" t="s">
        <v>1983</v>
      </c>
      <c r="E14768" s="4" t="s">
        <v>1984</v>
      </c>
      <c r="F14768" s="4" t="s">
        <v>1983</v>
      </c>
      <c r="G14768" s="4"/>
      <c r="H14768" s="4" t="s">
        <v>1985</v>
      </c>
      <c r="I14768" s="4" t="s">
        <v>1986</v>
      </c>
      <c r="J14768" s="4" t="s">
        <v>1987</v>
      </c>
      <c r="K14768" s="4" t="s">
        <v>1983</v>
      </c>
      <c r="L14768" s="4" t="s">
        <v>1986</v>
      </c>
      <c r="M14768" s="4" t="s">
        <v>1988</v>
      </c>
      <c r="N14768" s="4" t="s">
        <v>1987</v>
      </c>
      <c r="O14768" s="4" t="s">
        <v>1986</v>
      </c>
      <c r="P14768" s="4" t="s">
        <v>1989</v>
      </c>
    </row>
    <row r="14769">
      <c r="A14769" s="4">
        <v>265.0</v>
      </c>
      <c r="B14769" s="4" t="s">
        <v>22132</v>
      </c>
      <c r="C14769" s="4"/>
      <c r="D14769" s="4" t="s">
        <v>1997</v>
      </c>
      <c r="E14769" s="4" t="s">
        <v>1996</v>
      </c>
      <c r="F14769" s="4" t="s">
        <v>1997</v>
      </c>
    </row>
    <row r="14770">
      <c r="A14770" s="4">
        <v>266.0</v>
      </c>
      <c r="B14770" s="4" t="s">
        <v>22132</v>
      </c>
      <c r="C14770" s="4"/>
      <c r="D14770" s="4" t="s">
        <v>21097</v>
      </c>
      <c r="E14770" s="4" t="s">
        <v>21098</v>
      </c>
      <c r="F14770" s="4" t="s">
        <v>21097</v>
      </c>
    </row>
    <row r="14771">
      <c r="A14771" s="4">
        <v>267.0</v>
      </c>
      <c r="B14771" s="4" t="s">
        <v>22132</v>
      </c>
      <c r="C14771" s="4"/>
      <c r="D14771" s="4" t="s">
        <v>21099</v>
      </c>
      <c r="E14771" s="4" t="s">
        <v>21100</v>
      </c>
      <c r="F14771" s="4" t="s">
        <v>21101</v>
      </c>
    </row>
    <row r="14772">
      <c r="A14772" s="4">
        <v>268.0</v>
      </c>
      <c r="B14772" s="4" t="s">
        <v>22132</v>
      </c>
      <c r="C14772" s="4"/>
      <c r="D14772" s="4" t="s">
        <v>21102</v>
      </c>
      <c r="E14772" s="4" t="s">
        <v>21098</v>
      </c>
      <c r="F14772" s="4" t="s">
        <v>21097</v>
      </c>
    </row>
    <row r="14773">
      <c r="A14773" s="4">
        <v>269.0</v>
      </c>
      <c r="B14773" s="4" t="s">
        <v>22132</v>
      </c>
      <c r="C14773" s="4"/>
      <c r="D14773" s="4" t="s">
        <v>21103</v>
      </c>
      <c r="E14773" s="4" t="s">
        <v>21098</v>
      </c>
      <c r="F14773" s="4" t="s">
        <v>21097</v>
      </c>
    </row>
    <row r="14774">
      <c r="A14774" s="4">
        <v>270.0</v>
      </c>
      <c r="B14774" s="4" t="s">
        <v>22132</v>
      </c>
      <c r="C14774" s="4"/>
      <c r="D14774" s="4" t="s">
        <v>21104</v>
      </c>
      <c r="E14774" s="4" t="s">
        <v>21105</v>
      </c>
      <c r="F14774" s="4" t="s">
        <v>21104</v>
      </c>
    </row>
    <row r="14775">
      <c r="A14775" s="4">
        <v>271.0</v>
      </c>
      <c r="B14775" s="4" t="s">
        <v>22132</v>
      </c>
      <c r="C14775" s="4"/>
      <c r="D14775" s="4" t="s">
        <v>2002</v>
      </c>
      <c r="E14775" s="4" t="s">
        <v>2003</v>
      </c>
      <c r="F14775" s="4" t="s">
        <v>2002</v>
      </c>
    </row>
    <row r="14776">
      <c r="A14776" s="4">
        <v>272.0</v>
      </c>
      <c r="B14776" s="4" t="s">
        <v>22132</v>
      </c>
      <c r="C14776" s="4"/>
      <c r="D14776" s="4" t="s">
        <v>19110</v>
      </c>
      <c r="E14776" s="4" t="s">
        <v>1984</v>
      </c>
      <c r="F14776" s="4" t="s">
        <v>1983</v>
      </c>
    </row>
    <row r="14777">
      <c r="A14777" s="4">
        <v>273.0</v>
      </c>
      <c r="B14777" s="4" t="s">
        <v>22132</v>
      </c>
      <c r="C14777" s="4"/>
      <c r="D14777" s="4" t="s">
        <v>1798</v>
      </c>
      <c r="E14777" s="4" t="s">
        <v>1797</v>
      </c>
      <c r="F14777" s="4" t="s">
        <v>1798</v>
      </c>
    </row>
    <row r="14778">
      <c r="A14778" s="4">
        <v>274.0</v>
      </c>
      <c r="B14778" s="4" t="s">
        <v>22132</v>
      </c>
      <c r="C14778" s="4"/>
      <c r="D14778" s="4" t="s">
        <v>21107</v>
      </c>
      <c r="E14778" s="4" t="s">
        <v>21108</v>
      </c>
      <c r="F14778" s="4" t="s">
        <v>21109</v>
      </c>
    </row>
    <row r="14779">
      <c r="A14779" s="4">
        <v>275.0</v>
      </c>
      <c r="B14779" s="4" t="s">
        <v>22132</v>
      </c>
      <c r="C14779" s="4"/>
      <c r="D14779" s="4" t="s">
        <v>5675</v>
      </c>
      <c r="E14779" s="4" t="s">
        <v>5674</v>
      </c>
      <c r="F14779" s="4" t="s">
        <v>5675</v>
      </c>
      <c r="G14779" s="4"/>
      <c r="H14779" s="4" t="s">
        <v>21110</v>
      </c>
    </row>
    <row r="14780">
      <c r="A14780" s="4">
        <v>276.0</v>
      </c>
      <c r="B14780" s="4" t="s">
        <v>22132</v>
      </c>
      <c r="C14780" s="4"/>
      <c r="D14780" s="4" t="s">
        <v>21111</v>
      </c>
      <c r="E14780" s="4" t="s">
        <v>21112</v>
      </c>
      <c r="F14780" s="4" t="s">
        <v>21111</v>
      </c>
    </row>
    <row r="14781">
      <c r="A14781" s="4">
        <v>277.0</v>
      </c>
      <c r="B14781" s="4" t="s">
        <v>22132</v>
      </c>
      <c r="C14781" s="4"/>
      <c r="D14781" s="4" t="s">
        <v>2009</v>
      </c>
      <c r="E14781" s="4" t="s">
        <v>17506</v>
      </c>
      <c r="F14781" s="4" t="s">
        <v>962</v>
      </c>
    </row>
    <row r="14782">
      <c r="A14782" s="4">
        <v>278.0</v>
      </c>
      <c r="B14782" s="4" t="s">
        <v>22132</v>
      </c>
      <c r="C14782" s="4"/>
      <c r="D14782" s="4" t="s">
        <v>21113</v>
      </c>
      <c r="E14782" s="4" t="s">
        <v>9072</v>
      </c>
      <c r="F14782" s="4" t="s">
        <v>9073</v>
      </c>
    </row>
    <row r="14783">
      <c r="A14783" s="4">
        <v>279.0</v>
      </c>
      <c r="B14783" s="4" t="s">
        <v>22132</v>
      </c>
      <c r="C14783" s="4"/>
      <c r="D14783" s="4" t="s">
        <v>21114</v>
      </c>
      <c r="E14783" s="4" t="s">
        <v>21115</v>
      </c>
      <c r="F14783" s="4" t="s">
        <v>21116</v>
      </c>
    </row>
    <row r="14784">
      <c r="A14784" s="4">
        <v>280.0</v>
      </c>
      <c r="B14784" s="4" t="s">
        <v>22132</v>
      </c>
      <c r="C14784" s="4"/>
      <c r="D14784" s="4" t="s">
        <v>21117</v>
      </c>
      <c r="E14784" s="4" t="s">
        <v>21118</v>
      </c>
      <c r="F14784" s="4" t="s">
        <v>21119</v>
      </c>
    </row>
    <row r="14785">
      <c r="A14785" s="4">
        <v>281.0</v>
      </c>
      <c r="B14785" s="4" t="s">
        <v>22132</v>
      </c>
      <c r="C14785" s="4"/>
      <c r="D14785" s="4" t="s">
        <v>17581</v>
      </c>
      <c r="E14785" s="4" t="s">
        <v>21120</v>
      </c>
      <c r="F14785" s="4" t="s">
        <v>9073</v>
      </c>
    </row>
    <row r="14786">
      <c r="A14786" s="4">
        <v>282.0</v>
      </c>
      <c r="B14786" s="4" t="s">
        <v>22132</v>
      </c>
      <c r="C14786" s="4"/>
      <c r="D14786" s="4" t="s">
        <v>21121</v>
      </c>
      <c r="E14786" s="4" t="s">
        <v>21122</v>
      </c>
      <c r="F14786" s="4" t="s">
        <v>21123</v>
      </c>
    </row>
    <row r="14787">
      <c r="A14787" s="4">
        <v>283.0</v>
      </c>
      <c r="B14787" s="4" t="s">
        <v>22132</v>
      </c>
      <c r="C14787" s="4"/>
      <c r="D14787" s="4" t="s">
        <v>21124</v>
      </c>
      <c r="E14787" s="4" t="s">
        <v>21122</v>
      </c>
      <c r="F14787" s="4" t="s">
        <v>21123</v>
      </c>
    </row>
    <row r="14788">
      <c r="A14788" s="4">
        <v>284.0</v>
      </c>
      <c r="B14788" s="4" t="s">
        <v>22132</v>
      </c>
      <c r="C14788" s="4"/>
      <c r="D14788" s="4" t="s">
        <v>21125</v>
      </c>
      <c r="E14788" s="4" t="s">
        <v>21120</v>
      </c>
      <c r="F14788" s="4" t="s">
        <v>9073</v>
      </c>
    </row>
    <row r="14789">
      <c r="A14789" s="4">
        <v>285.0</v>
      </c>
      <c r="B14789" s="4" t="s">
        <v>22132</v>
      </c>
      <c r="C14789" s="4"/>
      <c r="D14789" s="4" t="s">
        <v>21126</v>
      </c>
      <c r="E14789" s="4" t="s">
        <v>21127</v>
      </c>
      <c r="F14789" s="4" t="s">
        <v>21128</v>
      </c>
    </row>
    <row r="14790">
      <c r="A14790" s="4">
        <v>286.0</v>
      </c>
      <c r="B14790" s="4" t="s">
        <v>22132</v>
      </c>
      <c r="C14790" s="4"/>
      <c r="D14790" s="4" t="s">
        <v>21129</v>
      </c>
      <c r="E14790" s="4" t="s">
        <v>21130</v>
      </c>
      <c r="F14790" s="4" t="s">
        <v>992</v>
      </c>
      <c r="G14790" s="4"/>
      <c r="H14790" s="4" t="s">
        <v>7334</v>
      </c>
      <c r="I14790" s="4" t="s">
        <v>6291</v>
      </c>
      <c r="J14790" s="4" t="s">
        <v>21131</v>
      </c>
      <c r="K14790" s="4" t="s">
        <v>21132</v>
      </c>
      <c r="L14790" s="4" t="s">
        <v>21133</v>
      </c>
      <c r="M14790" s="4" t="s">
        <v>4433</v>
      </c>
    </row>
    <row r="14791">
      <c r="A14791" s="4">
        <v>287.0</v>
      </c>
      <c r="B14791" s="4" t="s">
        <v>22132</v>
      </c>
      <c r="C14791" s="4"/>
      <c r="D14791" s="4" t="s">
        <v>21134</v>
      </c>
      <c r="E14791" s="4" t="s">
        <v>17518</v>
      </c>
      <c r="F14791" s="4" t="s">
        <v>978</v>
      </c>
      <c r="G14791" s="4"/>
      <c r="H14791" s="4" t="s">
        <v>12300</v>
      </c>
      <c r="I14791" s="4" t="s">
        <v>12301</v>
      </c>
    </row>
    <row r="14792">
      <c r="A14792" s="4">
        <v>288.0</v>
      </c>
      <c r="B14792" s="4" t="s">
        <v>22132</v>
      </c>
      <c r="C14792" s="4"/>
      <c r="D14792" s="4" t="s">
        <v>21135</v>
      </c>
      <c r="E14792" s="4" t="s">
        <v>21136</v>
      </c>
      <c r="F14792" s="4" t="s">
        <v>21137</v>
      </c>
    </row>
    <row r="14793">
      <c r="A14793" s="4">
        <v>289.0</v>
      </c>
      <c r="B14793" s="4" t="s">
        <v>22132</v>
      </c>
      <c r="C14793" s="4"/>
      <c r="D14793" s="4" t="s">
        <v>9778</v>
      </c>
      <c r="E14793" s="4" t="s">
        <v>21138</v>
      </c>
      <c r="F14793" s="4" t="s">
        <v>1178</v>
      </c>
    </row>
    <row r="14794">
      <c r="A14794" s="4">
        <v>290.0</v>
      </c>
      <c r="B14794" s="4" t="s">
        <v>22132</v>
      </c>
      <c r="C14794" s="4"/>
      <c r="D14794" s="4" t="s">
        <v>21139</v>
      </c>
      <c r="E14794" s="4" t="s">
        <v>5637</v>
      </c>
      <c r="F14794" s="4" t="s">
        <v>5638</v>
      </c>
    </row>
    <row r="14795">
      <c r="A14795" s="4">
        <v>291.0</v>
      </c>
      <c r="B14795" s="4" t="s">
        <v>22132</v>
      </c>
      <c r="C14795" s="4"/>
      <c r="D14795" s="4" t="s">
        <v>21140</v>
      </c>
      <c r="E14795" s="4" t="s">
        <v>21141</v>
      </c>
      <c r="F14795" s="4" t="s">
        <v>21142</v>
      </c>
    </row>
    <row r="14796">
      <c r="A14796" s="4">
        <v>292.0</v>
      </c>
      <c r="B14796" s="4" t="s">
        <v>22132</v>
      </c>
      <c r="C14796" s="4"/>
      <c r="D14796" s="4" t="s">
        <v>21145</v>
      </c>
      <c r="E14796" s="4" t="s">
        <v>21146</v>
      </c>
      <c r="F14796" s="4" t="s">
        <v>1307</v>
      </c>
    </row>
    <row r="14797">
      <c r="A14797" s="4">
        <v>293.0</v>
      </c>
      <c r="B14797" s="4" t="s">
        <v>22132</v>
      </c>
      <c r="C14797" s="4"/>
      <c r="D14797" s="4" t="s">
        <v>21147</v>
      </c>
      <c r="E14797" s="4" t="s">
        <v>21148</v>
      </c>
      <c r="F14797" s="4" t="s">
        <v>21149</v>
      </c>
      <c r="G14797" s="4"/>
      <c r="H14797" s="4" t="s">
        <v>21150</v>
      </c>
      <c r="I14797" s="4" t="s">
        <v>21151</v>
      </c>
      <c r="J14797" s="4" t="s">
        <v>21152</v>
      </c>
      <c r="K14797" s="4" t="s">
        <v>21153</v>
      </c>
    </row>
    <row r="14798">
      <c r="A14798" s="4">
        <v>294.0</v>
      </c>
      <c r="B14798" s="4" t="s">
        <v>22132</v>
      </c>
      <c r="C14798" s="4"/>
      <c r="D14798" s="4" t="s">
        <v>17035</v>
      </c>
      <c r="E14798" s="4" t="s">
        <v>17483</v>
      </c>
      <c r="F14798" s="4" t="s">
        <v>2014</v>
      </c>
    </row>
    <row r="14799">
      <c r="A14799" s="4">
        <v>295.0</v>
      </c>
      <c r="B14799" s="4" t="s">
        <v>22132</v>
      </c>
      <c r="C14799" s="4"/>
      <c r="D14799" s="4" t="s">
        <v>21154</v>
      </c>
      <c r="E14799" s="4" t="s">
        <v>21155</v>
      </c>
      <c r="F14799" s="4" t="s">
        <v>21156</v>
      </c>
    </row>
    <row r="14800">
      <c r="A14800" s="4">
        <v>296.0</v>
      </c>
      <c r="B14800" s="4" t="s">
        <v>22132</v>
      </c>
      <c r="C14800" s="4"/>
      <c r="D14800" s="4" t="s">
        <v>21157</v>
      </c>
      <c r="E14800" s="4" t="s">
        <v>21158</v>
      </c>
      <c r="F14800" s="4" t="s">
        <v>21159</v>
      </c>
    </row>
    <row r="14801">
      <c r="A14801" s="4">
        <v>297.0</v>
      </c>
      <c r="B14801" s="4" t="s">
        <v>22132</v>
      </c>
      <c r="C14801" s="4"/>
      <c r="D14801" s="4" t="s">
        <v>21160</v>
      </c>
      <c r="E14801" s="4" t="s">
        <v>21161</v>
      </c>
      <c r="F14801" s="4" t="s">
        <v>21162</v>
      </c>
    </row>
    <row r="14802">
      <c r="A14802" s="4">
        <v>298.0</v>
      </c>
      <c r="B14802" s="4" t="s">
        <v>22132</v>
      </c>
      <c r="C14802" s="4"/>
      <c r="D14802" s="4" t="s">
        <v>17656</v>
      </c>
      <c r="E14802" s="4" t="s">
        <v>21163</v>
      </c>
      <c r="F14802" s="4" t="s">
        <v>17846</v>
      </c>
    </row>
    <row r="14803">
      <c r="A14803" s="4">
        <v>299.0</v>
      </c>
      <c r="B14803" s="4" t="s">
        <v>22132</v>
      </c>
      <c r="C14803" s="4"/>
      <c r="D14803" s="4" t="s">
        <v>21164</v>
      </c>
      <c r="E14803" s="4" t="s">
        <v>21165</v>
      </c>
      <c r="F14803" s="4" t="s">
        <v>21166</v>
      </c>
    </row>
    <row r="14804">
      <c r="A14804" s="4">
        <v>300.0</v>
      </c>
      <c r="B14804" s="4" t="s">
        <v>22132</v>
      </c>
      <c r="C14804" s="4"/>
      <c r="D14804" s="4" t="s">
        <v>21167</v>
      </c>
      <c r="E14804" s="4" t="s">
        <v>21168</v>
      </c>
      <c r="F14804" s="4" t="s">
        <v>1648</v>
      </c>
    </row>
    <row r="14805">
      <c r="A14805" s="4">
        <v>301.0</v>
      </c>
      <c r="B14805" s="4" t="s">
        <v>22132</v>
      </c>
      <c r="C14805" s="4"/>
      <c r="D14805" s="4" t="s">
        <v>21169</v>
      </c>
      <c r="E14805" s="4" t="s">
        <v>21170</v>
      </c>
      <c r="F14805" s="4" t="s">
        <v>1666</v>
      </c>
      <c r="G14805" s="4"/>
      <c r="H14805" s="4" t="s">
        <v>21171</v>
      </c>
      <c r="I14805" s="4" t="s">
        <v>19172</v>
      </c>
      <c r="J14805" s="4" t="s">
        <v>21172</v>
      </c>
      <c r="K14805" s="4" t="s">
        <v>21173</v>
      </c>
      <c r="L14805" s="4" t="s">
        <v>21174</v>
      </c>
      <c r="M14805" s="4" t="s">
        <v>21175</v>
      </c>
      <c r="N14805" s="4" t="s">
        <v>18957</v>
      </c>
      <c r="O14805" s="4" t="s">
        <v>21176</v>
      </c>
      <c r="P14805" s="4" t="s">
        <v>21173</v>
      </c>
    </row>
    <row r="14806">
      <c r="A14806" s="4">
        <v>302.0</v>
      </c>
      <c r="B14806" s="4" t="s">
        <v>22132</v>
      </c>
      <c r="C14806" s="4"/>
      <c r="D14806" s="4" t="s">
        <v>21177</v>
      </c>
      <c r="E14806" s="4" t="s">
        <v>21178</v>
      </c>
      <c r="F14806" s="4" t="s">
        <v>21179</v>
      </c>
    </row>
    <row r="14807">
      <c r="A14807" s="4">
        <v>303.0</v>
      </c>
      <c r="B14807" s="4" t="s">
        <v>22132</v>
      </c>
      <c r="C14807" s="4"/>
      <c r="D14807" s="4" t="s">
        <v>21180</v>
      </c>
      <c r="E14807" s="4" t="s">
        <v>21181</v>
      </c>
      <c r="F14807" s="4" t="s">
        <v>21182</v>
      </c>
    </row>
    <row r="14808">
      <c r="A14808" s="4">
        <v>304.0</v>
      </c>
      <c r="B14808" s="4" t="s">
        <v>22132</v>
      </c>
      <c r="C14808" s="4"/>
      <c r="D14808" s="4" t="s">
        <v>21183</v>
      </c>
      <c r="E14808" s="4" t="s">
        <v>21184</v>
      </c>
      <c r="F14808" s="4" t="s">
        <v>21185</v>
      </c>
    </row>
    <row r="14809">
      <c r="A14809" s="4">
        <v>305.0</v>
      </c>
      <c r="B14809" s="4" t="s">
        <v>22132</v>
      </c>
      <c r="C14809" s="4"/>
      <c r="D14809" s="4" t="s">
        <v>21186</v>
      </c>
      <c r="E14809" s="4" t="s">
        <v>21187</v>
      </c>
      <c r="F14809" s="4" t="s">
        <v>21188</v>
      </c>
    </row>
    <row r="14810">
      <c r="A14810" s="4">
        <v>306.0</v>
      </c>
      <c r="B14810" s="4" t="s">
        <v>22132</v>
      </c>
      <c r="C14810" s="4"/>
      <c r="D14810" s="4" t="s">
        <v>962</v>
      </c>
      <c r="E14810" s="4" t="s">
        <v>961</v>
      </c>
      <c r="F14810" s="4" t="s">
        <v>962</v>
      </c>
    </row>
    <row r="14811">
      <c r="A14811" s="4">
        <v>307.0</v>
      </c>
      <c r="B14811" s="4" t="s">
        <v>22132</v>
      </c>
      <c r="C14811" s="4"/>
      <c r="D14811" s="4" t="s">
        <v>12448</v>
      </c>
      <c r="E14811" s="4" t="s">
        <v>1232</v>
      </c>
      <c r="F14811" s="4" t="s">
        <v>1233</v>
      </c>
    </row>
    <row r="14812">
      <c r="A14812" s="4">
        <v>308.0</v>
      </c>
      <c r="B14812" s="4" t="s">
        <v>22132</v>
      </c>
      <c r="C14812" s="4"/>
      <c r="D14812" s="4" t="s">
        <v>19097</v>
      </c>
      <c r="E14812" s="4" t="s">
        <v>19096</v>
      </c>
      <c r="F14812" s="4" t="s">
        <v>19097</v>
      </c>
    </row>
    <row r="14813">
      <c r="A14813" s="4">
        <v>309.0</v>
      </c>
      <c r="B14813" s="4" t="s">
        <v>22132</v>
      </c>
      <c r="C14813" s="4"/>
      <c r="D14813" s="4" t="s">
        <v>1336</v>
      </c>
      <c r="E14813" s="4" t="s">
        <v>1335</v>
      </c>
      <c r="F14813" s="4" t="s">
        <v>1336</v>
      </c>
    </row>
    <row r="14814">
      <c r="A14814" s="4">
        <v>310.0</v>
      </c>
      <c r="B14814" s="4" t="s">
        <v>22132</v>
      </c>
      <c r="C14814" s="4"/>
      <c r="D14814" s="4" t="s">
        <v>21189</v>
      </c>
      <c r="E14814" s="4" t="s">
        <v>21190</v>
      </c>
      <c r="F14814" s="4" t="s">
        <v>21189</v>
      </c>
    </row>
    <row r="14815">
      <c r="A14815" s="4">
        <v>311.0</v>
      </c>
      <c r="B14815" s="4" t="s">
        <v>22132</v>
      </c>
      <c r="C14815" s="4"/>
      <c r="D14815" s="4" t="s">
        <v>10135</v>
      </c>
      <c r="E14815" s="4" t="s">
        <v>15066</v>
      </c>
      <c r="F14815" s="4" t="s">
        <v>10135</v>
      </c>
    </row>
    <row r="14816">
      <c r="A14816" s="4">
        <v>312.0</v>
      </c>
      <c r="B14816" s="4" t="s">
        <v>22132</v>
      </c>
      <c r="C14816" s="4"/>
      <c r="D14816" s="4" t="s">
        <v>21191</v>
      </c>
      <c r="E14816" s="4" t="s">
        <v>21192</v>
      </c>
      <c r="F14816" s="4" t="s">
        <v>21191</v>
      </c>
    </row>
    <row r="14817">
      <c r="A14817" s="4">
        <v>313.0</v>
      </c>
      <c r="B14817" s="4" t="s">
        <v>22132</v>
      </c>
      <c r="C14817" s="4"/>
      <c r="D14817" s="4" t="s">
        <v>2015</v>
      </c>
      <c r="E14817" s="4" t="s">
        <v>2016</v>
      </c>
      <c r="F14817" s="4" t="s">
        <v>2015</v>
      </c>
      <c r="G14817" s="4"/>
      <c r="H14817" s="4" t="s">
        <v>2015</v>
      </c>
      <c r="I14817" s="4" t="s">
        <v>2017</v>
      </c>
    </row>
    <row r="14818">
      <c r="A14818" s="4">
        <v>314.0</v>
      </c>
      <c r="B14818" s="4" t="s">
        <v>22132</v>
      </c>
      <c r="C14818" s="4"/>
      <c r="D14818" s="4" t="s">
        <v>21193</v>
      </c>
      <c r="E14818" s="4" t="s">
        <v>21194</v>
      </c>
      <c r="F14818" s="4" t="s">
        <v>14160</v>
      </c>
    </row>
    <row r="14819">
      <c r="A14819" s="4">
        <v>315.0</v>
      </c>
      <c r="B14819" s="4" t="s">
        <v>22132</v>
      </c>
      <c r="C14819" s="4"/>
      <c r="D14819" s="4" t="s">
        <v>21195</v>
      </c>
      <c r="E14819" s="4" t="s">
        <v>21196</v>
      </c>
      <c r="F14819" s="4" t="s">
        <v>17182</v>
      </c>
    </row>
    <row r="14820">
      <c r="A14820" s="4">
        <v>316.0</v>
      </c>
      <c r="B14820" s="4" t="s">
        <v>22132</v>
      </c>
      <c r="C14820" s="4"/>
      <c r="D14820" s="4" t="s">
        <v>21197</v>
      </c>
      <c r="E14820" s="4" t="s">
        <v>21198</v>
      </c>
      <c r="F14820" s="4" t="s">
        <v>21197</v>
      </c>
    </row>
    <row r="14821">
      <c r="A14821" s="4">
        <v>317.0</v>
      </c>
      <c r="B14821" s="4" t="s">
        <v>22132</v>
      </c>
      <c r="C14821" s="4"/>
      <c r="D14821" s="4" t="s">
        <v>2260</v>
      </c>
      <c r="E14821" s="4" t="s">
        <v>2259</v>
      </c>
      <c r="F14821" s="4" t="s">
        <v>2260</v>
      </c>
    </row>
    <row r="14822">
      <c r="A14822" s="4">
        <v>318.0</v>
      </c>
      <c r="B14822" s="4" t="s">
        <v>22132</v>
      </c>
      <c r="C14822" s="4"/>
      <c r="D14822" s="4" t="s">
        <v>2024</v>
      </c>
      <c r="E14822" s="4" t="s">
        <v>2025</v>
      </c>
      <c r="F14822" s="4" t="s">
        <v>2024</v>
      </c>
    </row>
    <row r="14823">
      <c r="A14823" s="4">
        <v>319.0</v>
      </c>
      <c r="B14823" s="4" t="s">
        <v>22132</v>
      </c>
      <c r="C14823" s="4"/>
      <c r="D14823" s="4" t="s">
        <v>21199</v>
      </c>
      <c r="E14823" s="4" t="s">
        <v>21200</v>
      </c>
      <c r="F14823" s="4" t="s">
        <v>21199</v>
      </c>
    </row>
    <row r="14824">
      <c r="A14824" s="4">
        <v>320.0</v>
      </c>
      <c r="B14824" s="4" t="s">
        <v>22132</v>
      </c>
      <c r="C14824" s="4"/>
      <c r="D14824" s="4" t="s">
        <v>21201</v>
      </c>
      <c r="E14824" s="4" t="s">
        <v>21202</v>
      </c>
      <c r="F14824" s="4" t="s">
        <v>21201</v>
      </c>
    </row>
    <row r="14825">
      <c r="A14825" s="4">
        <v>321.0</v>
      </c>
      <c r="B14825" s="4" t="s">
        <v>22132</v>
      </c>
      <c r="C14825" s="4"/>
      <c r="D14825" s="4" t="s">
        <v>21203</v>
      </c>
      <c r="E14825" s="4" t="s">
        <v>21200</v>
      </c>
      <c r="F14825" s="4" t="s">
        <v>21199</v>
      </c>
    </row>
    <row r="14826">
      <c r="A14826" s="4">
        <v>322.0</v>
      </c>
      <c r="B14826" s="4" t="s">
        <v>22132</v>
      </c>
      <c r="C14826" s="4"/>
      <c r="D14826" s="4" t="s">
        <v>21204</v>
      </c>
      <c r="E14826" s="4" t="s">
        <v>21202</v>
      </c>
      <c r="F14826" s="4" t="s">
        <v>21201</v>
      </c>
    </row>
    <row r="14827">
      <c r="A14827" s="4">
        <v>323.0</v>
      </c>
      <c r="B14827" s="4" t="s">
        <v>22132</v>
      </c>
      <c r="C14827" s="4"/>
      <c r="D14827" s="4" t="s">
        <v>21205</v>
      </c>
      <c r="E14827" s="4" t="s">
        <v>21206</v>
      </c>
      <c r="F14827" s="4" t="s">
        <v>21205</v>
      </c>
    </row>
    <row r="14828">
      <c r="A14828" s="4">
        <v>324.0</v>
      </c>
      <c r="B14828" s="4" t="s">
        <v>22132</v>
      </c>
      <c r="C14828" s="4"/>
      <c r="D14828" s="4" t="s">
        <v>10257</v>
      </c>
      <c r="E14828" s="4" t="s">
        <v>12506</v>
      </c>
      <c r="F14828" s="4" t="s">
        <v>10257</v>
      </c>
    </row>
    <row r="14829">
      <c r="A14829" s="4">
        <v>325.0</v>
      </c>
      <c r="B14829" s="4" t="s">
        <v>22132</v>
      </c>
      <c r="C14829" s="4"/>
      <c r="D14829" s="4" t="s">
        <v>21209</v>
      </c>
      <c r="E14829" s="4" t="s">
        <v>21210</v>
      </c>
      <c r="F14829" s="4" t="s">
        <v>21209</v>
      </c>
    </row>
    <row r="14830">
      <c r="A14830" s="4">
        <v>326.0</v>
      </c>
      <c r="B14830" s="4" t="s">
        <v>22132</v>
      </c>
      <c r="C14830" s="4"/>
      <c r="D14830" s="4" t="s">
        <v>6517</v>
      </c>
      <c r="E14830" s="4" t="s">
        <v>12529</v>
      </c>
      <c r="F14830" s="4" t="s">
        <v>6517</v>
      </c>
    </row>
    <row r="14831">
      <c r="A14831" s="4">
        <v>327.0</v>
      </c>
      <c r="B14831" s="4" t="s">
        <v>22132</v>
      </c>
      <c r="C14831" s="4"/>
      <c r="D14831" s="4" t="s">
        <v>21211</v>
      </c>
      <c r="E14831" s="4" t="s">
        <v>21212</v>
      </c>
      <c r="F14831" s="4" t="s">
        <v>21211</v>
      </c>
      <c r="G14831" s="4"/>
      <c r="H14831" s="4" t="s">
        <v>21213</v>
      </c>
      <c r="I14831" s="4" t="s">
        <v>21214</v>
      </c>
    </row>
    <row r="14832">
      <c r="A14832" s="4">
        <v>328.0</v>
      </c>
      <c r="B14832" s="4" t="s">
        <v>22132</v>
      </c>
      <c r="C14832" s="4"/>
      <c r="D14832" s="4" t="s">
        <v>21233</v>
      </c>
      <c r="E14832" s="4" t="s">
        <v>18007</v>
      </c>
      <c r="F14832" s="4" t="s">
        <v>10297</v>
      </c>
    </row>
    <row r="14833">
      <c r="A14833" s="4">
        <v>329.0</v>
      </c>
      <c r="B14833" s="4" t="s">
        <v>22132</v>
      </c>
      <c r="C14833" s="4"/>
      <c r="D14833" s="4" t="s">
        <v>21234</v>
      </c>
      <c r="E14833" s="4" t="s">
        <v>21235</v>
      </c>
      <c r="F14833" s="4" t="s">
        <v>19641</v>
      </c>
      <c r="G14833" s="4"/>
      <c r="H14833" s="4" t="s">
        <v>21236</v>
      </c>
      <c r="I14833" s="4" t="s">
        <v>4853</v>
      </c>
    </row>
    <row r="14834">
      <c r="A14834" s="4">
        <v>330.0</v>
      </c>
      <c r="B14834" s="4" t="s">
        <v>22132</v>
      </c>
      <c r="C14834" s="4"/>
      <c r="D14834" s="4" t="s">
        <v>2045</v>
      </c>
      <c r="E14834" s="4" t="s">
        <v>2046</v>
      </c>
      <c r="F14834" s="4" t="s">
        <v>2045</v>
      </c>
    </row>
    <row r="14835">
      <c r="A14835" s="4">
        <v>331.0</v>
      </c>
      <c r="B14835" s="4" t="s">
        <v>22132</v>
      </c>
      <c r="C14835" s="4"/>
      <c r="D14835" s="4" t="s">
        <v>10313</v>
      </c>
      <c r="E14835" s="4" t="s">
        <v>12589</v>
      </c>
      <c r="F14835" s="4" t="s">
        <v>10313</v>
      </c>
    </row>
    <row r="14836">
      <c r="A14836" s="4">
        <v>332.0</v>
      </c>
      <c r="B14836" s="4" t="s">
        <v>22132</v>
      </c>
      <c r="C14836" s="4"/>
      <c r="D14836" s="4" t="s">
        <v>21237</v>
      </c>
      <c r="E14836" s="4" t="s">
        <v>21238</v>
      </c>
      <c r="F14836" s="4" t="s">
        <v>21237</v>
      </c>
    </row>
    <row r="14837">
      <c r="A14837" s="4">
        <v>333.0</v>
      </c>
      <c r="B14837" s="4" t="s">
        <v>22132</v>
      </c>
      <c r="C14837" s="4"/>
      <c r="D14837" s="4" t="s">
        <v>21239</v>
      </c>
      <c r="E14837" s="4" t="s">
        <v>21240</v>
      </c>
      <c r="F14837" s="4" t="s">
        <v>21239</v>
      </c>
    </row>
    <row r="14838">
      <c r="A14838" s="4">
        <v>334.0</v>
      </c>
      <c r="B14838" s="4" t="s">
        <v>22132</v>
      </c>
      <c r="C14838" s="4"/>
      <c r="D14838" s="4" t="s">
        <v>21241</v>
      </c>
      <c r="E14838" s="4" t="s">
        <v>21242</v>
      </c>
      <c r="F14838" s="4" t="s">
        <v>21241</v>
      </c>
    </row>
    <row r="14839">
      <c r="A14839" s="4">
        <v>335.0</v>
      </c>
      <c r="B14839" s="4" t="s">
        <v>22132</v>
      </c>
      <c r="C14839" s="4"/>
      <c r="D14839" s="4" t="s">
        <v>21243</v>
      </c>
      <c r="E14839" s="4" t="s">
        <v>21244</v>
      </c>
      <c r="F14839" s="4" t="s">
        <v>21243</v>
      </c>
      <c r="G14839" s="4"/>
      <c r="H14839" s="4" t="s">
        <v>21245</v>
      </c>
    </row>
    <row r="14840">
      <c r="A14840" s="4">
        <v>336.0</v>
      </c>
      <c r="B14840" s="4" t="s">
        <v>22132</v>
      </c>
      <c r="C14840" s="4"/>
      <c r="D14840" s="4" t="s">
        <v>21246</v>
      </c>
      <c r="E14840" s="4" t="s">
        <v>18027</v>
      </c>
      <c r="F14840" s="4" t="s">
        <v>18026</v>
      </c>
    </row>
    <row r="14841">
      <c r="A14841" s="4">
        <v>337.0</v>
      </c>
      <c r="B14841" s="4" t="s">
        <v>22132</v>
      </c>
      <c r="C14841" s="4"/>
      <c r="D14841" s="4" t="s">
        <v>2078</v>
      </c>
      <c r="E14841" s="4" t="s">
        <v>2079</v>
      </c>
      <c r="F14841" s="4" t="s">
        <v>2078</v>
      </c>
      <c r="G14841" s="4"/>
      <c r="H14841" s="4" t="s">
        <v>2080</v>
      </c>
      <c r="I14841" s="4" t="s">
        <v>2078</v>
      </c>
      <c r="J14841" s="4" t="s">
        <v>2082</v>
      </c>
    </row>
    <row r="14842">
      <c r="A14842" s="4">
        <v>338.0</v>
      </c>
      <c r="B14842" s="4" t="s">
        <v>22132</v>
      </c>
      <c r="C14842" s="4"/>
      <c r="D14842" s="4" t="s">
        <v>5308</v>
      </c>
      <c r="E14842" s="4" t="s">
        <v>5307</v>
      </c>
      <c r="F14842" s="4" t="s">
        <v>5308</v>
      </c>
      <c r="G14842" s="4"/>
      <c r="H14842" s="4" t="s">
        <v>21247</v>
      </c>
      <c r="I14842" s="4" t="s">
        <v>21248</v>
      </c>
      <c r="J14842" s="4" t="s">
        <v>21249</v>
      </c>
      <c r="K14842" s="4" t="s">
        <v>21250</v>
      </c>
    </row>
    <row r="14843">
      <c r="A14843" s="4">
        <v>339.0</v>
      </c>
      <c r="B14843" s="4" t="s">
        <v>22132</v>
      </c>
      <c r="C14843" s="4"/>
      <c r="D14843" s="4" t="s">
        <v>21251</v>
      </c>
      <c r="E14843" s="4" t="s">
        <v>21252</v>
      </c>
      <c r="F14843" s="4" t="s">
        <v>21251</v>
      </c>
    </row>
    <row r="14844">
      <c r="A14844" s="4">
        <v>340.0</v>
      </c>
      <c r="B14844" s="4" t="s">
        <v>22132</v>
      </c>
      <c r="C14844" s="4"/>
      <c r="D14844" s="4" t="s">
        <v>21253</v>
      </c>
      <c r="E14844" s="4" t="s">
        <v>21254</v>
      </c>
      <c r="F14844" s="4" t="s">
        <v>21253</v>
      </c>
    </row>
    <row r="14845">
      <c r="A14845" s="4">
        <v>341.0</v>
      </c>
      <c r="B14845" s="4" t="s">
        <v>22132</v>
      </c>
      <c r="C14845" s="4"/>
      <c r="D14845" s="4" t="s">
        <v>6669</v>
      </c>
      <c r="E14845" s="4" t="s">
        <v>12633</v>
      </c>
      <c r="F14845" s="4" t="s">
        <v>6671</v>
      </c>
    </row>
    <row r="14846">
      <c r="A14846" s="4">
        <v>342.0</v>
      </c>
      <c r="B14846" s="4" t="s">
        <v>22132</v>
      </c>
      <c r="C14846" s="4"/>
      <c r="D14846" s="4" t="s">
        <v>16732</v>
      </c>
      <c r="E14846" s="4" t="s">
        <v>16733</v>
      </c>
      <c r="F14846" s="4" t="s">
        <v>10387</v>
      </c>
    </row>
    <row r="14847">
      <c r="A14847" s="4">
        <v>343.0</v>
      </c>
      <c r="B14847" s="4" t="s">
        <v>22132</v>
      </c>
      <c r="C14847" s="4"/>
      <c r="D14847" s="4" t="s">
        <v>21255</v>
      </c>
      <c r="E14847" s="4" t="s">
        <v>21256</v>
      </c>
      <c r="F14847" s="4" t="s">
        <v>21257</v>
      </c>
    </row>
    <row r="14848">
      <c r="A14848" s="4">
        <v>344.0</v>
      </c>
      <c r="B14848" s="4" t="s">
        <v>22132</v>
      </c>
      <c r="C14848" s="4"/>
      <c r="D14848" s="4" t="s">
        <v>21258</v>
      </c>
      <c r="E14848" s="4" t="s">
        <v>21259</v>
      </c>
      <c r="F14848" s="4" t="s">
        <v>21258</v>
      </c>
    </row>
    <row r="14849">
      <c r="A14849" s="4">
        <v>345.0</v>
      </c>
      <c r="B14849" s="4" t="s">
        <v>22132</v>
      </c>
      <c r="C14849" s="4"/>
      <c r="D14849" s="4" t="s">
        <v>2249</v>
      </c>
      <c r="E14849" s="4" t="s">
        <v>2248</v>
      </c>
      <c r="F14849" s="4" t="s">
        <v>2249</v>
      </c>
      <c r="G14849" s="4"/>
      <c r="H14849" s="4" t="s">
        <v>2213</v>
      </c>
      <c r="I14849" s="4" t="s">
        <v>2212</v>
      </c>
      <c r="J14849" s="4" t="s">
        <v>2212</v>
      </c>
      <c r="K14849" s="4" t="s">
        <v>21260</v>
      </c>
      <c r="L14849" s="4" t="s">
        <v>2214</v>
      </c>
      <c r="M14849" s="4" t="s">
        <v>2212</v>
      </c>
      <c r="N14849" s="4" t="s">
        <v>2215</v>
      </c>
      <c r="O14849" s="4" t="s">
        <v>2216</v>
      </c>
    </row>
    <row r="14850">
      <c r="A14850" s="4">
        <v>346.0</v>
      </c>
      <c r="B14850" s="4" t="s">
        <v>22132</v>
      </c>
      <c r="C14850" s="4"/>
      <c r="D14850" s="4" t="s">
        <v>2247</v>
      </c>
      <c r="E14850" s="4" t="s">
        <v>2250</v>
      </c>
      <c r="F14850" s="4" t="s">
        <v>2247</v>
      </c>
    </row>
    <row r="14851">
      <c r="A14851" s="4">
        <v>347.0</v>
      </c>
      <c r="B14851" s="4" t="s">
        <v>22132</v>
      </c>
      <c r="C14851" s="4"/>
      <c r="D14851" s="4" t="s">
        <v>2256</v>
      </c>
      <c r="E14851" s="4" t="s">
        <v>2257</v>
      </c>
      <c r="F14851" s="4" t="s">
        <v>2256</v>
      </c>
      <c r="G14851" s="4"/>
      <c r="H14851" s="4" t="s">
        <v>11296</v>
      </c>
    </row>
    <row r="14852">
      <c r="A14852" s="4">
        <v>348.0</v>
      </c>
      <c r="B14852" s="4" t="s">
        <v>22132</v>
      </c>
      <c r="C14852" s="4"/>
      <c r="D14852" s="4" t="s">
        <v>21265</v>
      </c>
      <c r="E14852" s="4" t="s">
        <v>2259</v>
      </c>
      <c r="F14852" s="4" t="s">
        <v>2260</v>
      </c>
      <c r="G14852" s="4"/>
      <c r="H14852" s="4" t="s">
        <v>2261</v>
      </c>
      <c r="I14852" s="4" t="s">
        <v>2262</v>
      </c>
      <c r="J14852" s="4" t="s">
        <v>2263</v>
      </c>
      <c r="K14852" s="4" t="s">
        <v>2264</v>
      </c>
      <c r="L14852" s="4" t="s">
        <v>2265</v>
      </c>
    </row>
    <row r="14853">
      <c r="A14853" s="4">
        <v>349.0</v>
      </c>
      <c r="B14853" s="4" t="s">
        <v>22132</v>
      </c>
      <c r="C14853" s="4"/>
      <c r="D14853" s="4" t="s">
        <v>2269</v>
      </c>
      <c r="E14853" s="4" t="s">
        <v>2270</v>
      </c>
      <c r="F14853" s="4" t="s">
        <v>2271</v>
      </c>
    </row>
    <row r="14854">
      <c r="A14854" s="4">
        <v>350.0</v>
      </c>
      <c r="B14854" s="4" t="s">
        <v>22132</v>
      </c>
      <c r="C14854" s="4"/>
      <c r="D14854" s="4" t="s">
        <v>21270</v>
      </c>
      <c r="E14854" s="4" t="s">
        <v>21271</v>
      </c>
      <c r="F14854" s="4" t="s">
        <v>21272</v>
      </c>
    </row>
    <row r="14855">
      <c r="A14855" s="4">
        <v>351.0</v>
      </c>
      <c r="B14855" s="4" t="s">
        <v>22132</v>
      </c>
      <c r="C14855" s="4"/>
      <c r="D14855" s="4" t="s">
        <v>21273</v>
      </c>
      <c r="E14855" s="4" t="s">
        <v>14643</v>
      </c>
      <c r="F14855" s="4" t="s">
        <v>2601</v>
      </c>
    </row>
    <row r="14856">
      <c r="A14856" s="4">
        <v>352.0</v>
      </c>
      <c r="B14856" s="4" t="s">
        <v>22132</v>
      </c>
      <c r="C14856" s="4"/>
      <c r="D14856" s="4" t="s">
        <v>2280</v>
      </c>
      <c r="E14856" s="4" t="s">
        <v>2281</v>
      </c>
      <c r="F14856" s="4" t="s">
        <v>2282</v>
      </c>
    </row>
    <row r="14857">
      <c r="A14857" s="4">
        <v>353.0</v>
      </c>
      <c r="B14857" s="4" t="s">
        <v>22132</v>
      </c>
      <c r="C14857" s="4"/>
      <c r="D14857" s="4" t="s">
        <v>21274</v>
      </c>
      <c r="E14857" s="4" t="s">
        <v>21275</v>
      </c>
      <c r="F14857" s="4" t="s">
        <v>21276</v>
      </c>
      <c r="G14857" s="4"/>
      <c r="H14857" s="4" t="s">
        <v>18141</v>
      </c>
      <c r="I14857" s="4" t="s">
        <v>18142</v>
      </c>
    </row>
    <row r="14858">
      <c r="A14858" s="4">
        <v>354.0</v>
      </c>
      <c r="B14858" s="4" t="s">
        <v>22132</v>
      </c>
      <c r="C14858" s="4"/>
      <c r="D14858" s="4" t="s">
        <v>21277</v>
      </c>
      <c r="E14858" s="4" t="s">
        <v>21278</v>
      </c>
      <c r="F14858" s="4" t="s">
        <v>21279</v>
      </c>
    </row>
    <row r="14859">
      <c r="A14859" s="4">
        <v>355.0</v>
      </c>
      <c r="B14859" s="4" t="s">
        <v>22132</v>
      </c>
      <c r="C14859" s="4"/>
      <c r="D14859" s="4" t="s">
        <v>21280</v>
      </c>
      <c r="E14859" s="4" t="s">
        <v>21281</v>
      </c>
      <c r="F14859" s="4" t="s">
        <v>18115</v>
      </c>
    </row>
    <row r="14860">
      <c r="A14860" s="4">
        <v>356.0</v>
      </c>
      <c r="B14860" s="4" t="s">
        <v>22132</v>
      </c>
      <c r="C14860" s="4"/>
      <c r="D14860" s="4" t="s">
        <v>21282</v>
      </c>
      <c r="E14860" s="4" t="s">
        <v>21283</v>
      </c>
      <c r="F14860" s="4" t="s">
        <v>21284</v>
      </c>
    </row>
    <row r="14861">
      <c r="A14861" s="4">
        <v>357.0</v>
      </c>
      <c r="B14861" s="4" t="s">
        <v>22132</v>
      </c>
      <c r="C14861" s="4"/>
      <c r="D14861" s="4" t="s">
        <v>2290</v>
      </c>
      <c r="E14861" s="4" t="s">
        <v>2291</v>
      </c>
      <c r="F14861" s="4" t="s">
        <v>2292</v>
      </c>
    </row>
    <row r="14862">
      <c r="A14862" s="4">
        <v>358.0</v>
      </c>
      <c r="B14862" s="4" t="s">
        <v>22132</v>
      </c>
      <c r="C14862" s="4"/>
      <c r="D14862" s="4" t="s">
        <v>21288</v>
      </c>
      <c r="E14862" s="4" t="s">
        <v>2281</v>
      </c>
      <c r="F14862" s="4" t="s">
        <v>2282</v>
      </c>
    </row>
    <row r="14863">
      <c r="A14863" s="4">
        <v>359.0</v>
      </c>
      <c r="B14863" s="4" t="s">
        <v>22132</v>
      </c>
      <c r="C14863" s="4"/>
      <c r="D14863" s="4" t="s">
        <v>10493</v>
      </c>
      <c r="E14863" s="4" t="s">
        <v>18104</v>
      </c>
      <c r="F14863" s="4" t="s">
        <v>2282</v>
      </c>
      <c r="G14863" s="4"/>
      <c r="H14863" s="4" t="s">
        <v>21289</v>
      </c>
      <c r="I14863" s="4" t="s">
        <v>21290</v>
      </c>
      <c r="J14863" s="4" t="s">
        <v>21291</v>
      </c>
      <c r="K14863" s="4" t="s">
        <v>21292</v>
      </c>
    </row>
    <row r="14864">
      <c r="A14864" s="4">
        <v>360.0</v>
      </c>
      <c r="B14864" s="4" t="s">
        <v>22132</v>
      </c>
      <c r="C14864" s="4"/>
      <c r="D14864" s="4" t="s">
        <v>21293</v>
      </c>
      <c r="E14864" s="4" t="s">
        <v>21294</v>
      </c>
      <c r="F14864" s="4" t="s">
        <v>21295</v>
      </c>
      <c r="G14864" s="4"/>
      <c r="H14864" s="4" t="s">
        <v>3481</v>
      </c>
      <c r="I14864" s="4" t="s">
        <v>775</v>
      </c>
      <c r="J14864" s="4" t="s">
        <v>6774</v>
      </c>
    </row>
    <row r="14865">
      <c r="A14865" s="4">
        <v>361.0</v>
      </c>
      <c r="B14865" s="4" t="s">
        <v>22132</v>
      </c>
      <c r="C14865" s="4"/>
      <c r="D14865" s="4" t="s">
        <v>21296</v>
      </c>
      <c r="E14865" s="4" t="s">
        <v>21297</v>
      </c>
      <c r="F14865" s="4" t="s">
        <v>21284</v>
      </c>
    </row>
    <row r="14866">
      <c r="A14866" s="4">
        <v>362.0</v>
      </c>
      <c r="B14866" s="4" t="s">
        <v>22132</v>
      </c>
      <c r="C14866" s="4"/>
      <c r="D14866" s="4" t="s">
        <v>2322</v>
      </c>
      <c r="E14866" s="4" t="s">
        <v>2323</v>
      </c>
      <c r="F14866" s="4" t="s">
        <v>2322</v>
      </c>
      <c r="G14866" s="4"/>
      <c r="H14866" s="4" t="s">
        <v>21298</v>
      </c>
      <c r="I14866" s="4" t="s">
        <v>21299</v>
      </c>
      <c r="J14866" s="4" t="s">
        <v>2345</v>
      </c>
      <c r="K14866" s="4" t="s">
        <v>6344</v>
      </c>
      <c r="L14866" s="4" t="s">
        <v>6344</v>
      </c>
      <c r="M14866" s="4" t="s">
        <v>12749</v>
      </c>
      <c r="N14866" s="4" t="s">
        <v>6344</v>
      </c>
      <c r="O14866" s="4" t="s">
        <v>12755</v>
      </c>
      <c r="P14866" s="4" t="s">
        <v>2324</v>
      </c>
      <c r="Q14866" s="4" t="s">
        <v>2325</v>
      </c>
      <c r="R14866" s="4" t="s">
        <v>2326</v>
      </c>
      <c r="S14866" s="4" t="s">
        <v>2327</v>
      </c>
      <c r="T14866" s="4" t="s">
        <v>2332</v>
      </c>
      <c r="U14866" s="4" t="s">
        <v>10835</v>
      </c>
      <c r="V14866" s="4" t="s">
        <v>2332</v>
      </c>
      <c r="W14866" s="4" t="s">
        <v>2342</v>
      </c>
      <c r="X14866" s="4" t="s">
        <v>2326</v>
      </c>
    </row>
    <row r="14867">
      <c r="A14867" s="4">
        <v>363.0</v>
      </c>
      <c r="B14867" s="4" t="s">
        <v>22132</v>
      </c>
      <c r="C14867" s="4"/>
      <c r="D14867" s="4" t="s">
        <v>2351</v>
      </c>
      <c r="E14867" s="4" t="s">
        <v>2352</v>
      </c>
      <c r="F14867" s="4" t="s">
        <v>2351</v>
      </c>
    </row>
    <row r="14868">
      <c r="A14868" s="4">
        <v>364.0</v>
      </c>
      <c r="B14868" s="4" t="s">
        <v>22132</v>
      </c>
      <c r="C14868" s="4"/>
      <c r="D14868" s="4" t="s">
        <v>21300</v>
      </c>
      <c r="E14868" s="4" t="s">
        <v>21301</v>
      </c>
      <c r="F14868" s="4" t="s">
        <v>21302</v>
      </c>
    </row>
    <row r="14869">
      <c r="A14869" s="4">
        <v>365.0</v>
      </c>
      <c r="B14869" s="4" t="s">
        <v>22132</v>
      </c>
      <c r="C14869" s="4"/>
      <c r="D14869" s="4" t="s">
        <v>21303</v>
      </c>
      <c r="E14869" s="4" t="s">
        <v>21304</v>
      </c>
      <c r="F14869" s="4" t="s">
        <v>21303</v>
      </c>
    </row>
    <row r="14870">
      <c r="A14870" s="4">
        <v>366.0</v>
      </c>
      <c r="B14870" s="4" t="s">
        <v>22132</v>
      </c>
      <c r="C14870" s="4"/>
      <c r="D14870" s="4" t="s">
        <v>21305</v>
      </c>
      <c r="E14870" s="4" t="s">
        <v>5313</v>
      </c>
      <c r="F14870" s="4" t="s">
        <v>5314</v>
      </c>
    </row>
    <row r="14871">
      <c r="A14871" s="4">
        <v>367.0</v>
      </c>
      <c r="B14871" s="4" t="s">
        <v>22132</v>
      </c>
      <c r="C14871" s="4"/>
      <c r="D14871" s="4" t="s">
        <v>2381</v>
      </c>
      <c r="E14871" s="4" t="s">
        <v>2382</v>
      </c>
      <c r="F14871" s="4" t="s">
        <v>2381</v>
      </c>
      <c r="G14871" s="4"/>
      <c r="H14871" s="4" t="s">
        <v>10770</v>
      </c>
      <c r="I14871" s="4" t="s">
        <v>2383</v>
      </c>
      <c r="J14871" s="4" t="s">
        <v>2384</v>
      </c>
      <c r="K14871" s="4" t="s">
        <v>2278</v>
      </c>
      <c r="L14871" s="4" t="s">
        <v>2381</v>
      </c>
      <c r="M14871" s="4" t="s">
        <v>2384</v>
      </c>
      <c r="N14871" s="4" t="s">
        <v>2385</v>
      </c>
      <c r="O14871" s="4" t="s">
        <v>2386</v>
      </c>
      <c r="P14871" s="4" t="s">
        <v>2387</v>
      </c>
      <c r="Q14871" s="4" t="s">
        <v>2388</v>
      </c>
      <c r="R14871" s="4" t="s">
        <v>2389</v>
      </c>
      <c r="S14871" s="4" t="s">
        <v>2390</v>
      </c>
    </row>
    <row r="14872">
      <c r="A14872" s="4">
        <v>368.0</v>
      </c>
      <c r="B14872" s="4" t="s">
        <v>22132</v>
      </c>
      <c r="C14872" s="4"/>
      <c r="D14872" s="4" t="s">
        <v>2391</v>
      </c>
      <c r="E14872" s="4" t="s">
        <v>2392</v>
      </c>
      <c r="F14872" s="4" t="s">
        <v>2391</v>
      </c>
      <c r="G14872" s="4"/>
      <c r="H14872" s="4" t="s">
        <v>21306</v>
      </c>
    </row>
    <row r="14873">
      <c r="A14873" s="4">
        <v>369.0</v>
      </c>
      <c r="B14873" s="4" t="s">
        <v>22132</v>
      </c>
      <c r="C14873" s="4"/>
      <c r="D14873" s="4" t="s">
        <v>21307</v>
      </c>
      <c r="E14873" s="4" t="s">
        <v>21308</v>
      </c>
      <c r="F14873" s="4" t="s">
        <v>21307</v>
      </c>
    </row>
    <row r="14874">
      <c r="A14874" s="4">
        <v>370.0</v>
      </c>
      <c r="B14874" s="4" t="s">
        <v>22132</v>
      </c>
      <c r="C14874" s="4"/>
      <c r="D14874" s="4" t="s">
        <v>12789</v>
      </c>
      <c r="E14874" s="4" t="s">
        <v>12788</v>
      </c>
      <c r="F14874" s="4" t="s">
        <v>12789</v>
      </c>
    </row>
    <row r="14875">
      <c r="A14875" s="4">
        <v>371.0</v>
      </c>
      <c r="B14875" s="4" t="s">
        <v>22132</v>
      </c>
      <c r="C14875" s="4"/>
      <c r="D14875" s="4" t="s">
        <v>21309</v>
      </c>
      <c r="E14875" s="4" t="s">
        <v>21310</v>
      </c>
      <c r="F14875" s="4" t="s">
        <v>21309</v>
      </c>
    </row>
    <row r="14876">
      <c r="A14876" s="4">
        <v>372.0</v>
      </c>
      <c r="B14876" s="4" t="s">
        <v>22132</v>
      </c>
      <c r="C14876" s="4"/>
      <c r="D14876" s="4" t="s">
        <v>21311</v>
      </c>
      <c r="E14876" s="4" t="s">
        <v>21312</v>
      </c>
      <c r="F14876" s="4" t="s">
        <v>21311</v>
      </c>
    </row>
    <row r="14877">
      <c r="A14877" s="4">
        <v>373.0</v>
      </c>
      <c r="B14877" s="4" t="s">
        <v>22132</v>
      </c>
      <c r="C14877" s="4"/>
      <c r="D14877" s="4" t="s">
        <v>14465</v>
      </c>
      <c r="E14877" s="4" t="s">
        <v>2382</v>
      </c>
      <c r="F14877" s="4" t="s">
        <v>2381</v>
      </c>
      <c r="G14877" s="4"/>
      <c r="H14877" s="4" t="s">
        <v>2278</v>
      </c>
      <c r="I14877" s="4" t="s">
        <v>2381</v>
      </c>
      <c r="J14877" s="4" t="s">
        <v>2384</v>
      </c>
      <c r="K14877" s="4" t="s">
        <v>2385</v>
      </c>
      <c r="L14877" s="4" t="s">
        <v>2386</v>
      </c>
      <c r="M14877" s="4" t="s">
        <v>2387</v>
      </c>
      <c r="N14877" s="4" t="s">
        <v>2388</v>
      </c>
      <c r="O14877" s="4" t="s">
        <v>2389</v>
      </c>
      <c r="P14877" s="4" t="s">
        <v>2390</v>
      </c>
    </row>
    <row r="14878">
      <c r="A14878" s="4">
        <v>374.0</v>
      </c>
      <c r="B14878" s="4" t="s">
        <v>22132</v>
      </c>
      <c r="C14878" s="4"/>
      <c r="D14878" s="4" t="s">
        <v>2401</v>
      </c>
      <c r="E14878" s="4" t="s">
        <v>2402</v>
      </c>
      <c r="F14878" s="4" t="s">
        <v>2401</v>
      </c>
    </row>
    <row r="14879">
      <c r="A14879" s="4">
        <v>375.0</v>
      </c>
      <c r="B14879" s="4" t="s">
        <v>22132</v>
      </c>
      <c r="C14879" s="4"/>
      <c r="D14879" s="4" t="s">
        <v>2403</v>
      </c>
      <c r="E14879" s="4" t="s">
        <v>2404</v>
      </c>
      <c r="F14879" s="4" t="s">
        <v>2403</v>
      </c>
      <c r="G14879" s="4"/>
      <c r="H14879" s="4" t="s">
        <v>11392</v>
      </c>
      <c r="I14879" s="4" t="s">
        <v>8375</v>
      </c>
    </row>
    <row r="14880">
      <c r="A14880" s="4">
        <v>376.0</v>
      </c>
      <c r="B14880" s="4" t="s">
        <v>22132</v>
      </c>
      <c r="C14880" s="4"/>
      <c r="D14880" s="4" t="s">
        <v>2414</v>
      </c>
      <c r="E14880" s="4" t="s">
        <v>2415</v>
      </c>
      <c r="F14880" s="4" t="s">
        <v>2414</v>
      </c>
    </row>
    <row r="14881">
      <c r="A14881" s="4">
        <v>377.0</v>
      </c>
      <c r="B14881" s="4" t="s">
        <v>22132</v>
      </c>
      <c r="C14881" s="4"/>
      <c r="D14881" s="4" t="s">
        <v>12811</v>
      </c>
      <c r="E14881" s="4" t="s">
        <v>20248</v>
      </c>
      <c r="F14881" s="4" t="s">
        <v>12811</v>
      </c>
    </row>
    <row r="14882">
      <c r="A14882" s="4">
        <v>378.0</v>
      </c>
      <c r="B14882" s="4" t="s">
        <v>22132</v>
      </c>
      <c r="C14882" s="4"/>
      <c r="D14882" s="4" t="s">
        <v>2420</v>
      </c>
      <c r="E14882" s="4" t="s">
        <v>2421</v>
      </c>
      <c r="F14882" s="4" t="s">
        <v>2420</v>
      </c>
    </row>
    <row r="14883">
      <c r="A14883" s="4">
        <v>379.0</v>
      </c>
      <c r="B14883" s="4" t="s">
        <v>22132</v>
      </c>
      <c r="C14883" s="4"/>
      <c r="D14883" s="4" t="s">
        <v>2422</v>
      </c>
      <c r="E14883" s="4" t="s">
        <v>2423</v>
      </c>
      <c r="F14883" s="4" t="s">
        <v>2422</v>
      </c>
      <c r="G14883" s="4"/>
      <c r="H14883" s="4" t="s">
        <v>2424</v>
      </c>
      <c r="I14883" s="4" t="s">
        <v>2425</v>
      </c>
      <c r="J14883" s="4" t="s">
        <v>2426</v>
      </c>
      <c r="K14883" s="4" t="s">
        <v>2427</v>
      </c>
      <c r="L14883" s="4" t="s">
        <v>2424</v>
      </c>
      <c r="M14883" s="4" t="s">
        <v>21316</v>
      </c>
      <c r="N14883" s="4" t="s">
        <v>2072</v>
      </c>
      <c r="O14883" s="4" t="s">
        <v>9359</v>
      </c>
      <c r="P14883" s="4" t="s">
        <v>2424</v>
      </c>
      <c r="Q14883" s="4" t="s">
        <v>6084</v>
      </c>
      <c r="R14883" s="4" t="s">
        <v>21317</v>
      </c>
      <c r="S14883" s="4" t="s">
        <v>2427</v>
      </c>
      <c r="T14883" s="4" t="s">
        <v>2424</v>
      </c>
      <c r="U14883" s="4" t="s">
        <v>2428</v>
      </c>
      <c r="V14883" s="4" t="s">
        <v>2429</v>
      </c>
      <c r="W14883" s="4" t="s">
        <v>6081</v>
      </c>
      <c r="X14883" s="4" t="s">
        <v>2424</v>
      </c>
      <c r="Y14883" s="4" t="s">
        <v>6082</v>
      </c>
      <c r="Z14883" s="4" t="s">
        <v>6083</v>
      </c>
      <c r="AA14883" s="4" t="s">
        <v>6072</v>
      </c>
      <c r="AB14883" s="4" t="s">
        <v>6084</v>
      </c>
      <c r="AC14883" s="4" t="s">
        <v>6085</v>
      </c>
    </row>
    <row r="14884">
      <c r="A14884" s="4">
        <v>380.0</v>
      </c>
      <c r="B14884" s="4" t="s">
        <v>22132</v>
      </c>
      <c r="C14884" s="4"/>
      <c r="D14884" s="4" t="s">
        <v>21318</v>
      </c>
      <c r="E14884" s="4" t="s">
        <v>21319</v>
      </c>
      <c r="F14884" s="4" t="s">
        <v>21318</v>
      </c>
    </row>
    <row r="14885">
      <c r="A14885" s="4">
        <v>381.0</v>
      </c>
      <c r="B14885" s="4" t="s">
        <v>22132</v>
      </c>
      <c r="C14885" s="4"/>
      <c r="D14885" s="4" t="s">
        <v>21320</v>
      </c>
      <c r="E14885" s="4" t="s">
        <v>21321</v>
      </c>
      <c r="F14885" s="4" t="s">
        <v>21320</v>
      </c>
    </row>
    <row r="14886">
      <c r="A14886" s="4">
        <v>382.0</v>
      </c>
      <c r="B14886" s="4" t="s">
        <v>22132</v>
      </c>
      <c r="C14886" s="4"/>
      <c r="D14886" s="4" t="s">
        <v>21322</v>
      </c>
      <c r="E14886" s="4" t="s">
        <v>21319</v>
      </c>
      <c r="F14886" s="4" t="s">
        <v>21318</v>
      </c>
    </row>
    <row r="14887">
      <c r="A14887" s="4">
        <v>383.0</v>
      </c>
      <c r="B14887" s="4" t="s">
        <v>22132</v>
      </c>
      <c r="C14887" s="4"/>
      <c r="D14887" s="4" t="s">
        <v>21323</v>
      </c>
      <c r="E14887" s="4" t="s">
        <v>21321</v>
      </c>
      <c r="F14887" s="4" t="s">
        <v>21320</v>
      </c>
    </row>
    <row r="14888">
      <c r="A14888" s="4">
        <v>384.0</v>
      </c>
      <c r="B14888" s="4" t="s">
        <v>22132</v>
      </c>
      <c r="C14888" s="4"/>
      <c r="D14888" s="4" t="s">
        <v>21324</v>
      </c>
      <c r="E14888" s="4" t="s">
        <v>21325</v>
      </c>
      <c r="F14888" s="4" t="s">
        <v>21324</v>
      </c>
    </row>
    <row r="14889">
      <c r="A14889" s="4">
        <v>385.0</v>
      </c>
      <c r="B14889" s="4" t="s">
        <v>22132</v>
      </c>
      <c r="C14889" s="4"/>
      <c r="D14889" s="4" t="s">
        <v>2430</v>
      </c>
      <c r="E14889" s="4" t="s">
        <v>2431</v>
      </c>
      <c r="F14889" s="4" t="s">
        <v>2432</v>
      </c>
    </row>
    <row r="14890">
      <c r="A14890" s="4">
        <v>386.0</v>
      </c>
      <c r="B14890" s="4" t="s">
        <v>22132</v>
      </c>
      <c r="C14890" s="4"/>
      <c r="D14890" s="4" t="s">
        <v>21328</v>
      </c>
      <c r="E14890" s="4" t="s">
        <v>2402</v>
      </c>
      <c r="F14890" s="4" t="s">
        <v>2401</v>
      </c>
      <c r="G14890" s="4"/>
      <c r="H14890" s="4" t="s">
        <v>12820</v>
      </c>
      <c r="I14890" s="4" t="s">
        <v>12821</v>
      </c>
      <c r="J14890" s="4" t="s">
        <v>11310</v>
      </c>
    </row>
    <row r="14891">
      <c r="A14891" s="4">
        <v>387.0</v>
      </c>
      <c r="B14891" s="4" t="s">
        <v>22132</v>
      </c>
      <c r="C14891" s="4"/>
      <c r="D14891" s="4" t="s">
        <v>21329</v>
      </c>
      <c r="E14891" s="4" t="s">
        <v>2415</v>
      </c>
      <c r="F14891" s="4" t="s">
        <v>2414</v>
      </c>
    </row>
    <row r="14892">
      <c r="A14892" s="4">
        <v>388.0</v>
      </c>
      <c r="B14892" s="4" t="s">
        <v>22132</v>
      </c>
      <c r="C14892" s="4"/>
      <c r="D14892" s="4" t="s">
        <v>2458</v>
      </c>
      <c r="E14892" s="4" t="s">
        <v>2459</v>
      </c>
      <c r="F14892" s="4" t="s">
        <v>2458</v>
      </c>
      <c r="G14892" s="4"/>
      <c r="H14892" s="4" t="s">
        <v>2460</v>
      </c>
    </row>
    <row r="14893">
      <c r="A14893" s="4">
        <v>389.0</v>
      </c>
      <c r="B14893" s="4" t="s">
        <v>22132</v>
      </c>
      <c r="C14893" s="4"/>
      <c r="D14893" s="4" t="s">
        <v>21330</v>
      </c>
      <c r="E14893" s="4" t="s">
        <v>21331</v>
      </c>
      <c r="F14893" s="4" t="s">
        <v>10642</v>
      </c>
    </row>
    <row r="14894">
      <c r="A14894" s="4">
        <v>390.0</v>
      </c>
      <c r="B14894" s="4" t="s">
        <v>22132</v>
      </c>
      <c r="C14894" s="4"/>
      <c r="D14894" s="4" t="s">
        <v>21332</v>
      </c>
      <c r="E14894" s="4" t="s">
        <v>21333</v>
      </c>
      <c r="F14894" s="4" t="s">
        <v>21334</v>
      </c>
    </row>
    <row r="14895">
      <c r="A14895" s="4">
        <v>391.0</v>
      </c>
      <c r="B14895" s="4" t="s">
        <v>22132</v>
      </c>
      <c r="C14895" s="4"/>
      <c r="D14895" s="4" t="s">
        <v>21335</v>
      </c>
      <c r="E14895" s="4" t="s">
        <v>21336</v>
      </c>
      <c r="F14895" s="4" t="s">
        <v>21337</v>
      </c>
    </row>
    <row r="14896">
      <c r="A14896" s="4">
        <v>392.0</v>
      </c>
      <c r="B14896" s="4" t="s">
        <v>22132</v>
      </c>
      <c r="C14896" s="4"/>
      <c r="D14896" s="4" t="s">
        <v>21338</v>
      </c>
      <c r="E14896" s="4" t="s">
        <v>21339</v>
      </c>
      <c r="F14896" s="4" t="s">
        <v>21340</v>
      </c>
      <c r="G14896" s="4"/>
      <c r="H14896" s="4" t="s">
        <v>21341</v>
      </c>
      <c r="I14896" s="4" t="s">
        <v>21342</v>
      </c>
    </row>
    <row r="14897">
      <c r="A14897" s="4">
        <v>393.0</v>
      </c>
      <c r="B14897" s="4" t="s">
        <v>22132</v>
      </c>
      <c r="C14897" s="4"/>
      <c r="D14897" s="4" t="s">
        <v>2293</v>
      </c>
      <c r="E14897" s="4" t="s">
        <v>2473</v>
      </c>
      <c r="F14897" s="4" t="s">
        <v>2293</v>
      </c>
      <c r="G14897" s="4"/>
      <c r="H14897" s="4" t="s">
        <v>2474</v>
      </c>
      <c r="I14897" s="4" t="s">
        <v>2475</v>
      </c>
      <c r="J14897" s="4" t="s">
        <v>2474</v>
      </c>
    </row>
    <row r="14898">
      <c r="A14898" s="4">
        <v>394.0</v>
      </c>
      <c r="B14898" s="4" t="s">
        <v>22132</v>
      </c>
      <c r="C14898" s="4"/>
      <c r="D14898" s="4" t="s">
        <v>21346</v>
      </c>
      <c r="E14898" s="4" t="s">
        <v>21347</v>
      </c>
      <c r="F14898" s="4" t="s">
        <v>21346</v>
      </c>
      <c r="G14898" s="4"/>
      <c r="H14898" s="4" t="s">
        <v>21348</v>
      </c>
      <c r="I14898" s="4" t="s">
        <v>15342</v>
      </c>
      <c r="J14898" s="4" t="s">
        <v>21349</v>
      </c>
    </row>
    <row r="14899">
      <c r="A14899" s="4">
        <v>395.0</v>
      </c>
      <c r="B14899" s="4" t="s">
        <v>22132</v>
      </c>
      <c r="C14899" s="4"/>
      <c r="D14899" s="4" t="s">
        <v>21350</v>
      </c>
      <c r="E14899" s="4" t="s">
        <v>21351</v>
      </c>
      <c r="F14899" s="4" t="s">
        <v>21350</v>
      </c>
    </row>
    <row r="14900">
      <c r="A14900" s="4">
        <v>396.0</v>
      </c>
      <c r="B14900" s="4" t="s">
        <v>22132</v>
      </c>
      <c r="C14900" s="4"/>
      <c r="D14900" s="4" t="s">
        <v>2499</v>
      </c>
      <c r="E14900" s="4" t="s">
        <v>2498</v>
      </c>
      <c r="F14900" s="4" t="s">
        <v>2499</v>
      </c>
    </row>
    <row r="14901">
      <c r="A14901" s="4">
        <v>397.0</v>
      </c>
      <c r="B14901" s="4" t="s">
        <v>22132</v>
      </c>
      <c r="C14901" s="4"/>
      <c r="D14901" s="4" t="s">
        <v>2479</v>
      </c>
      <c r="E14901" s="4" t="s">
        <v>2480</v>
      </c>
      <c r="F14901" s="4" t="s">
        <v>2481</v>
      </c>
    </row>
    <row r="14902">
      <c r="A14902" s="4">
        <v>398.0</v>
      </c>
      <c r="B14902" s="4" t="s">
        <v>22132</v>
      </c>
      <c r="C14902" s="4"/>
      <c r="D14902" s="4" t="s">
        <v>21352</v>
      </c>
      <c r="E14902" s="4" t="s">
        <v>21353</v>
      </c>
      <c r="F14902" s="4" t="s">
        <v>21354</v>
      </c>
    </row>
    <row r="14903">
      <c r="A14903" s="4">
        <v>399.0</v>
      </c>
      <c r="B14903" s="4" t="s">
        <v>22132</v>
      </c>
      <c r="C14903" s="4"/>
      <c r="D14903" s="4" t="s">
        <v>2493</v>
      </c>
      <c r="E14903" s="4" t="s">
        <v>2494</v>
      </c>
      <c r="F14903" s="4" t="s">
        <v>2493</v>
      </c>
    </row>
    <row r="14904">
      <c r="A14904" s="4">
        <v>400.0</v>
      </c>
      <c r="B14904" s="4" t="s">
        <v>22132</v>
      </c>
      <c r="C14904" s="4"/>
      <c r="D14904" s="4" t="s">
        <v>21355</v>
      </c>
      <c r="E14904" s="4" t="s">
        <v>21356</v>
      </c>
      <c r="F14904" s="4" t="s">
        <v>21355</v>
      </c>
    </row>
    <row r="14905">
      <c r="A14905" s="4">
        <v>401.0</v>
      </c>
      <c r="B14905" s="4" t="s">
        <v>22132</v>
      </c>
      <c r="C14905" s="4"/>
      <c r="D14905" s="4" t="s">
        <v>339</v>
      </c>
      <c r="E14905" s="4" t="s">
        <v>338</v>
      </c>
      <c r="F14905" s="4" t="s">
        <v>339</v>
      </c>
    </row>
    <row r="14906">
      <c r="A14906" s="4">
        <v>402.0</v>
      </c>
      <c r="B14906" s="4" t="s">
        <v>22132</v>
      </c>
      <c r="C14906" s="4"/>
      <c r="D14906" s="4" t="s">
        <v>2525</v>
      </c>
      <c r="E14906" s="4" t="s">
        <v>2524</v>
      </c>
      <c r="F14906" s="4" t="s">
        <v>2525</v>
      </c>
      <c r="G14906" s="4"/>
      <c r="H14906" s="4" t="s">
        <v>1743</v>
      </c>
      <c r="I14906" s="4" t="s">
        <v>2526</v>
      </c>
      <c r="J14906" s="4" t="s">
        <v>1743</v>
      </c>
      <c r="K14906" s="4" t="s">
        <v>2527</v>
      </c>
      <c r="L14906" s="4" t="s">
        <v>2528</v>
      </c>
      <c r="M14906" s="4" t="s">
        <v>2529</v>
      </c>
      <c r="N14906" s="4" t="s">
        <v>2530</v>
      </c>
      <c r="O14906" s="4" t="s">
        <v>2531</v>
      </c>
      <c r="P14906" s="4" t="s">
        <v>2532</v>
      </c>
      <c r="Q14906" s="4" t="s">
        <v>2533</v>
      </c>
      <c r="R14906" s="4" t="s">
        <v>1743</v>
      </c>
      <c r="S14906" s="4" t="s">
        <v>2534</v>
      </c>
      <c r="T14906" s="4" t="s">
        <v>2535</v>
      </c>
      <c r="U14906" s="4" t="s">
        <v>2536</v>
      </c>
      <c r="V14906" s="4" t="s">
        <v>781</v>
      </c>
      <c r="W14906" s="4" t="s">
        <v>2539</v>
      </c>
      <c r="X14906" s="4" t="s">
        <v>783</v>
      </c>
      <c r="Y14906" s="4" t="s">
        <v>1743</v>
      </c>
      <c r="Z14906" s="4" t="s">
        <v>2540</v>
      </c>
      <c r="AA14906" s="4" t="s">
        <v>2541</v>
      </c>
      <c r="AB14906" s="4" t="s">
        <v>2532</v>
      </c>
      <c r="AC14906" s="4" t="s">
        <v>2542</v>
      </c>
      <c r="AD14906" s="4" t="s">
        <v>2543</v>
      </c>
    </row>
    <row r="14907">
      <c r="A14907" s="4">
        <v>403.0</v>
      </c>
      <c r="B14907" s="4" t="s">
        <v>22132</v>
      </c>
      <c r="C14907" s="4"/>
      <c r="D14907" s="4" t="s">
        <v>21363</v>
      </c>
      <c r="E14907" s="4" t="s">
        <v>21364</v>
      </c>
      <c r="F14907" s="4" t="s">
        <v>21363</v>
      </c>
    </row>
    <row r="14908">
      <c r="A14908" s="4">
        <v>404.0</v>
      </c>
      <c r="B14908" s="4" t="s">
        <v>22132</v>
      </c>
      <c r="C14908" s="4"/>
      <c r="D14908" s="4" t="s">
        <v>2445</v>
      </c>
      <c r="E14908" s="4" t="s">
        <v>2444</v>
      </c>
      <c r="F14908" s="4" t="s">
        <v>2445</v>
      </c>
    </row>
    <row r="14909">
      <c r="A14909" s="4">
        <v>405.0</v>
      </c>
      <c r="B14909" s="4" t="s">
        <v>22132</v>
      </c>
      <c r="C14909" s="4"/>
      <c r="D14909" s="4" t="s">
        <v>21373</v>
      </c>
      <c r="E14909" s="4" t="s">
        <v>21374</v>
      </c>
      <c r="F14909" s="4" t="s">
        <v>21373</v>
      </c>
      <c r="G14909" s="4"/>
      <c r="H14909" s="4" t="s">
        <v>21375</v>
      </c>
      <c r="I14909" s="4" t="s">
        <v>2576</v>
      </c>
      <c r="J14909" s="4" t="s">
        <v>2577</v>
      </c>
      <c r="K14909" s="4" t="s">
        <v>2578</v>
      </c>
      <c r="L14909" s="4" t="s">
        <v>2579</v>
      </c>
      <c r="M14909" s="4" t="s">
        <v>21375</v>
      </c>
    </row>
    <row r="14910">
      <c r="A14910" s="4">
        <v>406.0</v>
      </c>
      <c r="B14910" s="4" t="s">
        <v>22132</v>
      </c>
      <c r="C14910" s="4"/>
      <c r="D14910" s="4" t="s">
        <v>21376</v>
      </c>
      <c r="E14910" s="4" t="s">
        <v>21377</v>
      </c>
      <c r="F14910" s="4" t="s">
        <v>21376</v>
      </c>
    </row>
    <row r="14911">
      <c r="A14911" s="4">
        <v>407.0</v>
      </c>
      <c r="B14911" s="4" t="s">
        <v>22132</v>
      </c>
      <c r="C14911" s="4"/>
      <c r="D14911" s="4" t="s">
        <v>342</v>
      </c>
      <c r="E14911" s="4" t="s">
        <v>341</v>
      </c>
      <c r="F14911" s="4" t="s">
        <v>342</v>
      </c>
    </row>
    <row r="14912">
      <c r="A14912" s="4">
        <v>408.0</v>
      </c>
      <c r="B14912" s="4" t="s">
        <v>22132</v>
      </c>
      <c r="C14912" s="4"/>
      <c r="D14912" s="4" t="s">
        <v>12868</v>
      </c>
      <c r="E14912" s="4" t="s">
        <v>12869</v>
      </c>
      <c r="F14912" s="4" t="s">
        <v>12870</v>
      </c>
    </row>
    <row r="14913">
      <c r="A14913" s="4">
        <v>409.0</v>
      </c>
      <c r="B14913" s="4" t="s">
        <v>22132</v>
      </c>
      <c r="C14913" s="4"/>
      <c r="D14913" s="4" t="s">
        <v>2599</v>
      </c>
      <c r="E14913" s="4" t="s">
        <v>2600</v>
      </c>
      <c r="F14913" s="4" t="s">
        <v>2601</v>
      </c>
      <c r="G14913" s="4"/>
      <c r="H14913" s="4" t="s">
        <v>2599</v>
      </c>
      <c r="I14913" s="4" t="s">
        <v>2613</v>
      </c>
    </row>
    <row r="14914">
      <c r="A14914" s="4">
        <v>410.0</v>
      </c>
      <c r="B14914" s="4" t="s">
        <v>22132</v>
      </c>
      <c r="C14914" s="4"/>
      <c r="D14914" s="4" t="s">
        <v>18246</v>
      </c>
      <c r="E14914" s="4" t="s">
        <v>14643</v>
      </c>
      <c r="F14914" s="4" t="s">
        <v>2601</v>
      </c>
    </row>
    <row r="14915">
      <c r="A14915" s="4">
        <v>411.0</v>
      </c>
      <c r="B14915" s="4" t="s">
        <v>22132</v>
      </c>
      <c r="C14915" s="4"/>
      <c r="D14915" s="4" t="s">
        <v>2622</v>
      </c>
      <c r="E14915" s="4" t="s">
        <v>2623</v>
      </c>
      <c r="F14915" s="4" t="s">
        <v>2622</v>
      </c>
      <c r="G14915" s="4"/>
      <c r="H14915" s="4" t="s">
        <v>2622</v>
      </c>
      <c r="I14915" s="4" t="s">
        <v>2624</v>
      </c>
      <c r="J14915" s="4" t="s">
        <v>2625</v>
      </c>
      <c r="K14915" s="4">
        <v>1000.0</v>
      </c>
      <c r="L14915" s="4" t="s">
        <v>2628</v>
      </c>
      <c r="M14915" s="4" t="s">
        <v>2629</v>
      </c>
      <c r="N14915" s="4" t="s">
        <v>2630</v>
      </c>
      <c r="O14915" s="4" t="s">
        <v>2631</v>
      </c>
      <c r="P14915" s="4" t="s">
        <v>2632</v>
      </c>
      <c r="Q14915" s="4" t="s">
        <v>2633</v>
      </c>
      <c r="R14915" s="4" t="s">
        <v>2634</v>
      </c>
    </row>
    <row r="14916">
      <c r="A14916" s="4">
        <v>412.0</v>
      </c>
      <c r="B14916" s="4" t="s">
        <v>22132</v>
      </c>
      <c r="C14916" s="4"/>
      <c r="D14916" s="4" t="s">
        <v>16790</v>
      </c>
      <c r="E14916" s="4" t="s">
        <v>16791</v>
      </c>
      <c r="F14916" s="4" t="s">
        <v>16790</v>
      </c>
    </row>
    <row r="14917">
      <c r="A14917" s="4">
        <v>413.0</v>
      </c>
      <c r="B14917" s="4" t="s">
        <v>22132</v>
      </c>
      <c r="C14917" s="4"/>
      <c r="D14917" s="4" t="s">
        <v>21387</v>
      </c>
      <c r="E14917" s="4" t="s">
        <v>21388</v>
      </c>
      <c r="F14917" s="4" t="s">
        <v>21387</v>
      </c>
      <c r="G14917" s="4"/>
      <c r="H14917" s="4" t="s">
        <v>21389</v>
      </c>
      <c r="I14917" s="4" t="s">
        <v>21390</v>
      </c>
      <c r="J14917" s="4" t="s">
        <v>8941</v>
      </c>
      <c r="K14917" s="4" t="s">
        <v>9618</v>
      </c>
      <c r="L14917" s="4" t="s">
        <v>21391</v>
      </c>
    </row>
    <row r="14918">
      <c r="A14918" s="4">
        <v>414.0</v>
      </c>
      <c r="B14918" s="4" t="s">
        <v>22132</v>
      </c>
      <c r="C14918" s="4"/>
      <c r="D14918" s="4" t="s">
        <v>2695</v>
      </c>
      <c r="E14918" s="4" t="s">
        <v>2696</v>
      </c>
      <c r="F14918" s="4" t="s">
        <v>2695</v>
      </c>
      <c r="G14918" s="4"/>
      <c r="H14918" s="4" t="s">
        <v>648</v>
      </c>
      <c r="I14918" s="4" t="s">
        <v>2697</v>
      </c>
      <c r="J14918" s="4" t="s">
        <v>2698</v>
      </c>
      <c r="K14918" s="4" t="s">
        <v>2698</v>
      </c>
      <c r="L14918" s="4" t="s">
        <v>21392</v>
      </c>
    </row>
    <row r="14919">
      <c r="A14919" s="4">
        <v>415.0</v>
      </c>
      <c r="B14919" s="4" t="s">
        <v>22132</v>
      </c>
      <c r="C14919" s="4"/>
      <c r="D14919" s="4" t="s">
        <v>2699</v>
      </c>
      <c r="E14919" s="4" t="s">
        <v>2701</v>
      </c>
      <c r="F14919" s="4" t="s">
        <v>2699</v>
      </c>
      <c r="G14919" s="4"/>
      <c r="H14919" s="4" t="s">
        <v>2698</v>
      </c>
      <c r="I14919" s="4" t="s">
        <v>21393</v>
      </c>
      <c r="J14919" s="4" t="s">
        <v>21394</v>
      </c>
    </row>
    <row r="14920">
      <c r="A14920" s="4">
        <v>416.0</v>
      </c>
      <c r="B14920" s="4" t="s">
        <v>22132</v>
      </c>
      <c r="C14920" s="4"/>
      <c r="D14920" s="4" t="s">
        <v>12891</v>
      </c>
      <c r="E14920" s="4" t="s">
        <v>12893</v>
      </c>
      <c r="F14920" s="4" t="s">
        <v>12891</v>
      </c>
    </row>
    <row r="14921">
      <c r="A14921" s="4">
        <v>417.0</v>
      </c>
      <c r="B14921" s="4" t="s">
        <v>22132</v>
      </c>
      <c r="C14921" s="4"/>
      <c r="D14921" s="4" t="s">
        <v>21395</v>
      </c>
      <c r="E14921" s="4" t="s">
        <v>21396</v>
      </c>
      <c r="F14921" s="4" t="s">
        <v>21395</v>
      </c>
    </row>
    <row r="14922">
      <c r="A14922" s="4">
        <v>418.0</v>
      </c>
      <c r="B14922" s="4" t="s">
        <v>22132</v>
      </c>
      <c r="C14922" s="4"/>
      <c r="D14922" s="4" t="s">
        <v>2896</v>
      </c>
      <c r="E14922" s="4" t="s">
        <v>12908</v>
      </c>
      <c r="F14922" s="4" t="s">
        <v>2896</v>
      </c>
    </row>
    <row r="14923">
      <c r="A14923" s="4">
        <v>419.0</v>
      </c>
      <c r="B14923" s="4" t="s">
        <v>22132</v>
      </c>
      <c r="C14923" s="4"/>
      <c r="D14923" s="4" t="s">
        <v>2702</v>
      </c>
      <c r="E14923" s="4" t="s">
        <v>2703</v>
      </c>
      <c r="F14923" s="4" t="s">
        <v>2702</v>
      </c>
    </row>
    <row r="14924">
      <c r="A14924" s="4">
        <v>420.0</v>
      </c>
      <c r="B14924" s="4" t="s">
        <v>22132</v>
      </c>
      <c r="C14924" s="4"/>
      <c r="D14924" s="4" t="s">
        <v>14212</v>
      </c>
      <c r="E14924" s="4" t="s">
        <v>14213</v>
      </c>
      <c r="F14924" s="4" t="s">
        <v>14212</v>
      </c>
      <c r="G14924" s="4"/>
      <c r="H14924" s="4" t="s">
        <v>14214</v>
      </c>
      <c r="I14924" s="4" t="s">
        <v>14215</v>
      </c>
      <c r="J14924" s="4" t="s">
        <v>1063</v>
      </c>
      <c r="K14924" s="4" t="s">
        <v>7918</v>
      </c>
      <c r="L14924" s="4" t="s">
        <v>7919</v>
      </c>
      <c r="M14924" s="4" t="s">
        <v>6669</v>
      </c>
      <c r="N14924" s="4" t="s">
        <v>14216</v>
      </c>
      <c r="O14924" s="4" t="s">
        <v>6686</v>
      </c>
      <c r="P14924" s="4" t="s">
        <v>14214</v>
      </c>
      <c r="Q14924" s="4" t="s">
        <v>14214</v>
      </c>
      <c r="R14924" s="4" t="s">
        <v>6682</v>
      </c>
      <c r="S14924" s="4" t="s">
        <v>6669</v>
      </c>
      <c r="T14924" s="4" t="s">
        <v>4619</v>
      </c>
      <c r="U14924" s="4" t="s">
        <v>19668</v>
      </c>
    </row>
    <row r="14925">
      <c r="A14925" s="4">
        <v>421.0</v>
      </c>
      <c r="B14925" s="4" t="s">
        <v>22132</v>
      </c>
      <c r="C14925" s="4"/>
      <c r="D14925" s="4" t="s">
        <v>2711</v>
      </c>
      <c r="E14925" s="4" t="s">
        <v>2710</v>
      </c>
      <c r="F14925" s="4" t="s">
        <v>2711</v>
      </c>
    </row>
    <row r="14926">
      <c r="A14926" s="4">
        <v>422.0</v>
      </c>
      <c r="B14926" s="4" t="s">
        <v>22132</v>
      </c>
      <c r="C14926" s="4"/>
      <c r="D14926" s="4" t="s">
        <v>2714</v>
      </c>
      <c r="E14926" s="4" t="s">
        <v>2713</v>
      </c>
      <c r="F14926" s="4" t="s">
        <v>2714</v>
      </c>
      <c r="G14926" s="4"/>
      <c r="H14926" s="4" t="s">
        <v>2715</v>
      </c>
      <c r="I14926" s="4" t="s">
        <v>2715</v>
      </c>
    </row>
    <row r="14927">
      <c r="A14927" s="4">
        <v>423.0</v>
      </c>
      <c r="B14927" s="4" t="s">
        <v>22132</v>
      </c>
      <c r="C14927" s="4"/>
      <c r="D14927" s="4" t="s">
        <v>12921</v>
      </c>
      <c r="E14927" s="4" t="s">
        <v>12920</v>
      </c>
      <c r="F14927" s="4" t="s">
        <v>12921</v>
      </c>
    </row>
    <row r="14928">
      <c r="A14928" s="4">
        <v>424.0</v>
      </c>
      <c r="B14928" s="4" t="s">
        <v>22132</v>
      </c>
      <c r="C14928" s="4"/>
      <c r="D14928" s="4" t="s">
        <v>2718</v>
      </c>
      <c r="E14928" s="4" t="s">
        <v>2717</v>
      </c>
      <c r="F14928" s="4" t="s">
        <v>2718</v>
      </c>
    </row>
    <row r="14929">
      <c r="A14929" s="4">
        <v>425.0</v>
      </c>
      <c r="B14929" s="4" t="s">
        <v>22132</v>
      </c>
      <c r="C14929" s="4"/>
      <c r="D14929" s="4" t="s">
        <v>21399</v>
      </c>
      <c r="E14929" s="4" t="s">
        <v>2717</v>
      </c>
      <c r="F14929" s="4" t="s">
        <v>2718</v>
      </c>
    </row>
    <row r="14930">
      <c r="A14930" s="4">
        <v>426.0</v>
      </c>
      <c r="B14930" s="4" t="s">
        <v>22132</v>
      </c>
      <c r="C14930" s="4"/>
      <c r="D14930" s="4" t="s">
        <v>2709</v>
      </c>
      <c r="E14930" s="4" t="s">
        <v>2710</v>
      </c>
      <c r="F14930" s="4" t="s">
        <v>2711</v>
      </c>
    </row>
    <row r="14931">
      <c r="A14931" s="4">
        <v>427.0</v>
      </c>
      <c r="B14931" s="4" t="s">
        <v>22132</v>
      </c>
      <c r="C14931" s="4"/>
      <c r="D14931" s="4" t="s">
        <v>21402</v>
      </c>
      <c r="E14931" s="4" t="s">
        <v>21403</v>
      </c>
      <c r="F14931" s="4" t="s">
        <v>21402</v>
      </c>
    </row>
    <row r="14932">
      <c r="A14932" s="4">
        <v>428.0</v>
      </c>
      <c r="B14932" s="4" t="s">
        <v>22132</v>
      </c>
      <c r="C14932" s="4"/>
      <c r="D14932" s="4" t="s">
        <v>21405</v>
      </c>
      <c r="E14932" s="4" t="s">
        <v>21406</v>
      </c>
      <c r="F14932" s="4" t="s">
        <v>21407</v>
      </c>
    </row>
    <row r="14933">
      <c r="A14933" s="4">
        <v>429.0</v>
      </c>
      <c r="B14933" s="4" t="s">
        <v>22132</v>
      </c>
      <c r="C14933" s="4"/>
      <c r="D14933" s="4" t="s">
        <v>2786</v>
      </c>
      <c r="E14933" s="4" t="s">
        <v>2787</v>
      </c>
      <c r="F14933" s="4" t="s">
        <v>2786</v>
      </c>
      <c r="G14933" s="4"/>
      <c r="H14933" s="4" t="s">
        <v>2785</v>
      </c>
      <c r="I14933" s="4" t="s">
        <v>6237</v>
      </c>
    </row>
    <row r="14934">
      <c r="A14934" s="4">
        <v>430.0</v>
      </c>
      <c r="B14934" s="4" t="s">
        <v>22132</v>
      </c>
      <c r="C14934" s="4"/>
      <c r="D14934" s="4" t="s">
        <v>2788</v>
      </c>
      <c r="E14934" s="4" t="s">
        <v>2789</v>
      </c>
      <c r="F14934" s="4" t="s">
        <v>2788</v>
      </c>
    </row>
    <row r="14935">
      <c r="A14935" s="4">
        <v>431.0</v>
      </c>
      <c r="B14935" s="4" t="s">
        <v>22132</v>
      </c>
      <c r="C14935" s="4"/>
      <c r="D14935" s="4" t="s">
        <v>21414</v>
      </c>
      <c r="E14935" s="4" t="s">
        <v>2787</v>
      </c>
      <c r="F14935" s="4" t="s">
        <v>2786</v>
      </c>
    </row>
    <row r="14936">
      <c r="A14936" s="4">
        <v>432.0</v>
      </c>
      <c r="B14936" s="4" t="s">
        <v>22132</v>
      </c>
      <c r="C14936" s="4"/>
      <c r="D14936" s="4" t="s">
        <v>19237</v>
      </c>
      <c r="E14936" s="4" t="s">
        <v>19238</v>
      </c>
      <c r="F14936" s="4" t="s">
        <v>19237</v>
      </c>
    </row>
    <row r="14937">
      <c r="A14937" s="4">
        <v>433.0</v>
      </c>
      <c r="B14937" s="4" t="s">
        <v>22132</v>
      </c>
      <c r="C14937" s="4"/>
      <c r="D14937" s="4" t="s">
        <v>2833</v>
      </c>
      <c r="E14937" s="4" t="s">
        <v>2834</v>
      </c>
      <c r="F14937" s="4" t="s">
        <v>2833</v>
      </c>
    </row>
    <row r="14938">
      <c r="A14938" s="4">
        <v>434.0</v>
      </c>
      <c r="B14938" s="4" t="s">
        <v>22132</v>
      </c>
      <c r="C14938" s="4"/>
      <c r="D14938" s="4" t="s">
        <v>2743</v>
      </c>
      <c r="E14938" s="4" t="s">
        <v>2742</v>
      </c>
      <c r="F14938" s="4" t="s">
        <v>2743</v>
      </c>
      <c r="G14938" s="4"/>
      <c r="H14938" s="4" t="s">
        <v>2743</v>
      </c>
    </row>
    <row r="14939">
      <c r="A14939" s="4">
        <v>435.0</v>
      </c>
      <c r="B14939" s="4" t="s">
        <v>22132</v>
      </c>
      <c r="C14939" s="4"/>
      <c r="D14939" s="4" t="s">
        <v>2841</v>
      </c>
      <c r="E14939" s="4" t="s">
        <v>2844</v>
      </c>
      <c r="F14939" s="4" t="s">
        <v>2841</v>
      </c>
    </row>
    <row r="14940">
      <c r="A14940" s="4">
        <v>436.0</v>
      </c>
      <c r="B14940" s="4" t="s">
        <v>22132</v>
      </c>
      <c r="C14940" s="4"/>
      <c r="D14940" s="4" t="s">
        <v>13003</v>
      </c>
      <c r="E14940" s="4" t="s">
        <v>13002</v>
      </c>
      <c r="F14940" s="4" t="s">
        <v>13003</v>
      </c>
      <c r="G14940" s="4"/>
      <c r="H14940" s="4" t="s">
        <v>16434</v>
      </c>
    </row>
    <row r="14941">
      <c r="A14941" s="4">
        <v>437.0</v>
      </c>
      <c r="B14941" s="4" t="s">
        <v>22132</v>
      </c>
      <c r="C14941" s="4"/>
      <c r="D14941" s="4" t="s">
        <v>2847</v>
      </c>
      <c r="E14941" s="4" t="s">
        <v>2846</v>
      </c>
      <c r="F14941" s="4" t="s">
        <v>2847</v>
      </c>
      <c r="G14941" s="4"/>
      <c r="H14941" s="4" t="s">
        <v>21415</v>
      </c>
      <c r="I14941" s="4" t="s">
        <v>21416</v>
      </c>
    </row>
    <row r="14942">
      <c r="A14942" s="4">
        <v>438.0</v>
      </c>
      <c r="B14942" s="4" t="s">
        <v>22132</v>
      </c>
      <c r="C14942" s="4"/>
      <c r="D14942" s="4" t="s">
        <v>21417</v>
      </c>
      <c r="E14942" s="4" t="s">
        <v>21418</v>
      </c>
      <c r="F14942" s="4" t="s">
        <v>21417</v>
      </c>
    </row>
    <row r="14943">
      <c r="A14943" s="4">
        <v>439.0</v>
      </c>
      <c r="B14943" s="4" t="s">
        <v>22132</v>
      </c>
      <c r="C14943" s="4"/>
      <c r="D14943" s="4" t="s">
        <v>21419</v>
      </c>
      <c r="E14943" s="4" t="s">
        <v>21420</v>
      </c>
      <c r="F14943" s="4" t="s">
        <v>21421</v>
      </c>
      <c r="G14943" s="4"/>
      <c r="H14943" s="4" t="s">
        <v>21419</v>
      </c>
      <c r="I14943" s="4" t="s">
        <v>21419</v>
      </c>
      <c r="J14943" s="4" t="s">
        <v>11145</v>
      </c>
    </row>
    <row r="14944">
      <c r="A14944" s="4">
        <v>440.0</v>
      </c>
      <c r="B14944" s="4" t="s">
        <v>22132</v>
      </c>
      <c r="C14944" s="4"/>
      <c r="D14944" s="4" t="s">
        <v>21426</v>
      </c>
      <c r="E14944" s="4" t="s">
        <v>21427</v>
      </c>
      <c r="F14944" s="4" t="s">
        <v>21426</v>
      </c>
    </row>
    <row r="14945">
      <c r="A14945" s="4">
        <v>441.0</v>
      </c>
      <c r="B14945" s="4" t="s">
        <v>22132</v>
      </c>
      <c r="C14945" s="4"/>
      <c r="D14945" s="4" t="s">
        <v>21428</v>
      </c>
      <c r="E14945" s="4" t="s">
        <v>2863</v>
      </c>
      <c r="F14945" s="4" t="s">
        <v>2864</v>
      </c>
    </row>
    <row r="14946">
      <c r="A14946" s="4">
        <v>442.0</v>
      </c>
      <c r="B14946" s="4" t="s">
        <v>22132</v>
      </c>
      <c r="C14946" s="4"/>
      <c r="D14946" s="4" t="s">
        <v>21429</v>
      </c>
      <c r="E14946" s="4" t="s">
        <v>21430</v>
      </c>
      <c r="F14946" s="4" t="s">
        <v>21431</v>
      </c>
    </row>
    <row r="14947">
      <c r="A14947" s="4">
        <v>443.0</v>
      </c>
      <c r="B14947" s="4" t="s">
        <v>22132</v>
      </c>
      <c r="C14947" s="4"/>
      <c r="D14947" s="4" t="s">
        <v>19243</v>
      </c>
      <c r="E14947" s="4" t="s">
        <v>2872</v>
      </c>
      <c r="F14947" s="4" t="s">
        <v>2873</v>
      </c>
      <c r="G14947" s="4"/>
      <c r="H14947" s="4" t="s">
        <v>1301</v>
      </c>
      <c r="I14947" s="4" t="s">
        <v>19244</v>
      </c>
      <c r="J14947" s="4" t="s">
        <v>19245</v>
      </c>
      <c r="K14947" s="4" t="s">
        <v>2874</v>
      </c>
      <c r="L14947" s="4" t="s">
        <v>19246</v>
      </c>
      <c r="M14947" s="4" t="s">
        <v>2874</v>
      </c>
      <c r="N14947" s="4" t="s">
        <v>2874</v>
      </c>
      <c r="O14947" s="4" t="s">
        <v>2875</v>
      </c>
      <c r="P14947" s="4" t="s">
        <v>2874</v>
      </c>
    </row>
    <row r="14948">
      <c r="A14948" s="4">
        <v>444.0</v>
      </c>
      <c r="B14948" s="4" t="s">
        <v>22132</v>
      </c>
      <c r="C14948" s="4"/>
      <c r="D14948" s="4" t="s">
        <v>21432</v>
      </c>
      <c r="E14948" s="4" t="s">
        <v>338</v>
      </c>
      <c r="F14948" s="4" t="s">
        <v>339</v>
      </c>
    </row>
    <row r="14949">
      <c r="A14949" s="4">
        <v>445.0</v>
      </c>
      <c r="B14949" s="4" t="s">
        <v>22132</v>
      </c>
      <c r="C14949" s="4"/>
      <c r="D14949" s="4" t="s">
        <v>21433</v>
      </c>
      <c r="E14949" s="4" t="s">
        <v>341</v>
      </c>
      <c r="F14949" s="4" t="s">
        <v>342</v>
      </c>
    </row>
    <row r="14950">
      <c r="A14950" s="4">
        <v>446.0</v>
      </c>
      <c r="B14950" s="4" t="s">
        <v>22132</v>
      </c>
      <c r="C14950" s="4"/>
      <c r="D14950" s="4" t="s">
        <v>2879</v>
      </c>
      <c r="E14950" s="4" t="s">
        <v>2880</v>
      </c>
      <c r="F14950" s="4" t="s">
        <v>2881</v>
      </c>
      <c r="G14950" s="4"/>
      <c r="H14950" s="4" t="s">
        <v>2886</v>
      </c>
      <c r="I14950" s="4" t="s">
        <v>2887</v>
      </c>
    </row>
    <row r="14951">
      <c r="A14951" s="4">
        <v>447.0</v>
      </c>
      <c r="B14951" s="4" t="s">
        <v>22132</v>
      </c>
      <c r="C14951" s="4"/>
      <c r="D14951" s="4" t="s">
        <v>21434</v>
      </c>
      <c r="E14951" s="4" t="s">
        <v>21435</v>
      </c>
      <c r="F14951" s="4" t="s">
        <v>21436</v>
      </c>
    </row>
    <row r="14952">
      <c r="A14952" s="4">
        <v>448.0</v>
      </c>
      <c r="B14952" s="4" t="s">
        <v>22132</v>
      </c>
      <c r="C14952" s="4"/>
      <c r="D14952" s="4" t="s">
        <v>2902</v>
      </c>
      <c r="E14952" s="4" t="s">
        <v>2903</v>
      </c>
      <c r="F14952" s="4" t="s">
        <v>2904</v>
      </c>
    </row>
    <row r="14953">
      <c r="A14953" s="4">
        <v>449.0</v>
      </c>
      <c r="B14953" s="4" t="s">
        <v>22132</v>
      </c>
      <c r="C14953" s="4"/>
      <c r="D14953" s="4" t="s">
        <v>21437</v>
      </c>
      <c r="E14953" s="4" t="s">
        <v>21438</v>
      </c>
      <c r="F14953" s="4" t="s">
        <v>21439</v>
      </c>
    </row>
    <row r="14954">
      <c r="A14954" s="4">
        <v>450.0</v>
      </c>
      <c r="B14954" s="4" t="s">
        <v>22132</v>
      </c>
      <c r="C14954" s="4"/>
      <c r="D14954" s="4" t="s">
        <v>21442</v>
      </c>
      <c r="E14954" s="4" t="s">
        <v>2812</v>
      </c>
      <c r="F14954" s="4" t="s">
        <v>2813</v>
      </c>
    </row>
    <row r="14955">
      <c r="A14955" s="4">
        <v>451.0</v>
      </c>
      <c r="B14955" s="4" t="s">
        <v>22132</v>
      </c>
      <c r="C14955" s="4"/>
      <c r="D14955" s="4" t="s">
        <v>21443</v>
      </c>
      <c r="E14955" s="4" t="s">
        <v>21444</v>
      </c>
      <c r="F14955" s="4" t="s">
        <v>21445</v>
      </c>
      <c r="G14955" s="4"/>
      <c r="H14955" s="4" t="s">
        <v>4849</v>
      </c>
      <c r="I14955" s="4" t="s">
        <v>4849</v>
      </c>
      <c r="J14955" s="4" t="s">
        <v>21446</v>
      </c>
      <c r="K14955" s="4" t="s">
        <v>4849</v>
      </c>
    </row>
    <row r="14956">
      <c r="A14956" s="4">
        <v>452.0</v>
      </c>
      <c r="B14956" s="4" t="s">
        <v>22132</v>
      </c>
      <c r="C14956" s="4"/>
      <c r="D14956" s="4" t="s">
        <v>16802</v>
      </c>
      <c r="E14956" s="4" t="s">
        <v>16803</v>
      </c>
      <c r="F14956" s="4" t="s">
        <v>16804</v>
      </c>
    </row>
    <row r="14957">
      <c r="A14957" s="4">
        <v>453.0</v>
      </c>
      <c r="B14957" s="4" t="s">
        <v>22132</v>
      </c>
      <c r="C14957" s="4"/>
      <c r="D14957" s="4" t="s">
        <v>21447</v>
      </c>
      <c r="E14957" s="4" t="s">
        <v>18340</v>
      </c>
      <c r="F14957" s="4" t="s">
        <v>18341</v>
      </c>
    </row>
    <row r="14958">
      <c r="A14958" s="4">
        <v>454.0</v>
      </c>
      <c r="B14958" s="4" t="s">
        <v>22132</v>
      </c>
      <c r="C14958" s="4"/>
      <c r="D14958" s="4" t="s">
        <v>21451</v>
      </c>
      <c r="E14958" s="4" t="s">
        <v>21452</v>
      </c>
      <c r="F14958" s="4" t="s">
        <v>21453</v>
      </c>
    </row>
    <row r="14959">
      <c r="A14959" s="4">
        <v>455.0</v>
      </c>
      <c r="B14959" s="4" t="s">
        <v>22132</v>
      </c>
      <c r="C14959" s="4"/>
      <c r="D14959" s="4" t="s">
        <v>2923</v>
      </c>
      <c r="E14959" s="4" t="s">
        <v>2924</v>
      </c>
      <c r="F14959" s="4" t="s">
        <v>2923</v>
      </c>
      <c r="G14959" s="4"/>
      <c r="H14959" s="4" t="s">
        <v>1878</v>
      </c>
      <c r="I14959" s="4" t="s">
        <v>1879</v>
      </c>
      <c r="J14959" s="4" t="s">
        <v>1880</v>
      </c>
      <c r="K14959" s="4" t="s">
        <v>1881</v>
      </c>
      <c r="L14959" s="4" t="s">
        <v>1882</v>
      </c>
      <c r="N14959" s="4" t="s">
        <v>1883</v>
      </c>
    </row>
    <row r="14960">
      <c r="A14960" s="4">
        <v>456.0</v>
      </c>
      <c r="B14960" s="4" t="s">
        <v>22132</v>
      </c>
      <c r="C14960" s="4"/>
      <c r="D14960" s="4" t="s">
        <v>13051</v>
      </c>
      <c r="E14960" s="4" t="s">
        <v>15274</v>
      </c>
      <c r="F14960" s="4" t="s">
        <v>13051</v>
      </c>
    </row>
    <row r="14961">
      <c r="A14961" s="4">
        <v>457.0</v>
      </c>
      <c r="B14961" s="4" t="s">
        <v>22132</v>
      </c>
      <c r="C14961" s="4"/>
      <c r="D14961" s="4" t="s">
        <v>19266</v>
      </c>
      <c r="E14961" s="4" t="s">
        <v>19267</v>
      </c>
      <c r="F14961" s="4" t="s">
        <v>19266</v>
      </c>
      <c r="G14961" s="4"/>
      <c r="H14961" s="4" t="s">
        <v>19268</v>
      </c>
      <c r="I14961" s="4" t="s">
        <v>19269</v>
      </c>
    </row>
    <row r="14962">
      <c r="A14962" s="4">
        <v>458.0</v>
      </c>
      <c r="B14962" s="4" t="s">
        <v>22132</v>
      </c>
      <c r="C14962" s="4"/>
      <c r="D14962" s="4" t="s">
        <v>21454</v>
      </c>
      <c r="E14962" s="4" t="s">
        <v>21455</v>
      </c>
      <c r="F14962" s="4" t="s">
        <v>21454</v>
      </c>
    </row>
    <row r="14963">
      <c r="A14963" s="4">
        <v>459.0</v>
      </c>
      <c r="B14963" s="4" t="s">
        <v>22132</v>
      </c>
      <c r="C14963" s="4"/>
      <c r="D14963" s="4" t="s">
        <v>21456</v>
      </c>
      <c r="E14963" s="4" t="s">
        <v>21457</v>
      </c>
      <c r="F14963" s="4" t="s">
        <v>21456</v>
      </c>
      <c r="G14963" s="4"/>
      <c r="H14963" s="4" t="s">
        <v>21458</v>
      </c>
      <c r="I14963" s="4" t="s">
        <v>21456</v>
      </c>
      <c r="J14963" s="4" t="s">
        <v>21459</v>
      </c>
    </row>
    <row r="14964">
      <c r="A14964" s="4">
        <v>460.0</v>
      </c>
      <c r="B14964" s="4" t="s">
        <v>22132</v>
      </c>
      <c r="C14964" s="4"/>
      <c r="D14964" s="4" t="s">
        <v>389</v>
      </c>
      <c r="E14964" s="4" t="s">
        <v>388</v>
      </c>
      <c r="F14964" s="4" t="s">
        <v>389</v>
      </c>
    </row>
    <row r="14965">
      <c r="A14965" s="4">
        <v>461.0</v>
      </c>
      <c r="B14965" s="4" t="s">
        <v>22132</v>
      </c>
      <c r="C14965" s="4"/>
      <c r="D14965" s="4" t="s">
        <v>6994</v>
      </c>
      <c r="E14965" s="4" t="s">
        <v>13093</v>
      </c>
      <c r="F14965" s="4" t="s">
        <v>6994</v>
      </c>
    </row>
    <row r="14966">
      <c r="A14966" s="4">
        <v>462.0</v>
      </c>
      <c r="B14966" s="4" t="s">
        <v>22132</v>
      </c>
      <c r="C14966" s="4"/>
      <c r="D14966" s="4" t="s">
        <v>21463</v>
      </c>
      <c r="E14966" s="4" t="s">
        <v>21464</v>
      </c>
      <c r="F14966" s="4" t="s">
        <v>21463</v>
      </c>
      <c r="G14966" s="4"/>
      <c r="H14966" s="4" t="s">
        <v>4701</v>
      </c>
      <c r="I14966" s="4" t="s">
        <v>2283</v>
      </c>
      <c r="J14966" s="4" t="s">
        <v>21465</v>
      </c>
      <c r="K14966" s="4" t="s">
        <v>6861</v>
      </c>
      <c r="L14966" s="4" t="s">
        <v>21466</v>
      </c>
      <c r="M14966" s="4" t="s">
        <v>6861</v>
      </c>
      <c r="N14966" s="4" t="s">
        <v>2709</v>
      </c>
      <c r="O14966" s="4" t="s">
        <v>6862</v>
      </c>
      <c r="P14966" s="4" t="s">
        <v>6863</v>
      </c>
      <c r="Q14966" s="4" t="s">
        <v>6864</v>
      </c>
      <c r="R14966" s="4" t="s">
        <v>6865</v>
      </c>
      <c r="S14966" s="4" t="s">
        <v>6581</v>
      </c>
      <c r="T14966" s="4" t="s">
        <v>6582</v>
      </c>
      <c r="U14966" s="4" t="s">
        <v>6583</v>
      </c>
      <c r="V14966" s="4" t="s">
        <v>6584</v>
      </c>
    </row>
    <row r="14967">
      <c r="A14967" s="4">
        <v>463.0</v>
      </c>
      <c r="B14967" s="4" t="s">
        <v>22132</v>
      </c>
      <c r="C14967" s="4"/>
      <c r="D14967" s="4" t="s">
        <v>3037</v>
      </c>
      <c r="E14967" s="4" t="s">
        <v>3038</v>
      </c>
      <c r="F14967" s="4" t="s">
        <v>3039</v>
      </c>
      <c r="G14967" s="4"/>
      <c r="H14967" s="4" t="s">
        <v>3040</v>
      </c>
      <c r="I14967" s="4" t="s">
        <v>3041</v>
      </c>
      <c r="J14967" s="4" t="s">
        <v>3042</v>
      </c>
    </row>
    <row r="14968">
      <c r="A14968" s="4">
        <v>464.0</v>
      </c>
      <c r="B14968" s="4" t="s">
        <v>22132</v>
      </c>
      <c r="C14968" s="4"/>
      <c r="D14968" s="4" t="s">
        <v>21467</v>
      </c>
      <c r="E14968" s="4" t="s">
        <v>388</v>
      </c>
      <c r="F14968" s="4" t="s">
        <v>389</v>
      </c>
      <c r="G14968" s="4"/>
      <c r="H14968" s="4" t="s">
        <v>21468</v>
      </c>
      <c r="I14968" s="4" t="s">
        <v>21469</v>
      </c>
      <c r="J14968" s="4" t="s">
        <v>21470</v>
      </c>
      <c r="K14968" s="4" t="s">
        <v>21471</v>
      </c>
    </row>
    <row r="14969">
      <c r="A14969" s="4">
        <v>465.0</v>
      </c>
      <c r="B14969" s="4" t="s">
        <v>22132</v>
      </c>
      <c r="C14969" s="4"/>
      <c r="D14969" s="4" t="s">
        <v>21472</v>
      </c>
      <c r="E14969" s="4" t="s">
        <v>373</v>
      </c>
      <c r="F14969" s="4" t="s">
        <v>374</v>
      </c>
    </row>
    <row r="14970">
      <c r="A14970" s="4">
        <v>466.0</v>
      </c>
      <c r="B14970" s="4" t="s">
        <v>22132</v>
      </c>
      <c r="C14970" s="4"/>
      <c r="D14970" s="4" t="s">
        <v>21473</v>
      </c>
      <c r="E14970" s="4" t="s">
        <v>21474</v>
      </c>
      <c r="F14970" s="4" t="s">
        <v>21475</v>
      </c>
      <c r="G14970" s="4"/>
      <c r="H14970" s="4" t="s">
        <v>21476</v>
      </c>
      <c r="I14970" s="4" t="s">
        <v>21477</v>
      </c>
    </row>
    <row r="14971">
      <c r="A14971" s="4">
        <v>467.0</v>
      </c>
      <c r="B14971" s="4" t="s">
        <v>22132</v>
      </c>
      <c r="C14971" s="4"/>
      <c r="D14971" s="4" t="s">
        <v>21478</v>
      </c>
      <c r="E14971" s="4" t="s">
        <v>21479</v>
      </c>
      <c r="F14971" s="4" t="s">
        <v>21480</v>
      </c>
    </row>
    <row r="14972">
      <c r="A14972" s="4">
        <v>468.0</v>
      </c>
      <c r="B14972" s="4" t="s">
        <v>22132</v>
      </c>
      <c r="C14972" s="4"/>
      <c r="D14972" s="4" t="s">
        <v>21481</v>
      </c>
      <c r="E14972" s="4" t="s">
        <v>21482</v>
      </c>
      <c r="F14972" s="4" t="s">
        <v>21483</v>
      </c>
    </row>
    <row r="14973">
      <c r="A14973" s="4">
        <v>469.0</v>
      </c>
      <c r="B14973" s="4" t="s">
        <v>22132</v>
      </c>
      <c r="C14973" s="4"/>
      <c r="D14973" s="4" t="s">
        <v>3147</v>
      </c>
      <c r="E14973" s="4" t="s">
        <v>3148</v>
      </c>
      <c r="F14973" s="4" t="s">
        <v>3147</v>
      </c>
      <c r="G14973" s="4"/>
      <c r="H14973" s="4" t="s">
        <v>21484</v>
      </c>
      <c r="I14973" s="4" t="s">
        <v>21485</v>
      </c>
      <c r="J14973" s="4" t="s">
        <v>21486</v>
      </c>
    </row>
    <row r="14974">
      <c r="A14974" s="4">
        <v>470.0</v>
      </c>
      <c r="B14974" s="4" t="s">
        <v>22132</v>
      </c>
      <c r="C14974" s="4"/>
      <c r="D14974" s="4" t="s">
        <v>21487</v>
      </c>
      <c r="E14974" s="4" t="s">
        <v>3162</v>
      </c>
      <c r="F14974" s="4" t="s">
        <v>3161</v>
      </c>
    </row>
    <row r="14975">
      <c r="A14975" s="4">
        <v>471.0</v>
      </c>
      <c r="B14975" s="4" t="s">
        <v>22132</v>
      </c>
      <c r="C14975" s="4"/>
      <c r="D14975" s="4" t="s">
        <v>13144</v>
      </c>
      <c r="E14975" s="4" t="s">
        <v>13145</v>
      </c>
      <c r="F14975" s="4" t="s">
        <v>11055</v>
      </c>
    </row>
    <row r="14976">
      <c r="A14976" s="4">
        <v>472.0</v>
      </c>
      <c r="B14976" s="4" t="s">
        <v>22132</v>
      </c>
      <c r="C14976" s="4"/>
      <c r="D14976" s="4" t="s">
        <v>2543</v>
      </c>
      <c r="E14976" s="4" t="s">
        <v>391</v>
      </c>
      <c r="F14976" s="4" t="s">
        <v>392</v>
      </c>
    </row>
    <row r="14977">
      <c r="A14977" s="4">
        <v>473.0</v>
      </c>
      <c r="B14977" s="4" t="s">
        <v>22132</v>
      </c>
      <c r="C14977" s="4"/>
      <c r="D14977" s="4" t="s">
        <v>21488</v>
      </c>
      <c r="E14977" s="4" t="s">
        <v>21489</v>
      </c>
      <c r="F14977" s="4" t="s">
        <v>10884</v>
      </c>
    </row>
    <row r="14978">
      <c r="A14978" s="4">
        <v>474.0</v>
      </c>
      <c r="B14978" s="4" t="s">
        <v>22132</v>
      </c>
      <c r="C14978" s="4"/>
      <c r="D14978" s="4" t="s">
        <v>10843</v>
      </c>
      <c r="E14978" s="4" t="s">
        <v>18440</v>
      </c>
      <c r="F14978" s="4" t="s">
        <v>11055</v>
      </c>
      <c r="G14978" s="4"/>
      <c r="H14978" s="4" t="s">
        <v>21490</v>
      </c>
      <c r="I14978" s="4" t="s">
        <v>21491</v>
      </c>
      <c r="J14978" s="4" t="s">
        <v>21492</v>
      </c>
      <c r="K14978" s="4" t="s">
        <v>21493</v>
      </c>
      <c r="L14978" s="4" t="s">
        <v>3188</v>
      </c>
      <c r="M14978" s="4" t="s">
        <v>3189</v>
      </c>
      <c r="N14978" s="4" t="s">
        <v>3190</v>
      </c>
      <c r="O14978" s="4" t="s">
        <v>3191</v>
      </c>
      <c r="P14978" s="4" t="s">
        <v>3192</v>
      </c>
      <c r="Q14978" s="4" t="s">
        <v>3193</v>
      </c>
      <c r="R14978" s="4" t="s">
        <v>3194</v>
      </c>
      <c r="S14978" s="4" t="s">
        <v>3195</v>
      </c>
      <c r="T14978" s="4" t="s">
        <v>13166</v>
      </c>
      <c r="U14978" s="4" t="s">
        <v>13167</v>
      </c>
      <c r="V14978" s="4" t="s">
        <v>13168</v>
      </c>
      <c r="W14978" s="4" t="s">
        <v>1190</v>
      </c>
      <c r="X14978" s="4" t="s">
        <v>3196</v>
      </c>
      <c r="Y14978" s="4" t="s">
        <v>13169</v>
      </c>
      <c r="Z14978" s="4" t="s">
        <v>3196</v>
      </c>
      <c r="AA14978" s="4" t="s">
        <v>3197</v>
      </c>
    </row>
    <row r="14979">
      <c r="A14979" s="4">
        <v>475.0</v>
      </c>
      <c r="B14979" s="4" t="s">
        <v>22132</v>
      </c>
      <c r="C14979" s="4"/>
      <c r="D14979" s="4" t="s">
        <v>3173</v>
      </c>
      <c r="E14979" s="4" t="s">
        <v>3174</v>
      </c>
      <c r="F14979" s="4" t="s">
        <v>3173</v>
      </c>
      <c r="G14979" s="4"/>
      <c r="H14979" s="4" t="s">
        <v>13178</v>
      </c>
      <c r="I14979" s="4" t="s">
        <v>21497</v>
      </c>
    </row>
    <row r="14980">
      <c r="A14980" s="4">
        <v>476.0</v>
      </c>
      <c r="B14980" s="4" t="s">
        <v>22132</v>
      </c>
      <c r="C14980" s="4"/>
      <c r="D14980" s="4" t="s">
        <v>21501</v>
      </c>
      <c r="E14980" s="4" t="s">
        <v>21502</v>
      </c>
      <c r="F14980" s="4" t="s">
        <v>21501</v>
      </c>
    </row>
    <row r="14981">
      <c r="A14981" s="4">
        <v>477.0</v>
      </c>
      <c r="B14981" s="4" t="s">
        <v>22132</v>
      </c>
      <c r="C14981" s="4"/>
      <c r="D14981" s="4" t="s">
        <v>13193</v>
      </c>
      <c r="E14981" s="4" t="s">
        <v>3264</v>
      </c>
      <c r="F14981" s="4" t="s">
        <v>3265</v>
      </c>
      <c r="G14981" s="4"/>
      <c r="H14981" s="4" t="s">
        <v>3268</v>
      </c>
      <c r="I14981" s="4" t="s">
        <v>3272</v>
      </c>
      <c r="J14981" s="4" t="s">
        <v>3273</v>
      </c>
      <c r="K14981" s="4" t="s">
        <v>3274</v>
      </c>
      <c r="L14981" s="4" t="s">
        <v>3275</v>
      </c>
    </row>
    <row r="14982">
      <c r="A14982" s="4">
        <v>478.0</v>
      </c>
      <c r="B14982" s="4" t="s">
        <v>22132</v>
      </c>
      <c r="C14982" s="4"/>
      <c r="D14982" s="4" t="s">
        <v>21509</v>
      </c>
      <c r="E14982" s="4" t="s">
        <v>21510</v>
      </c>
      <c r="F14982" s="4" t="s">
        <v>21511</v>
      </c>
      <c r="G14982" s="4"/>
      <c r="H14982" s="4" t="s">
        <v>21512</v>
      </c>
    </row>
    <row r="14983">
      <c r="A14983" s="4">
        <v>479.0</v>
      </c>
      <c r="B14983" s="4" t="s">
        <v>22132</v>
      </c>
      <c r="C14983" s="4"/>
      <c r="D14983" s="4" t="s">
        <v>3292</v>
      </c>
      <c r="E14983" s="4" t="s">
        <v>3293</v>
      </c>
      <c r="F14983" s="4" t="s">
        <v>3292</v>
      </c>
      <c r="G14983" s="4"/>
      <c r="H14983" s="4" t="s">
        <v>3294</v>
      </c>
      <c r="I14983" s="4" t="s">
        <v>3295</v>
      </c>
      <c r="J14983" s="4" t="s">
        <v>3296</v>
      </c>
      <c r="K14983" s="4" t="s">
        <v>3147</v>
      </c>
      <c r="L14983" s="4" t="s">
        <v>3292</v>
      </c>
      <c r="M14983" s="4" t="s">
        <v>3297</v>
      </c>
      <c r="N14983" s="4" t="s">
        <v>3298</v>
      </c>
      <c r="O14983" s="4" t="s">
        <v>3299</v>
      </c>
      <c r="P14983" s="4" t="s">
        <v>3300</v>
      </c>
      <c r="Q14983" s="4" t="s">
        <v>3301</v>
      </c>
      <c r="R14983" s="4" t="s">
        <v>3302</v>
      </c>
      <c r="S14983" s="4" t="s">
        <v>3303</v>
      </c>
      <c r="T14983" s="4" t="s">
        <v>3304</v>
      </c>
      <c r="U14983" s="4" t="s">
        <v>3305</v>
      </c>
      <c r="V14983" s="4" t="s">
        <v>3306</v>
      </c>
      <c r="W14983" s="4" t="s">
        <v>3307</v>
      </c>
      <c r="X14983" s="4" t="s">
        <v>3308</v>
      </c>
    </row>
    <row r="14984">
      <c r="A14984" s="4">
        <v>480.0</v>
      </c>
      <c r="B14984" s="4" t="s">
        <v>22132</v>
      </c>
      <c r="C14984" s="4"/>
      <c r="D14984" s="4" t="s">
        <v>16839</v>
      </c>
      <c r="E14984" s="4" t="s">
        <v>16840</v>
      </c>
      <c r="F14984" s="4" t="s">
        <v>16839</v>
      </c>
    </row>
    <row r="14985">
      <c r="A14985" s="4">
        <v>481.0</v>
      </c>
      <c r="B14985" s="4" t="s">
        <v>22132</v>
      </c>
      <c r="C14985" s="4"/>
      <c r="D14985" s="4" t="s">
        <v>21513</v>
      </c>
      <c r="E14985" s="4" t="s">
        <v>21514</v>
      </c>
      <c r="F14985" s="4" t="s">
        <v>21513</v>
      </c>
    </row>
    <row r="14986">
      <c r="A14986" s="4">
        <v>482.0</v>
      </c>
      <c r="B14986" s="4" t="s">
        <v>22132</v>
      </c>
      <c r="C14986" s="4"/>
      <c r="D14986" s="4" t="s">
        <v>21515</v>
      </c>
      <c r="E14986" s="4" t="s">
        <v>21516</v>
      </c>
      <c r="F14986" s="4" t="s">
        <v>21515</v>
      </c>
    </row>
    <row r="14987">
      <c r="A14987" s="4">
        <v>483.0</v>
      </c>
      <c r="B14987" s="4" t="s">
        <v>22132</v>
      </c>
      <c r="C14987" s="4"/>
      <c r="D14987" s="4" t="s">
        <v>7100</v>
      </c>
      <c r="E14987" s="4" t="s">
        <v>13216</v>
      </c>
      <c r="F14987" s="4" t="s">
        <v>7100</v>
      </c>
    </row>
    <row r="14988">
      <c r="A14988" s="4">
        <v>484.0</v>
      </c>
      <c r="B14988" s="4" t="s">
        <v>22132</v>
      </c>
      <c r="C14988" s="4"/>
      <c r="D14988" s="4" t="s">
        <v>21517</v>
      </c>
      <c r="E14988" s="4" t="s">
        <v>21518</v>
      </c>
      <c r="F14988" s="4" t="s">
        <v>21517</v>
      </c>
    </row>
    <row r="14989">
      <c r="A14989" s="4">
        <v>485.0</v>
      </c>
      <c r="B14989" s="4" t="s">
        <v>22132</v>
      </c>
      <c r="C14989" s="4"/>
      <c r="D14989" s="4" t="s">
        <v>21519</v>
      </c>
      <c r="E14989" s="4" t="s">
        <v>21520</v>
      </c>
      <c r="F14989" s="4" t="s">
        <v>21519</v>
      </c>
      <c r="G14989" s="4"/>
      <c r="H14989" s="4" t="s">
        <v>21521</v>
      </c>
      <c r="I14989" s="4" t="s">
        <v>21522</v>
      </c>
    </row>
    <row r="14990">
      <c r="A14990" s="4">
        <v>486.0</v>
      </c>
      <c r="B14990" s="4" t="s">
        <v>22132</v>
      </c>
      <c r="C14990" s="4"/>
      <c r="D14990" s="4" t="s">
        <v>21523</v>
      </c>
      <c r="E14990" s="4" t="s">
        <v>21524</v>
      </c>
      <c r="F14990" s="4" t="s">
        <v>21523</v>
      </c>
    </row>
    <row r="14991">
      <c r="A14991" s="4">
        <v>487.0</v>
      </c>
      <c r="B14991" s="4" t="s">
        <v>22132</v>
      </c>
      <c r="C14991" s="4"/>
      <c r="D14991" s="4" t="s">
        <v>5474</v>
      </c>
      <c r="E14991" s="4" t="s">
        <v>5473</v>
      </c>
      <c r="F14991" s="4" t="s">
        <v>5474</v>
      </c>
    </row>
    <row r="14992">
      <c r="A14992" s="4">
        <v>488.0</v>
      </c>
      <c r="B14992" s="4" t="s">
        <v>22132</v>
      </c>
      <c r="C14992" s="4"/>
      <c r="D14992" s="4" t="s">
        <v>21525</v>
      </c>
      <c r="E14992" s="4" t="s">
        <v>3293</v>
      </c>
      <c r="F14992" s="4" t="s">
        <v>3292</v>
      </c>
      <c r="G14992" s="4"/>
      <c r="H14992" s="4" t="s">
        <v>3294</v>
      </c>
      <c r="I14992" s="4" t="s">
        <v>3295</v>
      </c>
      <c r="J14992" s="4" t="s">
        <v>3296</v>
      </c>
      <c r="K14992" s="4" t="s">
        <v>3147</v>
      </c>
      <c r="L14992" s="4" t="s">
        <v>3292</v>
      </c>
      <c r="M14992" s="4" t="s">
        <v>3297</v>
      </c>
      <c r="N14992" s="4" t="s">
        <v>3298</v>
      </c>
      <c r="O14992" s="4" t="s">
        <v>3299</v>
      </c>
      <c r="P14992" s="4" t="s">
        <v>3300</v>
      </c>
      <c r="Q14992" s="4" t="s">
        <v>3301</v>
      </c>
    </row>
    <row r="14993">
      <c r="A14993" s="4">
        <v>489.0</v>
      </c>
      <c r="B14993" s="4" t="s">
        <v>22132</v>
      </c>
      <c r="C14993" s="4"/>
      <c r="D14993" s="4" t="s">
        <v>13491</v>
      </c>
      <c r="E14993" s="4" t="s">
        <v>21526</v>
      </c>
      <c r="F14993" s="4" t="s">
        <v>13491</v>
      </c>
      <c r="G14993" s="4"/>
      <c r="H14993" s="4" t="s">
        <v>15218</v>
      </c>
      <c r="I14993" s="4" t="s">
        <v>7722</v>
      </c>
      <c r="J14993" s="4" t="s">
        <v>12852</v>
      </c>
      <c r="K14993" s="4" t="s">
        <v>20817</v>
      </c>
      <c r="L14993" s="4" t="s">
        <v>11456</v>
      </c>
      <c r="M14993" s="4" t="s">
        <v>15396</v>
      </c>
      <c r="N14993" s="4" t="s">
        <v>1256</v>
      </c>
      <c r="O14993" s="4" t="s">
        <v>7722</v>
      </c>
      <c r="P14993" s="4" t="s">
        <v>15397</v>
      </c>
      <c r="Q14993" s="4" t="s">
        <v>15396</v>
      </c>
      <c r="R14993" s="4" t="s">
        <v>13491</v>
      </c>
      <c r="S14993" s="4" t="s">
        <v>20816</v>
      </c>
      <c r="T14993" s="4" t="s">
        <v>20817</v>
      </c>
      <c r="U14993" s="4" t="s">
        <v>21527</v>
      </c>
      <c r="V14993" s="4" t="s">
        <v>21528</v>
      </c>
      <c r="W14993" s="4" t="s">
        <v>11456</v>
      </c>
      <c r="X14993" s="4" t="s">
        <v>21529</v>
      </c>
      <c r="Y14993" s="4" t="s">
        <v>14579</v>
      </c>
      <c r="Z14993" s="4" t="s">
        <v>21530</v>
      </c>
      <c r="AA14993" s="4" t="s">
        <v>21531</v>
      </c>
      <c r="AB14993" s="4" t="s">
        <v>21532</v>
      </c>
      <c r="AC14993" s="4" t="s">
        <v>21533</v>
      </c>
      <c r="AD14993" s="4" t="s">
        <v>21534</v>
      </c>
      <c r="AE14993" s="4" t="s">
        <v>21535</v>
      </c>
      <c r="AF14993" s="4" t="s">
        <v>20816</v>
      </c>
    </row>
    <row r="14994">
      <c r="A14994" s="4">
        <v>490.0</v>
      </c>
      <c r="B14994" s="4" t="s">
        <v>22132</v>
      </c>
      <c r="C14994" s="4"/>
      <c r="D14994" s="4" t="s">
        <v>21536</v>
      </c>
      <c r="E14994" s="4" t="s">
        <v>21537</v>
      </c>
      <c r="F14994" s="4" t="s">
        <v>21536</v>
      </c>
    </row>
    <row r="14995">
      <c r="A14995" s="4">
        <v>491.0</v>
      </c>
      <c r="B14995" s="4" t="s">
        <v>22132</v>
      </c>
      <c r="C14995" s="4"/>
      <c r="D14995" s="4" t="s">
        <v>21541</v>
      </c>
      <c r="E14995" s="4" t="s">
        <v>21542</v>
      </c>
      <c r="F14995" s="4" t="s">
        <v>21541</v>
      </c>
    </row>
    <row r="14996">
      <c r="A14996" s="4">
        <v>492.0</v>
      </c>
      <c r="B14996" s="4" t="s">
        <v>22132</v>
      </c>
      <c r="C14996" s="4"/>
      <c r="D14996" s="4" t="s">
        <v>21550</v>
      </c>
      <c r="E14996" s="4" t="s">
        <v>21551</v>
      </c>
      <c r="F14996" s="4" t="s">
        <v>21550</v>
      </c>
    </row>
    <row r="14997">
      <c r="A14997" s="4">
        <v>493.0</v>
      </c>
      <c r="B14997" s="4" t="s">
        <v>22132</v>
      </c>
      <c r="C14997" s="4"/>
      <c r="D14997" s="4" t="s">
        <v>21552</v>
      </c>
      <c r="E14997" s="4" t="s">
        <v>21553</v>
      </c>
      <c r="F14997" s="4" t="s">
        <v>21554</v>
      </c>
      <c r="G14997" s="4"/>
      <c r="H14997" s="4" t="s">
        <v>21555</v>
      </c>
      <c r="I14997" s="4" t="s">
        <v>21556</v>
      </c>
    </row>
    <row r="14998">
      <c r="A14998" s="4">
        <v>494.0</v>
      </c>
      <c r="B14998" s="4" t="s">
        <v>22132</v>
      </c>
      <c r="C14998" s="4"/>
      <c r="D14998" s="4" t="s">
        <v>3344</v>
      </c>
      <c r="E14998" s="4" t="s">
        <v>3345</v>
      </c>
      <c r="F14998" s="4" t="s">
        <v>3344</v>
      </c>
      <c r="G14998" s="4"/>
      <c r="H14998" s="4" t="s">
        <v>4305</v>
      </c>
      <c r="I14998" s="4" t="s">
        <v>6487</v>
      </c>
      <c r="J14998" s="4" t="s">
        <v>3346</v>
      </c>
      <c r="K14998" s="4" t="s">
        <v>945</v>
      </c>
      <c r="L14998" s="4" t="s">
        <v>941</v>
      </c>
      <c r="M14998" s="4" t="s">
        <v>942</v>
      </c>
      <c r="N14998" s="4" t="s">
        <v>943</v>
      </c>
      <c r="O14998" s="4" t="s">
        <v>944</v>
      </c>
      <c r="P14998" s="4" t="s">
        <v>21557</v>
      </c>
      <c r="Q14998" s="4" t="s">
        <v>326</v>
      </c>
      <c r="R14998" s="4" t="s">
        <v>20649</v>
      </c>
      <c r="S14998" s="4" t="s">
        <v>945</v>
      </c>
      <c r="T14998" s="4" t="s">
        <v>945</v>
      </c>
      <c r="U14998" s="4" t="s">
        <v>948</v>
      </c>
      <c r="V14998" s="4" t="s">
        <v>945</v>
      </c>
      <c r="W14998" s="4" t="s">
        <v>946</v>
      </c>
      <c r="X14998" s="4" t="s">
        <v>947</v>
      </c>
      <c r="Y14998" s="4" t="s">
        <v>945</v>
      </c>
      <c r="Z14998" s="4" t="s">
        <v>948</v>
      </c>
      <c r="AA14998" s="4" t="s">
        <v>326</v>
      </c>
      <c r="AB14998" s="4" t="s">
        <v>949</v>
      </c>
      <c r="AC14998" s="4" t="s">
        <v>950</v>
      </c>
      <c r="AD14998" s="4" t="s">
        <v>945</v>
      </c>
      <c r="AE14998" s="4" t="s">
        <v>951</v>
      </c>
      <c r="AF14998" s="4" t="s">
        <v>952</v>
      </c>
      <c r="AG14998" s="4" t="s">
        <v>953</v>
      </c>
      <c r="AH14998" s="4" t="s">
        <v>3346</v>
      </c>
      <c r="AI14998" s="4" t="s">
        <v>945</v>
      </c>
      <c r="AJ14998" s="4" t="s">
        <v>953</v>
      </c>
      <c r="AK14998" s="4" t="s">
        <v>3347</v>
      </c>
      <c r="AL14998" s="4" t="s">
        <v>3348</v>
      </c>
      <c r="AM14998" s="4" t="s">
        <v>3349</v>
      </c>
    </row>
    <row r="14999">
      <c r="A14999" s="4">
        <v>495.0</v>
      </c>
      <c r="B14999" s="4" t="s">
        <v>22132</v>
      </c>
      <c r="C14999" s="4"/>
      <c r="D14999" s="4" t="s">
        <v>21558</v>
      </c>
      <c r="E14999" s="4" t="s">
        <v>21559</v>
      </c>
      <c r="F14999" s="4" t="s">
        <v>21558</v>
      </c>
    </row>
    <row r="15000">
      <c r="A15000" s="4">
        <v>496.0</v>
      </c>
      <c r="B15000" s="4" t="s">
        <v>22132</v>
      </c>
      <c r="C15000" s="4"/>
      <c r="D15000" s="4" t="s">
        <v>21560</v>
      </c>
      <c r="E15000" s="4" t="s">
        <v>21561</v>
      </c>
      <c r="F15000" s="4" t="s">
        <v>21560</v>
      </c>
    </row>
    <row r="15001">
      <c r="A15001" s="4">
        <v>497.0</v>
      </c>
      <c r="B15001" s="4" t="s">
        <v>22132</v>
      </c>
      <c r="C15001" s="4"/>
      <c r="D15001" s="4" t="s">
        <v>21562</v>
      </c>
      <c r="E15001" s="4" t="s">
        <v>21559</v>
      </c>
      <c r="F15001" s="4" t="s">
        <v>21558</v>
      </c>
    </row>
    <row r="15002">
      <c r="A15002" s="4">
        <v>498.0</v>
      </c>
      <c r="B15002" s="4" t="s">
        <v>22132</v>
      </c>
      <c r="C15002" s="4"/>
      <c r="D15002" s="4" t="s">
        <v>21563</v>
      </c>
      <c r="E15002" s="4" t="s">
        <v>21561</v>
      </c>
      <c r="F15002" s="4" t="s">
        <v>21560</v>
      </c>
    </row>
    <row r="15003">
      <c r="A15003" s="4">
        <v>499.0</v>
      </c>
      <c r="B15003" s="4" t="s">
        <v>22132</v>
      </c>
      <c r="C15003" s="4"/>
      <c r="D15003" s="4" t="s">
        <v>3350</v>
      </c>
      <c r="E15003" s="4" t="s">
        <v>3351</v>
      </c>
      <c r="F15003" s="4" t="s">
        <v>3350</v>
      </c>
    </row>
    <row r="15004">
      <c r="A15004" s="4">
        <v>500.0</v>
      </c>
      <c r="B15004" s="4" t="s">
        <v>22132</v>
      </c>
      <c r="C15004" s="4"/>
      <c r="D15004" s="4" t="s">
        <v>3357</v>
      </c>
      <c r="E15004" s="4" t="s">
        <v>3351</v>
      </c>
      <c r="F15004" s="4" t="s">
        <v>3350</v>
      </c>
      <c r="G15004" s="4"/>
      <c r="H15004" s="4" t="s">
        <v>3352</v>
      </c>
    </row>
    <row r="15005">
      <c r="A15005" s="4">
        <v>501.0</v>
      </c>
      <c r="B15005" s="4" t="s">
        <v>22132</v>
      </c>
      <c r="C15005" s="4"/>
      <c r="D15005" s="4" t="s">
        <v>3387</v>
      </c>
      <c r="E15005" s="4" t="s">
        <v>3386</v>
      </c>
      <c r="F15005" s="4" t="s">
        <v>3387</v>
      </c>
    </row>
    <row r="15006">
      <c r="A15006" s="4">
        <v>502.0</v>
      </c>
      <c r="B15006" s="4" t="s">
        <v>22132</v>
      </c>
      <c r="C15006" s="4"/>
      <c r="D15006" s="4" t="s">
        <v>21573</v>
      </c>
      <c r="E15006" s="4" t="s">
        <v>21574</v>
      </c>
      <c r="F15006" s="4" t="s">
        <v>21573</v>
      </c>
    </row>
    <row r="15007">
      <c r="A15007" s="4">
        <v>503.0</v>
      </c>
      <c r="B15007" s="4" t="s">
        <v>22132</v>
      </c>
      <c r="C15007" s="4"/>
      <c r="D15007" s="4" t="s">
        <v>3396</v>
      </c>
      <c r="E15007" s="4" t="s">
        <v>3395</v>
      </c>
      <c r="F15007" s="4" t="s">
        <v>3396</v>
      </c>
      <c r="G15007" s="4"/>
      <c r="H15007" s="4" t="s">
        <v>4305</v>
      </c>
      <c r="I15007" s="4" t="s">
        <v>21575</v>
      </c>
      <c r="J15007" s="4" t="s">
        <v>15263</v>
      </c>
      <c r="K15007" s="4" t="s">
        <v>3398</v>
      </c>
      <c r="L15007" s="4" t="s">
        <v>3399</v>
      </c>
      <c r="M15007" s="4" t="s">
        <v>3400</v>
      </c>
      <c r="N15007" s="4" t="s">
        <v>3401</v>
      </c>
      <c r="O15007" s="4" t="s">
        <v>3402</v>
      </c>
      <c r="P15007" s="4" t="s">
        <v>647</v>
      </c>
      <c r="Q15007" s="4" t="s">
        <v>3403</v>
      </c>
      <c r="R15007" s="4" t="s">
        <v>3404</v>
      </c>
      <c r="S15007" s="4" t="s">
        <v>3405</v>
      </c>
      <c r="T15007" s="4" t="s">
        <v>3406</v>
      </c>
      <c r="U15007" s="4" t="s">
        <v>7129</v>
      </c>
      <c r="V15007" s="4" t="s">
        <v>7130</v>
      </c>
      <c r="W15007" s="4" t="s">
        <v>7131</v>
      </c>
      <c r="X15007" s="4" t="s">
        <v>3401</v>
      </c>
      <c r="Y15007" s="4" t="s">
        <v>7132</v>
      </c>
      <c r="Z15007" s="4" t="s">
        <v>647</v>
      </c>
      <c r="AA15007" s="4" t="s">
        <v>3401</v>
      </c>
      <c r="AB15007" s="4" t="s">
        <v>2075</v>
      </c>
      <c r="AC15007" s="4" t="s">
        <v>1056</v>
      </c>
      <c r="AD15007" s="4" t="s">
        <v>3413</v>
      </c>
      <c r="AE15007" s="4" t="s">
        <v>646</v>
      </c>
      <c r="AF15007" s="4" t="s">
        <v>3414</v>
      </c>
      <c r="AG15007" s="4" t="s">
        <v>647</v>
      </c>
      <c r="AH15007" s="4" t="s">
        <v>8975</v>
      </c>
      <c r="AI15007" s="4" t="s">
        <v>3415</v>
      </c>
      <c r="AJ15007" s="4" t="s">
        <v>647</v>
      </c>
      <c r="AK15007" s="4" t="s">
        <v>3416</v>
      </c>
      <c r="AL15007" s="4" t="s">
        <v>647</v>
      </c>
      <c r="AM15007" s="4" t="s">
        <v>7127</v>
      </c>
      <c r="AN15007" s="4" t="s">
        <v>7128</v>
      </c>
      <c r="AO15007" s="4" t="s">
        <v>16387</v>
      </c>
      <c r="AP15007" s="4" t="s">
        <v>647</v>
      </c>
      <c r="AQ15007" s="4" t="s">
        <v>7118</v>
      </c>
      <c r="AR15007" s="4" t="s">
        <v>7119</v>
      </c>
      <c r="AS15007" s="4" t="s">
        <v>3417</v>
      </c>
      <c r="AT15007" s="4" t="s">
        <v>3418</v>
      </c>
      <c r="AU15007" s="4" t="s">
        <v>3419</v>
      </c>
      <c r="AV15007" s="4" t="s">
        <v>3420</v>
      </c>
      <c r="AW15007" s="4" t="s">
        <v>3421</v>
      </c>
      <c r="AX15007" s="4" t="s">
        <v>647</v>
      </c>
      <c r="AY15007" s="4" t="s">
        <v>647</v>
      </c>
      <c r="AZ15007" s="4" t="s">
        <v>3422</v>
      </c>
      <c r="BA15007" s="4" t="s">
        <v>7121</v>
      </c>
      <c r="BB15007" s="4" t="s">
        <v>3416</v>
      </c>
      <c r="BC15007" s="4" t="s">
        <v>647</v>
      </c>
      <c r="BD15007" s="4" t="s">
        <v>7122</v>
      </c>
      <c r="BE15007" s="4" t="s">
        <v>7123</v>
      </c>
      <c r="BF15007" s="4" t="s">
        <v>7124</v>
      </c>
      <c r="BG15007" s="4" t="s">
        <v>3421</v>
      </c>
      <c r="BH15007" s="4" t="s">
        <v>7125</v>
      </c>
      <c r="BI15007" s="4" t="s">
        <v>7126</v>
      </c>
      <c r="BJ15007" s="4" t="s">
        <v>21576</v>
      </c>
      <c r="BK15007" s="4" t="s">
        <v>21577</v>
      </c>
      <c r="BL15007" s="4" t="s">
        <v>21578</v>
      </c>
      <c r="BM15007" s="4" t="s">
        <v>21579</v>
      </c>
      <c r="BN15007" s="4" t="s">
        <v>647</v>
      </c>
      <c r="BO15007" s="4" t="s">
        <v>1496</v>
      </c>
      <c r="BP15007" s="4" t="s">
        <v>647</v>
      </c>
      <c r="BQ15007" s="4" t="s">
        <v>2858</v>
      </c>
      <c r="BR15007" s="4" t="s">
        <v>3423</v>
      </c>
      <c r="BS15007" s="4" t="s">
        <v>1496</v>
      </c>
      <c r="BT15007" s="4" t="s">
        <v>3424</v>
      </c>
      <c r="BU15007" s="4" t="s">
        <v>1503</v>
      </c>
      <c r="BV15007" s="4" t="s">
        <v>647</v>
      </c>
      <c r="BW15007" s="4" t="s">
        <v>7120</v>
      </c>
      <c r="BX15007" s="4" t="s">
        <v>647</v>
      </c>
      <c r="BY15007" s="4" t="s">
        <v>21580</v>
      </c>
      <c r="BZ15007" s="4" t="s">
        <v>21581</v>
      </c>
      <c r="CA15007" s="4" t="s">
        <v>21582</v>
      </c>
      <c r="CB15007" s="4" t="s">
        <v>647</v>
      </c>
      <c r="CC15007" s="4" t="s">
        <v>2682</v>
      </c>
      <c r="CD15007" s="4" t="s">
        <v>647</v>
      </c>
      <c r="CE15007" s="4" t="s">
        <v>3398</v>
      </c>
      <c r="CF15007" s="4" t="s">
        <v>646</v>
      </c>
      <c r="CG15007" s="4" t="s">
        <v>637</v>
      </c>
      <c r="CH15007" s="4" t="s">
        <v>647</v>
      </c>
      <c r="CI15007" s="4" t="s">
        <v>648</v>
      </c>
      <c r="CJ15007" s="4" t="s">
        <v>649</v>
      </c>
      <c r="CK15007" s="4" t="s">
        <v>3425</v>
      </c>
      <c r="CL15007" s="4" t="s">
        <v>647</v>
      </c>
      <c r="CM15007" s="4" t="s">
        <v>3426</v>
      </c>
    </row>
    <row r="15008">
      <c r="A15008" s="4">
        <v>504.0</v>
      </c>
      <c r="B15008" s="4" t="s">
        <v>22132</v>
      </c>
      <c r="C15008" s="4"/>
      <c r="D15008" s="4" t="s">
        <v>21595</v>
      </c>
      <c r="E15008" s="4" t="s">
        <v>21596</v>
      </c>
      <c r="F15008" s="4" t="s">
        <v>21595</v>
      </c>
    </row>
    <row r="15009">
      <c r="A15009" s="4">
        <v>505.0</v>
      </c>
      <c r="B15009" s="4" t="s">
        <v>22132</v>
      </c>
      <c r="C15009" s="4"/>
      <c r="D15009" s="4" t="s">
        <v>21597</v>
      </c>
      <c r="E15009" s="4" t="s">
        <v>21598</v>
      </c>
      <c r="F15009" s="4" t="s">
        <v>21597</v>
      </c>
    </row>
    <row r="15010">
      <c r="A15010" s="4">
        <v>506.0</v>
      </c>
      <c r="B15010" s="4" t="s">
        <v>22132</v>
      </c>
      <c r="C15010" s="4"/>
      <c r="D15010" s="4" t="s">
        <v>21599</v>
      </c>
      <c r="E15010" s="4" t="s">
        <v>18490</v>
      </c>
      <c r="F15010" s="4" t="s">
        <v>18491</v>
      </c>
    </row>
    <row r="15011">
      <c r="A15011" s="4">
        <v>507.0</v>
      </c>
      <c r="B15011" s="4" t="s">
        <v>22132</v>
      </c>
      <c r="C15011" s="4"/>
      <c r="D15011" s="4" t="s">
        <v>230</v>
      </c>
      <c r="E15011" s="4" t="s">
        <v>229</v>
      </c>
      <c r="F15011" s="4" t="s">
        <v>230</v>
      </c>
      <c r="G15011" s="4"/>
      <c r="H15011" s="4" t="s">
        <v>230</v>
      </c>
    </row>
    <row r="15012">
      <c r="A15012" s="4">
        <v>508.0</v>
      </c>
      <c r="B15012" s="4" t="s">
        <v>22132</v>
      </c>
      <c r="C15012" s="4"/>
      <c r="D15012" s="4" t="s">
        <v>3464</v>
      </c>
      <c r="E15012" s="4" t="s">
        <v>235</v>
      </c>
      <c r="F15012" s="4" t="s">
        <v>236</v>
      </c>
      <c r="G15012" s="4"/>
      <c r="H15012" s="4" t="s">
        <v>13316</v>
      </c>
      <c r="I15012" s="4" t="s">
        <v>13317</v>
      </c>
    </row>
    <row r="15013">
      <c r="A15013" s="4">
        <v>509.0</v>
      </c>
      <c r="B15013" s="4" t="s">
        <v>22132</v>
      </c>
      <c r="C15013" s="4"/>
      <c r="D15013" s="4" t="s">
        <v>3480</v>
      </c>
      <c r="E15013" s="4" t="s">
        <v>3506</v>
      </c>
      <c r="F15013" s="4" t="s">
        <v>3507</v>
      </c>
      <c r="G15013" s="4"/>
      <c r="H15013" s="4" t="s">
        <v>6785</v>
      </c>
      <c r="I15013" s="4" t="s">
        <v>6771</v>
      </c>
      <c r="J15013" s="4" t="s">
        <v>6786</v>
      </c>
      <c r="K15013" s="4" t="s">
        <v>6787</v>
      </c>
      <c r="L15013" s="4" t="s">
        <v>6788</v>
      </c>
      <c r="M15013" s="4" t="s">
        <v>3481</v>
      </c>
      <c r="N15013" s="4" t="s">
        <v>3169</v>
      </c>
      <c r="O15013" s="4" t="s">
        <v>3482</v>
      </c>
      <c r="P15013" s="4" t="s">
        <v>21600</v>
      </c>
      <c r="Q15013" s="4" t="s">
        <v>21601</v>
      </c>
      <c r="R15013" s="4" t="s">
        <v>21602</v>
      </c>
      <c r="S15013" s="4" t="s">
        <v>3485</v>
      </c>
      <c r="T15013" s="4" t="s">
        <v>3459</v>
      </c>
      <c r="U15013" s="4" t="s">
        <v>3486</v>
      </c>
      <c r="V15013" s="4" t="s">
        <v>8763</v>
      </c>
      <c r="W15013" s="4" t="s">
        <v>20602</v>
      </c>
      <c r="X15013" s="4" t="s">
        <v>3487</v>
      </c>
      <c r="Y15013" s="4" t="s">
        <v>3487</v>
      </c>
      <c r="Z15013" s="4" t="s">
        <v>789</v>
      </c>
      <c r="AA15013" s="4" t="s">
        <v>3488</v>
      </c>
      <c r="AB15013" s="4" t="s">
        <v>788</v>
      </c>
      <c r="AC15013" s="4" t="s">
        <v>3489</v>
      </c>
      <c r="AD15013" s="4" t="s">
        <v>3490</v>
      </c>
      <c r="AE15013" s="4" t="s">
        <v>789</v>
      </c>
      <c r="AF15013" s="4" t="s">
        <v>3491</v>
      </c>
      <c r="AG15013" s="4" t="s">
        <v>3492</v>
      </c>
      <c r="AH15013" s="4" t="s">
        <v>6172</v>
      </c>
      <c r="AI15013" s="4" t="s">
        <v>2603</v>
      </c>
      <c r="AJ15013" s="4" t="s">
        <v>21603</v>
      </c>
      <c r="AK15013" s="4" t="s">
        <v>536</v>
      </c>
      <c r="AL15013" s="4" t="s">
        <v>4306</v>
      </c>
      <c r="AM15013" s="4" t="s">
        <v>6487</v>
      </c>
      <c r="AN15013" s="4" t="s">
        <v>3496</v>
      </c>
      <c r="AO15013" s="4" t="s">
        <v>3497</v>
      </c>
      <c r="AP15013" s="4" t="s">
        <v>3500</v>
      </c>
      <c r="AQ15013" s="4" t="s">
        <v>3169</v>
      </c>
      <c r="AR15013" s="4" t="s">
        <v>3169</v>
      </c>
      <c r="AS15013" s="4" t="s">
        <v>3459</v>
      </c>
      <c r="AT15013" s="4" t="s">
        <v>943</v>
      </c>
      <c r="AU15013" s="4" t="s">
        <v>3482</v>
      </c>
      <c r="AV15013" s="4" t="s">
        <v>3500</v>
      </c>
      <c r="AW15013" s="4" t="s">
        <v>3497</v>
      </c>
      <c r="AX15013" s="4" t="s">
        <v>21604</v>
      </c>
      <c r="AY15013" s="4" t="s">
        <v>21605</v>
      </c>
      <c r="AZ15013" s="4" t="s">
        <v>919</v>
      </c>
      <c r="BA15013" s="4" t="s">
        <v>920</v>
      </c>
      <c r="BB15013" s="4" t="s">
        <v>6407</v>
      </c>
      <c r="BC15013" s="4" t="s">
        <v>21606</v>
      </c>
      <c r="BD15013" s="4" t="s">
        <v>21607</v>
      </c>
      <c r="BE15013" s="4" t="s">
        <v>3630</v>
      </c>
      <c r="BF15013" s="4" t="s">
        <v>3634</v>
      </c>
      <c r="BG15013" s="4" t="s">
        <v>3501</v>
      </c>
      <c r="BH15013" s="4" t="s">
        <v>3501</v>
      </c>
      <c r="BI15013" s="4" t="s">
        <v>3501</v>
      </c>
      <c r="BJ15013" s="4" t="s">
        <v>3497</v>
      </c>
      <c r="BK15013" s="4" t="s">
        <v>3482</v>
      </c>
      <c r="BL15013" s="4" t="s">
        <v>3503</v>
      </c>
      <c r="BM15013" s="4" t="s">
        <v>3493</v>
      </c>
    </row>
    <row r="15014">
      <c r="A15014" s="4">
        <v>510.0</v>
      </c>
      <c r="B15014" s="4" t="s">
        <v>22132</v>
      </c>
      <c r="C15014" s="4"/>
      <c r="D15014" s="4" t="s">
        <v>21608</v>
      </c>
      <c r="E15014" s="4" t="s">
        <v>21609</v>
      </c>
      <c r="F15014" s="4" t="s">
        <v>21610</v>
      </c>
    </row>
    <row r="15015">
      <c r="A15015" s="4">
        <v>511.0</v>
      </c>
      <c r="B15015" s="4" t="s">
        <v>22132</v>
      </c>
      <c r="C15015" s="4"/>
      <c r="D15015" s="4" t="s">
        <v>21611</v>
      </c>
      <c r="E15015" s="4" t="s">
        <v>21612</v>
      </c>
      <c r="F15015" s="4" t="s">
        <v>21613</v>
      </c>
    </row>
    <row r="15016">
      <c r="A15016" s="4">
        <v>512.0</v>
      </c>
      <c r="B15016" s="4" t="s">
        <v>22132</v>
      </c>
      <c r="C15016" s="4"/>
      <c r="D15016" s="4" t="s">
        <v>21614</v>
      </c>
      <c r="E15016" s="4" t="s">
        <v>21609</v>
      </c>
      <c r="F15016" s="4" t="s">
        <v>21610</v>
      </c>
    </row>
    <row r="15017">
      <c r="A15017" s="4">
        <v>513.0</v>
      </c>
      <c r="B15017" s="4" t="s">
        <v>22132</v>
      </c>
      <c r="C15017" s="4"/>
      <c r="D15017" s="4" t="s">
        <v>21615</v>
      </c>
      <c r="E15017" s="4" t="s">
        <v>21612</v>
      </c>
      <c r="F15017" s="4" t="s">
        <v>21613</v>
      </c>
    </row>
    <row r="15018">
      <c r="A15018" s="4">
        <v>514.0</v>
      </c>
      <c r="B15018" s="4" t="s">
        <v>22132</v>
      </c>
      <c r="C15018" s="4"/>
      <c r="D15018" s="4" t="s">
        <v>21616</v>
      </c>
      <c r="E15018" s="4" t="s">
        <v>21617</v>
      </c>
      <c r="F15018" s="4" t="s">
        <v>21618</v>
      </c>
    </row>
    <row r="15019">
      <c r="A15019" s="4">
        <v>515.0</v>
      </c>
      <c r="B15019" s="4" t="s">
        <v>22132</v>
      </c>
      <c r="C15019" s="4"/>
      <c r="D15019" s="4" t="s">
        <v>18527</v>
      </c>
      <c r="E15019" s="4" t="s">
        <v>21619</v>
      </c>
      <c r="F15019" s="4" t="s">
        <v>236</v>
      </c>
    </row>
    <row r="15020">
      <c r="A15020" s="4">
        <v>516.0</v>
      </c>
      <c r="B15020" s="4" t="s">
        <v>22132</v>
      </c>
      <c r="C15020" s="4"/>
      <c r="D15020" s="4" t="s">
        <v>21620</v>
      </c>
      <c r="E15020" s="4" t="s">
        <v>21621</v>
      </c>
      <c r="F15020" s="4" t="s">
        <v>21622</v>
      </c>
    </row>
    <row r="15021">
      <c r="A15021" s="4">
        <v>517.0</v>
      </c>
      <c r="B15021" s="4" t="s">
        <v>22132</v>
      </c>
      <c r="C15021" s="4"/>
      <c r="D15021" s="4" t="s">
        <v>3519</v>
      </c>
      <c r="E15021" s="4" t="s">
        <v>3520</v>
      </c>
      <c r="F15021" s="4" t="s">
        <v>3519</v>
      </c>
      <c r="G15021" s="4"/>
      <c r="H15021" s="4" t="s">
        <v>3521</v>
      </c>
      <c r="I15021" s="4" t="s">
        <v>3522</v>
      </c>
      <c r="J15021" s="4" t="s">
        <v>3526</v>
      </c>
      <c r="K15021" s="4" t="s">
        <v>3415</v>
      </c>
      <c r="L15021" s="4" t="s">
        <v>483</v>
      </c>
      <c r="M15021" s="4" t="s">
        <v>484</v>
      </c>
      <c r="N15021" s="4" t="s">
        <v>2824</v>
      </c>
      <c r="O15021" s="4" t="s">
        <v>2825</v>
      </c>
      <c r="P15021" s="4" t="s">
        <v>2826</v>
      </c>
      <c r="Q15021" s="4" t="s">
        <v>1734</v>
      </c>
      <c r="R15021" s="4" t="s">
        <v>482</v>
      </c>
      <c r="S15021" s="4" t="s">
        <v>1736</v>
      </c>
      <c r="T15021" s="4" t="s">
        <v>1737</v>
      </c>
      <c r="U15021" s="4" t="s">
        <v>1738</v>
      </c>
      <c r="V15021" s="4" t="s">
        <v>1739</v>
      </c>
      <c r="W15021" s="4" t="s">
        <v>1740</v>
      </c>
      <c r="X15021" s="4" t="s">
        <v>1741</v>
      </c>
      <c r="Y15021" s="4" t="s">
        <v>484</v>
      </c>
      <c r="Z15021" s="4" t="s">
        <v>1742</v>
      </c>
      <c r="AA15021" s="4" t="s">
        <v>1743</v>
      </c>
      <c r="AB15021" s="4" t="s">
        <v>1744</v>
      </c>
      <c r="AC15021" s="4" t="s">
        <v>1745</v>
      </c>
      <c r="AD15021" s="4" t="s">
        <v>1746</v>
      </c>
      <c r="AE15021" s="4" t="s">
        <v>1747</v>
      </c>
      <c r="AF15021" s="4" t="s">
        <v>1748</v>
      </c>
      <c r="AG15021" s="4" t="s">
        <v>1749</v>
      </c>
      <c r="AH15021" s="4" t="s">
        <v>1750</v>
      </c>
      <c r="AI15021" s="4" t="s">
        <v>483</v>
      </c>
      <c r="AJ15021" s="4" t="s">
        <v>1751</v>
      </c>
      <c r="AK15021" s="4" t="s">
        <v>1752</v>
      </c>
      <c r="AL15021" s="4" t="s">
        <v>1753</v>
      </c>
      <c r="AM15021" s="4" t="s">
        <v>1754</v>
      </c>
      <c r="AN15021" s="4" t="s">
        <v>1755</v>
      </c>
      <c r="AO15021" s="4" t="s">
        <v>1756</v>
      </c>
      <c r="AP15021" s="4" t="s">
        <v>1757</v>
      </c>
      <c r="AQ15021" s="4" t="s">
        <v>482</v>
      </c>
      <c r="AR15021" s="4" t="s">
        <v>1758</v>
      </c>
      <c r="AS15021" s="4" t="s">
        <v>780</v>
      </c>
      <c r="AT15021" s="4" t="s">
        <v>1759</v>
      </c>
      <c r="AU15021" s="4" t="s">
        <v>1760</v>
      </c>
      <c r="AV15021" s="4" t="s">
        <v>1761</v>
      </c>
      <c r="AW15021" s="4" t="s">
        <v>1762</v>
      </c>
      <c r="AX15021" s="4" t="s">
        <v>1763</v>
      </c>
      <c r="AY15021" s="4" t="s">
        <v>1764</v>
      </c>
      <c r="AZ15021" s="4" t="s">
        <v>1765</v>
      </c>
      <c r="BA15021" s="4" t="s">
        <v>1766</v>
      </c>
      <c r="BB15021" s="4" t="s">
        <v>1767</v>
      </c>
      <c r="BC15021" s="4" t="s">
        <v>1768</v>
      </c>
      <c r="BD15021" s="4" t="s">
        <v>1769</v>
      </c>
      <c r="BE15021" s="4" t="s">
        <v>1770</v>
      </c>
      <c r="BF15021" s="4" t="s">
        <v>1771</v>
      </c>
      <c r="BG15021" s="4" t="s">
        <v>1772</v>
      </c>
      <c r="BH15021" s="4" t="s">
        <v>1773</v>
      </c>
    </row>
    <row r="15022">
      <c r="A15022" s="4">
        <v>518.0</v>
      </c>
      <c r="B15022" s="4" t="s">
        <v>22132</v>
      </c>
      <c r="C15022" s="4"/>
      <c r="D15022" s="4" t="s">
        <v>3523</v>
      </c>
      <c r="E15022" s="4" t="s">
        <v>3528</v>
      </c>
      <c r="F15022" s="4" t="s">
        <v>3523</v>
      </c>
      <c r="G15022" s="4"/>
      <c r="H15022" s="4" t="s">
        <v>3525</v>
      </c>
      <c r="I15022" s="4" t="s">
        <v>3527</v>
      </c>
    </row>
    <row r="15023">
      <c r="A15023" s="4">
        <v>519.0</v>
      </c>
      <c r="B15023" s="4" t="s">
        <v>22132</v>
      </c>
      <c r="C15023" s="4"/>
      <c r="D15023" s="4" t="s">
        <v>21623</v>
      </c>
      <c r="E15023" s="4" t="s">
        <v>21624</v>
      </c>
      <c r="F15023" s="4" t="s">
        <v>21623</v>
      </c>
      <c r="G15023" s="4"/>
      <c r="H15023" s="4" t="s">
        <v>3596</v>
      </c>
      <c r="I15023" s="4" t="s">
        <v>3497</v>
      </c>
      <c r="J15023" s="4" t="s">
        <v>3597</v>
      </c>
      <c r="K15023" s="4" t="s">
        <v>3598</v>
      </c>
      <c r="L15023" s="4" t="s">
        <v>3599</v>
      </c>
      <c r="M15023" s="4" t="s">
        <v>3600</v>
      </c>
      <c r="N15023" s="4" t="s">
        <v>3601</v>
      </c>
      <c r="O15023" s="4" t="s">
        <v>3602</v>
      </c>
    </row>
    <row r="15024">
      <c r="A15024" s="4">
        <v>520.0</v>
      </c>
      <c r="B15024" s="4" t="s">
        <v>22132</v>
      </c>
      <c r="C15024" s="4"/>
      <c r="D15024" s="4" t="s">
        <v>21625</v>
      </c>
      <c r="E15024" s="4" t="s">
        <v>21626</v>
      </c>
      <c r="F15024" s="4" t="s">
        <v>21625</v>
      </c>
    </row>
    <row r="15025">
      <c r="A15025" s="4">
        <v>521.0</v>
      </c>
      <c r="B15025" s="4" t="s">
        <v>22132</v>
      </c>
      <c r="C15025" s="4"/>
      <c r="D15025" s="4" t="s">
        <v>3553</v>
      </c>
      <c r="E15025" s="4" t="s">
        <v>3554</v>
      </c>
      <c r="F15025" s="4" t="s">
        <v>3553</v>
      </c>
      <c r="G15025" s="4"/>
      <c r="H15025" s="4" t="s">
        <v>16228</v>
      </c>
      <c r="I15025" s="4" t="s">
        <v>16229</v>
      </c>
      <c r="J15025" s="4" t="s">
        <v>3555</v>
      </c>
      <c r="K15025" s="4" t="s">
        <v>3556</v>
      </c>
    </row>
    <row r="15026">
      <c r="A15026" s="4">
        <v>522.0</v>
      </c>
      <c r="B15026" s="4" t="s">
        <v>22132</v>
      </c>
      <c r="C15026" s="4"/>
      <c r="D15026" s="4" t="s">
        <v>3557</v>
      </c>
      <c r="E15026" s="4" t="s">
        <v>3558</v>
      </c>
      <c r="F15026" s="4" t="s">
        <v>3557</v>
      </c>
    </row>
    <row r="15027">
      <c r="A15027" s="4">
        <v>523.0</v>
      </c>
      <c r="B15027" s="4" t="s">
        <v>22132</v>
      </c>
      <c r="C15027" s="4"/>
      <c r="D15027" s="4" t="s">
        <v>21627</v>
      </c>
      <c r="E15027" s="4" t="s">
        <v>21628</v>
      </c>
      <c r="F15027" s="4" t="s">
        <v>21627</v>
      </c>
    </row>
    <row r="15028">
      <c r="A15028" s="4">
        <v>524.0</v>
      </c>
      <c r="B15028" s="4" t="s">
        <v>22132</v>
      </c>
      <c r="C15028" s="4"/>
      <c r="D15028" s="4" t="s">
        <v>21629</v>
      </c>
      <c r="E15028" s="4" t="s">
        <v>5503</v>
      </c>
      <c r="F15028" s="4" t="s">
        <v>5504</v>
      </c>
      <c r="G15028" s="4"/>
      <c r="H15028" s="4" t="s">
        <v>7241</v>
      </c>
      <c r="I15028" s="4" t="s">
        <v>7239</v>
      </c>
      <c r="J15028" s="4" t="s">
        <v>7242</v>
      </c>
      <c r="K15028" s="4" t="s">
        <v>7243</v>
      </c>
      <c r="L15028" s="4" t="s">
        <v>7244</v>
      </c>
      <c r="M15028" s="4" t="s">
        <v>7245</v>
      </c>
    </row>
    <row r="15029">
      <c r="A15029" s="4">
        <v>525.0</v>
      </c>
      <c r="B15029" s="4" t="s">
        <v>22132</v>
      </c>
      <c r="C15029" s="4"/>
      <c r="D15029" s="4" t="s">
        <v>9171</v>
      </c>
      <c r="E15029" s="4" t="s">
        <v>9172</v>
      </c>
      <c r="F15029" s="4" t="s">
        <v>9171</v>
      </c>
    </row>
    <row r="15030">
      <c r="A15030" s="4">
        <v>526.0</v>
      </c>
      <c r="B15030" s="4" t="s">
        <v>22132</v>
      </c>
      <c r="C15030" s="4"/>
      <c r="D15030" s="4" t="s">
        <v>21634</v>
      </c>
      <c r="E15030" s="4" t="s">
        <v>21635</v>
      </c>
      <c r="F15030" s="4" t="s">
        <v>21634</v>
      </c>
    </row>
    <row r="15031">
      <c r="A15031" s="4">
        <v>527.0</v>
      </c>
      <c r="B15031" s="4" t="s">
        <v>22132</v>
      </c>
      <c r="C15031" s="4"/>
      <c r="D15031" s="4" t="s">
        <v>21638</v>
      </c>
      <c r="E15031" s="4" t="s">
        <v>21639</v>
      </c>
      <c r="F15031" s="4" t="s">
        <v>21640</v>
      </c>
    </row>
    <row r="15032">
      <c r="A15032" s="4">
        <v>528.0</v>
      </c>
      <c r="B15032" s="4" t="s">
        <v>22132</v>
      </c>
      <c r="C15032" s="4"/>
      <c r="D15032" s="4" t="s">
        <v>21641</v>
      </c>
      <c r="E15032" s="4" t="s">
        <v>21642</v>
      </c>
      <c r="F15032" s="4" t="s">
        <v>21643</v>
      </c>
      <c r="G15032" s="4"/>
      <c r="H15032" s="4" t="s">
        <v>8475</v>
      </c>
      <c r="I15032" s="4" t="s">
        <v>3234</v>
      </c>
      <c r="J15032" s="4" t="s">
        <v>8481</v>
      </c>
    </row>
    <row r="15033">
      <c r="A15033" s="4">
        <v>529.0</v>
      </c>
      <c r="B15033" s="4" t="s">
        <v>22132</v>
      </c>
      <c r="C15033" s="4"/>
      <c r="D15033" s="4" t="s">
        <v>3570</v>
      </c>
      <c r="E15033" s="4" t="s">
        <v>3571</v>
      </c>
      <c r="F15033" s="4" t="s">
        <v>3570</v>
      </c>
      <c r="G15033" s="4"/>
      <c r="H15033" s="4" t="s">
        <v>7241</v>
      </c>
      <c r="I15033" s="4" t="s">
        <v>7239</v>
      </c>
      <c r="J15033" s="4" t="s">
        <v>7242</v>
      </c>
      <c r="K15033" s="4" t="s">
        <v>7243</v>
      </c>
      <c r="L15033" s="4" t="s">
        <v>7244</v>
      </c>
      <c r="M15033" s="4" t="s">
        <v>7245</v>
      </c>
    </row>
    <row r="15034">
      <c r="A15034" s="4">
        <v>530.0</v>
      </c>
      <c r="B15034" s="4" t="s">
        <v>22132</v>
      </c>
      <c r="C15034" s="4"/>
      <c r="D15034" s="4" t="s">
        <v>14243</v>
      </c>
      <c r="E15034" s="4" t="s">
        <v>14244</v>
      </c>
      <c r="F15034" s="4" t="s">
        <v>14243</v>
      </c>
      <c r="G15034" s="4"/>
      <c r="H15034" s="4" t="s">
        <v>21644</v>
      </c>
      <c r="I15034" s="4" t="s">
        <v>3368</v>
      </c>
      <c r="J15034" s="4" t="s">
        <v>21645</v>
      </c>
      <c r="K15034" s="4" t="s">
        <v>21644</v>
      </c>
      <c r="L15034" s="4" t="s">
        <v>21646</v>
      </c>
      <c r="M15034" s="4" t="s">
        <v>3365</v>
      </c>
      <c r="N15034" s="4" t="s">
        <v>3368</v>
      </c>
    </row>
    <row r="15035">
      <c r="A15035" s="4">
        <v>531.0</v>
      </c>
      <c r="B15035" s="4" t="s">
        <v>22132</v>
      </c>
      <c r="C15035" s="4"/>
      <c r="D15035" s="4" t="s">
        <v>21647</v>
      </c>
      <c r="E15035" s="4" t="s">
        <v>21648</v>
      </c>
      <c r="F15035" s="4" t="s">
        <v>21647</v>
      </c>
    </row>
    <row r="15036">
      <c r="A15036" s="4">
        <v>532.0</v>
      </c>
      <c r="B15036" s="4" t="s">
        <v>22132</v>
      </c>
      <c r="C15036" s="4"/>
      <c r="D15036" s="4" t="s">
        <v>21649</v>
      </c>
      <c r="E15036" s="4" t="s">
        <v>21650</v>
      </c>
      <c r="F15036" s="4" t="s">
        <v>21649</v>
      </c>
    </row>
    <row r="15037">
      <c r="A15037" s="4">
        <v>533.0</v>
      </c>
      <c r="B15037" s="4" t="s">
        <v>22132</v>
      </c>
      <c r="C15037" s="4"/>
      <c r="D15037" s="4" t="s">
        <v>21651</v>
      </c>
      <c r="E15037" s="4" t="s">
        <v>21648</v>
      </c>
      <c r="F15037" s="4" t="s">
        <v>21647</v>
      </c>
    </row>
    <row r="15038">
      <c r="A15038" s="4">
        <v>534.0</v>
      </c>
      <c r="B15038" s="4" t="s">
        <v>22132</v>
      </c>
      <c r="C15038" s="4"/>
      <c r="D15038" s="4" t="s">
        <v>21652</v>
      </c>
      <c r="E15038" s="4" t="s">
        <v>21650</v>
      </c>
      <c r="F15038" s="4" t="s">
        <v>21649</v>
      </c>
    </row>
    <row r="15039">
      <c r="A15039" s="4">
        <v>535.0</v>
      </c>
      <c r="B15039" s="4" t="s">
        <v>22132</v>
      </c>
      <c r="C15039" s="4"/>
      <c r="D15039" s="4" t="s">
        <v>21653</v>
      </c>
      <c r="E15039" s="4" t="s">
        <v>21654</v>
      </c>
      <c r="F15039" s="4" t="s">
        <v>21653</v>
      </c>
    </row>
    <row r="15040">
      <c r="A15040" s="4">
        <v>536.0</v>
      </c>
      <c r="B15040" s="4" t="s">
        <v>22132</v>
      </c>
      <c r="C15040" s="4"/>
      <c r="D15040" s="4" t="s">
        <v>3595</v>
      </c>
      <c r="E15040" s="4" t="s">
        <v>3594</v>
      </c>
      <c r="F15040" s="4" t="s">
        <v>3595</v>
      </c>
    </row>
    <row r="15041">
      <c r="A15041" s="4">
        <v>537.0</v>
      </c>
      <c r="B15041" s="4" t="s">
        <v>22132</v>
      </c>
      <c r="C15041" s="4"/>
      <c r="D15041" s="4" t="s">
        <v>3545</v>
      </c>
      <c r="E15041" s="4" t="s">
        <v>3544</v>
      </c>
      <c r="F15041" s="4" t="s">
        <v>3545</v>
      </c>
    </row>
    <row r="15042">
      <c r="A15042" s="4">
        <v>538.0</v>
      </c>
      <c r="B15042" s="4" t="s">
        <v>22132</v>
      </c>
      <c r="C15042" s="4"/>
      <c r="D15042" s="4" t="s">
        <v>21655</v>
      </c>
      <c r="E15042" s="4" t="s">
        <v>400</v>
      </c>
      <c r="F15042" s="4" t="s">
        <v>401</v>
      </c>
    </row>
    <row r="15043">
      <c r="A15043" s="4">
        <v>539.0</v>
      </c>
      <c r="B15043" s="4" t="s">
        <v>22132</v>
      </c>
      <c r="C15043" s="4"/>
      <c r="D15043" s="4" t="s">
        <v>21656</v>
      </c>
      <c r="E15043" s="4" t="s">
        <v>21657</v>
      </c>
      <c r="F15043" s="4" t="s">
        <v>21658</v>
      </c>
    </row>
    <row r="15044">
      <c r="A15044" s="4">
        <v>540.0</v>
      </c>
      <c r="B15044" s="4" t="s">
        <v>22132</v>
      </c>
      <c r="C15044" s="4"/>
      <c r="D15044" s="4" t="s">
        <v>21659</v>
      </c>
      <c r="E15044" s="4" t="s">
        <v>21660</v>
      </c>
      <c r="F15044" s="4" t="s">
        <v>21661</v>
      </c>
      <c r="G15044" s="4"/>
      <c r="H15044" s="4" t="s">
        <v>918</v>
      </c>
      <c r="I15044" s="4" t="s">
        <v>21662</v>
      </c>
      <c r="J15044" s="4" t="s">
        <v>8089</v>
      </c>
      <c r="K15044" s="4" t="s">
        <v>7116</v>
      </c>
      <c r="L15044" s="4" t="s">
        <v>8089</v>
      </c>
      <c r="M15044" s="4" t="s">
        <v>7224</v>
      </c>
    </row>
    <row r="15045">
      <c r="A15045" s="4">
        <v>541.0</v>
      </c>
      <c r="B15045" s="4" t="s">
        <v>22132</v>
      </c>
      <c r="C15045" s="4"/>
      <c r="D15045" s="4" t="s">
        <v>3678</v>
      </c>
      <c r="E15045" s="4" t="s">
        <v>3679</v>
      </c>
      <c r="F15045" s="4" t="s">
        <v>3678</v>
      </c>
    </row>
    <row r="15046">
      <c r="A15046" s="4">
        <v>542.0</v>
      </c>
      <c r="B15046" s="4" t="s">
        <v>22132</v>
      </c>
      <c r="C15046" s="4"/>
      <c r="D15046" s="4" t="s">
        <v>11028</v>
      </c>
      <c r="E15046" s="4" t="s">
        <v>21665</v>
      </c>
      <c r="F15046" s="4" t="s">
        <v>11028</v>
      </c>
    </row>
    <row r="15047">
      <c r="A15047" s="4">
        <v>543.0</v>
      </c>
      <c r="B15047" s="4" t="s">
        <v>22132</v>
      </c>
      <c r="C15047" s="4"/>
      <c r="D15047" s="4" t="s">
        <v>16232</v>
      </c>
      <c r="E15047" s="4" t="s">
        <v>16233</v>
      </c>
      <c r="F15047" s="4" t="s">
        <v>16232</v>
      </c>
    </row>
    <row r="15048">
      <c r="A15048" s="4">
        <v>544.0</v>
      </c>
      <c r="B15048" s="4" t="s">
        <v>22132</v>
      </c>
      <c r="C15048" s="4"/>
      <c r="D15048" s="4" t="s">
        <v>21666</v>
      </c>
      <c r="E15048" s="4" t="s">
        <v>21667</v>
      </c>
      <c r="F15048" s="4" t="s">
        <v>21666</v>
      </c>
    </row>
    <row r="15049">
      <c r="A15049" s="4">
        <v>545.0</v>
      </c>
      <c r="B15049" s="4" t="s">
        <v>22132</v>
      </c>
      <c r="C15049" s="4"/>
      <c r="D15049" s="4" t="s">
        <v>21668</v>
      </c>
      <c r="E15049" s="4" t="s">
        <v>21669</v>
      </c>
      <c r="F15049" s="4" t="s">
        <v>21668</v>
      </c>
    </row>
    <row r="15050">
      <c r="A15050" s="4">
        <v>546.0</v>
      </c>
      <c r="B15050" s="4" t="s">
        <v>22132</v>
      </c>
      <c r="C15050" s="4"/>
      <c r="D15050" s="4" t="s">
        <v>21670</v>
      </c>
      <c r="E15050" s="4" t="s">
        <v>21671</v>
      </c>
      <c r="F15050" s="4" t="s">
        <v>21670</v>
      </c>
    </row>
    <row r="15051">
      <c r="A15051" s="4">
        <v>547.0</v>
      </c>
      <c r="B15051" s="4" t="s">
        <v>22132</v>
      </c>
      <c r="C15051" s="4"/>
      <c r="D15051" s="4" t="s">
        <v>3726</v>
      </c>
      <c r="E15051" s="4" t="s">
        <v>3725</v>
      </c>
      <c r="F15051" s="4" t="s">
        <v>3726</v>
      </c>
      <c r="G15051" s="4"/>
      <c r="H15051" s="4" t="s">
        <v>21677</v>
      </c>
      <c r="I15051" s="4" t="s">
        <v>21678</v>
      </c>
      <c r="J15051" s="4" t="s">
        <v>21679</v>
      </c>
      <c r="K15051" s="4" t="s">
        <v>3727</v>
      </c>
      <c r="L15051" s="4" t="s">
        <v>3728</v>
      </c>
    </row>
    <row r="15052">
      <c r="A15052" s="4">
        <v>548.0</v>
      </c>
      <c r="B15052" s="4" t="s">
        <v>22132</v>
      </c>
      <c r="C15052" s="4"/>
      <c r="D15052" s="4" t="s">
        <v>14250</v>
      </c>
      <c r="E15052" s="4" t="s">
        <v>14251</v>
      </c>
      <c r="F15052" s="4" t="s">
        <v>14250</v>
      </c>
    </row>
    <row r="15053">
      <c r="A15053" s="4">
        <v>549.0</v>
      </c>
      <c r="B15053" s="4" t="s">
        <v>22132</v>
      </c>
      <c r="C15053" s="4"/>
      <c r="D15053" s="4" t="s">
        <v>21680</v>
      </c>
      <c r="E15053" s="4" t="s">
        <v>21489</v>
      </c>
      <c r="F15053" s="4" t="s">
        <v>10884</v>
      </c>
      <c r="G15053" s="4"/>
      <c r="H15053" s="4" t="s">
        <v>14886</v>
      </c>
    </row>
    <row r="15054">
      <c r="A15054" s="4">
        <v>550.0</v>
      </c>
      <c r="B15054" s="4" t="s">
        <v>22132</v>
      </c>
      <c r="C15054" s="4"/>
      <c r="D15054" s="4" t="s">
        <v>21681</v>
      </c>
      <c r="E15054" s="4" t="s">
        <v>21682</v>
      </c>
      <c r="F15054" s="4" t="s">
        <v>21683</v>
      </c>
    </row>
    <row r="15055">
      <c r="A15055" s="4">
        <v>551.0</v>
      </c>
      <c r="B15055" s="4" t="s">
        <v>22132</v>
      </c>
      <c r="C15055" s="4"/>
      <c r="D15055" s="4" t="s">
        <v>21685</v>
      </c>
      <c r="E15055" s="4" t="s">
        <v>21686</v>
      </c>
      <c r="F15055" s="4" t="s">
        <v>21687</v>
      </c>
    </row>
    <row r="15056">
      <c r="A15056" s="4">
        <v>552.0</v>
      </c>
      <c r="B15056" s="4" t="s">
        <v>22132</v>
      </c>
      <c r="C15056" s="4"/>
      <c r="D15056" s="4" t="s">
        <v>21691</v>
      </c>
      <c r="E15056" s="4" t="s">
        <v>17767</v>
      </c>
      <c r="F15056" s="4" t="s">
        <v>17768</v>
      </c>
    </row>
    <row r="15057">
      <c r="A15057" s="4">
        <v>553.0</v>
      </c>
      <c r="B15057" s="4" t="s">
        <v>22132</v>
      </c>
      <c r="C15057" s="4"/>
      <c r="D15057" s="4" t="s">
        <v>3818</v>
      </c>
      <c r="E15057" s="4" t="s">
        <v>3819</v>
      </c>
      <c r="F15057" s="4" t="s">
        <v>3820</v>
      </c>
    </row>
    <row r="15058">
      <c r="A15058" s="4">
        <v>554.0</v>
      </c>
      <c r="B15058" s="4" t="s">
        <v>22132</v>
      </c>
      <c r="C15058" s="4"/>
      <c r="D15058" s="4" t="s">
        <v>21695</v>
      </c>
      <c r="E15058" s="4" t="s">
        <v>21190</v>
      </c>
      <c r="F15058" s="4" t="s">
        <v>21189</v>
      </c>
      <c r="G15058" s="4"/>
      <c r="H15058" s="4" t="s">
        <v>21696</v>
      </c>
    </row>
    <row r="15059">
      <c r="A15059" s="4">
        <v>555.0</v>
      </c>
      <c r="B15059" s="4" t="s">
        <v>22132</v>
      </c>
      <c r="C15059" s="4"/>
      <c r="D15059" s="4" t="s">
        <v>21697</v>
      </c>
      <c r="E15059" s="4" t="s">
        <v>21698</v>
      </c>
      <c r="F15059" s="4" t="s">
        <v>21699</v>
      </c>
    </row>
    <row r="15060">
      <c r="A15060" s="4">
        <v>556.0</v>
      </c>
      <c r="B15060" s="4" t="s">
        <v>22132</v>
      </c>
      <c r="C15060" s="4"/>
      <c r="D15060" s="4" t="s">
        <v>7357</v>
      </c>
      <c r="E15060" s="4" t="s">
        <v>7358</v>
      </c>
      <c r="F15060" s="4" t="s">
        <v>7359</v>
      </c>
      <c r="G15060" s="4"/>
      <c r="H15060" s="4" t="s">
        <v>7357</v>
      </c>
    </row>
    <row r="15061">
      <c r="A15061" s="4">
        <v>557.0</v>
      </c>
      <c r="B15061" s="4" t="s">
        <v>22132</v>
      </c>
      <c r="C15061" s="4"/>
      <c r="D15061" s="4" t="s">
        <v>21700</v>
      </c>
      <c r="E15061" s="4" t="s">
        <v>21701</v>
      </c>
      <c r="F15061" s="4" t="s">
        <v>21702</v>
      </c>
    </row>
    <row r="15062">
      <c r="A15062" s="4">
        <v>558.0</v>
      </c>
      <c r="B15062" s="4" t="s">
        <v>22132</v>
      </c>
      <c r="C15062" s="4"/>
      <c r="D15062" s="4" t="s">
        <v>21703</v>
      </c>
      <c r="E15062" s="4" t="s">
        <v>21704</v>
      </c>
      <c r="F15062" s="4" t="s">
        <v>21705</v>
      </c>
    </row>
    <row r="15063">
      <c r="A15063" s="4">
        <v>559.0</v>
      </c>
      <c r="B15063" s="4" t="s">
        <v>22132</v>
      </c>
      <c r="C15063" s="4"/>
      <c r="D15063" s="4" t="s">
        <v>3854</v>
      </c>
      <c r="E15063" s="4" t="s">
        <v>3855</v>
      </c>
      <c r="F15063" s="4" t="s">
        <v>3856</v>
      </c>
      <c r="G15063" s="4"/>
      <c r="H15063" s="4" t="s">
        <v>3857</v>
      </c>
      <c r="I15063" s="4" t="s">
        <v>3858</v>
      </c>
      <c r="J15063" s="4" t="s">
        <v>3857</v>
      </c>
      <c r="K15063" s="4" t="s">
        <v>3859</v>
      </c>
      <c r="L15063" s="4" t="s">
        <v>3860</v>
      </c>
    </row>
    <row r="15064">
      <c r="A15064" s="4">
        <v>560.0</v>
      </c>
      <c r="B15064" s="4" t="s">
        <v>22132</v>
      </c>
      <c r="C15064" s="4"/>
      <c r="D15064" s="4" t="s">
        <v>21715</v>
      </c>
      <c r="E15064" s="4" t="s">
        <v>3880</v>
      </c>
      <c r="F15064" s="4" t="s">
        <v>3881</v>
      </c>
    </row>
    <row r="15065">
      <c r="A15065" s="4">
        <v>561.0</v>
      </c>
      <c r="B15065" s="4" t="s">
        <v>22132</v>
      </c>
      <c r="C15065" s="4"/>
      <c r="D15065" s="4" t="s">
        <v>14253</v>
      </c>
      <c r="E15065" s="4" t="s">
        <v>14254</v>
      </c>
      <c r="F15065" s="4" t="s">
        <v>14255</v>
      </c>
      <c r="G15065" s="4"/>
      <c r="H15065" s="4" t="s">
        <v>538</v>
      </c>
      <c r="I15065" s="4" t="s">
        <v>887</v>
      </c>
      <c r="J15065" s="4" t="s">
        <v>7928</v>
      </c>
      <c r="K15065" s="4" t="s">
        <v>7929</v>
      </c>
      <c r="L15065" s="4" t="s">
        <v>3414</v>
      </c>
      <c r="M15065" s="4" t="s">
        <v>21716</v>
      </c>
      <c r="N15065" s="4" t="s">
        <v>21717</v>
      </c>
      <c r="O15065" s="4" t="s">
        <v>21718</v>
      </c>
      <c r="P15065" s="4" t="s">
        <v>16209</v>
      </c>
      <c r="Q15065" s="4" t="s">
        <v>7316</v>
      </c>
      <c r="R15065" s="4" t="s">
        <v>7308</v>
      </c>
      <c r="S15065" s="4" t="s">
        <v>14993</v>
      </c>
      <c r="T15065" s="4" t="s">
        <v>14258</v>
      </c>
      <c r="U15065" s="4" t="s">
        <v>14994</v>
      </c>
      <c r="V15065" s="4" t="s">
        <v>8878</v>
      </c>
      <c r="W15065" s="4" t="s">
        <v>3379</v>
      </c>
      <c r="X15065" s="4" t="s">
        <v>16894</v>
      </c>
      <c r="Y15065" s="4" t="s">
        <v>1437</v>
      </c>
      <c r="Z15065" s="4" t="s">
        <v>16026</v>
      </c>
      <c r="AA15065" s="4" t="s">
        <v>14258</v>
      </c>
      <c r="AB15065" s="4" t="s">
        <v>21719</v>
      </c>
      <c r="AC15065" s="4" t="s">
        <v>3414</v>
      </c>
      <c r="AD15065" s="4" t="s">
        <v>5158</v>
      </c>
      <c r="AE15065" s="4" t="s">
        <v>21720</v>
      </c>
      <c r="AF15065" s="4" t="s">
        <v>21721</v>
      </c>
      <c r="AG15065" s="4" t="s">
        <v>21722</v>
      </c>
      <c r="AH15065" s="4" t="s">
        <v>14258</v>
      </c>
      <c r="AI15065" s="4" t="s">
        <v>7307</v>
      </c>
      <c r="AJ15065" s="4" t="s">
        <v>4276</v>
      </c>
      <c r="AK15065" s="4" t="s">
        <v>5964</v>
      </c>
      <c r="AL15065" s="4" t="s">
        <v>21723</v>
      </c>
      <c r="AM15065" s="4" t="s">
        <v>1800</v>
      </c>
      <c r="AN15065" s="4" t="s">
        <v>21724</v>
      </c>
      <c r="AO15065" s="4" t="s">
        <v>14258</v>
      </c>
      <c r="AP15065" s="4" t="s">
        <v>21725</v>
      </c>
      <c r="AQ15065" s="4" t="s">
        <v>21726</v>
      </c>
      <c r="AR15065" s="4" t="s">
        <v>8416</v>
      </c>
      <c r="AS15065" s="4" t="s">
        <v>21727</v>
      </c>
      <c r="AT15065" s="4" t="s">
        <v>21728</v>
      </c>
      <c r="AU15065" s="4" t="s">
        <v>21729</v>
      </c>
      <c r="AV15065" s="4" t="s">
        <v>21730</v>
      </c>
      <c r="AW15065" s="4" t="s">
        <v>6291</v>
      </c>
      <c r="AX15065" s="4" t="s">
        <v>21131</v>
      </c>
      <c r="AY15065" s="4" t="s">
        <v>21132</v>
      </c>
      <c r="AZ15065" s="4" t="s">
        <v>21133</v>
      </c>
      <c r="BA15065" s="4" t="s">
        <v>21731</v>
      </c>
      <c r="BB15065" s="4" t="s">
        <v>20370</v>
      </c>
      <c r="BC15065" s="4" t="s">
        <v>21732</v>
      </c>
      <c r="BD15065" s="4" t="s">
        <v>7316</v>
      </c>
      <c r="BE15065" s="4" t="s">
        <v>7318</v>
      </c>
      <c r="BF15065" s="4" t="s">
        <v>21733</v>
      </c>
      <c r="BG15065" s="4" t="s">
        <v>21734</v>
      </c>
      <c r="BH15065" s="4" t="s">
        <v>21735</v>
      </c>
      <c r="BI15065" s="4" t="s">
        <v>21736</v>
      </c>
      <c r="BJ15065" s="4" t="s">
        <v>21737</v>
      </c>
      <c r="BK15065" s="4" t="s">
        <v>21738</v>
      </c>
      <c r="BL15065" s="4" t="s">
        <v>21739</v>
      </c>
      <c r="BM15065" s="4" t="s">
        <v>21740</v>
      </c>
      <c r="BN15065" s="4" t="s">
        <v>21741</v>
      </c>
      <c r="BO15065" s="4" t="s">
        <v>3414</v>
      </c>
      <c r="BP15065" s="4" t="s">
        <v>4433</v>
      </c>
      <c r="BQ15065" s="4" t="s">
        <v>7306</v>
      </c>
      <c r="BR15065" s="4" t="s">
        <v>7307</v>
      </c>
      <c r="BS15065" s="4" t="s">
        <v>7308</v>
      </c>
      <c r="BT15065" s="4" t="s">
        <v>14256</v>
      </c>
      <c r="BU15065" s="4" t="s">
        <v>14257</v>
      </c>
      <c r="BV15065" s="4" t="s">
        <v>14258</v>
      </c>
      <c r="BW15065" s="4" t="s">
        <v>7946</v>
      </c>
      <c r="BX15065" s="4" t="s">
        <v>884</v>
      </c>
      <c r="BY15065" s="4" t="s">
        <v>21742</v>
      </c>
      <c r="BZ15065" s="4" t="s">
        <v>10345</v>
      </c>
      <c r="CA15065" s="4" t="s">
        <v>7929</v>
      </c>
      <c r="CB15065" s="4" t="s">
        <v>3414</v>
      </c>
      <c r="CC15065" s="4" t="s">
        <v>7308</v>
      </c>
      <c r="CD15065" s="4" t="s">
        <v>21714</v>
      </c>
      <c r="CE15065" s="4" t="s">
        <v>538</v>
      </c>
      <c r="CF15065" s="4" t="s">
        <v>7308</v>
      </c>
      <c r="CG15065" s="4" t="s">
        <v>14260</v>
      </c>
      <c r="CH15065" s="4" t="s">
        <v>538</v>
      </c>
    </row>
    <row r="15066">
      <c r="A15066" s="4">
        <v>562.0</v>
      </c>
      <c r="B15066" s="4" t="s">
        <v>22132</v>
      </c>
      <c r="C15066" s="4"/>
      <c r="D15066" s="4" t="s">
        <v>3872</v>
      </c>
      <c r="E15066" s="4" t="s">
        <v>3873</v>
      </c>
      <c r="F15066" s="4" t="s">
        <v>3874</v>
      </c>
    </row>
    <row r="15067">
      <c r="A15067" s="4">
        <v>563.0</v>
      </c>
      <c r="B15067" s="4" t="s">
        <v>22132</v>
      </c>
      <c r="C15067" s="4"/>
      <c r="D15067" s="4" t="s">
        <v>21746</v>
      </c>
      <c r="E15067" s="4" t="s">
        <v>18638</v>
      </c>
      <c r="F15067" s="4" t="s">
        <v>3881</v>
      </c>
    </row>
    <row r="15068">
      <c r="A15068" s="4">
        <v>564.0</v>
      </c>
      <c r="B15068" s="4" t="s">
        <v>22132</v>
      </c>
      <c r="C15068" s="4"/>
      <c r="D15068" s="4" t="s">
        <v>21747</v>
      </c>
      <c r="E15068" s="4" t="s">
        <v>21748</v>
      </c>
      <c r="F15068" s="4" t="s">
        <v>14255</v>
      </c>
      <c r="G15068" s="4"/>
      <c r="H15068" s="4" t="s">
        <v>21749</v>
      </c>
    </row>
    <row r="15069">
      <c r="A15069" s="4">
        <v>565.0</v>
      </c>
      <c r="B15069" s="4" t="s">
        <v>22132</v>
      </c>
      <c r="C15069" s="4"/>
      <c r="D15069" s="4" t="s">
        <v>3882</v>
      </c>
      <c r="E15069" s="4" t="s">
        <v>3883</v>
      </c>
      <c r="F15069" s="4" t="s">
        <v>3882</v>
      </c>
      <c r="G15069" s="4"/>
      <c r="H15069" s="4" t="s">
        <v>3887</v>
      </c>
      <c r="I15069" s="4" t="s">
        <v>3888</v>
      </c>
      <c r="J15069" s="4" t="s">
        <v>3889</v>
      </c>
      <c r="K15069" s="4" t="s">
        <v>3887</v>
      </c>
    </row>
    <row r="15070">
      <c r="A15070" s="4">
        <v>566.0</v>
      </c>
      <c r="B15070" s="4" t="s">
        <v>22132</v>
      </c>
      <c r="C15070" s="4"/>
      <c r="D15070" s="4" t="s">
        <v>3890</v>
      </c>
      <c r="E15070" s="4" t="s">
        <v>3891</v>
      </c>
      <c r="F15070" s="4" t="s">
        <v>3890</v>
      </c>
      <c r="G15070" s="4"/>
      <c r="H15070" s="4" t="s">
        <v>3892</v>
      </c>
      <c r="I15070" s="4" t="s">
        <v>3897</v>
      </c>
      <c r="J15070" s="4" t="s">
        <v>3898</v>
      </c>
      <c r="K15070" s="4" t="s">
        <v>11404</v>
      </c>
      <c r="L15070" s="4" t="s">
        <v>3736</v>
      </c>
      <c r="M15070" s="4" t="s">
        <v>3899</v>
      </c>
    </row>
    <row r="15071">
      <c r="A15071" s="4">
        <v>567.0</v>
      </c>
      <c r="B15071" s="4" t="s">
        <v>22132</v>
      </c>
      <c r="C15071" s="4"/>
      <c r="D15071" s="4" t="s">
        <v>3902</v>
      </c>
      <c r="E15071" s="4" t="s">
        <v>3903</v>
      </c>
      <c r="F15071" s="4" t="s">
        <v>3902</v>
      </c>
    </row>
    <row r="15072">
      <c r="A15072" s="4">
        <v>568.0</v>
      </c>
      <c r="B15072" s="4" t="s">
        <v>22132</v>
      </c>
      <c r="C15072" s="4"/>
      <c r="D15072" s="4" t="s">
        <v>13564</v>
      </c>
      <c r="E15072" s="4" t="s">
        <v>21750</v>
      </c>
      <c r="F15072" s="4" t="s">
        <v>13564</v>
      </c>
    </row>
    <row r="15073">
      <c r="A15073" s="4">
        <v>569.0</v>
      </c>
      <c r="B15073" s="4" t="s">
        <v>22132</v>
      </c>
      <c r="C15073" s="4"/>
      <c r="D15073" s="4" t="s">
        <v>21751</v>
      </c>
      <c r="E15073" s="4" t="s">
        <v>21752</v>
      </c>
      <c r="F15073" s="4" t="s">
        <v>21751</v>
      </c>
      <c r="G15073" s="4"/>
      <c r="H15073" s="4" t="s">
        <v>21753</v>
      </c>
      <c r="I15073" s="4" t="s">
        <v>536</v>
      </c>
      <c r="J15073" s="4" t="s">
        <v>21754</v>
      </c>
      <c r="K15073" s="4" t="s">
        <v>21755</v>
      </c>
      <c r="L15073" s="4" t="s">
        <v>21756</v>
      </c>
      <c r="M15073" s="4" t="s">
        <v>8688</v>
      </c>
      <c r="N15073" s="4" t="s">
        <v>21757</v>
      </c>
      <c r="O15073" s="4" t="s">
        <v>15252</v>
      </c>
      <c r="P15073" s="4" t="s">
        <v>21758</v>
      </c>
      <c r="Q15073" s="4" t="s">
        <v>6680</v>
      </c>
      <c r="R15073" s="4" t="s">
        <v>8688</v>
      </c>
      <c r="S15073" s="4" t="s">
        <v>21759</v>
      </c>
      <c r="T15073" s="4" t="s">
        <v>8878</v>
      </c>
      <c r="U15073" s="4" t="s">
        <v>21759</v>
      </c>
      <c r="V15073" s="4" t="s">
        <v>8688</v>
      </c>
      <c r="W15073" s="4" t="s">
        <v>21760</v>
      </c>
      <c r="X15073" s="4" t="s">
        <v>644</v>
      </c>
      <c r="Y15073" s="4" t="s">
        <v>21761</v>
      </c>
      <c r="Z15073" s="4" t="s">
        <v>4502</v>
      </c>
      <c r="AA15073" s="4" t="s">
        <v>16145</v>
      </c>
      <c r="AB15073" s="4" t="s">
        <v>8688</v>
      </c>
      <c r="AC15073" s="4" t="s">
        <v>21762</v>
      </c>
      <c r="AD15073" s="4" t="s">
        <v>21763</v>
      </c>
      <c r="AE15073" s="4" t="s">
        <v>21764</v>
      </c>
      <c r="AF15073" s="4" t="s">
        <v>8688</v>
      </c>
      <c r="AG15073" s="4" t="s">
        <v>7641</v>
      </c>
      <c r="AH15073" s="4" t="s">
        <v>21765</v>
      </c>
      <c r="AI15073" s="4" t="s">
        <v>16012</v>
      </c>
      <c r="AJ15073" s="4" t="s">
        <v>21766</v>
      </c>
      <c r="AK15073" s="4" t="s">
        <v>16885</v>
      </c>
      <c r="AL15073" s="4" t="s">
        <v>21767</v>
      </c>
      <c r="AM15073" s="4" t="s">
        <v>21768</v>
      </c>
      <c r="AN15073" s="4" t="s">
        <v>21769</v>
      </c>
      <c r="AO15073" s="4" t="s">
        <v>643</v>
      </c>
      <c r="AP15073" s="4" t="s">
        <v>644</v>
      </c>
      <c r="AQ15073" s="4" t="s">
        <v>645</v>
      </c>
      <c r="AR15073" s="4" t="s">
        <v>21766</v>
      </c>
      <c r="AS15073" s="4" t="s">
        <v>2764</v>
      </c>
      <c r="AT15073" s="4" t="s">
        <v>21766</v>
      </c>
      <c r="AU15073" s="4" t="s">
        <v>7307</v>
      </c>
      <c r="AV15073" s="4" t="s">
        <v>643</v>
      </c>
      <c r="AW15073" s="4" t="s">
        <v>21770</v>
      </c>
      <c r="AX15073" s="4" t="s">
        <v>21771</v>
      </c>
      <c r="AY15073" s="4" t="s">
        <v>21772</v>
      </c>
      <c r="AZ15073" s="4" t="s">
        <v>21773</v>
      </c>
      <c r="BA15073" s="4" t="s">
        <v>21774</v>
      </c>
      <c r="BB15073" s="4" t="s">
        <v>21775</v>
      </c>
      <c r="BC15073" s="4" t="s">
        <v>1431</v>
      </c>
      <c r="BD15073" s="4" t="s">
        <v>21776</v>
      </c>
      <c r="BE15073" s="4" t="s">
        <v>21766</v>
      </c>
      <c r="BF15073" s="4" t="s">
        <v>1431</v>
      </c>
      <c r="BG15073" s="4" t="s">
        <v>6686</v>
      </c>
      <c r="BH15073" s="4" t="s">
        <v>4305</v>
      </c>
      <c r="BI15073" s="4" t="s">
        <v>20679</v>
      </c>
      <c r="BJ15073" s="4" t="s">
        <v>15196</v>
      </c>
      <c r="BK15073" s="4" t="s">
        <v>15474</v>
      </c>
      <c r="BL15073" s="4" t="s">
        <v>4146</v>
      </c>
      <c r="BM15073" s="4" t="s">
        <v>21095</v>
      </c>
      <c r="BN15073" s="4" t="s">
        <v>4445</v>
      </c>
      <c r="BO15073" s="4" t="s">
        <v>21767</v>
      </c>
    </row>
    <row r="15074">
      <c r="A15074" s="4">
        <v>570.0</v>
      </c>
      <c r="B15074" s="4" t="s">
        <v>22132</v>
      </c>
      <c r="C15074" s="4"/>
      <c r="D15074" s="4" t="s">
        <v>21779</v>
      </c>
      <c r="E15074" s="4" t="s">
        <v>3920</v>
      </c>
      <c r="F15074" s="4" t="s">
        <v>3921</v>
      </c>
    </row>
    <row r="15075">
      <c r="A15075" s="4">
        <v>571.0</v>
      </c>
      <c r="B15075" s="4" t="s">
        <v>22132</v>
      </c>
      <c r="C15075" s="4"/>
      <c r="D15075" s="4" t="s">
        <v>21780</v>
      </c>
      <c r="E15075" s="4" t="s">
        <v>21781</v>
      </c>
      <c r="F15075" s="4" t="s">
        <v>21782</v>
      </c>
    </row>
    <row r="15076">
      <c r="A15076" s="4">
        <v>572.0</v>
      </c>
      <c r="B15076" s="4" t="s">
        <v>22132</v>
      </c>
      <c r="C15076" s="4"/>
      <c r="D15076" s="4" t="s">
        <v>3939</v>
      </c>
      <c r="E15076" s="4" t="s">
        <v>3940</v>
      </c>
      <c r="F15076" s="4" t="s">
        <v>3939</v>
      </c>
    </row>
    <row r="15077">
      <c r="A15077" s="4">
        <v>573.0</v>
      </c>
      <c r="B15077" s="4" t="s">
        <v>22132</v>
      </c>
      <c r="C15077" s="4"/>
      <c r="D15077" s="4" t="s">
        <v>21783</v>
      </c>
      <c r="E15077" s="4" t="s">
        <v>21784</v>
      </c>
      <c r="F15077" s="4" t="s">
        <v>21783</v>
      </c>
    </row>
    <row r="15078">
      <c r="A15078" s="4">
        <v>574.0</v>
      </c>
      <c r="B15078" s="4" t="s">
        <v>22132</v>
      </c>
      <c r="C15078" s="4"/>
      <c r="D15078" s="4" t="s">
        <v>11123</v>
      </c>
      <c r="E15078" s="4" t="s">
        <v>13599</v>
      </c>
      <c r="F15078" s="4" t="s">
        <v>11123</v>
      </c>
    </row>
    <row r="15079">
      <c r="A15079" s="4">
        <v>575.0</v>
      </c>
      <c r="B15079" s="4" t="s">
        <v>22132</v>
      </c>
      <c r="C15079" s="4"/>
      <c r="D15079" s="4" t="s">
        <v>21785</v>
      </c>
      <c r="E15079" s="4" t="s">
        <v>21786</v>
      </c>
      <c r="F15079" s="4" t="s">
        <v>21785</v>
      </c>
      <c r="G15079" s="4"/>
      <c r="H15079" s="4" t="s">
        <v>21787</v>
      </c>
    </row>
    <row r="15080">
      <c r="A15080" s="4">
        <v>576.0</v>
      </c>
      <c r="B15080" s="4" t="s">
        <v>22132</v>
      </c>
      <c r="C15080" s="4"/>
      <c r="D15080" s="4" t="s">
        <v>21788</v>
      </c>
      <c r="E15080" s="4" t="s">
        <v>21789</v>
      </c>
      <c r="F15080" s="4" t="s">
        <v>21788</v>
      </c>
    </row>
    <row r="15081">
      <c r="A15081" s="4">
        <v>577.0</v>
      </c>
      <c r="B15081" s="4" t="s">
        <v>22132</v>
      </c>
      <c r="C15081" s="4"/>
      <c r="D15081" s="4" t="s">
        <v>21800</v>
      </c>
      <c r="E15081" s="4" t="s">
        <v>21801</v>
      </c>
      <c r="F15081" s="4" t="s">
        <v>21800</v>
      </c>
    </row>
    <row r="15082">
      <c r="A15082" s="4">
        <v>578.0</v>
      </c>
      <c r="B15082" s="4" t="s">
        <v>22132</v>
      </c>
      <c r="C15082" s="4"/>
      <c r="D15082" s="4" t="s">
        <v>401</v>
      </c>
      <c r="E15082" s="4" t="s">
        <v>400</v>
      </c>
      <c r="F15082" s="4" t="s">
        <v>401</v>
      </c>
      <c r="G15082" s="4"/>
      <c r="H15082" s="4" t="s">
        <v>422</v>
      </c>
      <c r="I15082" s="4" t="s">
        <v>3975</v>
      </c>
      <c r="J15082" s="4" t="s">
        <v>401</v>
      </c>
    </row>
    <row r="15083">
      <c r="A15083" s="4">
        <v>579.0</v>
      </c>
      <c r="B15083" s="4" t="s">
        <v>22132</v>
      </c>
      <c r="C15083" s="4"/>
      <c r="D15083" s="4" t="s">
        <v>21803</v>
      </c>
      <c r="E15083" s="4" t="s">
        <v>21804</v>
      </c>
      <c r="F15083" s="4" t="s">
        <v>21805</v>
      </c>
    </row>
    <row r="15084">
      <c r="A15084" s="4">
        <v>580.0</v>
      </c>
      <c r="B15084" s="4" t="s">
        <v>22132</v>
      </c>
      <c r="C15084" s="4"/>
      <c r="D15084" s="4" t="s">
        <v>21806</v>
      </c>
      <c r="E15084" s="4" t="s">
        <v>20267</v>
      </c>
      <c r="F15084" s="4" t="s">
        <v>7538</v>
      </c>
      <c r="G15084" s="4"/>
      <c r="H15084" s="4" t="s">
        <v>7576</v>
      </c>
      <c r="I15084" s="4" t="s">
        <v>7576</v>
      </c>
    </row>
    <row r="15085">
      <c r="A15085" s="4">
        <v>581.0</v>
      </c>
      <c r="B15085" s="4" t="s">
        <v>22132</v>
      </c>
      <c r="C15085" s="4"/>
      <c r="D15085" s="4" t="s">
        <v>1417</v>
      </c>
      <c r="E15085" s="4" t="s">
        <v>1416</v>
      </c>
      <c r="F15085" s="4" t="s">
        <v>1417</v>
      </c>
    </row>
    <row r="15086">
      <c r="A15086" s="4">
        <v>582.0</v>
      </c>
      <c r="B15086" s="4" t="s">
        <v>22132</v>
      </c>
      <c r="C15086" s="4"/>
      <c r="D15086" s="4" t="s">
        <v>21807</v>
      </c>
      <c r="E15086" s="4" t="s">
        <v>21808</v>
      </c>
      <c r="F15086" s="4" t="s">
        <v>21807</v>
      </c>
    </row>
    <row r="15087">
      <c r="A15087" s="4">
        <v>583.0</v>
      </c>
      <c r="B15087" s="4" t="s">
        <v>22132</v>
      </c>
      <c r="C15087" s="4"/>
      <c r="D15087" s="4" t="s">
        <v>3983</v>
      </c>
      <c r="E15087" s="4" t="s">
        <v>3989</v>
      </c>
      <c r="F15087" s="4" t="s">
        <v>3983</v>
      </c>
      <c r="G15087" s="4"/>
      <c r="H15087" s="4" t="s">
        <v>3988</v>
      </c>
      <c r="I15087" s="4" t="s">
        <v>3983</v>
      </c>
      <c r="J15087" s="4" t="s">
        <v>3986</v>
      </c>
      <c r="K15087" s="4" t="s">
        <v>3987</v>
      </c>
      <c r="L15087" s="4" t="s">
        <v>3983</v>
      </c>
      <c r="M15087" s="4" t="s">
        <v>3988</v>
      </c>
      <c r="N15087" s="4" t="s">
        <v>3983</v>
      </c>
      <c r="O15087" s="4" t="s">
        <v>3983</v>
      </c>
    </row>
    <row r="15088">
      <c r="A15088" s="4">
        <v>584.0</v>
      </c>
      <c r="B15088" s="4" t="s">
        <v>22132</v>
      </c>
      <c r="C15088" s="4"/>
      <c r="D15088" s="4" t="s">
        <v>3990</v>
      </c>
      <c r="E15088" s="4" t="s">
        <v>4001</v>
      </c>
      <c r="F15088" s="4" t="s">
        <v>3990</v>
      </c>
      <c r="G15088" s="4"/>
      <c r="H15088" s="4" t="s">
        <v>3993</v>
      </c>
      <c r="I15088" s="4" t="s">
        <v>3994</v>
      </c>
      <c r="J15088" s="4" t="s">
        <v>3995</v>
      </c>
      <c r="K15088" s="4" t="s">
        <v>3996</v>
      </c>
      <c r="L15088" s="4" t="s">
        <v>3997</v>
      </c>
      <c r="M15088" s="4" t="s">
        <v>3998</v>
      </c>
      <c r="N15088" s="4" t="s">
        <v>3999</v>
      </c>
      <c r="O15088" s="4" t="s">
        <v>4000</v>
      </c>
      <c r="P15088" s="4" t="s">
        <v>1911</v>
      </c>
      <c r="Q15088" s="4" t="s">
        <v>883</v>
      </c>
      <c r="R15088" s="4" t="s">
        <v>3997</v>
      </c>
      <c r="S15088" s="4" t="s">
        <v>3996</v>
      </c>
      <c r="T15088" s="4" t="s">
        <v>21809</v>
      </c>
    </row>
    <row r="15089">
      <c r="A15089" s="4">
        <v>585.0</v>
      </c>
      <c r="B15089" s="4" t="s">
        <v>22132</v>
      </c>
      <c r="C15089" s="4"/>
      <c r="D15089" s="4" t="s">
        <v>7626</v>
      </c>
      <c r="E15089" s="4" t="s">
        <v>12179</v>
      </c>
      <c r="F15089" s="4" t="s">
        <v>7626</v>
      </c>
    </row>
    <row r="15090">
      <c r="A15090" s="4">
        <v>586.0</v>
      </c>
      <c r="B15090" s="4" t="s">
        <v>22132</v>
      </c>
      <c r="C15090" s="4"/>
      <c r="D15090" s="4" t="s">
        <v>21813</v>
      </c>
      <c r="E15090" s="4" t="s">
        <v>21814</v>
      </c>
      <c r="F15090" s="4" t="s">
        <v>21813</v>
      </c>
    </row>
    <row r="15091">
      <c r="A15091" s="4">
        <v>587.0</v>
      </c>
      <c r="B15091" s="4" t="s">
        <v>22132</v>
      </c>
      <c r="C15091" s="4"/>
      <c r="D15091" s="4" t="s">
        <v>21815</v>
      </c>
      <c r="E15091" s="4" t="s">
        <v>21816</v>
      </c>
      <c r="F15091" s="4" t="s">
        <v>21815</v>
      </c>
    </row>
    <row r="15092">
      <c r="A15092" s="4">
        <v>588.0</v>
      </c>
      <c r="B15092" s="4" t="s">
        <v>22132</v>
      </c>
      <c r="C15092" s="4"/>
      <c r="D15092" s="4" t="s">
        <v>16283</v>
      </c>
      <c r="E15092" s="4" t="s">
        <v>16284</v>
      </c>
      <c r="F15092" s="4" t="s">
        <v>16283</v>
      </c>
    </row>
    <row r="15093">
      <c r="A15093" s="4">
        <v>589.0</v>
      </c>
      <c r="B15093" s="4" t="s">
        <v>22132</v>
      </c>
      <c r="C15093" s="4"/>
      <c r="D15093" s="4" t="s">
        <v>21817</v>
      </c>
      <c r="E15093" s="4" t="s">
        <v>21818</v>
      </c>
      <c r="F15093" s="4" t="s">
        <v>21817</v>
      </c>
    </row>
    <row r="15094">
      <c r="A15094" s="4">
        <v>590.0</v>
      </c>
      <c r="B15094" s="4" t="s">
        <v>22132</v>
      </c>
      <c r="C15094" s="4"/>
      <c r="D15094" s="4" t="s">
        <v>8717</v>
      </c>
      <c r="E15094" s="4" t="s">
        <v>8716</v>
      </c>
      <c r="F15094" s="4" t="s">
        <v>8717</v>
      </c>
    </row>
    <row r="15095">
      <c r="A15095" s="4">
        <v>591.0</v>
      </c>
      <c r="B15095" s="4" t="s">
        <v>22132</v>
      </c>
      <c r="C15095" s="4"/>
      <c r="D15095" s="4" t="s">
        <v>4118</v>
      </c>
      <c r="E15095" s="4" t="s">
        <v>4119</v>
      </c>
      <c r="F15095" s="4" t="s">
        <v>4118</v>
      </c>
      <c r="G15095" s="4"/>
      <c r="H15095" s="4" t="s">
        <v>4120</v>
      </c>
      <c r="I15095" s="4" t="s">
        <v>4121</v>
      </c>
      <c r="J15095" s="4" t="s">
        <v>4122</v>
      </c>
      <c r="K15095" s="4" t="s">
        <v>4123</v>
      </c>
      <c r="L15095" s="4" t="s">
        <v>4125</v>
      </c>
      <c r="M15095" s="4" t="s">
        <v>4553</v>
      </c>
      <c r="N15095" s="4" t="s">
        <v>4554</v>
      </c>
      <c r="O15095" s="4" t="s">
        <v>4123</v>
      </c>
      <c r="P15095" s="4" t="s">
        <v>4124</v>
      </c>
      <c r="Q15095" s="4" t="s">
        <v>4125</v>
      </c>
      <c r="R15095" s="4" t="s">
        <v>4123</v>
      </c>
      <c r="S15095" s="4" t="s">
        <v>4120</v>
      </c>
      <c r="T15095" s="4" t="s">
        <v>4126</v>
      </c>
      <c r="U15095" s="4" t="s">
        <v>4123</v>
      </c>
      <c r="V15095" s="4" t="s">
        <v>4127</v>
      </c>
      <c r="W15095" s="4" t="s">
        <v>4124</v>
      </c>
      <c r="X15095" s="4" t="s">
        <v>4128</v>
      </c>
    </row>
    <row r="15096">
      <c r="A15096" s="4">
        <v>592.0</v>
      </c>
      <c r="B15096" s="4" t="s">
        <v>22132</v>
      </c>
      <c r="C15096" s="4"/>
      <c r="D15096" s="4" t="s">
        <v>21819</v>
      </c>
      <c r="E15096" s="4" t="s">
        <v>21820</v>
      </c>
      <c r="F15096" s="4" t="s">
        <v>21819</v>
      </c>
    </row>
    <row r="15097">
      <c r="A15097" s="4">
        <v>593.0</v>
      </c>
      <c r="B15097" s="4" t="s">
        <v>22132</v>
      </c>
      <c r="C15097" s="4"/>
      <c r="D15097" s="4" t="s">
        <v>21825</v>
      </c>
      <c r="E15097" s="4" t="s">
        <v>7656</v>
      </c>
      <c r="F15097" s="4" t="s">
        <v>7650</v>
      </c>
    </row>
    <row r="15098">
      <c r="A15098" s="4">
        <v>594.0</v>
      </c>
      <c r="B15098" s="4" t="s">
        <v>22132</v>
      </c>
      <c r="C15098" s="4"/>
      <c r="D15098" s="4" t="s">
        <v>4152</v>
      </c>
      <c r="E15098" s="4" t="s">
        <v>4153</v>
      </c>
      <c r="F15098" s="4" t="s">
        <v>4152</v>
      </c>
    </row>
    <row r="15099">
      <c r="A15099" s="4">
        <v>595.0</v>
      </c>
      <c r="B15099" s="4" t="s">
        <v>22132</v>
      </c>
      <c r="C15099" s="4"/>
      <c r="D15099" s="4" t="s">
        <v>21826</v>
      </c>
      <c r="E15099" s="4" t="s">
        <v>21827</v>
      </c>
      <c r="F15099" s="4" t="s">
        <v>21826</v>
      </c>
      <c r="G15099" s="4"/>
      <c r="H15099" s="4" t="s">
        <v>21828</v>
      </c>
      <c r="I15099" s="4" t="s">
        <v>21829</v>
      </c>
      <c r="J15099" s="4" t="s">
        <v>21830</v>
      </c>
      <c r="K15099" s="4" t="s">
        <v>21831</v>
      </c>
      <c r="L15099" s="4" t="s">
        <v>3632</v>
      </c>
      <c r="M15099" s="4" t="s">
        <v>21832</v>
      </c>
      <c r="N15099" s="4" t="s">
        <v>20604</v>
      </c>
    </row>
    <row r="15100">
      <c r="A15100" s="4">
        <v>596.0</v>
      </c>
      <c r="B15100" s="4" t="s">
        <v>22132</v>
      </c>
      <c r="C15100" s="4"/>
      <c r="D15100" s="4" t="s">
        <v>21833</v>
      </c>
      <c r="E15100" s="4" t="s">
        <v>21834</v>
      </c>
      <c r="F15100" s="4" t="s">
        <v>21833</v>
      </c>
      <c r="G15100" s="4"/>
      <c r="H15100" s="4" t="s">
        <v>21835</v>
      </c>
      <c r="I15100" s="4" t="s">
        <v>20165</v>
      </c>
      <c r="J15100" s="4" t="s">
        <v>21836</v>
      </c>
      <c r="K15100" s="4" t="s">
        <v>21837</v>
      </c>
      <c r="L15100" s="4" t="s">
        <v>21838</v>
      </c>
    </row>
    <row r="15101">
      <c r="A15101" s="4">
        <v>597.0</v>
      </c>
      <c r="B15101" s="4" t="s">
        <v>22132</v>
      </c>
      <c r="C15101" s="4"/>
      <c r="D15101" s="4" t="s">
        <v>21839</v>
      </c>
      <c r="E15101" s="4" t="s">
        <v>21840</v>
      </c>
      <c r="F15101" s="4" t="s">
        <v>21839</v>
      </c>
    </row>
    <row r="15102">
      <c r="A15102" s="4">
        <v>598.0</v>
      </c>
      <c r="B15102" s="4" t="s">
        <v>22132</v>
      </c>
      <c r="C15102" s="4"/>
      <c r="D15102" s="4" t="s">
        <v>11292</v>
      </c>
      <c r="E15102" s="4" t="s">
        <v>11293</v>
      </c>
      <c r="F15102" s="4" t="s">
        <v>11292</v>
      </c>
      <c r="G15102" s="4"/>
      <c r="H15102" s="4" t="s">
        <v>21841</v>
      </c>
      <c r="I15102" s="4" t="s">
        <v>21842</v>
      </c>
      <c r="J15102" s="4" t="s">
        <v>5083</v>
      </c>
      <c r="K15102" s="4" t="s">
        <v>5084</v>
      </c>
      <c r="L15102" s="4" t="s">
        <v>5085</v>
      </c>
      <c r="M15102" s="4" t="s">
        <v>5086</v>
      </c>
      <c r="N15102" s="4" t="s">
        <v>5087</v>
      </c>
    </row>
    <row r="15103">
      <c r="A15103" s="4">
        <v>599.0</v>
      </c>
      <c r="B15103" s="4" t="s">
        <v>22132</v>
      </c>
      <c r="C15103" s="4"/>
      <c r="D15103" s="4" t="s">
        <v>21843</v>
      </c>
      <c r="E15103" s="4" t="s">
        <v>21844</v>
      </c>
      <c r="F15103" s="4" t="s">
        <v>21843</v>
      </c>
    </row>
    <row r="15104">
      <c r="A15104" s="4">
        <v>600.0</v>
      </c>
      <c r="B15104" s="4" t="s">
        <v>22132</v>
      </c>
      <c r="C15104" s="4"/>
      <c r="D15104" s="4" t="s">
        <v>7657</v>
      </c>
      <c r="E15104" s="4" t="s">
        <v>8795</v>
      </c>
      <c r="F15104" s="4" t="s">
        <v>7657</v>
      </c>
    </row>
    <row r="15105">
      <c r="A15105" s="4">
        <v>601.0</v>
      </c>
      <c r="B15105" s="4" t="s">
        <v>22132</v>
      </c>
      <c r="C15105" s="4"/>
      <c r="D15105" s="4" t="s">
        <v>4214</v>
      </c>
      <c r="E15105" s="4" t="s">
        <v>400</v>
      </c>
      <c r="F15105" s="4" t="s">
        <v>401</v>
      </c>
    </row>
    <row r="15106">
      <c r="A15106" s="4">
        <v>602.0</v>
      </c>
      <c r="B15106" s="4" t="s">
        <v>22132</v>
      </c>
      <c r="C15106" s="4"/>
      <c r="D15106" s="4" t="s">
        <v>21853</v>
      </c>
      <c r="E15106" s="4" t="s">
        <v>12179</v>
      </c>
      <c r="F15106" s="4" t="s">
        <v>7626</v>
      </c>
    </row>
    <row r="15107">
      <c r="A15107" s="4">
        <v>603.0</v>
      </c>
      <c r="B15107" s="4" t="s">
        <v>22132</v>
      </c>
      <c r="C15107" s="4"/>
      <c r="D15107" s="4" t="s">
        <v>8880</v>
      </c>
      <c r="E15107" s="4" t="s">
        <v>15552</v>
      </c>
      <c r="F15107" s="4" t="s">
        <v>8882</v>
      </c>
      <c r="G15107" s="4"/>
      <c r="H15107" s="4" t="s">
        <v>8880</v>
      </c>
    </row>
    <row r="15108">
      <c r="A15108" s="4">
        <v>604.0</v>
      </c>
      <c r="B15108" s="4" t="s">
        <v>22132</v>
      </c>
      <c r="C15108" s="4"/>
      <c r="D15108" s="4" t="s">
        <v>1864</v>
      </c>
      <c r="E15108" s="4" t="s">
        <v>1863</v>
      </c>
      <c r="F15108" s="4" t="s">
        <v>1864</v>
      </c>
    </row>
    <row r="15109">
      <c r="A15109" s="4">
        <v>605.0</v>
      </c>
      <c r="B15109" s="4" t="s">
        <v>22132</v>
      </c>
      <c r="C15109" s="4"/>
      <c r="D15109" s="4" t="s">
        <v>21033</v>
      </c>
      <c r="E15109" s="4" t="s">
        <v>21032</v>
      </c>
      <c r="F15109" s="4" t="s">
        <v>21033</v>
      </c>
    </row>
    <row r="15110">
      <c r="A15110" s="4">
        <v>606.0</v>
      </c>
      <c r="B15110" s="4" t="s">
        <v>22132</v>
      </c>
      <c r="C15110" s="4"/>
      <c r="D15110" s="4" t="s">
        <v>4640</v>
      </c>
      <c r="E15110" s="4" t="s">
        <v>4639</v>
      </c>
      <c r="F15110" s="4" t="s">
        <v>4640</v>
      </c>
    </row>
    <row r="15111">
      <c r="A15111" s="4">
        <v>607.0</v>
      </c>
      <c r="B15111" s="4" t="s">
        <v>22132</v>
      </c>
      <c r="C15111" s="4"/>
      <c r="D15111" s="4" t="s">
        <v>4638</v>
      </c>
      <c r="E15111" s="4" t="s">
        <v>4656</v>
      </c>
      <c r="F15111" s="4" t="s">
        <v>4638</v>
      </c>
      <c r="G15111" s="4"/>
      <c r="H15111" s="4" t="s">
        <v>4641</v>
      </c>
      <c r="I15111" s="4" t="s">
        <v>4642</v>
      </c>
      <c r="J15111" s="4" t="s">
        <v>4643</v>
      </c>
      <c r="K15111" s="4" t="s">
        <v>4644</v>
      </c>
      <c r="L15111" s="4" t="s">
        <v>4645</v>
      </c>
      <c r="M15111" s="4" t="s">
        <v>4646</v>
      </c>
      <c r="N15111" s="4" t="s">
        <v>4645</v>
      </c>
      <c r="O15111" s="4" t="s">
        <v>4644</v>
      </c>
      <c r="P15111" s="4" t="s">
        <v>4646</v>
      </c>
      <c r="Q15111" s="4" t="s">
        <v>4647</v>
      </c>
      <c r="R15111" s="4" t="s">
        <v>4648</v>
      </c>
      <c r="S15111" s="4" t="s">
        <v>22023</v>
      </c>
      <c r="T15111" s="4" t="s">
        <v>22024</v>
      </c>
      <c r="U15111" s="4" t="s">
        <v>22025</v>
      </c>
      <c r="V15111" s="4" t="s">
        <v>3048</v>
      </c>
      <c r="W15111" s="4" t="s">
        <v>22026</v>
      </c>
      <c r="X15111" s="4" t="s">
        <v>4653</v>
      </c>
      <c r="Y15111" s="4" t="s">
        <v>4652</v>
      </c>
      <c r="Z15111" s="4" t="s">
        <v>4649</v>
      </c>
      <c r="AA15111" s="4" t="s">
        <v>4650</v>
      </c>
      <c r="AB15111" s="4" t="s">
        <v>4649</v>
      </c>
      <c r="AC15111" s="4" t="s">
        <v>4651</v>
      </c>
      <c r="AD15111" s="4" t="s">
        <v>4496</v>
      </c>
      <c r="AE15111" s="4" t="s">
        <v>4652</v>
      </c>
      <c r="AF15111" s="4" t="s">
        <v>3048</v>
      </c>
      <c r="AG15111" s="4" t="s">
        <v>3050</v>
      </c>
      <c r="AH15111" s="4" t="s">
        <v>4653</v>
      </c>
      <c r="AI15111" s="4" t="s">
        <v>22027</v>
      </c>
      <c r="AJ15111" s="4" t="s">
        <v>22028</v>
      </c>
      <c r="AK15111" s="4" t="s">
        <v>22029</v>
      </c>
      <c r="AL15111" s="4" t="s">
        <v>21767</v>
      </c>
      <c r="AM15111" s="4" t="s">
        <v>22030</v>
      </c>
      <c r="AN15111" s="4" t="s">
        <v>4642</v>
      </c>
      <c r="AO15111" s="4" t="s">
        <v>4652</v>
      </c>
      <c r="AP15111" s="4" t="s">
        <v>3048</v>
      </c>
      <c r="AQ15111" s="4" t="s">
        <v>4653</v>
      </c>
      <c r="AR15111" s="4" t="s">
        <v>4649</v>
      </c>
      <c r="AS15111" s="4" t="s">
        <v>4644</v>
      </c>
      <c r="AT15111" s="4" t="s">
        <v>4644</v>
      </c>
      <c r="AU15111" s="4" t="s">
        <v>4642</v>
      </c>
    </row>
    <row r="15112">
      <c r="A15112" s="4">
        <v>608.0</v>
      </c>
      <c r="B15112" s="4" t="s">
        <v>22132</v>
      </c>
      <c r="C15112" s="4"/>
      <c r="D15112" s="4" t="s">
        <v>22031</v>
      </c>
      <c r="E15112" s="4" t="s">
        <v>22032</v>
      </c>
      <c r="F15112" s="4" t="s">
        <v>22033</v>
      </c>
    </row>
    <row r="15113">
      <c r="A15113" s="4">
        <v>609.0</v>
      </c>
      <c r="B15113" s="4" t="s">
        <v>22132</v>
      </c>
      <c r="C15113" s="4"/>
      <c r="D15113" s="4" t="s">
        <v>22034</v>
      </c>
      <c r="E15113" s="4" t="s">
        <v>22035</v>
      </c>
      <c r="F15113" s="4" t="s">
        <v>22036</v>
      </c>
    </row>
    <row r="15114">
      <c r="A15114" s="4">
        <v>610.0</v>
      </c>
      <c r="B15114" s="4" t="s">
        <v>22132</v>
      </c>
      <c r="C15114" s="4"/>
      <c r="D15114" s="4" t="s">
        <v>4659</v>
      </c>
      <c r="E15114" s="4" t="s">
        <v>4639</v>
      </c>
      <c r="F15114" s="4" t="s">
        <v>4640</v>
      </c>
    </row>
    <row r="15115">
      <c r="A15115" s="4">
        <v>611.0</v>
      </c>
      <c r="B15115" s="4" t="s">
        <v>22132</v>
      </c>
      <c r="C15115" s="4"/>
      <c r="D15115" s="4" t="s">
        <v>22044</v>
      </c>
      <c r="E15115" s="4" t="s">
        <v>22045</v>
      </c>
      <c r="F15115" s="4" t="s">
        <v>22046</v>
      </c>
    </row>
    <row r="15116">
      <c r="A15116" s="4">
        <v>612.0</v>
      </c>
      <c r="B15116" s="4" t="s">
        <v>22132</v>
      </c>
      <c r="C15116" s="4"/>
      <c r="D15116" s="4" t="s">
        <v>22047</v>
      </c>
      <c r="E15116" s="4" t="s">
        <v>22048</v>
      </c>
      <c r="F15116" s="4" t="s">
        <v>22047</v>
      </c>
    </row>
    <row r="15117">
      <c r="A15117" s="4">
        <v>613.0</v>
      </c>
      <c r="B15117" s="4" t="s">
        <v>22132</v>
      </c>
      <c r="C15117" s="4"/>
      <c r="D15117" s="4" t="s">
        <v>19726</v>
      </c>
      <c r="E15117" s="4" t="s">
        <v>21047</v>
      </c>
      <c r="F15117" s="4" t="s">
        <v>19726</v>
      </c>
      <c r="G15117" s="4"/>
      <c r="H15117" s="4" t="s">
        <v>4799</v>
      </c>
      <c r="I15117" s="4" t="s">
        <v>22049</v>
      </c>
      <c r="J15117" s="4" t="s">
        <v>4799</v>
      </c>
      <c r="K15117" s="4" t="s">
        <v>22050</v>
      </c>
      <c r="L15117" s="4" t="s">
        <v>22051</v>
      </c>
      <c r="M15117" s="4" t="s">
        <v>22052</v>
      </c>
      <c r="N15117" s="4" t="s">
        <v>3085</v>
      </c>
      <c r="O15117" s="4" t="s">
        <v>4799</v>
      </c>
      <c r="P15117" s="4" t="s">
        <v>22053</v>
      </c>
      <c r="Q15117" s="4" t="s">
        <v>11348</v>
      </c>
      <c r="R15117" s="4" t="s">
        <v>22052</v>
      </c>
      <c r="S15117" s="4" t="s">
        <v>4799</v>
      </c>
      <c r="T15117" s="4" t="s">
        <v>4799</v>
      </c>
    </row>
    <row r="15118">
      <c r="A15118" s="4">
        <v>614.0</v>
      </c>
      <c r="B15118" s="4" t="s">
        <v>22132</v>
      </c>
      <c r="C15118" s="4"/>
      <c r="D15118" s="4" t="s">
        <v>22054</v>
      </c>
      <c r="E15118" s="4" t="s">
        <v>22055</v>
      </c>
      <c r="F15118" s="4" t="s">
        <v>22054</v>
      </c>
    </row>
    <row r="15119">
      <c r="A15119" s="4">
        <v>615.0</v>
      </c>
      <c r="B15119" s="4" t="s">
        <v>22132</v>
      </c>
      <c r="C15119" s="4"/>
      <c r="D15119" s="4" t="s">
        <v>22056</v>
      </c>
      <c r="E15119" s="4" t="s">
        <v>22057</v>
      </c>
      <c r="F15119" s="4" t="s">
        <v>22056</v>
      </c>
    </row>
    <row r="15120">
      <c r="A15120" s="4">
        <v>616.0</v>
      </c>
      <c r="B15120" s="4" t="s">
        <v>22132</v>
      </c>
      <c r="C15120" s="4"/>
      <c r="D15120" s="4" t="s">
        <v>22058</v>
      </c>
      <c r="E15120" s="4" t="s">
        <v>22055</v>
      </c>
      <c r="F15120" s="4" t="s">
        <v>22054</v>
      </c>
    </row>
    <row r="15121">
      <c r="A15121" s="4">
        <v>617.0</v>
      </c>
      <c r="B15121" s="4" t="s">
        <v>22132</v>
      </c>
      <c r="C15121" s="4"/>
      <c r="D15121" s="4" t="s">
        <v>22059</v>
      </c>
      <c r="E15121" s="4" t="s">
        <v>22057</v>
      </c>
      <c r="F15121" s="4" t="s">
        <v>22056</v>
      </c>
    </row>
    <row r="15122">
      <c r="A15122" s="4">
        <v>618.0</v>
      </c>
      <c r="B15122" s="4" t="s">
        <v>22132</v>
      </c>
      <c r="C15122" s="4"/>
      <c r="D15122" s="4" t="s">
        <v>22060</v>
      </c>
      <c r="E15122" s="4" t="s">
        <v>22061</v>
      </c>
      <c r="F15122" s="4" t="s">
        <v>22060</v>
      </c>
    </row>
    <row r="15123">
      <c r="A15123" s="4">
        <v>619.0</v>
      </c>
      <c r="B15123" s="4" t="s">
        <v>22132</v>
      </c>
      <c r="C15123" s="4"/>
      <c r="D15123" s="4" t="s">
        <v>22062</v>
      </c>
      <c r="E15123" s="4" t="s">
        <v>22063</v>
      </c>
      <c r="F15123" s="4" t="s">
        <v>22064</v>
      </c>
    </row>
    <row r="15124">
      <c r="A15124" s="4">
        <v>620.0</v>
      </c>
      <c r="B15124" s="4" t="s">
        <v>22132</v>
      </c>
      <c r="C15124" s="4"/>
      <c r="D15124" s="4" t="s">
        <v>22068</v>
      </c>
      <c r="E15124" s="4" t="s">
        <v>22069</v>
      </c>
      <c r="F15124" s="4" t="s">
        <v>22068</v>
      </c>
      <c r="G15124" s="4"/>
      <c r="H15124" s="4" t="s">
        <v>22070</v>
      </c>
      <c r="I15124" s="4" t="s">
        <v>22070</v>
      </c>
      <c r="J15124" s="4" t="s">
        <v>22071</v>
      </c>
    </row>
    <row r="15125">
      <c r="A15125" s="4">
        <v>621.0</v>
      </c>
      <c r="B15125" s="4" t="s">
        <v>22132</v>
      </c>
      <c r="C15125" s="4"/>
      <c r="D15125" s="4" t="s">
        <v>22072</v>
      </c>
      <c r="E15125" s="4" t="s">
        <v>22073</v>
      </c>
      <c r="F15125" s="4" t="s">
        <v>22072</v>
      </c>
      <c r="G15125" s="4"/>
      <c r="H15125" s="4" t="s">
        <v>15061</v>
      </c>
      <c r="I15125" s="4" t="s">
        <v>22074</v>
      </c>
      <c r="J15125" s="4" t="s">
        <v>8236</v>
      </c>
    </row>
    <row r="15126">
      <c r="A15126" s="4">
        <v>622.0</v>
      </c>
      <c r="B15126" s="4" t="s">
        <v>22132</v>
      </c>
      <c r="C15126" s="4"/>
      <c r="D15126" s="4" t="s">
        <v>22075</v>
      </c>
      <c r="E15126" s="4" t="s">
        <v>21127</v>
      </c>
      <c r="F15126" s="4" t="s">
        <v>21128</v>
      </c>
    </row>
    <row r="15127">
      <c r="A15127" s="4">
        <v>623.0</v>
      </c>
      <c r="B15127" s="4" t="s">
        <v>22132</v>
      </c>
      <c r="C15127" s="4"/>
      <c r="D15127" s="4" t="s">
        <v>22076</v>
      </c>
      <c r="E15127" s="4" t="s">
        <v>22077</v>
      </c>
      <c r="F15127" s="4" t="s">
        <v>22078</v>
      </c>
    </row>
    <row r="15128">
      <c r="A15128" s="4">
        <v>624.0</v>
      </c>
      <c r="B15128" s="4" t="s">
        <v>22132</v>
      </c>
      <c r="C15128" s="4"/>
      <c r="D15128" s="4" t="s">
        <v>22076</v>
      </c>
      <c r="E15128" s="4" t="s">
        <v>22079</v>
      </c>
      <c r="F15128" s="4" t="s">
        <v>22080</v>
      </c>
    </row>
    <row r="15129">
      <c r="A15129" s="4">
        <v>625.0</v>
      </c>
      <c r="B15129" s="4" t="s">
        <v>22132</v>
      </c>
      <c r="C15129" s="4"/>
      <c r="D15129" s="4" t="s">
        <v>22081</v>
      </c>
      <c r="E15129" s="4" t="s">
        <v>400</v>
      </c>
      <c r="F15129" s="4" t="s">
        <v>401</v>
      </c>
    </row>
    <row r="15130">
      <c r="A15130" s="4">
        <v>626.0</v>
      </c>
      <c r="B15130" s="4" t="s">
        <v>22132</v>
      </c>
      <c r="C15130" s="4"/>
      <c r="D15130" s="4" t="s">
        <v>22082</v>
      </c>
      <c r="E15130" s="4" t="s">
        <v>22083</v>
      </c>
      <c r="F15130" s="4" t="s">
        <v>9207</v>
      </c>
    </row>
    <row r="15131">
      <c r="A15131" s="4">
        <v>627.0</v>
      </c>
      <c r="B15131" s="4" t="s">
        <v>22132</v>
      </c>
      <c r="C15131" s="4"/>
      <c r="D15131" s="4" t="s">
        <v>22084</v>
      </c>
      <c r="E15131" s="4" t="s">
        <v>22085</v>
      </c>
      <c r="F15131" s="4" t="s">
        <v>14748</v>
      </c>
      <c r="G15131" s="4"/>
      <c r="H15131" s="4" t="s">
        <v>22086</v>
      </c>
      <c r="I15131" s="4" t="s">
        <v>22087</v>
      </c>
      <c r="J15131" s="4" t="s">
        <v>22088</v>
      </c>
      <c r="K15131" s="4" t="s">
        <v>22089</v>
      </c>
      <c r="L15131" s="4" t="s">
        <v>22090</v>
      </c>
      <c r="M15131" s="4" t="s">
        <v>22091</v>
      </c>
      <c r="N15131" s="4" t="s">
        <v>997</v>
      </c>
      <c r="O15131" s="4" t="s">
        <v>22092</v>
      </c>
      <c r="P15131" s="4" t="s">
        <v>19816</v>
      </c>
      <c r="Q15131" s="4" t="s">
        <v>22086</v>
      </c>
      <c r="R15131" s="4" t="s">
        <v>22087</v>
      </c>
      <c r="S15131" s="4" t="s">
        <v>22093</v>
      </c>
      <c r="T15131" s="4" t="s">
        <v>6967</v>
      </c>
      <c r="U15131" s="4" t="s">
        <v>3216</v>
      </c>
    </row>
    <row r="15132">
      <c r="A15132" s="4">
        <v>628.0</v>
      </c>
      <c r="B15132" s="4" t="s">
        <v>22132</v>
      </c>
      <c r="C15132" s="4"/>
      <c r="D15132" s="4" t="s">
        <v>22094</v>
      </c>
      <c r="E15132" s="4" t="s">
        <v>653</v>
      </c>
      <c r="F15132" s="4" t="s">
        <v>652</v>
      </c>
    </row>
    <row r="15133">
      <c r="A15133" s="4">
        <v>629.0</v>
      </c>
      <c r="B15133" s="4" t="s">
        <v>22132</v>
      </c>
      <c r="C15133" s="4"/>
      <c r="D15133" s="4" t="s">
        <v>16664</v>
      </c>
      <c r="E15133" s="4" t="s">
        <v>16663</v>
      </c>
      <c r="F15133" s="4" t="s">
        <v>16664</v>
      </c>
    </row>
    <row r="15134">
      <c r="A15134" s="4">
        <v>630.0</v>
      </c>
      <c r="B15134" s="4" t="s">
        <v>22132</v>
      </c>
      <c r="C15134" s="4"/>
      <c r="D15134" s="4" t="s">
        <v>22096</v>
      </c>
      <c r="E15134" s="4" t="s">
        <v>22097</v>
      </c>
      <c r="F15134" s="4" t="s">
        <v>22096</v>
      </c>
    </row>
    <row r="15135">
      <c r="A15135" s="4">
        <v>631.0</v>
      </c>
      <c r="B15135" s="4" t="s">
        <v>22132</v>
      </c>
      <c r="C15135" s="4"/>
      <c r="D15135" s="4" t="s">
        <v>18379</v>
      </c>
      <c r="E15135" s="4" t="s">
        <v>18378</v>
      </c>
      <c r="F15135" s="4" t="s">
        <v>18379</v>
      </c>
    </row>
    <row r="15136">
      <c r="A15136" s="4">
        <v>632.0</v>
      </c>
      <c r="B15136" s="4" t="s">
        <v>22132</v>
      </c>
      <c r="C15136" s="4"/>
      <c r="D15136" s="4" t="s">
        <v>22098</v>
      </c>
      <c r="E15136" s="4" t="s">
        <v>22099</v>
      </c>
      <c r="F15136" s="4" t="s">
        <v>22098</v>
      </c>
    </row>
    <row r="15137">
      <c r="A15137" s="4">
        <v>633.0</v>
      </c>
      <c r="B15137" s="4" t="s">
        <v>22132</v>
      </c>
      <c r="C15137" s="4"/>
      <c r="D15137" s="4" t="s">
        <v>3066</v>
      </c>
      <c r="E15137" s="4" t="s">
        <v>3065</v>
      </c>
      <c r="F15137" s="4" t="s">
        <v>3066</v>
      </c>
    </row>
    <row r="15138">
      <c r="A15138" s="4">
        <v>1.0</v>
      </c>
      <c r="B15138" s="4" t="s">
        <v>22133</v>
      </c>
      <c r="C15138" s="4"/>
      <c r="D15138" s="4" t="s">
        <v>541</v>
      </c>
      <c r="E15138" s="4" t="s">
        <v>509</v>
      </c>
      <c r="F15138" s="4" t="s">
        <v>508</v>
      </c>
      <c r="G15138" s="5" t="str">
        <f>IFERROR(__xludf.DUMMYFUNCTION("GOOGLETRANSLATE(D15138,""sv"",""es"")"),"todos")</f>
        <v>todos</v>
      </c>
    </row>
    <row r="15139">
      <c r="A15139" s="4">
        <v>2.0</v>
      </c>
      <c r="B15139" s="4" t="s">
        <v>22133</v>
      </c>
      <c r="C15139" s="4"/>
      <c r="D15139" s="4" t="s">
        <v>895</v>
      </c>
      <c r="E15139" s="4" t="s">
        <v>893</v>
      </c>
      <c r="F15139" s="4" t="s">
        <v>894</v>
      </c>
      <c r="G15139" s="5" t="str">
        <f>IFERROR(__xludf.DUMMYFUNCTION("GOOGLETRANSLATE(D15139,""sv"",""es"")"),"ataque")</f>
        <v>ataque</v>
      </c>
      <c r="H15139" s="4" t="s">
        <v>895</v>
      </c>
      <c r="I15139" s="4" t="s">
        <v>900</v>
      </c>
      <c r="J15139" s="4" t="s">
        <v>901</v>
      </c>
      <c r="K15139" s="4" t="s">
        <v>902</v>
      </c>
    </row>
    <row r="15140">
      <c r="A15140" s="4">
        <v>3.0</v>
      </c>
      <c r="B15140" s="4" t="s">
        <v>22133</v>
      </c>
      <c r="C15140" s="4"/>
      <c r="D15140" s="4" t="s">
        <v>4378</v>
      </c>
      <c r="E15140" s="4" t="s">
        <v>321</v>
      </c>
      <c r="F15140" s="4" t="s">
        <v>322</v>
      </c>
      <c r="G15140" s="5" t="str">
        <f>IFERROR(__xludf.DUMMYFUNCTION("GOOGLETRANSLATE(D15140,""sv"",""es"")"),"taza")</f>
        <v>taza</v>
      </c>
    </row>
    <row r="15141">
      <c r="A15141" s="4">
        <v>4.0</v>
      </c>
      <c r="B15141" s="4" t="s">
        <v>22133</v>
      </c>
      <c r="C15141" s="4"/>
      <c r="D15141" s="4" t="s">
        <v>22134</v>
      </c>
      <c r="E15141" s="4" t="s">
        <v>22135</v>
      </c>
      <c r="F15141" s="4" t="s">
        <v>22136</v>
      </c>
      <c r="G15141" s="5" t="str">
        <f>IFERROR(__xludf.DUMMYFUNCTION("GOOGLETRANSLATE(D15141,""sv"",""es"")"),"se fue")</f>
        <v>se fue</v>
      </c>
    </row>
    <row r="15142">
      <c r="A15142" s="4">
        <v>5.0</v>
      </c>
      <c r="B15142" s="4" t="s">
        <v>22133</v>
      </c>
      <c r="C15142" s="4"/>
      <c r="D15142" s="4" t="s">
        <v>22137</v>
      </c>
      <c r="E15142" s="4" t="s">
        <v>7999</v>
      </c>
      <c r="F15142" s="4" t="s">
        <v>7998</v>
      </c>
      <c r="G15142" s="5" t="str">
        <f>IFERROR(__xludf.DUMMYFUNCTION("GOOGLETRANSLATE(D15142,""sv"",""es"")"),"Ginebra")</f>
        <v>Ginebra</v>
      </c>
    </row>
    <row r="15143">
      <c r="A15143" s="4">
        <v>6.0</v>
      </c>
      <c r="B15143" s="4" t="s">
        <v>22133</v>
      </c>
      <c r="C15143" s="4"/>
      <c r="D15143" s="4" t="s">
        <v>4812</v>
      </c>
      <c r="E15143" s="4" t="s">
        <v>4813</v>
      </c>
      <c r="F15143" s="4" t="s">
        <v>4812</v>
      </c>
      <c r="G15143" s="5" t="str">
        <f>IFERROR(__xludf.DUMMYFUNCTION("GOOGLETRANSLATE(D15143,""sv"",""es"")"),"tener")</f>
        <v>tener</v>
      </c>
      <c r="H15143" s="4" t="s">
        <v>311</v>
      </c>
      <c r="I15143" s="4" t="s">
        <v>312</v>
      </c>
      <c r="J15143" s="4" t="s">
        <v>313</v>
      </c>
    </row>
    <row r="15144">
      <c r="A15144" s="4">
        <v>7.0</v>
      </c>
      <c r="B15144" s="4" t="s">
        <v>22133</v>
      </c>
      <c r="C15144" s="4"/>
      <c r="D15144" s="4" t="s">
        <v>17511</v>
      </c>
      <c r="E15144" s="4" t="s">
        <v>20011</v>
      </c>
      <c r="F15144" s="4" t="s">
        <v>4821</v>
      </c>
      <c r="G15144" s="5" t="str">
        <f>IFERROR(__xludf.DUMMYFUNCTION("GOOGLETRANSLATE(D15144,""sv"",""es"")"),"tiburón")</f>
        <v>tiburón</v>
      </c>
      <c r="H15144" s="4" t="s">
        <v>20158</v>
      </c>
    </row>
    <row r="15145">
      <c r="A15145" s="4">
        <v>8.0</v>
      </c>
      <c r="B15145" s="4" t="s">
        <v>22133</v>
      </c>
      <c r="C15145" s="4"/>
      <c r="D15145" s="4" t="s">
        <v>11094</v>
      </c>
      <c r="E15145" s="4" t="s">
        <v>4815</v>
      </c>
      <c r="F15145" s="4" t="s">
        <v>4814</v>
      </c>
      <c r="G15145" s="5" t="str">
        <f>IFERROR(__xludf.DUMMYFUNCTION("GOOGLETRANSLATE(D15145,""sv"",""es"")"),"salón")</f>
        <v>salón</v>
      </c>
      <c r="H15145" s="4" t="s">
        <v>11094</v>
      </c>
      <c r="I15145" s="4" t="s">
        <v>22138</v>
      </c>
      <c r="J15145" s="4" t="s">
        <v>11094</v>
      </c>
    </row>
    <row r="15146">
      <c r="A15146" s="4">
        <v>9.0</v>
      </c>
      <c r="B15146" s="4" t="s">
        <v>22133</v>
      </c>
      <c r="C15146" s="4"/>
      <c r="D15146" s="4" t="s">
        <v>22139</v>
      </c>
      <c r="E15146" s="4" t="s">
        <v>22140</v>
      </c>
      <c r="F15146" s="4" t="s">
        <v>22141</v>
      </c>
      <c r="G15146" s="5" t="str">
        <f>IFERROR(__xludf.DUMMYFUNCTION("GOOGLETRANSLATE(D15146,""sv"",""es"")"),"encontrar")</f>
        <v>encontrar</v>
      </c>
      <c r="H15146" s="4" t="s">
        <v>2671</v>
      </c>
      <c r="I15146" s="4" t="s">
        <v>22142</v>
      </c>
      <c r="J15146" s="4" t="s">
        <v>22143</v>
      </c>
      <c r="K15146" s="4" t="s">
        <v>22144</v>
      </c>
    </row>
    <row r="15147">
      <c r="A15147" s="4">
        <v>10.0</v>
      </c>
      <c r="B15147" s="4" t="s">
        <v>22133</v>
      </c>
      <c r="C15147" s="4"/>
      <c r="D15147" s="4" t="s">
        <v>22145</v>
      </c>
      <c r="E15147" s="4" t="s">
        <v>22146</v>
      </c>
      <c r="F15147" s="4" t="s">
        <v>1858</v>
      </c>
      <c r="G15147" s="5" t="str">
        <f>IFERROR(__xludf.DUMMYFUNCTION("GOOGLETRANSLATE(D15147,""sv"",""es"")"),"ella")</f>
        <v>ella</v>
      </c>
    </row>
    <row r="15148">
      <c r="A15148" s="4">
        <v>11.0</v>
      </c>
      <c r="B15148" s="4" t="s">
        <v>22133</v>
      </c>
      <c r="C15148" s="4"/>
      <c r="D15148" s="4" t="s">
        <v>22147</v>
      </c>
      <c r="E15148" s="4" t="s">
        <v>22148</v>
      </c>
      <c r="F15148" s="4" t="s">
        <v>9574</v>
      </c>
      <c r="G15148" s="5" t="str">
        <f>IFERROR(__xludf.DUMMYFUNCTION("GOOGLETRANSLATE(D15148,""sv"",""es"")"),"a")</f>
        <v>a</v>
      </c>
    </row>
    <row r="15149">
      <c r="A15149" s="4">
        <v>12.0</v>
      </c>
      <c r="B15149" s="4" t="s">
        <v>22133</v>
      </c>
      <c r="C15149" s="4"/>
      <c r="D15149" s="4" t="s">
        <v>4824</v>
      </c>
      <c r="E15149" s="4" t="s">
        <v>4823</v>
      </c>
      <c r="F15149" s="4" t="s">
        <v>4824</v>
      </c>
      <c r="G15149" s="5" t="str">
        <f>IFERROR(__xludf.DUMMYFUNCTION("GOOGLETRANSLATE(D15149,""sv"",""es"")"),"en")</f>
        <v>en</v>
      </c>
    </row>
    <row r="15150">
      <c r="A15150" s="4">
        <v>13.0</v>
      </c>
      <c r="B15150" s="4" t="s">
        <v>22133</v>
      </c>
      <c r="C15150" s="4"/>
      <c r="D15150" s="4" t="s">
        <v>4822</v>
      </c>
      <c r="E15150" s="4" t="s">
        <v>4823</v>
      </c>
      <c r="F15150" s="4" t="s">
        <v>4824</v>
      </c>
      <c r="G15150" s="5" t="str">
        <f>IFERROR(__xludf.DUMMYFUNCTION("GOOGLETRANSLATE(D15150,""sv"",""es"")"),"Posada")</f>
        <v>Posada</v>
      </c>
    </row>
    <row r="15151">
      <c r="A15151" s="4">
        <v>14.0</v>
      </c>
      <c r="B15151" s="4" t="s">
        <v>22133</v>
      </c>
      <c r="C15151" s="4"/>
      <c r="D15151" s="4" t="s">
        <v>2009</v>
      </c>
      <c r="E15151" s="4" t="s">
        <v>2010</v>
      </c>
      <c r="F15151" s="4" t="s">
        <v>2011</v>
      </c>
      <c r="G15151" s="5" t="str">
        <f>IFERROR(__xludf.DUMMYFUNCTION("GOOGLETRANSLATE(D15151,""sv"",""es"")"),"sí")</f>
        <v>sí</v>
      </c>
    </row>
    <row r="15152">
      <c r="A15152" s="4">
        <v>15.0</v>
      </c>
      <c r="B15152" s="4" t="s">
        <v>22133</v>
      </c>
      <c r="C15152" s="4"/>
      <c r="D15152" s="4" t="s">
        <v>22149</v>
      </c>
      <c r="E15152" s="4" t="s">
        <v>9064</v>
      </c>
      <c r="F15152" s="4" t="s">
        <v>9065</v>
      </c>
      <c r="G15152" s="5" t="str">
        <f>IFERROR(__xludf.DUMMYFUNCTION("GOOGLETRANSLATE(D15152,""sv"",""es"")"),"chaqueta")</f>
        <v>chaqueta</v>
      </c>
      <c r="H15152" s="4" t="s">
        <v>5981</v>
      </c>
    </row>
    <row r="15153">
      <c r="A15153" s="4">
        <v>16.0</v>
      </c>
      <c r="B15153" s="4" t="s">
        <v>22133</v>
      </c>
      <c r="C15153" s="4"/>
      <c r="D15153" s="4" t="s">
        <v>22150</v>
      </c>
      <c r="E15153" s="4" t="s">
        <v>22151</v>
      </c>
      <c r="F15153" s="4" t="s">
        <v>9810</v>
      </c>
      <c r="G15153" s="5" t="str">
        <f>IFERROR(__xludf.DUMMYFUNCTION("GOOGLETRANSLATE(D15153,""sv"",""es"")"),"Jojo")</f>
        <v>Jojo</v>
      </c>
    </row>
    <row r="15154">
      <c r="A15154" s="4">
        <v>17.0</v>
      </c>
      <c r="B15154" s="4" t="s">
        <v>22133</v>
      </c>
      <c r="C15154" s="4"/>
      <c r="D15154" s="4" t="s">
        <v>1011</v>
      </c>
      <c r="E15154" s="4" t="s">
        <v>974</v>
      </c>
      <c r="F15154" s="4" t="s">
        <v>975</v>
      </c>
      <c r="G15154" s="5" t="str">
        <f>IFERROR(__xludf.DUMMYFUNCTION("GOOGLETRANSLATE(D15154,""sv"",""es"")"),"frío")</f>
        <v>frío</v>
      </c>
      <c r="H15154" s="4" t="s">
        <v>1925</v>
      </c>
      <c r="I15154" s="4" t="s">
        <v>1925</v>
      </c>
    </row>
    <row r="15155">
      <c r="A15155" s="4">
        <v>18.0</v>
      </c>
      <c r="B15155" s="4" t="s">
        <v>22133</v>
      </c>
      <c r="C15155" s="4"/>
      <c r="D15155" s="4" t="s">
        <v>1039</v>
      </c>
      <c r="E15155" s="4" t="s">
        <v>1038</v>
      </c>
      <c r="F15155" s="4" t="s">
        <v>1039</v>
      </c>
      <c r="G15155" s="5" t="str">
        <f>IFERROR(__xludf.DUMMYFUNCTION("GOOGLETRANSLATE(D15155,""sv"",""es"")"),"peine")</f>
        <v>peine</v>
      </c>
    </row>
    <row r="15156">
      <c r="A15156" s="4">
        <v>19.0</v>
      </c>
      <c r="B15156" s="4" t="s">
        <v>22133</v>
      </c>
      <c r="C15156" s="4"/>
      <c r="D15156" s="4" t="s">
        <v>6469</v>
      </c>
      <c r="E15156" s="4" t="s">
        <v>17160</v>
      </c>
      <c r="F15156" s="4" t="s">
        <v>6469</v>
      </c>
      <c r="G15156" s="5" t="str">
        <f>IFERROR(__xludf.DUMMYFUNCTION("GOOGLETRANSLATE(D15156,""sv"",""es"")"),"Kis")</f>
        <v>Kis</v>
      </c>
    </row>
    <row r="15157">
      <c r="A15157" s="4">
        <v>20.0</v>
      </c>
      <c r="B15157" s="4" t="s">
        <v>22133</v>
      </c>
      <c r="C15157" s="4"/>
      <c r="D15157" s="4" t="s">
        <v>6467</v>
      </c>
      <c r="E15157" s="4" t="s">
        <v>6468</v>
      </c>
      <c r="F15157" s="4" t="s">
        <v>6469</v>
      </c>
      <c r="G15157" s="5" t="str">
        <f>IFERROR(__xludf.DUMMYFUNCTION("GOOGLETRANSLATE(D15157,""sv"",""es"")"),"Beso")</f>
        <v>Beso</v>
      </c>
    </row>
    <row r="15158">
      <c r="A15158" s="4">
        <v>21.0</v>
      </c>
      <c r="B15158" s="4" t="s">
        <v>22133</v>
      </c>
      <c r="C15158" s="4"/>
      <c r="D15158" s="4" t="s">
        <v>22152</v>
      </c>
      <c r="E15158" s="4" t="s">
        <v>22153</v>
      </c>
      <c r="F15158" s="4" t="s">
        <v>3832</v>
      </c>
      <c r="G15158" s="5" t="str">
        <f>IFERROR(__xludf.DUMMYFUNCTION("GOOGLETRANSLATE(D15158,""sv"",""es"")"),"Orinar")</f>
        <v>Orinar</v>
      </c>
      <c r="H15158" s="4" t="s">
        <v>3000</v>
      </c>
      <c r="I15158" s="4" t="s">
        <v>7248</v>
      </c>
      <c r="J15158" s="4" t="s">
        <v>7243</v>
      </c>
      <c r="K15158" s="4" t="s">
        <v>4723</v>
      </c>
      <c r="L15158" s="4" t="s">
        <v>7249</v>
      </c>
      <c r="M15158" s="4" t="s">
        <v>7239</v>
      </c>
      <c r="N15158" s="4" t="s">
        <v>7242</v>
      </c>
      <c r="O15158" s="4" t="s">
        <v>7250</v>
      </c>
      <c r="P15158" s="4" t="s">
        <v>7251</v>
      </c>
      <c r="Q15158" s="4" t="s">
        <v>7252</v>
      </c>
      <c r="R15158" s="4" t="s">
        <v>7253</v>
      </c>
      <c r="S15158" s="4" t="s">
        <v>7254</v>
      </c>
      <c r="T15158" s="4" t="s">
        <v>4693</v>
      </c>
      <c r="U15158" s="4" t="s">
        <v>7255</v>
      </c>
      <c r="V15158" s="4" t="s">
        <v>7256</v>
      </c>
    </row>
    <row r="15159">
      <c r="A15159" s="4">
        <v>22.0</v>
      </c>
      <c r="B15159" s="4" t="s">
        <v>22133</v>
      </c>
      <c r="C15159" s="4"/>
      <c r="D15159" s="4" t="s">
        <v>2015</v>
      </c>
      <c r="E15159" s="4" t="s">
        <v>2016</v>
      </c>
      <c r="F15159" s="4" t="s">
        <v>2015</v>
      </c>
      <c r="G15159" s="5" t="str">
        <f>IFERROR(__xludf.DUMMYFUNCTION("GOOGLETRANSLATE(D15159,""sv"",""es"")"),"la")</f>
        <v>la</v>
      </c>
    </row>
    <row r="15160">
      <c r="A15160" s="4">
        <v>23.0</v>
      </c>
      <c r="B15160" s="4" t="s">
        <v>22133</v>
      </c>
      <c r="C15160" s="4"/>
      <c r="D15160" s="4" t="s">
        <v>11397</v>
      </c>
      <c r="E15160" s="4" t="s">
        <v>22154</v>
      </c>
      <c r="F15160" s="4" t="s">
        <v>6557</v>
      </c>
      <c r="G15160" s="5" t="str">
        <f>IFERROR(__xludf.DUMMYFUNCTION("GOOGLETRANSLATE(D15160,""sv"",""es"")"),"país")</f>
        <v>país</v>
      </c>
      <c r="H15160" s="4" t="s">
        <v>11388</v>
      </c>
      <c r="I15160" s="4" t="s">
        <v>22155</v>
      </c>
      <c r="J15160" s="4" t="s">
        <v>1079</v>
      </c>
      <c r="K15160" s="4" t="s">
        <v>11397</v>
      </c>
      <c r="L15160" s="4" t="s">
        <v>22156</v>
      </c>
      <c r="M15160" s="4" t="s">
        <v>22157</v>
      </c>
      <c r="N15160" s="4" t="s">
        <v>22158</v>
      </c>
      <c r="O15160" s="4" t="s">
        <v>1079</v>
      </c>
      <c r="P15160" s="4" t="s">
        <v>1080</v>
      </c>
      <c r="Q15160" s="4" t="s">
        <v>22159</v>
      </c>
      <c r="R15160" s="4" t="s">
        <v>22160</v>
      </c>
      <c r="S15160" s="4" t="s">
        <v>22161</v>
      </c>
      <c r="T15160" s="4" t="s">
        <v>4229</v>
      </c>
      <c r="U15160" s="4" t="s">
        <v>15620</v>
      </c>
      <c r="V15160" s="4" t="s">
        <v>11397</v>
      </c>
      <c r="W15160" s="4" t="s">
        <v>9232</v>
      </c>
    </row>
    <row r="15161">
      <c r="A15161" s="4">
        <v>24.0</v>
      </c>
      <c r="B15161" s="4" t="s">
        <v>22133</v>
      </c>
      <c r="C15161" s="4"/>
      <c r="D15161" s="4" t="s">
        <v>22162</v>
      </c>
      <c r="E15161" s="4" t="s">
        <v>22163</v>
      </c>
      <c r="F15161" s="4" t="s">
        <v>8488</v>
      </c>
      <c r="G15161" s="5" t="str">
        <f>IFERROR(__xludf.DUMMYFUNCTION("GOOGLETRANSLATE(D15161,""sv"",""es"")"),"somorgujo")</f>
        <v>somorgujo</v>
      </c>
    </row>
    <row r="15162">
      <c r="A15162" s="4">
        <v>25.0</v>
      </c>
      <c r="B15162" s="4" t="s">
        <v>22133</v>
      </c>
      <c r="C15162" s="4"/>
      <c r="D15162" s="4" t="s">
        <v>6710</v>
      </c>
      <c r="E15162" s="4" t="s">
        <v>2300</v>
      </c>
      <c r="F15162" s="4" t="s">
        <v>2301</v>
      </c>
      <c r="G15162" s="5" t="str">
        <f>IFERROR(__xludf.DUMMYFUNCTION("GOOGLETRANSLATE(D15162,""sv"",""es"")"),"Machacar")</f>
        <v>Machacar</v>
      </c>
    </row>
    <row r="15163">
      <c r="A15163" s="4">
        <v>26.0</v>
      </c>
      <c r="B15163" s="4" t="s">
        <v>22133</v>
      </c>
      <c r="C15163" s="4"/>
      <c r="D15163" s="4" t="s">
        <v>4840</v>
      </c>
      <c r="E15163" s="4" t="s">
        <v>332</v>
      </c>
      <c r="F15163" s="4" t="s">
        <v>333</v>
      </c>
      <c r="G15163" s="5" t="str">
        <f>IFERROR(__xludf.DUMMYFUNCTION("GOOGLETRANSLATE(D15163,""sv"",""es"")"),"Mayo")</f>
        <v>Mayo</v>
      </c>
    </row>
    <row r="15164">
      <c r="A15164" s="4">
        <v>27.0</v>
      </c>
      <c r="B15164" s="4" t="s">
        <v>22133</v>
      </c>
      <c r="C15164" s="4"/>
      <c r="D15164" s="4" t="s">
        <v>2365</v>
      </c>
      <c r="E15164" s="4" t="s">
        <v>2323</v>
      </c>
      <c r="F15164" s="4" t="s">
        <v>2322</v>
      </c>
      <c r="G15164" s="5" t="str">
        <f>IFERROR(__xludf.DUMMYFUNCTION("GOOGLETRANSLATE(D15164,""sv"",""es"")"),"modelo")</f>
        <v>modelo</v>
      </c>
    </row>
    <row r="15165">
      <c r="A15165" s="4">
        <v>28.0</v>
      </c>
      <c r="B15165" s="4" t="s">
        <v>22133</v>
      </c>
      <c r="C15165" s="4"/>
      <c r="D15165" s="4" t="s">
        <v>1856</v>
      </c>
      <c r="E15165" s="4" t="s">
        <v>4841</v>
      </c>
      <c r="F15165" s="4" t="s">
        <v>1856</v>
      </c>
      <c r="G15165" s="5" t="str">
        <f>IFERROR(__xludf.DUMMYFUNCTION("GOOGLETRANSLATE(D15165,""sv"",""es"")"),"HOMBRE")</f>
        <v>HOMBRE</v>
      </c>
      <c r="H15165" s="4" t="s">
        <v>1856</v>
      </c>
      <c r="I15165" s="4" t="s">
        <v>6742</v>
      </c>
    </row>
    <row r="15166">
      <c r="A15166" s="4">
        <v>29.0</v>
      </c>
      <c r="B15166" s="4" t="s">
        <v>22133</v>
      </c>
      <c r="C15166" s="4"/>
      <c r="D15166" s="4" t="s">
        <v>22164</v>
      </c>
      <c r="E15166" s="4" t="s">
        <v>15978</v>
      </c>
      <c r="F15166" s="4" t="s">
        <v>6757</v>
      </c>
      <c r="G15166" s="5" t="str">
        <f>IFERROR(__xludf.DUMMYFUNCTION("GOOGLETRANSLATE(D15166,""sv"",""es"")"),"artilugio")</f>
        <v>artilugio</v>
      </c>
    </row>
    <row r="15167">
      <c r="A15167" s="4">
        <v>30.0</v>
      </c>
      <c r="B15167" s="4" t="s">
        <v>22133</v>
      </c>
      <c r="C15167" s="4"/>
      <c r="D15167" s="4" t="s">
        <v>4842</v>
      </c>
      <c r="E15167" s="4" t="s">
        <v>332</v>
      </c>
      <c r="F15167" s="4" t="s">
        <v>333</v>
      </c>
      <c r="G15167" s="5" t="str">
        <f>IFERROR(__xludf.DUMMYFUNCTION("GOOGLETRANSLATE(D15167,""sv"",""es"")"),"yo")</f>
        <v>yo</v>
      </c>
    </row>
    <row r="15168">
      <c r="A15168" s="4">
        <v>31.0</v>
      </c>
      <c r="B15168" s="4" t="s">
        <v>22133</v>
      </c>
      <c r="C15168" s="4"/>
      <c r="D15168" s="4" t="s">
        <v>6988</v>
      </c>
      <c r="E15168" s="4" t="s">
        <v>6989</v>
      </c>
      <c r="F15168" s="4" t="s">
        <v>6988</v>
      </c>
      <c r="G15168" s="5" t="str">
        <f>IFERROR(__xludf.DUMMYFUNCTION("GOOGLETRANSLATE(D15168,""sv"",""es"")"),"nim")</f>
        <v>nim</v>
      </c>
    </row>
    <row r="15169">
      <c r="A15169" s="4">
        <v>32.0</v>
      </c>
      <c r="B15169" s="4" t="s">
        <v>22133</v>
      </c>
      <c r="C15169" s="4"/>
      <c r="D15169" s="4" t="s">
        <v>22165</v>
      </c>
      <c r="E15169" s="4" t="s">
        <v>4850</v>
      </c>
      <c r="F15169" s="4" t="s">
        <v>3910</v>
      </c>
      <c r="G15169" s="5" t="str">
        <f>IFERROR(__xludf.DUMMYFUNCTION("GOOGLETRANSLATE(D15169,""sv"",""es"")"),"tarta")</f>
        <v>tarta</v>
      </c>
      <c r="H15169" s="4" t="s">
        <v>5455</v>
      </c>
    </row>
    <row r="15170">
      <c r="A15170" s="4">
        <v>33.0</v>
      </c>
      <c r="B15170" s="4" t="s">
        <v>22133</v>
      </c>
      <c r="C15170" s="4"/>
      <c r="D15170" s="4" t="s">
        <v>3170</v>
      </c>
      <c r="E15170" s="4" t="s">
        <v>7156</v>
      </c>
      <c r="F15170" s="4" t="s">
        <v>3170</v>
      </c>
      <c r="G15170" s="5" t="str">
        <f>IFERROR(__xludf.DUMMYFUNCTION("GOOGLETRANSLATE(D15170,""sv"",""es"")"),"ALFILER")</f>
        <v>ALFILER</v>
      </c>
    </row>
    <row r="15171">
      <c r="A15171" s="4">
        <v>34.0</v>
      </c>
      <c r="B15171" s="4" t="s">
        <v>22133</v>
      </c>
      <c r="C15171" s="4"/>
      <c r="D15171" s="4" t="s">
        <v>398</v>
      </c>
      <c r="E15171" s="4" t="s">
        <v>397</v>
      </c>
      <c r="F15171" s="4" t="s">
        <v>398</v>
      </c>
      <c r="G15171" s="5" t="str">
        <f>IFERROR(__xludf.DUMMYFUNCTION("GOOGLETRANSLATE(D15171,""sv"",""es"")"),"Sam")</f>
        <v>Sam</v>
      </c>
    </row>
    <row r="15172">
      <c r="A15172" s="4">
        <v>35.0</v>
      </c>
      <c r="B15172" s="4" t="s">
        <v>22133</v>
      </c>
      <c r="C15172" s="4"/>
      <c r="D15172" s="4" t="s">
        <v>4854</v>
      </c>
      <c r="E15172" s="4" t="s">
        <v>4855</v>
      </c>
      <c r="F15172" s="4" t="s">
        <v>2407</v>
      </c>
      <c r="G15172" s="5" t="str">
        <f>IFERROR(__xludf.DUMMYFUNCTION("GOOGLETRANSLATE(D15172,""sv"",""es"")"),"una")</f>
        <v>una</v>
      </c>
    </row>
    <row r="15173">
      <c r="A15173" s="4">
        <v>36.0</v>
      </c>
      <c r="B15173" s="4" t="s">
        <v>22133</v>
      </c>
      <c r="C15173" s="4"/>
      <c r="D15173" s="4" t="s">
        <v>7585</v>
      </c>
      <c r="E15173" s="4" t="s">
        <v>7586</v>
      </c>
      <c r="F15173" s="4" t="s">
        <v>7587</v>
      </c>
      <c r="G15173" s="5" t="str">
        <f>IFERROR(__xludf.DUMMYFUNCTION("GOOGLETRANSLATE(D15173,""sv"",""es"")"),"arenque")</f>
        <v>arenque</v>
      </c>
    </row>
    <row r="15174">
      <c r="A15174" s="4">
        <v>37.0</v>
      </c>
      <c r="B15174" s="4" t="s">
        <v>22133</v>
      </c>
      <c r="C15174" s="4"/>
      <c r="D15174" s="4" t="s">
        <v>7672</v>
      </c>
      <c r="E15174" s="4" t="s">
        <v>4857</v>
      </c>
      <c r="F15174" s="4" t="s">
        <v>4856</v>
      </c>
      <c r="G15174" s="5" t="str">
        <f>IFERROR(__xludf.DUMMYFUNCTION("GOOGLETRANSLATE(D15174,""sv"",""es"")"),"Gracias")</f>
        <v>Gracias</v>
      </c>
      <c r="H15174" s="4" t="s">
        <v>4859</v>
      </c>
      <c r="I15174" s="4" t="s">
        <v>4859</v>
      </c>
    </row>
    <row r="15175">
      <c r="A15175" s="4">
        <v>38.0</v>
      </c>
      <c r="B15175" s="4" t="s">
        <v>22133</v>
      </c>
      <c r="C15175" s="4"/>
      <c r="D15175" s="4" t="s">
        <v>552</v>
      </c>
      <c r="E15175" s="4" t="s">
        <v>4252</v>
      </c>
      <c r="F15175" s="4" t="s">
        <v>4251</v>
      </c>
      <c r="G15175" s="5" t="str">
        <f>IFERROR(__xludf.DUMMYFUNCTION("GOOGLETRANSLATE(D15175,""sv"",""es"")"),"pino")</f>
        <v>pino</v>
      </c>
    </row>
    <row r="15176">
      <c r="A15176" s="4">
        <v>39.0</v>
      </c>
      <c r="B15176" s="4" t="s">
        <v>22133</v>
      </c>
      <c r="C15176" s="4"/>
      <c r="D15176" s="4" t="s">
        <v>7851</v>
      </c>
      <c r="E15176" s="4" t="s">
        <v>7850</v>
      </c>
      <c r="F15176" s="4" t="s">
        <v>7849</v>
      </c>
      <c r="G15176" s="5" t="str">
        <f>IFERROR(__xludf.DUMMYFUNCTION("GOOGLETRANSLATE(D15176,""sv"",""es"")"),"a")</f>
        <v>a</v>
      </c>
    </row>
    <row r="15177">
      <c r="A15177" s="4">
        <v>40.0</v>
      </c>
      <c r="B15177" s="4" t="s">
        <v>22133</v>
      </c>
      <c r="C15177" s="4"/>
      <c r="D15177" s="4" t="s">
        <v>22166</v>
      </c>
      <c r="E15177" s="4" t="s">
        <v>22167</v>
      </c>
      <c r="F15177" s="4" t="s">
        <v>428</v>
      </c>
      <c r="G15177" s="5" t="str">
        <f>IFERROR(__xludf.DUMMYFUNCTION("GOOGLETRANSLATE(D15177,""sv"",""es"")"),"Hasta que")</f>
        <v>Hasta que</v>
      </c>
    </row>
    <row r="15178">
      <c r="A15178" s="4">
        <v>41.0</v>
      </c>
      <c r="B15178" s="4" t="s">
        <v>22133</v>
      </c>
      <c r="C15178" s="4"/>
      <c r="D15178" s="4" t="s">
        <v>8837</v>
      </c>
      <c r="E15178" s="4" t="s">
        <v>8846</v>
      </c>
      <c r="F15178" s="4" t="s">
        <v>8847</v>
      </c>
      <c r="G15178" s="5" t="str">
        <f>IFERROR(__xludf.DUMMYFUNCTION("GOOGLETRANSLATE(D15178,""sv"",""es"")"),"Vacío")</f>
        <v>Vacío</v>
      </c>
      <c r="H15178" s="4" t="s">
        <v>22168</v>
      </c>
      <c r="I15178" s="4" t="s">
        <v>16707</v>
      </c>
      <c r="J15178" s="4" t="s">
        <v>7187</v>
      </c>
      <c r="K15178" s="4" t="s">
        <v>5885</v>
      </c>
    </row>
    <row r="15179">
      <c r="A15179" s="4">
        <v>1.0</v>
      </c>
      <c r="B15179" s="4" t="s">
        <v>22169</v>
      </c>
      <c r="C15179" s="4"/>
      <c r="D15179" s="4" t="s">
        <v>22170</v>
      </c>
      <c r="E15179" s="4" t="s">
        <v>318</v>
      </c>
      <c r="F15179" s="4" t="s">
        <v>319</v>
      </c>
      <c r="G15179" s="5" t="str">
        <f>IFERROR(__xludf.DUMMYFUNCTION("GOOGLETRANSLATE(D15179,""th"",""es"")"),"Cuarentena")</f>
        <v>Cuarentena</v>
      </c>
      <c r="H15179" s="4" t="s">
        <v>2060</v>
      </c>
      <c r="I15179" s="4" t="s">
        <v>22171</v>
      </c>
    </row>
    <row r="15180">
      <c r="A15180" s="4">
        <v>2.0</v>
      </c>
      <c r="B15180" s="4" t="s">
        <v>22169</v>
      </c>
      <c r="C15180" s="4"/>
      <c r="D15180" s="4" t="s">
        <v>22172</v>
      </c>
      <c r="E15180" s="4" t="s">
        <v>961</v>
      </c>
      <c r="F15180" s="4" t="s">
        <v>962</v>
      </c>
      <c r="G15180" s="5" t="str">
        <f>IFERROR(__xludf.DUMMYFUNCTION("GOOGLETRANSLATE(D15180,""th"",""es"")"),"tetera")</f>
        <v>tetera</v>
      </c>
      <c r="H15180" s="4" t="s">
        <v>22173</v>
      </c>
      <c r="I15180" s="4" t="s">
        <v>22174</v>
      </c>
      <c r="J15180" s="4" t="s">
        <v>10944</v>
      </c>
      <c r="K15180" s="4" t="s">
        <v>22175</v>
      </c>
    </row>
    <row r="15181">
      <c r="A15181" s="4">
        <v>3.0</v>
      </c>
      <c r="B15181" s="4" t="s">
        <v>22169</v>
      </c>
      <c r="C15181" s="4"/>
      <c r="D15181" s="4" t="s">
        <v>22176</v>
      </c>
      <c r="E15181" s="4" t="s">
        <v>1296</v>
      </c>
      <c r="F15181" s="4" t="s">
        <v>1297</v>
      </c>
      <c r="G15181" s="5" t="str">
        <f>IFERROR(__xludf.DUMMYFUNCTION("GOOGLETRANSLATE(D15181,""th"",""es"")"),"caqui")</f>
        <v>caqui</v>
      </c>
      <c r="H15181" s="4" t="s">
        <v>1298</v>
      </c>
    </row>
    <row r="15182">
      <c r="A15182" s="4">
        <v>4.0</v>
      </c>
      <c r="B15182" s="4" t="s">
        <v>22169</v>
      </c>
      <c r="C15182" s="4"/>
      <c r="D15182" s="4" t="s">
        <v>22177</v>
      </c>
      <c r="E15182" s="4" t="s">
        <v>1581</v>
      </c>
      <c r="F15182" s="4" t="s">
        <v>1582</v>
      </c>
      <c r="G15182" s="5" t="str">
        <f>IFERROR(__xludf.DUMMYFUNCTION("GOOGLETRANSLATE(D15182,""th"",""es"")"),"yo")</f>
        <v>yo</v>
      </c>
      <c r="H15182" s="4" t="s">
        <v>8897</v>
      </c>
      <c r="I15182" s="4" t="s">
        <v>8510</v>
      </c>
    </row>
    <row r="15183">
      <c r="A15183" s="4">
        <v>5.0</v>
      </c>
      <c r="B15183" s="4" t="s">
        <v>22169</v>
      </c>
      <c r="C15183" s="4"/>
      <c r="D15183" s="4" t="s">
        <v>22178</v>
      </c>
      <c r="E15183" s="4" t="s">
        <v>3867</v>
      </c>
      <c r="F15183" s="4" t="s">
        <v>3868</v>
      </c>
      <c r="G15183" s="5" t="str">
        <f>IFERROR(__xludf.DUMMYFUNCTION("GOOGLETRANSLATE(D15183,""th"",""es"")"),"lavar")</f>
        <v>lavar</v>
      </c>
      <c r="H15183" s="4" t="s">
        <v>2800</v>
      </c>
      <c r="I15183" s="4" t="s">
        <v>22179</v>
      </c>
    </row>
    <row r="15184">
      <c r="A15184" s="4">
        <v>6.0</v>
      </c>
      <c r="B15184" s="4" t="s">
        <v>22169</v>
      </c>
      <c r="C15184" s="4"/>
      <c r="D15184" s="4" t="s">
        <v>22180</v>
      </c>
      <c r="E15184" s="4" t="s">
        <v>3862</v>
      </c>
      <c r="F15184" s="4" t="s">
        <v>3861</v>
      </c>
      <c r="G15184" s="5" t="str">
        <f>IFERROR(__xludf.DUMMYFUNCTION("GOOGLETRANSLATE(D15184,""th"",""es"")"),"Señor")</f>
        <v>Señor</v>
      </c>
      <c r="H15184" s="4" t="s">
        <v>2757</v>
      </c>
      <c r="I15184" s="4" t="s">
        <v>2758</v>
      </c>
      <c r="J15184" s="4" t="s">
        <v>2759</v>
      </c>
      <c r="K15184" s="4" t="s">
        <v>2760</v>
      </c>
      <c r="L15184" s="4" t="s">
        <v>2761</v>
      </c>
    </row>
    <row r="15185">
      <c r="A15185" s="4">
        <v>7.0</v>
      </c>
      <c r="B15185" s="4" t="s">
        <v>22169</v>
      </c>
      <c r="C15185" s="4"/>
      <c r="D15185" s="4" t="s">
        <v>22181</v>
      </c>
      <c r="E15185" s="4" t="s">
        <v>400</v>
      </c>
      <c r="F15185" s="4" t="s">
        <v>401</v>
      </c>
      <c r="G15185" s="5" t="str">
        <f>IFERROR(__xludf.DUMMYFUNCTION("GOOGLETRANSLATE(D15185,""th"",""es"")"),"C")</f>
        <v>C</v>
      </c>
      <c r="H15185" s="4" t="s">
        <v>22182</v>
      </c>
      <c r="I15185" s="4" t="s">
        <v>22183</v>
      </c>
      <c r="J15185" s="4" t="s">
        <v>22184</v>
      </c>
      <c r="K15185" s="4" t="s">
        <v>8268</v>
      </c>
      <c r="L15185" s="4" t="s">
        <v>22185</v>
      </c>
      <c r="M15185" s="4" t="s">
        <v>8265</v>
      </c>
      <c r="N15185" s="4" t="s">
        <v>8268</v>
      </c>
      <c r="O15185" s="4" t="s">
        <v>8269</v>
      </c>
      <c r="P15185" s="4" t="s">
        <v>22186</v>
      </c>
      <c r="Q15185" s="4" t="s">
        <v>8268</v>
      </c>
      <c r="R15185" s="4" t="s">
        <v>22187</v>
      </c>
      <c r="S15185" s="4" t="s">
        <v>22188</v>
      </c>
      <c r="T15185" s="4" t="s">
        <v>22185</v>
      </c>
    </row>
    <row r="15186">
      <c r="A15186" s="4">
        <v>8.0</v>
      </c>
      <c r="B15186" s="4" t="s">
        <v>22169</v>
      </c>
      <c r="C15186" s="4"/>
      <c r="D15186" s="4" t="s">
        <v>22189</v>
      </c>
      <c r="E15186" s="4" t="s">
        <v>1424</v>
      </c>
      <c r="F15186" s="4" t="s">
        <v>1425</v>
      </c>
      <c r="G15186" s="5" t="str">
        <f>IFERROR(__xludf.DUMMYFUNCTION("GOOGLETRANSLATE(D15186,""th"",""es"")"),"Cyca")</f>
        <v>Cyca</v>
      </c>
      <c r="H15186" s="4" t="s">
        <v>22190</v>
      </c>
    </row>
    <row r="15187">
      <c r="A15187" s="4">
        <v>9.0</v>
      </c>
      <c r="B15187" s="4" t="s">
        <v>22169</v>
      </c>
      <c r="C15187" s="4"/>
      <c r="D15187" s="4" t="s">
        <v>22191</v>
      </c>
      <c r="E15187" s="4" t="s">
        <v>4857</v>
      </c>
      <c r="F15187" s="4" t="s">
        <v>4856</v>
      </c>
      <c r="G15187" s="5" t="str">
        <f>IFERROR(__xludf.DUMMYFUNCTION("GOOGLETRANSLATE(D15187,""th"",""es"")"),"vuelta")</f>
        <v>vuelta</v>
      </c>
      <c r="H15187" s="4" t="s">
        <v>22192</v>
      </c>
      <c r="I15187" s="4" t="s">
        <v>3414</v>
      </c>
      <c r="J15187" s="4" t="s">
        <v>7308</v>
      </c>
      <c r="K15187" s="4" t="s">
        <v>4724</v>
      </c>
    </row>
    <row r="15188">
      <c r="A15188" s="4">
        <v>10.0</v>
      </c>
      <c r="B15188" s="4" t="s">
        <v>22169</v>
      </c>
      <c r="C15188" s="4"/>
      <c r="D15188" s="4" t="s">
        <v>22193</v>
      </c>
      <c r="E15188" s="4" t="s">
        <v>13805</v>
      </c>
      <c r="F15188" s="4" t="s">
        <v>13804</v>
      </c>
      <c r="G15188" s="5" t="str">
        <f>IFERROR(__xludf.DUMMYFUNCTION("GOOGLETRANSLATE(D15188,""th"",""es"")"),"anualmente")</f>
        <v>anualmente</v>
      </c>
      <c r="H15188" s="4" t="s">
        <v>22194</v>
      </c>
    </row>
    <row r="15189">
      <c r="A15189" s="4">
        <v>11.0</v>
      </c>
      <c r="B15189" s="4" t="s">
        <v>22169</v>
      </c>
      <c r="C15189" s="4"/>
      <c r="D15189" s="4" t="s">
        <v>22195</v>
      </c>
      <c r="E15189" s="4" t="s">
        <v>4556</v>
      </c>
      <c r="F15189" s="4" t="s">
        <v>4555</v>
      </c>
      <c r="G15189" s="4" t="s">
        <v>4577</v>
      </c>
      <c r="H15189" s="4" t="s">
        <v>7957</v>
      </c>
    </row>
    <row r="15190">
      <c r="A15190" s="4">
        <v>12.0</v>
      </c>
      <c r="B15190" s="4" t="s">
        <v>22169</v>
      </c>
      <c r="C15190" s="4"/>
      <c r="D15190" s="4" t="s">
        <v>22196</v>
      </c>
      <c r="E15190" s="4" t="s">
        <v>15276</v>
      </c>
      <c r="F15190" s="4" t="s">
        <v>15275</v>
      </c>
      <c r="G15190" s="5" t="str">
        <f>IFERROR(__xludf.DUMMYFUNCTION("GOOGLETRANSLATE(D15190,""th"",""es"")"),"nazi")</f>
        <v>nazi</v>
      </c>
      <c r="H15190" s="4" t="s">
        <v>22197</v>
      </c>
      <c r="I15190" s="4" t="s">
        <v>22198</v>
      </c>
      <c r="J15190" s="4" t="s">
        <v>22199</v>
      </c>
    </row>
    <row r="15191">
      <c r="A15191" s="4">
        <v>13.0</v>
      </c>
      <c r="B15191" s="4" t="s">
        <v>22169</v>
      </c>
      <c r="C15191" s="4"/>
      <c r="D15191" s="4" t="s">
        <v>22200</v>
      </c>
      <c r="E15191" s="4" t="s">
        <v>13195</v>
      </c>
      <c r="F15191" s="4" t="s">
        <v>7069</v>
      </c>
      <c r="G15191" s="5" t="str">
        <f>IFERROR(__xludf.DUMMYFUNCTION("GOOGLETRANSLATE(D15191,""th"",""es"")"),"Cuota")</f>
        <v>Cuota</v>
      </c>
      <c r="H15191" s="4" t="s">
        <v>16249</v>
      </c>
    </row>
    <row r="15192">
      <c r="A15192" s="4">
        <v>14.0</v>
      </c>
      <c r="B15192" s="4" t="s">
        <v>22169</v>
      </c>
      <c r="C15192" s="4"/>
      <c r="D15192" s="4" t="s">
        <v>22201</v>
      </c>
      <c r="E15192" s="4" t="s">
        <v>229</v>
      </c>
      <c r="F15192" s="4" t="s">
        <v>230</v>
      </c>
      <c r="G15192" s="5" t="str">
        <f>IFERROR(__xludf.DUMMYFUNCTION("GOOGLETRANSLATE(D15192,""th"",""es"")"),"año")</f>
        <v>año</v>
      </c>
      <c r="H15192" s="4" t="s">
        <v>1678</v>
      </c>
      <c r="I15192" s="4" t="s">
        <v>736</v>
      </c>
      <c r="J15192" s="4" t="s">
        <v>19920</v>
      </c>
      <c r="K15192" s="4" t="s">
        <v>17982</v>
      </c>
      <c r="L15192" s="4" t="s">
        <v>736</v>
      </c>
      <c r="M15192" s="4" t="s">
        <v>22202</v>
      </c>
      <c r="N15192" s="4" t="s">
        <v>22203</v>
      </c>
      <c r="O15192" s="4" t="s">
        <v>736</v>
      </c>
      <c r="P15192" s="4" t="s">
        <v>737</v>
      </c>
      <c r="Q15192" s="4" t="s">
        <v>738</v>
      </c>
      <c r="R15192" s="4" t="s">
        <v>736</v>
      </c>
    </row>
    <row r="15193">
      <c r="A15193" s="4">
        <v>15.0</v>
      </c>
      <c r="B15193" s="4" t="s">
        <v>22169</v>
      </c>
      <c r="C15193" s="4"/>
      <c r="D15193" s="4" t="s">
        <v>22204</v>
      </c>
      <c r="E15193" s="4" t="s">
        <v>7293</v>
      </c>
      <c r="F15193" s="4" t="s">
        <v>7294</v>
      </c>
      <c r="G15193" s="5" t="str">
        <f>IFERROR(__xludf.DUMMYFUNCTION("GOOGLETRANSLATE(D15193,""th"",""es"")"),"cangrejo")</f>
        <v>cangrejo</v>
      </c>
      <c r="H15193" s="4" t="s">
        <v>22205</v>
      </c>
      <c r="I15193" s="4" t="s">
        <v>22205</v>
      </c>
      <c r="J15193" s="4" t="s">
        <v>22206</v>
      </c>
    </row>
    <row r="15194">
      <c r="A15194" s="4">
        <v>16.0</v>
      </c>
      <c r="B15194" s="4" t="s">
        <v>22169</v>
      </c>
      <c r="C15194" s="4"/>
      <c r="D15194" s="4" t="s">
        <v>22207</v>
      </c>
      <c r="E15194" s="4" t="s">
        <v>22208</v>
      </c>
      <c r="F15194" s="4" t="s">
        <v>7987</v>
      </c>
      <c r="G15194" s="5" t="str">
        <f>IFERROR(__xludf.DUMMYFUNCTION("GOOGLETRANSLATE(D15194,""th"",""es"")"),"Arrugarse")</f>
        <v>Arrugarse</v>
      </c>
      <c r="H15194" s="4" t="s">
        <v>22209</v>
      </c>
      <c r="I15194" s="4" t="s">
        <v>22210</v>
      </c>
      <c r="J15194" s="4" t="s">
        <v>12575</v>
      </c>
      <c r="K15194" s="4" t="s">
        <v>12577</v>
      </c>
      <c r="L15194" s="4" t="s">
        <v>12578</v>
      </c>
      <c r="M15194" s="4" t="s">
        <v>22211</v>
      </c>
    </row>
    <row r="15195">
      <c r="A15195" s="4">
        <v>17.0</v>
      </c>
      <c r="B15195" s="4" t="s">
        <v>22169</v>
      </c>
      <c r="C15195" s="4"/>
      <c r="D15195" s="4" t="s">
        <v>22212</v>
      </c>
      <c r="E15195" s="4" t="s">
        <v>22213</v>
      </c>
      <c r="F15195" s="4" t="s">
        <v>7993</v>
      </c>
      <c r="G15195" s="5" t="str">
        <f>IFERROR(__xludf.DUMMYFUNCTION("GOOGLETRANSLATE(D15195,""th"",""es"")"),"minuciosamente")</f>
        <v>minuciosamente</v>
      </c>
      <c r="H15195" s="4" t="s">
        <v>22214</v>
      </c>
    </row>
  </sheetData>
  <drawing r:id="rId2"/>
  <legacyDrawing r:id="rId3"/>
</worksheet>
</file>